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P:\TSY\WIP2025\TSY946_LTFS Long-term Fiscal Statement  and Summary Doc 2025\Web\documents\"/>
    </mc:Choice>
  </mc:AlternateContent>
  <xr:revisionPtr revIDLastSave="0" documentId="8_{9EDAC337-A920-45D6-B03E-F705CA6C020A}" xr6:coauthVersionLast="47" xr6:coauthVersionMax="47" xr10:uidLastSave="{00000000-0000-0000-0000-000000000000}"/>
  <bookViews>
    <workbookView xWindow="-120" yWindow="-120" windowWidth="29040" windowHeight="15840" firstSheet="1" activeTab="1" xr2:uid="{FE2A1130-C43E-44C0-B00E-9BED7CC3EF54}"/>
  </bookViews>
  <sheets>
    <sheet name="Display" sheetId="11" state="hidden" r:id="rId1"/>
    <sheet name="Guide" sheetId="7" r:id="rId2"/>
    <sheet name="Sources" sheetId="8" r:id="rId3"/>
    <sheet name="Statistics NZ" sheetId="1" r:id="rId4"/>
    <sheet name="Population Treasury" sheetId="2" r:id="rId5"/>
    <sheet name="Labour Force Treasury" sheetId="4" r:id="rId6"/>
    <sheet name="Exogenous" sheetId="9" r:id="rId7"/>
    <sheet name="Allocation" sheetId="19" r:id="rId8"/>
    <sheet name="Fiscal Outturns" sheetId="16" r:id="rId9"/>
    <sheet name="Economic Forecasts" sheetId="3" r:id="rId10"/>
    <sheet name="Fiscal Forecasts" sheetId="10" r:id="rId11"/>
    <sheet name="Assumptions" sheetId="37" r:id="rId12"/>
    <sheet name="Long-Term Fiscal Model" sheetId="39"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3" i="10" l="1"/>
  <c r="B412" i="10"/>
  <c r="B414" i="10"/>
  <c r="B411" i="10"/>
  <c r="B410" i="10"/>
  <c r="B409" i="10"/>
  <c r="B408" i="10"/>
  <c r="K474" i="39"/>
  <c r="L474" i="39"/>
  <c r="M474" i="39"/>
  <c r="N474" i="39"/>
  <c r="J474" i="39"/>
  <c r="K277" i="39"/>
  <c r="L277" i="39"/>
  <c r="M277" i="39"/>
  <c r="N277" i="39"/>
  <c r="J277" i="39"/>
  <c r="K221" i="39"/>
  <c r="L221" i="39"/>
  <c r="M221" i="39"/>
  <c r="N221" i="39"/>
  <c r="J221" i="39"/>
  <c r="K95" i="39"/>
  <c r="L95" i="39"/>
  <c r="M95" i="39"/>
  <c r="N95" i="39"/>
  <c r="J95" i="39"/>
  <c r="N410" i="10" l="1"/>
  <c r="D218" i="39"/>
  <c r="E218" i="39"/>
  <c r="F218" i="39"/>
  <c r="G218" i="39"/>
  <c r="H218" i="39"/>
  <c r="I218" i="39"/>
  <c r="J218" i="39"/>
  <c r="K218" i="39"/>
  <c r="L218" i="39"/>
  <c r="M218" i="39"/>
  <c r="N218" i="39"/>
  <c r="B218" i="39"/>
  <c r="K430" i="39"/>
  <c r="L430" i="39"/>
  <c r="M430" i="39"/>
  <c r="N430" i="39"/>
  <c r="J430" i="39"/>
  <c r="E430" i="39"/>
  <c r="F430" i="39"/>
  <c r="G430" i="39"/>
  <c r="H430" i="39"/>
  <c r="I430" i="39"/>
  <c r="D430" i="39"/>
  <c r="K421" i="39"/>
  <c r="L421" i="39"/>
  <c r="M421" i="39"/>
  <c r="N421" i="39"/>
  <c r="J421" i="39"/>
  <c r="E420" i="39"/>
  <c r="F420" i="39"/>
  <c r="G420" i="39"/>
  <c r="H420" i="39"/>
  <c r="I420" i="39"/>
  <c r="E421" i="39"/>
  <c r="F421" i="39"/>
  <c r="G421" i="39"/>
  <c r="H421" i="39"/>
  <c r="I421" i="39"/>
  <c r="D420" i="39"/>
  <c r="D421" i="39"/>
  <c r="B421" i="39"/>
  <c r="D328" i="2"/>
  <c r="E328" i="2"/>
  <c r="F328" i="2"/>
  <c r="G328" i="2"/>
  <c r="H328" i="2"/>
  <c r="I328" i="2"/>
  <c r="J328" i="2"/>
  <c r="K328" i="2"/>
  <c r="L328" i="2"/>
  <c r="M328" i="2"/>
  <c r="N328" i="2"/>
  <c r="O328" i="2"/>
  <c r="P328" i="2"/>
  <c r="Q328" i="2"/>
  <c r="R328" i="2"/>
  <c r="S328" i="2"/>
  <c r="T328" i="2"/>
  <c r="U328" i="2"/>
  <c r="V328" i="2"/>
  <c r="W328" i="2"/>
  <c r="X328" i="2"/>
  <c r="Y328" i="2"/>
  <c r="Z328" i="2"/>
  <c r="AA328" i="2"/>
  <c r="AB328" i="2"/>
  <c r="AC328" i="2"/>
  <c r="AD328" i="2"/>
  <c r="AE328" i="2"/>
  <c r="AF328" i="2"/>
  <c r="AG328" i="2"/>
  <c r="AH328" i="2"/>
  <c r="AI328" i="2"/>
  <c r="AJ328" i="2"/>
  <c r="AK328" i="2"/>
  <c r="AL328" i="2"/>
  <c r="AM328" i="2"/>
  <c r="AN328" i="2"/>
  <c r="AO328" i="2"/>
  <c r="AP328" i="2"/>
  <c r="AQ328" i="2"/>
  <c r="AR328" i="2"/>
  <c r="AS328" i="2"/>
  <c r="AT328" i="2"/>
  <c r="AU328" i="2"/>
  <c r="AV328" i="2"/>
  <c r="AW328" i="2"/>
  <c r="AX328" i="2"/>
  <c r="AY328" i="2"/>
  <c r="AZ328" i="2"/>
  <c r="BA328" i="2"/>
  <c r="BB328" i="2"/>
  <c r="BC328" i="2"/>
  <c r="BD328" i="2"/>
  <c r="BE328" i="2"/>
  <c r="BF328" i="2"/>
  <c r="BG328" i="2"/>
  <c r="BH328" i="2"/>
  <c r="BI328" i="2"/>
  <c r="C328" i="2"/>
  <c r="P190" i="39" l="1"/>
  <c r="P292" i="39" s="1"/>
  <c r="Q190" i="39"/>
  <c r="Q292" i="39" s="1"/>
  <c r="P376" i="39"/>
  <c r="Q376" i="39"/>
  <c r="R376" i="39"/>
  <c r="S376" i="39"/>
  <c r="T376" i="39"/>
  <c r="U376" i="39"/>
  <c r="V376" i="39"/>
  <c r="W376" i="39"/>
  <c r="X376" i="39"/>
  <c r="Y376" i="39"/>
  <c r="Z376" i="39"/>
  <c r="AA376" i="39"/>
  <c r="AB376" i="39"/>
  <c r="AC376" i="39"/>
  <c r="AD376" i="39"/>
  <c r="AE376" i="39"/>
  <c r="AF376" i="39"/>
  <c r="AG376" i="39"/>
  <c r="AH376" i="39"/>
  <c r="AI376" i="39"/>
  <c r="AJ376" i="39"/>
  <c r="AK376" i="39"/>
  <c r="AL376" i="39"/>
  <c r="AM376" i="39"/>
  <c r="AN376" i="39"/>
  <c r="AO376" i="39"/>
  <c r="AP376" i="39"/>
  <c r="AQ376" i="39"/>
  <c r="AR376" i="39"/>
  <c r="AS376" i="39"/>
  <c r="AT376" i="39"/>
  <c r="AU376" i="39"/>
  <c r="AV376" i="39"/>
  <c r="AW376" i="39"/>
  <c r="AX376" i="39"/>
  <c r="P377" i="39"/>
  <c r="Q377" i="39"/>
  <c r="R377" i="39"/>
  <c r="S377" i="39"/>
  <c r="T377" i="39"/>
  <c r="U377" i="39"/>
  <c r="V377" i="39"/>
  <c r="W377" i="39"/>
  <c r="X377" i="39"/>
  <c r="Y377" i="39"/>
  <c r="Z377" i="39"/>
  <c r="AA377" i="39"/>
  <c r="AB377" i="39"/>
  <c r="AC377" i="39"/>
  <c r="AD377" i="39"/>
  <c r="AE377" i="39"/>
  <c r="AF377" i="39"/>
  <c r="AG377" i="39"/>
  <c r="AH377" i="39"/>
  <c r="AI377" i="39"/>
  <c r="AJ377" i="39"/>
  <c r="AK377" i="39"/>
  <c r="AL377" i="39"/>
  <c r="AM377" i="39"/>
  <c r="AN377" i="39"/>
  <c r="AO377" i="39"/>
  <c r="AP377" i="39"/>
  <c r="AQ377" i="39"/>
  <c r="AR377" i="39"/>
  <c r="AS377" i="39"/>
  <c r="AT377" i="39"/>
  <c r="AU377" i="39"/>
  <c r="AV377" i="39"/>
  <c r="AW377" i="39"/>
  <c r="AX377" i="39"/>
  <c r="P378" i="39"/>
  <c r="Q378" i="39"/>
  <c r="Q272" i="39" s="1"/>
  <c r="R378" i="39"/>
  <c r="R272" i="39" s="1"/>
  <c r="S378" i="39"/>
  <c r="S272" i="39" s="1"/>
  <c r="T378" i="39"/>
  <c r="T272" i="39" s="1"/>
  <c r="U378" i="39"/>
  <c r="U272" i="39" s="1"/>
  <c r="V378" i="39"/>
  <c r="V272" i="39" s="1"/>
  <c r="W378" i="39"/>
  <c r="W272" i="39" s="1"/>
  <c r="X378" i="39"/>
  <c r="Y378" i="39"/>
  <c r="Y272" i="39" s="1"/>
  <c r="Z378" i="39"/>
  <c r="Z272" i="39" s="1"/>
  <c r="AA378" i="39"/>
  <c r="AA272" i="39" s="1"/>
  <c r="AB378" i="39"/>
  <c r="AB272" i="39" s="1"/>
  <c r="AC378" i="39"/>
  <c r="AC272" i="39" s="1"/>
  <c r="AD378" i="39"/>
  <c r="AD272" i="39" s="1"/>
  <c r="AE378" i="39"/>
  <c r="AE272" i="39" s="1"/>
  <c r="AF378" i="39"/>
  <c r="AG378" i="39"/>
  <c r="AG272" i="39" s="1"/>
  <c r="AH378" i="39"/>
  <c r="AH272" i="39" s="1"/>
  <c r="AI378" i="39"/>
  <c r="AI272" i="39" s="1"/>
  <c r="AJ378" i="39"/>
  <c r="AJ272" i="39" s="1"/>
  <c r="AK378" i="39"/>
  <c r="AK272" i="39" s="1"/>
  <c r="AL378" i="39"/>
  <c r="AL272" i="39" s="1"/>
  <c r="AM378" i="39"/>
  <c r="AM272" i="39" s="1"/>
  <c r="AN378" i="39"/>
  <c r="AO378" i="39"/>
  <c r="AO272" i="39" s="1"/>
  <c r="AP378" i="39"/>
  <c r="AP272" i="39" s="1"/>
  <c r="AQ378" i="39"/>
  <c r="AQ272" i="39" s="1"/>
  <c r="AR378" i="39"/>
  <c r="AR272" i="39" s="1"/>
  <c r="AS378" i="39"/>
  <c r="AS272" i="39" s="1"/>
  <c r="AT378" i="39"/>
  <c r="AT272" i="39" s="1"/>
  <c r="AU378" i="39"/>
  <c r="AU272" i="39" s="1"/>
  <c r="AV378" i="39"/>
  <c r="AW378" i="39"/>
  <c r="AW272" i="39" s="1"/>
  <c r="AX378" i="39"/>
  <c r="P379" i="39"/>
  <c r="P332" i="39" s="1"/>
  <c r="Q379" i="39"/>
  <c r="Q332" i="39" s="1"/>
  <c r="R379" i="39"/>
  <c r="R332" i="39" s="1"/>
  <c r="S379" i="39"/>
  <c r="S332" i="39" s="1"/>
  <c r="T379" i="39"/>
  <c r="T332" i="39" s="1"/>
  <c r="U379" i="39"/>
  <c r="V379" i="39"/>
  <c r="V332" i="39" s="1"/>
  <c r="W379" i="39"/>
  <c r="W332" i="39" s="1"/>
  <c r="X379" i="39"/>
  <c r="X332" i="39" s="1"/>
  <c r="Y379" i="39"/>
  <c r="Y332" i="39" s="1"/>
  <c r="Z379" i="39"/>
  <c r="Z332" i="39" s="1"/>
  <c r="AA379" i="39"/>
  <c r="AA332" i="39" s="1"/>
  <c r="AB379" i="39"/>
  <c r="AB332" i="39" s="1"/>
  <c r="AC379" i="39"/>
  <c r="AD379" i="39"/>
  <c r="AD332" i="39" s="1"/>
  <c r="AE379" i="39"/>
  <c r="AE332" i="39" s="1"/>
  <c r="AF379" i="39"/>
  <c r="AF332" i="39" s="1"/>
  <c r="AG379" i="39"/>
  <c r="AG332" i="39" s="1"/>
  <c r="AH379" i="39"/>
  <c r="AH332" i="39" s="1"/>
  <c r="AI379" i="39"/>
  <c r="AI332" i="39" s="1"/>
  <c r="AJ379" i="39"/>
  <c r="AJ332" i="39" s="1"/>
  <c r="AK379" i="39"/>
  <c r="AL379" i="39"/>
  <c r="AL332" i="39" s="1"/>
  <c r="AM379" i="39"/>
  <c r="AM332" i="39" s="1"/>
  <c r="AN379" i="39"/>
  <c r="AN332" i="39" s="1"/>
  <c r="AO379" i="39"/>
  <c r="AO332" i="39" s="1"/>
  <c r="AP379" i="39"/>
  <c r="AP332" i="39" s="1"/>
  <c r="AQ379" i="39"/>
  <c r="AQ332" i="39" s="1"/>
  <c r="AR379" i="39"/>
  <c r="AR332" i="39" s="1"/>
  <c r="AS379" i="39"/>
  <c r="AT379" i="39"/>
  <c r="AT332" i="39" s="1"/>
  <c r="AU379" i="39"/>
  <c r="AU332" i="39" s="1"/>
  <c r="AV379" i="39"/>
  <c r="AV332" i="39" s="1"/>
  <c r="AW379" i="39"/>
  <c r="AW332" i="39" s="1"/>
  <c r="AX379" i="39"/>
  <c r="P381" i="39"/>
  <c r="P480" i="39" s="1"/>
  <c r="Q381" i="39"/>
  <c r="Q480" i="39" s="1"/>
  <c r="R381" i="39"/>
  <c r="R480" i="39" s="1"/>
  <c r="S381" i="39"/>
  <c r="S480" i="39" s="1"/>
  <c r="T381" i="39"/>
  <c r="T480" i="39" s="1"/>
  <c r="U381" i="39"/>
  <c r="U480" i="39" s="1"/>
  <c r="V381" i="39"/>
  <c r="V480" i="39" s="1"/>
  <c r="W381" i="39"/>
  <c r="W480" i="39" s="1"/>
  <c r="X381" i="39"/>
  <c r="X480" i="39" s="1"/>
  <c r="Y381" i="39"/>
  <c r="Y480" i="39" s="1"/>
  <c r="Z381" i="39"/>
  <c r="Z480" i="39" s="1"/>
  <c r="AA381" i="39"/>
  <c r="AA480" i="39" s="1"/>
  <c r="AB381" i="39"/>
  <c r="AB480" i="39" s="1"/>
  <c r="AC381" i="39"/>
  <c r="AC480" i="39" s="1"/>
  <c r="AD381" i="39"/>
  <c r="AD480" i="39" s="1"/>
  <c r="AE381" i="39"/>
  <c r="AE480" i="39" s="1"/>
  <c r="AF381" i="39"/>
  <c r="AF480" i="39" s="1"/>
  <c r="AG381" i="39"/>
  <c r="AG480" i="39" s="1"/>
  <c r="AH381" i="39"/>
  <c r="AH480" i="39" s="1"/>
  <c r="AI381" i="39"/>
  <c r="AI480" i="39" s="1"/>
  <c r="AJ381" i="39"/>
  <c r="AJ480" i="39" s="1"/>
  <c r="AK381" i="39"/>
  <c r="AK480" i="39" s="1"/>
  <c r="AL381" i="39"/>
  <c r="AL480" i="39" s="1"/>
  <c r="AM381" i="39"/>
  <c r="AM480" i="39" s="1"/>
  <c r="AN381" i="39"/>
  <c r="AN480" i="39" s="1"/>
  <c r="AO381" i="39"/>
  <c r="AO480" i="39" s="1"/>
  <c r="AP381" i="39"/>
  <c r="AP480" i="39" s="1"/>
  <c r="AQ381" i="39"/>
  <c r="AQ480" i="39" s="1"/>
  <c r="AR381" i="39"/>
  <c r="AR480" i="39" s="1"/>
  <c r="AS381" i="39"/>
  <c r="AS480" i="39" s="1"/>
  <c r="AT381" i="39"/>
  <c r="AT480" i="39" s="1"/>
  <c r="AU381" i="39"/>
  <c r="AU480" i="39" s="1"/>
  <c r="AV381" i="39"/>
  <c r="AW381" i="39"/>
  <c r="AW480" i="39" s="1"/>
  <c r="AX381" i="39"/>
  <c r="AX480" i="39" s="1"/>
  <c r="P382" i="39"/>
  <c r="Q382" i="39"/>
  <c r="R382" i="39"/>
  <c r="S382" i="39"/>
  <c r="T382" i="39"/>
  <c r="U382" i="39"/>
  <c r="V382" i="39"/>
  <c r="W382" i="39"/>
  <c r="X382" i="39"/>
  <c r="Y382" i="39"/>
  <c r="Z382" i="39"/>
  <c r="AA382" i="39"/>
  <c r="AB382" i="39"/>
  <c r="AC382" i="39"/>
  <c r="AD382" i="39"/>
  <c r="AE382" i="39"/>
  <c r="AF382" i="39"/>
  <c r="AG382" i="39"/>
  <c r="AH382" i="39"/>
  <c r="AI382" i="39"/>
  <c r="AJ382" i="39"/>
  <c r="AK382" i="39"/>
  <c r="AL382" i="39"/>
  <c r="AM382" i="39"/>
  <c r="AN382" i="39"/>
  <c r="AO382" i="39"/>
  <c r="AP382" i="39"/>
  <c r="AQ382" i="39"/>
  <c r="AR382" i="39"/>
  <c r="AS382" i="39"/>
  <c r="AT382" i="39"/>
  <c r="AU382" i="39"/>
  <c r="AV382" i="39"/>
  <c r="AW382" i="39"/>
  <c r="AX382" i="39"/>
  <c r="P401" i="39"/>
  <c r="Q401" i="39"/>
  <c r="R401" i="39"/>
  <c r="S401" i="39"/>
  <c r="T401" i="39"/>
  <c r="U401" i="39"/>
  <c r="V401" i="39"/>
  <c r="W401" i="39"/>
  <c r="X401" i="39"/>
  <c r="Y401" i="39"/>
  <c r="Z401" i="39"/>
  <c r="AA401" i="39"/>
  <c r="AB401" i="39"/>
  <c r="AC401" i="39"/>
  <c r="AD401" i="39"/>
  <c r="AE401" i="39"/>
  <c r="AF401" i="39"/>
  <c r="AG401" i="39"/>
  <c r="AH401" i="39"/>
  <c r="AI401" i="39"/>
  <c r="AJ401" i="39"/>
  <c r="AK401" i="39"/>
  <c r="AL401" i="39"/>
  <c r="AM401" i="39"/>
  <c r="AN401" i="39"/>
  <c r="AO401" i="39"/>
  <c r="AP401" i="39"/>
  <c r="AQ401" i="39"/>
  <c r="AR401" i="39"/>
  <c r="AS401" i="39"/>
  <c r="AT401" i="39"/>
  <c r="AU401" i="39"/>
  <c r="AV401" i="39"/>
  <c r="AW401" i="39"/>
  <c r="AX401" i="39"/>
  <c r="P402" i="39"/>
  <c r="Q402" i="39"/>
  <c r="R402" i="39"/>
  <c r="S402" i="39"/>
  <c r="T402" i="39"/>
  <c r="U402" i="39"/>
  <c r="V402" i="39"/>
  <c r="W402" i="39"/>
  <c r="X402" i="39"/>
  <c r="Y402" i="39"/>
  <c r="Z402" i="39"/>
  <c r="AA402" i="39"/>
  <c r="AB402" i="39"/>
  <c r="AC402" i="39"/>
  <c r="AD402" i="39"/>
  <c r="AE402" i="39"/>
  <c r="AF402" i="39"/>
  <c r="AG402" i="39"/>
  <c r="AH402" i="39"/>
  <c r="AI402" i="39"/>
  <c r="AJ402" i="39"/>
  <c r="AK402" i="39"/>
  <c r="AL402" i="39"/>
  <c r="AM402" i="39"/>
  <c r="AN402" i="39"/>
  <c r="AO402" i="39"/>
  <c r="AP402" i="39"/>
  <c r="AQ402" i="39"/>
  <c r="AR402" i="39"/>
  <c r="AS402" i="39"/>
  <c r="AT402" i="39"/>
  <c r="AU402" i="39"/>
  <c r="AV402" i="39"/>
  <c r="AW402" i="39"/>
  <c r="AX402" i="39"/>
  <c r="P403" i="39"/>
  <c r="P502" i="39" s="1"/>
  <c r="Q403" i="39"/>
  <c r="Q114" i="39" s="1"/>
  <c r="R403" i="39"/>
  <c r="S403" i="39"/>
  <c r="S502" i="39" s="1"/>
  <c r="T403" i="39"/>
  <c r="T502" i="39" s="1"/>
  <c r="U403" i="39"/>
  <c r="U502" i="39" s="1"/>
  <c r="V403" i="39"/>
  <c r="V502" i="39" s="1"/>
  <c r="W403" i="39"/>
  <c r="W502" i="39" s="1"/>
  <c r="X403" i="39"/>
  <c r="X502" i="39" s="1"/>
  <c r="Y403" i="39"/>
  <c r="Y114" i="39" s="1"/>
  <c r="Z403" i="39"/>
  <c r="AA403" i="39"/>
  <c r="AA502" i="39" s="1"/>
  <c r="AB403" i="39"/>
  <c r="AB502" i="39" s="1"/>
  <c r="AC403" i="39"/>
  <c r="AC502" i="39" s="1"/>
  <c r="AD403" i="39"/>
  <c r="AD502" i="39" s="1"/>
  <c r="AE403" i="39"/>
  <c r="AE502" i="39" s="1"/>
  <c r="AF403" i="39"/>
  <c r="AF502" i="39" s="1"/>
  <c r="AG403" i="39"/>
  <c r="AG114" i="39" s="1"/>
  <c r="AH403" i="39"/>
  <c r="AI403" i="39"/>
  <c r="AI502" i="39" s="1"/>
  <c r="AJ403" i="39"/>
  <c r="AJ502" i="39" s="1"/>
  <c r="AK403" i="39"/>
  <c r="AK502" i="39" s="1"/>
  <c r="AL403" i="39"/>
  <c r="AL502" i="39" s="1"/>
  <c r="AM403" i="39"/>
  <c r="AM502" i="39" s="1"/>
  <c r="AN403" i="39"/>
  <c r="AN502" i="39" s="1"/>
  <c r="AO403" i="39"/>
  <c r="AO114" i="39" s="1"/>
  <c r="AP403" i="39"/>
  <c r="AQ403" i="39"/>
  <c r="AQ502" i="39" s="1"/>
  <c r="AR403" i="39"/>
  <c r="AS403" i="39"/>
  <c r="AS502" i="39" s="1"/>
  <c r="AT403" i="39"/>
  <c r="AT502" i="39" s="1"/>
  <c r="AU403" i="39"/>
  <c r="AU502" i="39" s="1"/>
  <c r="AV403" i="39"/>
  <c r="AV502" i="39" s="1"/>
  <c r="AW403" i="39"/>
  <c r="AW114" i="39" s="1"/>
  <c r="AX403" i="39"/>
  <c r="P404" i="39"/>
  <c r="Q404" i="39"/>
  <c r="R404" i="39"/>
  <c r="S404" i="39"/>
  <c r="T404" i="39"/>
  <c r="U404" i="39"/>
  <c r="V404" i="39"/>
  <c r="W404" i="39"/>
  <c r="X404" i="39"/>
  <c r="Y404" i="39"/>
  <c r="Z404" i="39"/>
  <c r="AA404" i="39"/>
  <c r="AB404" i="39"/>
  <c r="AC404" i="39"/>
  <c r="AD404" i="39"/>
  <c r="AE404" i="39"/>
  <c r="AF404" i="39"/>
  <c r="AG404" i="39"/>
  <c r="AH404" i="39"/>
  <c r="AI404" i="39"/>
  <c r="AJ404" i="39"/>
  <c r="AK404" i="39"/>
  <c r="AL404" i="39"/>
  <c r="AM404" i="39"/>
  <c r="AN404" i="39"/>
  <c r="AO404" i="39"/>
  <c r="AP404" i="39"/>
  <c r="AQ404" i="39"/>
  <c r="AR404" i="39"/>
  <c r="AS404" i="39"/>
  <c r="AT404" i="39"/>
  <c r="AU404" i="39"/>
  <c r="AV404" i="39"/>
  <c r="AW404" i="39"/>
  <c r="AX404" i="39"/>
  <c r="P405" i="39"/>
  <c r="Q405" i="39"/>
  <c r="R405" i="39"/>
  <c r="S405" i="39"/>
  <c r="T405" i="39"/>
  <c r="U405" i="39"/>
  <c r="V405" i="39"/>
  <c r="W405" i="39"/>
  <c r="X405" i="39"/>
  <c r="Y405" i="39"/>
  <c r="Z405" i="39"/>
  <c r="AA405" i="39"/>
  <c r="AB405" i="39"/>
  <c r="AC405" i="39"/>
  <c r="AD405" i="39"/>
  <c r="AE405" i="39"/>
  <c r="AF405" i="39"/>
  <c r="AG405" i="39"/>
  <c r="AH405" i="39"/>
  <c r="AI405" i="39"/>
  <c r="AJ405" i="39"/>
  <c r="AK405" i="39"/>
  <c r="AL405" i="39"/>
  <c r="AM405" i="39"/>
  <c r="AN405" i="39"/>
  <c r="AO405" i="39"/>
  <c r="AP405" i="39"/>
  <c r="AQ405" i="39"/>
  <c r="AR405" i="39"/>
  <c r="AS405" i="39"/>
  <c r="AT405" i="39"/>
  <c r="AU405" i="39"/>
  <c r="AV405" i="39"/>
  <c r="AW405" i="39"/>
  <c r="AX405" i="39"/>
  <c r="P406" i="39"/>
  <c r="Q406" i="39"/>
  <c r="R406" i="39"/>
  <c r="S406" i="39"/>
  <c r="T406" i="39"/>
  <c r="U406" i="39"/>
  <c r="V406" i="39"/>
  <c r="W406" i="39"/>
  <c r="X406" i="39"/>
  <c r="Y406" i="39"/>
  <c r="Z406" i="39"/>
  <c r="AA406" i="39"/>
  <c r="AB406" i="39"/>
  <c r="AC406" i="39"/>
  <c r="AD406" i="39"/>
  <c r="AE406" i="39"/>
  <c r="AF406" i="39"/>
  <c r="AG406" i="39"/>
  <c r="AH406" i="39"/>
  <c r="AI406" i="39"/>
  <c r="AJ406" i="39"/>
  <c r="AK406" i="39"/>
  <c r="AL406" i="39"/>
  <c r="AM406" i="39"/>
  <c r="AN406" i="39"/>
  <c r="AO406" i="39"/>
  <c r="AP406" i="39"/>
  <c r="AQ406" i="39"/>
  <c r="AR406" i="39"/>
  <c r="AS406" i="39"/>
  <c r="AT406" i="39"/>
  <c r="AU406" i="39"/>
  <c r="AV406" i="39"/>
  <c r="AW406" i="39"/>
  <c r="AX406" i="39"/>
  <c r="P407" i="39"/>
  <c r="Q407" i="39"/>
  <c r="R407" i="39"/>
  <c r="S407" i="39"/>
  <c r="T407" i="39"/>
  <c r="U407" i="39"/>
  <c r="V407" i="39"/>
  <c r="W407" i="39"/>
  <c r="X407" i="39"/>
  <c r="Y407" i="39"/>
  <c r="Z407" i="39"/>
  <c r="AA407" i="39"/>
  <c r="AB407" i="39"/>
  <c r="AC407" i="39"/>
  <c r="AD407" i="39"/>
  <c r="AE407" i="39"/>
  <c r="AF407" i="39"/>
  <c r="AG407" i="39"/>
  <c r="AH407" i="39"/>
  <c r="AI407" i="39"/>
  <c r="AJ407" i="39"/>
  <c r="AK407" i="39"/>
  <c r="AL407" i="39"/>
  <c r="AM407" i="39"/>
  <c r="AN407" i="39"/>
  <c r="AO407" i="39"/>
  <c r="AP407" i="39"/>
  <c r="AQ407" i="39"/>
  <c r="AR407" i="39"/>
  <c r="AS407" i="39"/>
  <c r="AT407" i="39"/>
  <c r="AU407" i="39"/>
  <c r="AV407" i="39"/>
  <c r="AW407" i="39"/>
  <c r="AX407" i="39"/>
  <c r="AV480" i="39"/>
  <c r="R502" i="39"/>
  <c r="Z502" i="39"/>
  <c r="AH502" i="39"/>
  <c r="AP502" i="39"/>
  <c r="AR502" i="39"/>
  <c r="AX502" i="39"/>
  <c r="B46" i="19"/>
  <c r="D37" i="19"/>
  <c r="E37" i="19"/>
  <c r="F37" i="19"/>
  <c r="G37" i="19"/>
  <c r="D38" i="19"/>
  <c r="E38" i="19"/>
  <c r="F38" i="19"/>
  <c r="G38" i="19"/>
  <c r="D39" i="19"/>
  <c r="D49" i="19" s="1"/>
  <c r="F39" i="19"/>
  <c r="F48" i="19" s="1"/>
  <c r="C38" i="19"/>
  <c r="C37" i="19"/>
  <c r="C39" i="19" s="1"/>
  <c r="D35" i="19"/>
  <c r="D43" i="19" s="1"/>
  <c r="E35" i="19"/>
  <c r="E42" i="19" s="1"/>
  <c r="L419" i="39" s="1"/>
  <c r="F35" i="19"/>
  <c r="F42" i="19" s="1"/>
  <c r="G35" i="19"/>
  <c r="G43" i="19" s="1"/>
  <c r="C35" i="19"/>
  <c r="C45" i="19" s="1"/>
  <c r="J429" i="39" s="1"/>
  <c r="O101" i="9"/>
  <c r="L101" i="9"/>
  <c r="I101" i="9"/>
  <c r="F101" i="9"/>
  <c r="C101" i="9"/>
  <c r="F44" i="19" l="1"/>
  <c r="D44" i="19"/>
  <c r="D42" i="19"/>
  <c r="K419" i="39" s="1"/>
  <c r="D50" i="19"/>
  <c r="K478" i="39" s="1"/>
  <c r="D48" i="19"/>
  <c r="K477" i="39" s="1"/>
  <c r="K479" i="39"/>
  <c r="N425" i="39"/>
  <c r="N420" i="39"/>
  <c r="M419" i="39"/>
  <c r="M477" i="39"/>
  <c r="K420" i="39"/>
  <c r="K425" i="39"/>
  <c r="C48" i="19"/>
  <c r="C51" i="19"/>
  <c r="C49" i="19"/>
  <c r="C50" i="19"/>
  <c r="J478" i="39" s="1"/>
  <c r="G39" i="19"/>
  <c r="F43" i="19"/>
  <c r="F49" i="19"/>
  <c r="C42" i="19"/>
  <c r="J419" i="39" s="1"/>
  <c r="E45" i="19"/>
  <c r="L429" i="39" s="1"/>
  <c r="E43" i="19"/>
  <c r="G45" i="19"/>
  <c r="N429" i="39" s="1"/>
  <c r="F45" i="19"/>
  <c r="M429" i="39" s="1"/>
  <c r="E39" i="19"/>
  <c r="C43" i="19"/>
  <c r="D45" i="19"/>
  <c r="K429" i="39" s="1"/>
  <c r="D51" i="19"/>
  <c r="D52" i="19" s="1"/>
  <c r="K422" i="39"/>
  <c r="F51" i="19"/>
  <c r="C44" i="19"/>
  <c r="G44" i="19"/>
  <c r="G42" i="19"/>
  <c r="N419" i="39" s="1"/>
  <c r="F50" i="19"/>
  <c r="M478" i="39" s="1"/>
  <c r="E44" i="19"/>
  <c r="AW502" i="39"/>
  <c r="Y502" i="39"/>
  <c r="AO502" i="39"/>
  <c r="AX272" i="39"/>
  <c r="AX332" i="39"/>
  <c r="Q502" i="39"/>
  <c r="AG502" i="39"/>
  <c r="AP380" i="39"/>
  <c r="Z380" i="39"/>
  <c r="AR380" i="39"/>
  <c r="AJ380" i="39"/>
  <c r="AB380" i="39"/>
  <c r="T380" i="39"/>
  <c r="AU380" i="39"/>
  <c r="AM380" i="39"/>
  <c r="AE380" i="39"/>
  <c r="W380" i="39"/>
  <c r="AX380" i="39"/>
  <c r="AH380" i="39"/>
  <c r="R380" i="39"/>
  <c r="AQ380" i="39"/>
  <c r="AI380" i="39"/>
  <c r="AA380" i="39"/>
  <c r="S380" i="39"/>
  <c r="AG264" i="39"/>
  <c r="AW157" i="39"/>
  <c r="AO157" i="39"/>
  <c r="AG157" i="39"/>
  <c r="Y157" i="39"/>
  <c r="Q157" i="39"/>
  <c r="AU114" i="39"/>
  <c r="AU264" i="39"/>
  <c r="AM114" i="39"/>
  <c r="AM264" i="39"/>
  <c r="AE114" i="39"/>
  <c r="AE264" i="39"/>
  <c r="W114" i="39"/>
  <c r="W264" i="39"/>
  <c r="AS380" i="39"/>
  <c r="AS332" i="39"/>
  <c r="AK380" i="39"/>
  <c r="AK332" i="39"/>
  <c r="AC380" i="39"/>
  <c r="AC332" i="39"/>
  <c r="U380" i="39"/>
  <c r="U332" i="39"/>
  <c r="AV272" i="39"/>
  <c r="AV380" i="39"/>
  <c r="AN272" i="39"/>
  <c r="AN380" i="39"/>
  <c r="AF272" i="39"/>
  <c r="AF380" i="39"/>
  <c r="X272" i="39"/>
  <c r="X380" i="39"/>
  <c r="P272" i="39"/>
  <c r="P380" i="39"/>
  <c r="AT380" i="39"/>
  <c r="AL380" i="39"/>
  <c r="AD380" i="39"/>
  <c r="V380" i="39"/>
  <c r="AV157" i="39"/>
  <c r="AN157" i="39"/>
  <c r="AF157" i="39"/>
  <c r="X157" i="39"/>
  <c r="P157" i="39"/>
  <c r="AT114" i="39"/>
  <c r="AT264" i="39"/>
  <c r="AL114" i="39"/>
  <c r="AL264" i="39"/>
  <c r="AD114" i="39"/>
  <c r="AD264" i="39"/>
  <c r="V114" i="39"/>
  <c r="V264" i="39"/>
  <c r="AW380" i="39"/>
  <c r="AO380" i="39"/>
  <c r="AG380" i="39"/>
  <c r="Y380" i="39"/>
  <c r="Q380" i="39"/>
  <c r="Y264" i="39"/>
  <c r="AU157" i="39"/>
  <c r="AM157" i="39"/>
  <c r="AE157" i="39"/>
  <c r="W157" i="39"/>
  <c r="AS114" i="39"/>
  <c r="AS264" i="39"/>
  <c r="AK114" i="39"/>
  <c r="AK264" i="39"/>
  <c r="AC114" i="39"/>
  <c r="AC264" i="39"/>
  <c r="U114" i="39"/>
  <c r="U264" i="39"/>
  <c r="Q264" i="39"/>
  <c r="AT157" i="39"/>
  <c r="AL157" i="39"/>
  <c r="AD157" i="39"/>
  <c r="V157" i="39"/>
  <c r="AR114" i="39"/>
  <c r="AR264" i="39"/>
  <c r="AJ114" i="39"/>
  <c r="AJ264" i="39"/>
  <c r="AB114" i="39"/>
  <c r="AB264" i="39"/>
  <c r="T114" i="39"/>
  <c r="T264" i="39"/>
  <c r="AS157" i="39"/>
  <c r="AK157" i="39"/>
  <c r="AC157" i="39"/>
  <c r="U157" i="39"/>
  <c r="AQ114" i="39"/>
  <c r="AQ264" i="39"/>
  <c r="AI114" i="39"/>
  <c r="AI264" i="39"/>
  <c r="AA114" i="39"/>
  <c r="AA264" i="39"/>
  <c r="S114" i="39"/>
  <c r="S264" i="39"/>
  <c r="AR157" i="39"/>
  <c r="AJ157" i="39"/>
  <c r="AB157" i="39"/>
  <c r="T157" i="39"/>
  <c r="AX114" i="39"/>
  <c r="AX264" i="39"/>
  <c r="AP114" i="39"/>
  <c r="AP264" i="39"/>
  <c r="AH114" i="39"/>
  <c r="AH264" i="39"/>
  <c r="Z114" i="39"/>
  <c r="Z264" i="39"/>
  <c r="R114" i="39"/>
  <c r="R264" i="39"/>
  <c r="AQ157" i="39"/>
  <c r="AI157" i="39"/>
  <c r="AA157" i="39"/>
  <c r="S157" i="39"/>
  <c r="AW264" i="39"/>
  <c r="AX157" i="39"/>
  <c r="AP157" i="39"/>
  <c r="AH157" i="39"/>
  <c r="Z157" i="39"/>
  <c r="R157" i="39"/>
  <c r="AV114" i="39"/>
  <c r="AV264" i="39"/>
  <c r="AN114" i="39"/>
  <c r="AN264" i="39"/>
  <c r="AF114" i="39"/>
  <c r="AF264" i="39"/>
  <c r="X114" i="39"/>
  <c r="X264" i="39"/>
  <c r="P114" i="39"/>
  <c r="P264" i="39"/>
  <c r="AO264" i="39"/>
  <c r="BC26" i="9"/>
  <c r="BD26" i="9" s="1"/>
  <c r="BE26" i="9" s="1"/>
  <c r="BF26" i="9" s="1"/>
  <c r="BG26" i="9" s="1"/>
  <c r="BH26" i="9" s="1"/>
  <c r="BI26" i="9" s="1"/>
  <c r="BC27" i="9"/>
  <c r="BD27" i="9" s="1"/>
  <c r="BE27" i="9" s="1"/>
  <c r="BF27" i="9" s="1"/>
  <c r="BG27" i="9" s="1"/>
  <c r="BH27" i="9" s="1"/>
  <c r="BI27" i="9" s="1"/>
  <c r="BC28" i="9"/>
  <c r="BD28" i="9"/>
  <c r="BE28" i="9" s="1"/>
  <c r="BF28" i="9" s="1"/>
  <c r="BG28" i="9" s="1"/>
  <c r="BH28" i="9" s="1"/>
  <c r="BI28" i="9" s="1"/>
  <c r="BC29" i="9"/>
  <c r="BD29" i="9"/>
  <c r="BE29" i="9"/>
  <c r="BF29" i="9" s="1"/>
  <c r="BG29" i="9" s="1"/>
  <c r="BH29" i="9" s="1"/>
  <c r="BI29" i="9" s="1"/>
  <c r="BC30" i="9"/>
  <c r="BD30" i="9"/>
  <c r="BE30" i="9"/>
  <c r="BF30" i="9"/>
  <c r="BG30" i="9" s="1"/>
  <c r="BH30" i="9" s="1"/>
  <c r="BI30" i="9" s="1"/>
  <c r="BC31" i="9"/>
  <c r="BD31" i="9"/>
  <c r="BE31" i="9"/>
  <c r="BF31" i="9" s="1"/>
  <c r="BG31" i="9" s="1"/>
  <c r="BH31" i="9" s="1"/>
  <c r="BI31" i="9" s="1"/>
  <c r="BB31" i="9"/>
  <c r="BB30" i="9"/>
  <c r="BB29" i="9"/>
  <c r="BB28" i="9"/>
  <c r="BB27" i="9"/>
  <c r="BB26" i="9"/>
  <c r="J479" i="39" l="1"/>
  <c r="C46" i="19"/>
  <c r="M479" i="39"/>
  <c r="E46" i="19"/>
  <c r="L420" i="39"/>
  <c r="L422" i="39" s="1"/>
  <c r="L425" i="39"/>
  <c r="F46" i="19"/>
  <c r="G48" i="19"/>
  <c r="N477" i="39" s="1"/>
  <c r="G50" i="19"/>
  <c r="N478" i="39" s="1"/>
  <c r="G49" i="19"/>
  <c r="G51" i="19"/>
  <c r="F52" i="19"/>
  <c r="J477" i="39"/>
  <c r="C52" i="19"/>
  <c r="D46" i="19"/>
  <c r="J425" i="39"/>
  <c r="J420" i="39"/>
  <c r="J422" i="39" s="1"/>
  <c r="N422" i="39"/>
  <c r="E48" i="19"/>
  <c r="E50" i="19"/>
  <c r="L478" i="39" s="1"/>
  <c r="E49" i="19"/>
  <c r="L479" i="39" s="1"/>
  <c r="E51" i="19"/>
  <c r="M425" i="39"/>
  <c r="M420" i="39"/>
  <c r="M422" i="39" s="1"/>
  <c r="G46" i="19"/>
  <c r="D280" i="2"/>
  <c r="E280" i="2"/>
  <c r="F280" i="2"/>
  <c r="G280" i="2"/>
  <c r="H280" i="2"/>
  <c r="I280" i="2"/>
  <c r="J280" i="2"/>
  <c r="K280" i="2"/>
  <c r="L280" i="2"/>
  <c r="M280" i="2"/>
  <c r="N280" i="2"/>
  <c r="O280" i="2"/>
  <c r="P280" i="2"/>
  <c r="Q280" i="2"/>
  <c r="R280" i="2"/>
  <c r="S280" i="2"/>
  <c r="T280" i="2"/>
  <c r="U280" i="2"/>
  <c r="V280" i="2"/>
  <c r="W280" i="2"/>
  <c r="X280" i="2"/>
  <c r="Y280" i="2"/>
  <c r="Z280" i="2"/>
  <c r="AA280" i="2"/>
  <c r="AB280" i="2"/>
  <c r="AC280" i="2"/>
  <c r="AD280" i="2"/>
  <c r="AE280" i="2"/>
  <c r="AF280" i="2"/>
  <c r="AG280" i="2"/>
  <c r="AH280" i="2"/>
  <c r="AI280" i="2"/>
  <c r="AJ280" i="2"/>
  <c r="AK280" i="2"/>
  <c r="AL280" i="2"/>
  <c r="AM280" i="2"/>
  <c r="AN280" i="2"/>
  <c r="AO280" i="2"/>
  <c r="AP280" i="2"/>
  <c r="AQ280" i="2"/>
  <c r="AR280" i="2"/>
  <c r="AS280" i="2"/>
  <c r="AT280" i="2"/>
  <c r="AU280" i="2"/>
  <c r="AV280" i="2"/>
  <c r="AW280" i="2"/>
  <c r="AX280" i="2"/>
  <c r="AY280" i="2"/>
  <c r="AZ280" i="2"/>
  <c r="BA280" i="2"/>
  <c r="BB280" i="2"/>
  <c r="BC280" i="2"/>
  <c r="BD280" i="2"/>
  <c r="BE280" i="2"/>
  <c r="BF280" i="2"/>
  <c r="BG280" i="2"/>
  <c r="BH280" i="2"/>
  <c r="BI280" i="2"/>
  <c r="D281" i="2"/>
  <c r="E281" i="2"/>
  <c r="F281" i="2"/>
  <c r="G281" i="2"/>
  <c r="H281" i="2"/>
  <c r="I281" i="2"/>
  <c r="J281" i="2"/>
  <c r="K281" i="2"/>
  <c r="L281" i="2"/>
  <c r="M281" i="2"/>
  <c r="N281" i="2"/>
  <c r="O281" i="2"/>
  <c r="P281" i="2"/>
  <c r="Q281" i="2"/>
  <c r="R281" i="2"/>
  <c r="S281" i="2"/>
  <c r="T281" i="2"/>
  <c r="U281" i="2"/>
  <c r="V281" i="2"/>
  <c r="W281" i="2"/>
  <c r="X281" i="2"/>
  <c r="Y281" i="2"/>
  <c r="Z281" i="2"/>
  <c r="AA281" i="2"/>
  <c r="AB281" i="2"/>
  <c r="AC281" i="2"/>
  <c r="AD281" i="2"/>
  <c r="AE281" i="2"/>
  <c r="AF281" i="2"/>
  <c r="AG281" i="2"/>
  <c r="AH281" i="2"/>
  <c r="AI281" i="2"/>
  <c r="AJ281" i="2"/>
  <c r="AK281" i="2"/>
  <c r="AL281" i="2"/>
  <c r="AM281" i="2"/>
  <c r="AN281" i="2"/>
  <c r="AO281" i="2"/>
  <c r="AP281" i="2"/>
  <c r="AQ281" i="2"/>
  <c r="AR281" i="2"/>
  <c r="AS281" i="2"/>
  <c r="AT281" i="2"/>
  <c r="AU281" i="2"/>
  <c r="AV281" i="2"/>
  <c r="AW281" i="2"/>
  <c r="AX281" i="2"/>
  <c r="AY281" i="2"/>
  <c r="AZ281" i="2"/>
  <c r="BA281" i="2"/>
  <c r="BB281" i="2"/>
  <c r="BC281" i="2"/>
  <c r="BD281" i="2"/>
  <c r="BE281" i="2"/>
  <c r="BF281" i="2"/>
  <c r="BG281" i="2"/>
  <c r="BH281" i="2"/>
  <c r="BI281" i="2"/>
  <c r="D282" i="2"/>
  <c r="E282" i="2"/>
  <c r="F282" i="2"/>
  <c r="G282" i="2"/>
  <c r="H282" i="2"/>
  <c r="I282" i="2"/>
  <c r="J282" i="2"/>
  <c r="K282" i="2"/>
  <c r="L282" i="2"/>
  <c r="M282" i="2"/>
  <c r="N282" i="2"/>
  <c r="O282" i="2"/>
  <c r="P282" i="2"/>
  <c r="Q282" i="2"/>
  <c r="R282" i="2"/>
  <c r="S282" i="2"/>
  <c r="T282" i="2"/>
  <c r="U282" i="2"/>
  <c r="V282" i="2"/>
  <c r="W282" i="2"/>
  <c r="X282" i="2"/>
  <c r="Y282" i="2"/>
  <c r="Z282" i="2"/>
  <c r="AA282" i="2"/>
  <c r="AB282" i="2"/>
  <c r="AC282" i="2"/>
  <c r="AD282" i="2"/>
  <c r="AE282" i="2"/>
  <c r="AF282" i="2"/>
  <c r="AG282" i="2"/>
  <c r="AH282" i="2"/>
  <c r="AI282" i="2"/>
  <c r="AJ282" i="2"/>
  <c r="AK282" i="2"/>
  <c r="AL282" i="2"/>
  <c r="AM282" i="2"/>
  <c r="AN282" i="2"/>
  <c r="AO282" i="2"/>
  <c r="AP282" i="2"/>
  <c r="AQ282" i="2"/>
  <c r="AR282" i="2"/>
  <c r="AS282" i="2"/>
  <c r="AT282" i="2"/>
  <c r="AU282" i="2"/>
  <c r="AV282" i="2"/>
  <c r="AW282" i="2"/>
  <c r="AX282" i="2"/>
  <c r="AY282" i="2"/>
  <c r="AZ282" i="2"/>
  <c r="BA282" i="2"/>
  <c r="BB282" i="2"/>
  <c r="BC282" i="2"/>
  <c r="BD282" i="2"/>
  <c r="BE282" i="2"/>
  <c r="BF282" i="2"/>
  <c r="BG282" i="2"/>
  <c r="BH282" i="2"/>
  <c r="BI282" i="2"/>
  <c r="D283" i="2"/>
  <c r="E283" i="2"/>
  <c r="F283" i="2"/>
  <c r="G283" i="2"/>
  <c r="H283" i="2"/>
  <c r="I283" i="2"/>
  <c r="J283" i="2"/>
  <c r="K283" i="2"/>
  <c r="L283" i="2"/>
  <c r="M283" i="2"/>
  <c r="N283" i="2"/>
  <c r="O283" i="2"/>
  <c r="P283" i="2"/>
  <c r="Q283" i="2"/>
  <c r="R283" i="2"/>
  <c r="S283" i="2"/>
  <c r="T283" i="2"/>
  <c r="U283" i="2"/>
  <c r="V283" i="2"/>
  <c r="W283" i="2"/>
  <c r="X283" i="2"/>
  <c r="Y283" i="2"/>
  <c r="Z283" i="2"/>
  <c r="AA283" i="2"/>
  <c r="AB283" i="2"/>
  <c r="AC283" i="2"/>
  <c r="AD283" i="2"/>
  <c r="AE283" i="2"/>
  <c r="AF283" i="2"/>
  <c r="AG283" i="2"/>
  <c r="AH283" i="2"/>
  <c r="AI283" i="2"/>
  <c r="AJ283" i="2"/>
  <c r="AK283" i="2"/>
  <c r="AL283" i="2"/>
  <c r="AM283" i="2"/>
  <c r="AN283" i="2"/>
  <c r="AO283" i="2"/>
  <c r="AP283" i="2"/>
  <c r="AQ283" i="2"/>
  <c r="AR283" i="2"/>
  <c r="AS283" i="2"/>
  <c r="AT283" i="2"/>
  <c r="AU283" i="2"/>
  <c r="AV283" i="2"/>
  <c r="AW283" i="2"/>
  <c r="AX283" i="2"/>
  <c r="AY283" i="2"/>
  <c r="AZ283" i="2"/>
  <c r="BA283" i="2"/>
  <c r="BB283" i="2"/>
  <c r="BC283" i="2"/>
  <c r="BD283" i="2"/>
  <c r="BE283" i="2"/>
  <c r="BF283" i="2"/>
  <c r="BG283" i="2"/>
  <c r="BH283" i="2"/>
  <c r="BI283" i="2"/>
  <c r="D284" i="2"/>
  <c r="E284" i="2"/>
  <c r="F284" i="2"/>
  <c r="G284" i="2"/>
  <c r="H284" i="2"/>
  <c r="I284" i="2"/>
  <c r="J284" i="2"/>
  <c r="K284" i="2"/>
  <c r="L284" i="2"/>
  <c r="M284" i="2"/>
  <c r="N284" i="2"/>
  <c r="O284" i="2"/>
  <c r="P284" i="2"/>
  <c r="Q284" i="2"/>
  <c r="R284" i="2"/>
  <c r="S284" i="2"/>
  <c r="T284" i="2"/>
  <c r="U284" i="2"/>
  <c r="V284" i="2"/>
  <c r="W284" i="2"/>
  <c r="X284" i="2"/>
  <c r="Y284" i="2"/>
  <c r="Z284" i="2"/>
  <c r="AA284" i="2"/>
  <c r="AB284" i="2"/>
  <c r="AC284" i="2"/>
  <c r="AD284" i="2"/>
  <c r="AE284" i="2"/>
  <c r="AF284" i="2"/>
  <c r="AG284" i="2"/>
  <c r="AH284" i="2"/>
  <c r="AI284" i="2"/>
  <c r="AJ284" i="2"/>
  <c r="AK284" i="2"/>
  <c r="AL284" i="2"/>
  <c r="AM284" i="2"/>
  <c r="AN284" i="2"/>
  <c r="AO284" i="2"/>
  <c r="AP284" i="2"/>
  <c r="AQ284" i="2"/>
  <c r="AR284" i="2"/>
  <c r="AS284" i="2"/>
  <c r="AT284" i="2"/>
  <c r="AU284" i="2"/>
  <c r="AV284" i="2"/>
  <c r="AW284" i="2"/>
  <c r="AX284" i="2"/>
  <c r="AY284" i="2"/>
  <c r="AZ284" i="2"/>
  <c r="BA284" i="2"/>
  <c r="BB284" i="2"/>
  <c r="BC284" i="2"/>
  <c r="BD284" i="2"/>
  <c r="BE284" i="2"/>
  <c r="BF284" i="2"/>
  <c r="BG284" i="2"/>
  <c r="BH284" i="2"/>
  <c r="BI284" i="2"/>
  <c r="D285" i="2"/>
  <c r="E285" i="2"/>
  <c r="F285" i="2"/>
  <c r="G285" i="2"/>
  <c r="H285" i="2"/>
  <c r="I285" i="2"/>
  <c r="J285" i="2"/>
  <c r="K285" i="2"/>
  <c r="L285" i="2"/>
  <c r="M285" i="2"/>
  <c r="N285" i="2"/>
  <c r="O285" i="2"/>
  <c r="P285" i="2"/>
  <c r="Q285" i="2"/>
  <c r="R285" i="2"/>
  <c r="S285" i="2"/>
  <c r="T285" i="2"/>
  <c r="U285" i="2"/>
  <c r="V285" i="2"/>
  <c r="W285" i="2"/>
  <c r="X285" i="2"/>
  <c r="Y285" i="2"/>
  <c r="Z285" i="2"/>
  <c r="AA285" i="2"/>
  <c r="AB285" i="2"/>
  <c r="AC285" i="2"/>
  <c r="AD285" i="2"/>
  <c r="AE285" i="2"/>
  <c r="AF285" i="2"/>
  <c r="AG285" i="2"/>
  <c r="AH285" i="2"/>
  <c r="AI285" i="2"/>
  <c r="AJ285" i="2"/>
  <c r="AK285" i="2"/>
  <c r="AL285" i="2"/>
  <c r="AM285" i="2"/>
  <c r="AN285" i="2"/>
  <c r="AO285" i="2"/>
  <c r="AP285" i="2"/>
  <c r="AQ285" i="2"/>
  <c r="AR285" i="2"/>
  <c r="AS285" i="2"/>
  <c r="AT285" i="2"/>
  <c r="AU285" i="2"/>
  <c r="AV285" i="2"/>
  <c r="AW285" i="2"/>
  <c r="AX285" i="2"/>
  <c r="AY285" i="2"/>
  <c r="AZ285" i="2"/>
  <c r="BA285" i="2"/>
  <c r="BB285" i="2"/>
  <c r="BC285" i="2"/>
  <c r="BD285" i="2"/>
  <c r="BE285" i="2"/>
  <c r="BF285" i="2"/>
  <c r="BG285" i="2"/>
  <c r="BH285" i="2"/>
  <c r="BI285" i="2"/>
  <c r="D286" i="2"/>
  <c r="E286" i="2"/>
  <c r="F286" i="2"/>
  <c r="G286" i="2"/>
  <c r="H286" i="2"/>
  <c r="I286" i="2"/>
  <c r="J286" i="2"/>
  <c r="K286" i="2"/>
  <c r="L286" i="2"/>
  <c r="M286" i="2"/>
  <c r="N286" i="2"/>
  <c r="O286" i="2"/>
  <c r="P286" i="2"/>
  <c r="Q286" i="2"/>
  <c r="R286" i="2"/>
  <c r="S286" i="2"/>
  <c r="T286" i="2"/>
  <c r="U286" i="2"/>
  <c r="V286" i="2"/>
  <c r="W286" i="2"/>
  <c r="X286" i="2"/>
  <c r="Y286" i="2"/>
  <c r="Z286" i="2"/>
  <c r="AA286" i="2"/>
  <c r="AB286" i="2"/>
  <c r="AC286" i="2"/>
  <c r="AD286" i="2"/>
  <c r="AE286" i="2"/>
  <c r="AF286" i="2"/>
  <c r="AG286" i="2"/>
  <c r="AH286" i="2"/>
  <c r="AI286" i="2"/>
  <c r="AJ286" i="2"/>
  <c r="AK286" i="2"/>
  <c r="AL286" i="2"/>
  <c r="AM286" i="2"/>
  <c r="AN286" i="2"/>
  <c r="AO286" i="2"/>
  <c r="AP286" i="2"/>
  <c r="AQ286" i="2"/>
  <c r="AR286" i="2"/>
  <c r="AS286" i="2"/>
  <c r="AT286" i="2"/>
  <c r="AU286" i="2"/>
  <c r="AV286" i="2"/>
  <c r="AW286" i="2"/>
  <c r="AX286" i="2"/>
  <c r="AY286" i="2"/>
  <c r="AZ286" i="2"/>
  <c r="BA286" i="2"/>
  <c r="BB286" i="2"/>
  <c r="BC286" i="2"/>
  <c r="BD286" i="2"/>
  <c r="BE286" i="2"/>
  <c r="BF286" i="2"/>
  <c r="BG286" i="2"/>
  <c r="BH286" i="2"/>
  <c r="BI286" i="2"/>
  <c r="D287" i="2"/>
  <c r="E287" i="2"/>
  <c r="F287" i="2"/>
  <c r="G287" i="2"/>
  <c r="H287" i="2"/>
  <c r="I287" i="2"/>
  <c r="J287" i="2"/>
  <c r="K287" i="2"/>
  <c r="L287" i="2"/>
  <c r="M287" i="2"/>
  <c r="N287" i="2"/>
  <c r="O287" i="2"/>
  <c r="P287" i="2"/>
  <c r="Q287" i="2"/>
  <c r="R287" i="2"/>
  <c r="S287" i="2"/>
  <c r="T287" i="2"/>
  <c r="U287" i="2"/>
  <c r="V287" i="2"/>
  <c r="W287" i="2"/>
  <c r="X287" i="2"/>
  <c r="Y287" i="2"/>
  <c r="Z287" i="2"/>
  <c r="AA287" i="2"/>
  <c r="AB287" i="2"/>
  <c r="AC287" i="2"/>
  <c r="AD287" i="2"/>
  <c r="AE287" i="2"/>
  <c r="AF287" i="2"/>
  <c r="AG287" i="2"/>
  <c r="AH287" i="2"/>
  <c r="AI287" i="2"/>
  <c r="AJ287" i="2"/>
  <c r="AK287" i="2"/>
  <c r="AL287" i="2"/>
  <c r="AM287" i="2"/>
  <c r="AN287" i="2"/>
  <c r="AO287" i="2"/>
  <c r="AP287" i="2"/>
  <c r="AQ287" i="2"/>
  <c r="AR287" i="2"/>
  <c r="AS287" i="2"/>
  <c r="AT287" i="2"/>
  <c r="AU287" i="2"/>
  <c r="AV287" i="2"/>
  <c r="AW287" i="2"/>
  <c r="AX287" i="2"/>
  <c r="AY287" i="2"/>
  <c r="AZ287" i="2"/>
  <c r="BA287" i="2"/>
  <c r="BB287" i="2"/>
  <c r="BC287" i="2"/>
  <c r="BD287" i="2"/>
  <c r="BE287" i="2"/>
  <c r="BF287" i="2"/>
  <c r="BG287" i="2"/>
  <c r="BH287" i="2"/>
  <c r="BI287" i="2"/>
  <c r="D288" i="2"/>
  <c r="E288" i="2"/>
  <c r="F288" i="2"/>
  <c r="G288" i="2"/>
  <c r="H288" i="2"/>
  <c r="I288" i="2"/>
  <c r="J288" i="2"/>
  <c r="K288" i="2"/>
  <c r="L288" i="2"/>
  <c r="M288" i="2"/>
  <c r="N288" i="2"/>
  <c r="O288" i="2"/>
  <c r="P288" i="2"/>
  <c r="Q288" i="2"/>
  <c r="R288" i="2"/>
  <c r="S288" i="2"/>
  <c r="T288" i="2"/>
  <c r="U288" i="2"/>
  <c r="V288" i="2"/>
  <c r="W288" i="2"/>
  <c r="X288" i="2"/>
  <c r="Y288" i="2"/>
  <c r="Z288" i="2"/>
  <c r="AA288" i="2"/>
  <c r="AB288" i="2"/>
  <c r="AC288" i="2"/>
  <c r="AD288" i="2"/>
  <c r="AE288" i="2"/>
  <c r="AF288" i="2"/>
  <c r="AG288" i="2"/>
  <c r="AH288" i="2"/>
  <c r="AI288" i="2"/>
  <c r="AJ288" i="2"/>
  <c r="AK288" i="2"/>
  <c r="AL288" i="2"/>
  <c r="AM288" i="2"/>
  <c r="AN288" i="2"/>
  <c r="AO288" i="2"/>
  <c r="AP288" i="2"/>
  <c r="AQ288" i="2"/>
  <c r="AR288" i="2"/>
  <c r="AS288" i="2"/>
  <c r="AT288" i="2"/>
  <c r="AU288" i="2"/>
  <c r="AV288" i="2"/>
  <c r="AW288" i="2"/>
  <c r="AX288" i="2"/>
  <c r="AY288" i="2"/>
  <c r="AZ288" i="2"/>
  <c r="BA288" i="2"/>
  <c r="BB288" i="2"/>
  <c r="BC288" i="2"/>
  <c r="BD288" i="2"/>
  <c r="BE288" i="2"/>
  <c r="BF288" i="2"/>
  <c r="BG288" i="2"/>
  <c r="BH288" i="2"/>
  <c r="BI288" i="2"/>
  <c r="D289" i="2"/>
  <c r="E289" i="2"/>
  <c r="F289" i="2"/>
  <c r="G289" i="2"/>
  <c r="H289" i="2"/>
  <c r="I289" i="2"/>
  <c r="J289" i="2"/>
  <c r="K289" i="2"/>
  <c r="L289" i="2"/>
  <c r="M289" i="2"/>
  <c r="N289" i="2"/>
  <c r="O289" i="2"/>
  <c r="P289" i="2"/>
  <c r="Q289" i="2"/>
  <c r="R289" i="2"/>
  <c r="S289" i="2"/>
  <c r="T289" i="2"/>
  <c r="U289" i="2"/>
  <c r="V289" i="2"/>
  <c r="W289" i="2"/>
  <c r="X289" i="2"/>
  <c r="Y289" i="2"/>
  <c r="Z289" i="2"/>
  <c r="AA289" i="2"/>
  <c r="AB289" i="2"/>
  <c r="AC289" i="2"/>
  <c r="AD289" i="2"/>
  <c r="AE289" i="2"/>
  <c r="AF289" i="2"/>
  <c r="AG289" i="2"/>
  <c r="AH289" i="2"/>
  <c r="AI289" i="2"/>
  <c r="AJ289" i="2"/>
  <c r="AK289" i="2"/>
  <c r="AL289" i="2"/>
  <c r="AM289" i="2"/>
  <c r="AN289" i="2"/>
  <c r="AO289" i="2"/>
  <c r="AP289" i="2"/>
  <c r="AQ289" i="2"/>
  <c r="AR289" i="2"/>
  <c r="AS289" i="2"/>
  <c r="AT289" i="2"/>
  <c r="AU289" i="2"/>
  <c r="AV289" i="2"/>
  <c r="AW289" i="2"/>
  <c r="AX289" i="2"/>
  <c r="AY289" i="2"/>
  <c r="AZ289" i="2"/>
  <c r="BA289" i="2"/>
  <c r="BB289" i="2"/>
  <c r="BC289" i="2"/>
  <c r="BD289" i="2"/>
  <c r="BE289" i="2"/>
  <c r="BF289" i="2"/>
  <c r="BG289" i="2"/>
  <c r="BH289" i="2"/>
  <c r="BI289" i="2"/>
  <c r="D290" i="2"/>
  <c r="E290" i="2"/>
  <c r="F290" i="2"/>
  <c r="G290" i="2"/>
  <c r="H290" i="2"/>
  <c r="I290" i="2"/>
  <c r="J290" i="2"/>
  <c r="K290" i="2"/>
  <c r="L290" i="2"/>
  <c r="M290" i="2"/>
  <c r="N290" i="2"/>
  <c r="O290" i="2"/>
  <c r="P290" i="2"/>
  <c r="Q290" i="2"/>
  <c r="R290" i="2"/>
  <c r="S290" i="2"/>
  <c r="T290" i="2"/>
  <c r="U290" i="2"/>
  <c r="V290" i="2"/>
  <c r="W290" i="2"/>
  <c r="X290" i="2"/>
  <c r="Y290" i="2"/>
  <c r="Z290" i="2"/>
  <c r="AA290" i="2"/>
  <c r="AB290" i="2"/>
  <c r="AC290" i="2"/>
  <c r="AD290" i="2"/>
  <c r="AE290" i="2"/>
  <c r="AF290" i="2"/>
  <c r="AG290" i="2"/>
  <c r="AH290" i="2"/>
  <c r="AI290" i="2"/>
  <c r="AJ290" i="2"/>
  <c r="AK290" i="2"/>
  <c r="AL290" i="2"/>
  <c r="AM290" i="2"/>
  <c r="AN290" i="2"/>
  <c r="AO290" i="2"/>
  <c r="AP290" i="2"/>
  <c r="AQ290" i="2"/>
  <c r="AR290" i="2"/>
  <c r="AS290" i="2"/>
  <c r="AT290" i="2"/>
  <c r="AU290" i="2"/>
  <c r="AV290" i="2"/>
  <c r="AW290" i="2"/>
  <c r="AX290" i="2"/>
  <c r="AY290" i="2"/>
  <c r="AZ290" i="2"/>
  <c r="BA290" i="2"/>
  <c r="BB290" i="2"/>
  <c r="BC290" i="2"/>
  <c r="BD290" i="2"/>
  <c r="BE290" i="2"/>
  <c r="BF290" i="2"/>
  <c r="BG290" i="2"/>
  <c r="BH290" i="2"/>
  <c r="BI290" i="2"/>
  <c r="D291" i="2"/>
  <c r="E291" i="2"/>
  <c r="F291" i="2"/>
  <c r="G291" i="2"/>
  <c r="H291" i="2"/>
  <c r="I291" i="2"/>
  <c r="J291" i="2"/>
  <c r="K291" i="2"/>
  <c r="L291" i="2"/>
  <c r="M291" i="2"/>
  <c r="N291" i="2"/>
  <c r="O291" i="2"/>
  <c r="P291" i="2"/>
  <c r="Q291" i="2"/>
  <c r="R291" i="2"/>
  <c r="S291" i="2"/>
  <c r="T291" i="2"/>
  <c r="U291" i="2"/>
  <c r="V291" i="2"/>
  <c r="W291" i="2"/>
  <c r="X291" i="2"/>
  <c r="Y291" i="2"/>
  <c r="Z291" i="2"/>
  <c r="AA291" i="2"/>
  <c r="AB291" i="2"/>
  <c r="AC291" i="2"/>
  <c r="AD291" i="2"/>
  <c r="AE291" i="2"/>
  <c r="AF291" i="2"/>
  <c r="AG291" i="2"/>
  <c r="AH291" i="2"/>
  <c r="AI291" i="2"/>
  <c r="AJ291" i="2"/>
  <c r="AK291" i="2"/>
  <c r="AL291" i="2"/>
  <c r="AM291" i="2"/>
  <c r="AN291" i="2"/>
  <c r="AO291" i="2"/>
  <c r="AP291" i="2"/>
  <c r="AQ291" i="2"/>
  <c r="AR291" i="2"/>
  <c r="AS291" i="2"/>
  <c r="AT291" i="2"/>
  <c r="AU291" i="2"/>
  <c r="AV291" i="2"/>
  <c r="AW291" i="2"/>
  <c r="AX291" i="2"/>
  <c r="AY291" i="2"/>
  <c r="AZ291" i="2"/>
  <c r="BA291" i="2"/>
  <c r="BB291" i="2"/>
  <c r="BC291" i="2"/>
  <c r="BD291" i="2"/>
  <c r="BE291" i="2"/>
  <c r="BF291" i="2"/>
  <c r="BG291" i="2"/>
  <c r="BH291" i="2"/>
  <c r="BI291" i="2"/>
  <c r="D292" i="2"/>
  <c r="E292" i="2"/>
  <c r="F292" i="2"/>
  <c r="G292" i="2"/>
  <c r="H292" i="2"/>
  <c r="I292" i="2"/>
  <c r="J292" i="2"/>
  <c r="K292" i="2"/>
  <c r="L292" i="2"/>
  <c r="M292" i="2"/>
  <c r="N292" i="2"/>
  <c r="O292" i="2"/>
  <c r="P292" i="2"/>
  <c r="Q292" i="2"/>
  <c r="R292" i="2"/>
  <c r="S292" i="2"/>
  <c r="T292" i="2"/>
  <c r="U292" i="2"/>
  <c r="V292" i="2"/>
  <c r="W292" i="2"/>
  <c r="X292" i="2"/>
  <c r="Y292" i="2"/>
  <c r="Z292" i="2"/>
  <c r="AA292" i="2"/>
  <c r="AB292" i="2"/>
  <c r="AC292" i="2"/>
  <c r="AD292" i="2"/>
  <c r="AE292" i="2"/>
  <c r="AF292" i="2"/>
  <c r="AG292" i="2"/>
  <c r="AH292" i="2"/>
  <c r="AI292" i="2"/>
  <c r="AJ292" i="2"/>
  <c r="AK292" i="2"/>
  <c r="AL292" i="2"/>
  <c r="AM292" i="2"/>
  <c r="AN292" i="2"/>
  <c r="AO292" i="2"/>
  <c r="AP292" i="2"/>
  <c r="AQ292" i="2"/>
  <c r="AR292" i="2"/>
  <c r="AS292" i="2"/>
  <c r="AT292" i="2"/>
  <c r="AU292" i="2"/>
  <c r="AV292" i="2"/>
  <c r="AW292" i="2"/>
  <c r="AX292" i="2"/>
  <c r="AY292" i="2"/>
  <c r="AZ292" i="2"/>
  <c r="BA292" i="2"/>
  <c r="BB292" i="2"/>
  <c r="BC292" i="2"/>
  <c r="BD292" i="2"/>
  <c r="BE292" i="2"/>
  <c r="BF292" i="2"/>
  <c r="BG292" i="2"/>
  <c r="BH292" i="2"/>
  <c r="BI292" i="2"/>
  <c r="D293" i="2"/>
  <c r="E293" i="2"/>
  <c r="F293" i="2"/>
  <c r="G293" i="2"/>
  <c r="H293" i="2"/>
  <c r="I293" i="2"/>
  <c r="J293" i="2"/>
  <c r="K293" i="2"/>
  <c r="L293" i="2"/>
  <c r="M293" i="2"/>
  <c r="N293" i="2"/>
  <c r="O293" i="2"/>
  <c r="P293" i="2"/>
  <c r="Q293" i="2"/>
  <c r="R293" i="2"/>
  <c r="S293" i="2"/>
  <c r="T293" i="2"/>
  <c r="U293" i="2"/>
  <c r="V293" i="2"/>
  <c r="W293" i="2"/>
  <c r="X293" i="2"/>
  <c r="Y293" i="2"/>
  <c r="Z293" i="2"/>
  <c r="AA293" i="2"/>
  <c r="AB293" i="2"/>
  <c r="AC293" i="2"/>
  <c r="AD293" i="2"/>
  <c r="AE293" i="2"/>
  <c r="AF293" i="2"/>
  <c r="AG293" i="2"/>
  <c r="AH293" i="2"/>
  <c r="AI293" i="2"/>
  <c r="AJ293" i="2"/>
  <c r="AK293" i="2"/>
  <c r="AL293" i="2"/>
  <c r="AM293" i="2"/>
  <c r="AN293" i="2"/>
  <c r="AO293" i="2"/>
  <c r="AP293" i="2"/>
  <c r="AQ293" i="2"/>
  <c r="AR293" i="2"/>
  <c r="AS293" i="2"/>
  <c r="AT293" i="2"/>
  <c r="AU293" i="2"/>
  <c r="AV293" i="2"/>
  <c r="AW293" i="2"/>
  <c r="AX293" i="2"/>
  <c r="AY293" i="2"/>
  <c r="AZ293" i="2"/>
  <c r="BA293" i="2"/>
  <c r="BB293" i="2"/>
  <c r="BC293" i="2"/>
  <c r="BD293" i="2"/>
  <c r="BE293" i="2"/>
  <c r="BF293" i="2"/>
  <c r="BG293" i="2"/>
  <c r="BH293" i="2"/>
  <c r="BI293" i="2"/>
  <c r="D294" i="2"/>
  <c r="E294" i="2"/>
  <c r="F294" i="2"/>
  <c r="G294" i="2"/>
  <c r="H294" i="2"/>
  <c r="I294" i="2"/>
  <c r="J294" i="2"/>
  <c r="K294" i="2"/>
  <c r="L294" i="2"/>
  <c r="M294" i="2"/>
  <c r="N294" i="2"/>
  <c r="O294" i="2"/>
  <c r="P294" i="2"/>
  <c r="Q294" i="2"/>
  <c r="R294" i="2"/>
  <c r="S294" i="2"/>
  <c r="T294" i="2"/>
  <c r="U294" i="2"/>
  <c r="V294" i="2"/>
  <c r="W294" i="2"/>
  <c r="X294" i="2"/>
  <c r="Y294" i="2"/>
  <c r="Z294" i="2"/>
  <c r="AA294" i="2"/>
  <c r="AB294" i="2"/>
  <c r="AC294" i="2"/>
  <c r="AD294" i="2"/>
  <c r="AE294" i="2"/>
  <c r="AF294" i="2"/>
  <c r="AG294" i="2"/>
  <c r="AH294" i="2"/>
  <c r="AI294" i="2"/>
  <c r="AJ294" i="2"/>
  <c r="AK294" i="2"/>
  <c r="AL294" i="2"/>
  <c r="AM294" i="2"/>
  <c r="AN294" i="2"/>
  <c r="AO294" i="2"/>
  <c r="AP294" i="2"/>
  <c r="AQ294" i="2"/>
  <c r="AR294" i="2"/>
  <c r="AS294" i="2"/>
  <c r="AT294" i="2"/>
  <c r="AU294" i="2"/>
  <c r="AV294" i="2"/>
  <c r="AW294" i="2"/>
  <c r="AX294" i="2"/>
  <c r="AY294" i="2"/>
  <c r="AZ294" i="2"/>
  <c r="BA294" i="2"/>
  <c r="BB294" i="2"/>
  <c r="BC294" i="2"/>
  <c r="BD294" i="2"/>
  <c r="BE294" i="2"/>
  <c r="BF294" i="2"/>
  <c r="BG294" i="2"/>
  <c r="BH294" i="2"/>
  <c r="BI294" i="2"/>
  <c r="D295" i="2"/>
  <c r="E295" i="2"/>
  <c r="F295" i="2"/>
  <c r="G295" i="2"/>
  <c r="H295" i="2"/>
  <c r="I295" i="2"/>
  <c r="J295" i="2"/>
  <c r="K295" i="2"/>
  <c r="L295" i="2"/>
  <c r="M295" i="2"/>
  <c r="N295" i="2"/>
  <c r="O295" i="2"/>
  <c r="P295" i="2"/>
  <c r="Q295" i="2"/>
  <c r="R295" i="2"/>
  <c r="S295" i="2"/>
  <c r="T295" i="2"/>
  <c r="U295" i="2"/>
  <c r="V295" i="2"/>
  <c r="W295" i="2"/>
  <c r="X295" i="2"/>
  <c r="Y295" i="2"/>
  <c r="Z295" i="2"/>
  <c r="AA295" i="2"/>
  <c r="AB295" i="2"/>
  <c r="AC295" i="2"/>
  <c r="AD295" i="2"/>
  <c r="AE295" i="2"/>
  <c r="AF295" i="2"/>
  <c r="AG295" i="2"/>
  <c r="AH295" i="2"/>
  <c r="AI295" i="2"/>
  <c r="AJ295" i="2"/>
  <c r="AK295" i="2"/>
  <c r="AL295" i="2"/>
  <c r="AM295" i="2"/>
  <c r="AN295" i="2"/>
  <c r="AO295" i="2"/>
  <c r="AP295" i="2"/>
  <c r="AQ295" i="2"/>
  <c r="AR295" i="2"/>
  <c r="AS295" i="2"/>
  <c r="AT295" i="2"/>
  <c r="AU295" i="2"/>
  <c r="AV295" i="2"/>
  <c r="AW295" i="2"/>
  <c r="AX295" i="2"/>
  <c r="AY295" i="2"/>
  <c r="AZ295" i="2"/>
  <c r="BA295" i="2"/>
  <c r="BB295" i="2"/>
  <c r="BC295" i="2"/>
  <c r="BD295" i="2"/>
  <c r="BE295" i="2"/>
  <c r="BF295" i="2"/>
  <c r="BG295" i="2"/>
  <c r="BH295" i="2"/>
  <c r="BI295" i="2"/>
  <c r="D296" i="2"/>
  <c r="E296" i="2"/>
  <c r="F296" i="2"/>
  <c r="G296" i="2"/>
  <c r="H296" i="2"/>
  <c r="I296" i="2"/>
  <c r="J296" i="2"/>
  <c r="K296" i="2"/>
  <c r="L296" i="2"/>
  <c r="M296" i="2"/>
  <c r="N296" i="2"/>
  <c r="O296" i="2"/>
  <c r="P296" i="2"/>
  <c r="Q296" i="2"/>
  <c r="R296" i="2"/>
  <c r="S296" i="2"/>
  <c r="T296" i="2"/>
  <c r="U296" i="2"/>
  <c r="V296" i="2"/>
  <c r="W296" i="2"/>
  <c r="X296" i="2"/>
  <c r="Y296" i="2"/>
  <c r="Z296" i="2"/>
  <c r="AA296" i="2"/>
  <c r="AB296" i="2"/>
  <c r="AC296" i="2"/>
  <c r="AD296" i="2"/>
  <c r="AE296" i="2"/>
  <c r="AF296" i="2"/>
  <c r="AG296" i="2"/>
  <c r="AH296" i="2"/>
  <c r="AI296" i="2"/>
  <c r="AJ296" i="2"/>
  <c r="AK296" i="2"/>
  <c r="AL296" i="2"/>
  <c r="AM296" i="2"/>
  <c r="AN296" i="2"/>
  <c r="AO296" i="2"/>
  <c r="AP296" i="2"/>
  <c r="AQ296" i="2"/>
  <c r="AR296" i="2"/>
  <c r="AS296" i="2"/>
  <c r="AT296" i="2"/>
  <c r="AU296" i="2"/>
  <c r="AV296" i="2"/>
  <c r="AW296" i="2"/>
  <c r="AX296" i="2"/>
  <c r="AY296" i="2"/>
  <c r="AZ296" i="2"/>
  <c r="BA296" i="2"/>
  <c r="BB296" i="2"/>
  <c r="BC296" i="2"/>
  <c r="BD296" i="2"/>
  <c r="BE296" i="2"/>
  <c r="BF296" i="2"/>
  <c r="BG296" i="2"/>
  <c r="BH296" i="2"/>
  <c r="BI296" i="2"/>
  <c r="D297" i="2"/>
  <c r="E297" i="2"/>
  <c r="F297" i="2"/>
  <c r="G297" i="2"/>
  <c r="H297" i="2"/>
  <c r="I297" i="2"/>
  <c r="J297" i="2"/>
  <c r="K297" i="2"/>
  <c r="L297" i="2"/>
  <c r="M297" i="2"/>
  <c r="N297" i="2"/>
  <c r="O297" i="2"/>
  <c r="P297" i="2"/>
  <c r="Q297" i="2"/>
  <c r="R297" i="2"/>
  <c r="S297" i="2"/>
  <c r="T297" i="2"/>
  <c r="U297" i="2"/>
  <c r="V297" i="2"/>
  <c r="W297" i="2"/>
  <c r="X297" i="2"/>
  <c r="Y297" i="2"/>
  <c r="Z297" i="2"/>
  <c r="AA297" i="2"/>
  <c r="AB297" i="2"/>
  <c r="AC297" i="2"/>
  <c r="AD297" i="2"/>
  <c r="AE297" i="2"/>
  <c r="AF297" i="2"/>
  <c r="AG297" i="2"/>
  <c r="AH297" i="2"/>
  <c r="AI297" i="2"/>
  <c r="AJ297" i="2"/>
  <c r="AK297" i="2"/>
  <c r="AL297" i="2"/>
  <c r="AM297" i="2"/>
  <c r="AN297" i="2"/>
  <c r="AO297" i="2"/>
  <c r="AP297" i="2"/>
  <c r="AQ297" i="2"/>
  <c r="AR297" i="2"/>
  <c r="AS297" i="2"/>
  <c r="AT297" i="2"/>
  <c r="AU297" i="2"/>
  <c r="AV297" i="2"/>
  <c r="AW297" i="2"/>
  <c r="AX297" i="2"/>
  <c r="AY297" i="2"/>
  <c r="AZ297" i="2"/>
  <c r="BA297" i="2"/>
  <c r="BB297" i="2"/>
  <c r="BC297" i="2"/>
  <c r="BD297" i="2"/>
  <c r="BE297" i="2"/>
  <c r="BF297" i="2"/>
  <c r="BG297" i="2"/>
  <c r="BH297" i="2"/>
  <c r="BI297" i="2"/>
  <c r="D298" i="2"/>
  <c r="E298" i="2"/>
  <c r="F298" i="2"/>
  <c r="G298" i="2"/>
  <c r="H298" i="2"/>
  <c r="I298" i="2"/>
  <c r="J298" i="2"/>
  <c r="K298" i="2"/>
  <c r="L298" i="2"/>
  <c r="M298" i="2"/>
  <c r="N298" i="2"/>
  <c r="O298" i="2"/>
  <c r="P298" i="2"/>
  <c r="Q298" i="2"/>
  <c r="R298" i="2"/>
  <c r="S298" i="2"/>
  <c r="T298" i="2"/>
  <c r="U298" i="2"/>
  <c r="V298" i="2"/>
  <c r="W298" i="2"/>
  <c r="X298" i="2"/>
  <c r="Y298" i="2"/>
  <c r="Z298" i="2"/>
  <c r="AA298" i="2"/>
  <c r="AB298" i="2"/>
  <c r="AC298" i="2"/>
  <c r="AD298" i="2"/>
  <c r="AE298" i="2"/>
  <c r="AF298" i="2"/>
  <c r="AG298" i="2"/>
  <c r="AH298" i="2"/>
  <c r="AI298" i="2"/>
  <c r="AJ298" i="2"/>
  <c r="AK298" i="2"/>
  <c r="AL298" i="2"/>
  <c r="AM298" i="2"/>
  <c r="AN298" i="2"/>
  <c r="AO298" i="2"/>
  <c r="AP298" i="2"/>
  <c r="AQ298" i="2"/>
  <c r="AR298" i="2"/>
  <c r="AS298" i="2"/>
  <c r="AT298" i="2"/>
  <c r="AU298" i="2"/>
  <c r="AV298" i="2"/>
  <c r="AW298" i="2"/>
  <c r="AX298" i="2"/>
  <c r="AY298" i="2"/>
  <c r="AZ298" i="2"/>
  <c r="BA298" i="2"/>
  <c r="BB298" i="2"/>
  <c r="BC298" i="2"/>
  <c r="BD298" i="2"/>
  <c r="BE298" i="2"/>
  <c r="BF298" i="2"/>
  <c r="BG298" i="2"/>
  <c r="BH298" i="2"/>
  <c r="BI298" i="2"/>
  <c r="D299" i="2"/>
  <c r="E299" i="2"/>
  <c r="F299" i="2"/>
  <c r="G299" i="2"/>
  <c r="H299" i="2"/>
  <c r="I299" i="2"/>
  <c r="J299" i="2"/>
  <c r="K299" i="2"/>
  <c r="L299" i="2"/>
  <c r="M299" i="2"/>
  <c r="N299" i="2"/>
  <c r="O299" i="2"/>
  <c r="P299" i="2"/>
  <c r="Q299" i="2"/>
  <c r="R299" i="2"/>
  <c r="S299" i="2"/>
  <c r="T299" i="2"/>
  <c r="U299" i="2"/>
  <c r="V299" i="2"/>
  <c r="W299" i="2"/>
  <c r="X299" i="2"/>
  <c r="Y299" i="2"/>
  <c r="Z299" i="2"/>
  <c r="AA299" i="2"/>
  <c r="AB299" i="2"/>
  <c r="AC299" i="2"/>
  <c r="AD299" i="2"/>
  <c r="AE299" i="2"/>
  <c r="AF299" i="2"/>
  <c r="AG299" i="2"/>
  <c r="AH299" i="2"/>
  <c r="AI299" i="2"/>
  <c r="AJ299" i="2"/>
  <c r="AK299" i="2"/>
  <c r="AL299" i="2"/>
  <c r="AM299" i="2"/>
  <c r="AN299" i="2"/>
  <c r="AO299" i="2"/>
  <c r="AP299" i="2"/>
  <c r="AQ299" i="2"/>
  <c r="AR299" i="2"/>
  <c r="AS299" i="2"/>
  <c r="AT299" i="2"/>
  <c r="AU299" i="2"/>
  <c r="AV299" i="2"/>
  <c r="AW299" i="2"/>
  <c r="AX299" i="2"/>
  <c r="AY299" i="2"/>
  <c r="AZ299" i="2"/>
  <c r="BA299" i="2"/>
  <c r="BB299" i="2"/>
  <c r="BC299" i="2"/>
  <c r="BD299" i="2"/>
  <c r="BE299" i="2"/>
  <c r="BF299" i="2"/>
  <c r="BG299" i="2"/>
  <c r="BH299" i="2"/>
  <c r="BI299" i="2"/>
  <c r="D300" i="2"/>
  <c r="E300" i="2"/>
  <c r="F300" i="2"/>
  <c r="G300" i="2"/>
  <c r="H300" i="2"/>
  <c r="I300" i="2"/>
  <c r="J300" i="2"/>
  <c r="K300" i="2"/>
  <c r="L300" i="2"/>
  <c r="M300" i="2"/>
  <c r="N300" i="2"/>
  <c r="O300" i="2"/>
  <c r="P300" i="2"/>
  <c r="Q300" i="2"/>
  <c r="R300" i="2"/>
  <c r="S300" i="2"/>
  <c r="T300" i="2"/>
  <c r="U300" i="2"/>
  <c r="V300" i="2"/>
  <c r="W300" i="2"/>
  <c r="X300" i="2"/>
  <c r="Y300" i="2"/>
  <c r="Z300" i="2"/>
  <c r="AA300" i="2"/>
  <c r="AB300" i="2"/>
  <c r="AC300" i="2"/>
  <c r="AD300" i="2"/>
  <c r="AE300" i="2"/>
  <c r="AF300" i="2"/>
  <c r="AG300" i="2"/>
  <c r="AH300" i="2"/>
  <c r="AI300" i="2"/>
  <c r="AJ300" i="2"/>
  <c r="AK300" i="2"/>
  <c r="AL300" i="2"/>
  <c r="AM300" i="2"/>
  <c r="AN300" i="2"/>
  <c r="AO300" i="2"/>
  <c r="AP300" i="2"/>
  <c r="AQ300" i="2"/>
  <c r="AR300" i="2"/>
  <c r="AS300" i="2"/>
  <c r="AT300" i="2"/>
  <c r="AU300" i="2"/>
  <c r="AV300" i="2"/>
  <c r="AW300" i="2"/>
  <c r="AX300" i="2"/>
  <c r="AY300" i="2"/>
  <c r="AZ300" i="2"/>
  <c r="BA300" i="2"/>
  <c r="BB300" i="2"/>
  <c r="BC300" i="2"/>
  <c r="BD300" i="2"/>
  <c r="BE300" i="2"/>
  <c r="BF300" i="2"/>
  <c r="BG300" i="2"/>
  <c r="BH300" i="2"/>
  <c r="BI300" i="2"/>
  <c r="D301" i="2"/>
  <c r="E301" i="2"/>
  <c r="F301" i="2"/>
  <c r="G301" i="2"/>
  <c r="H301" i="2"/>
  <c r="I301" i="2"/>
  <c r="J301" i="2"/>
  <c r="K301" i="2"/>
  <c r="L301" i="2"/>
  <c r="M301" i="2"/>
  <c r="N301" i="2"/>
  <c r="O301" i="2"/>
  <c r="P301" i="2"/>
  <c r="Q301" i="2"/>
  <c r="R301" i="2"/>
  <c r="S301" i="2"/>
  <c r="T301" i="2"/>
  <c r="U301" i="2"/>
  <c r="V301" i="2"/>
  <c r="W301" i="2"/>
  <c r="X301" i="2"/>
  <c r="Y301" i="2"/>
  <c r="Z301" i="2"/>
  <c r="AA301" i="2"/>
  <c r="AB301" i="2"/>
  <c r="AC301" i="2"/>
  <c r="AD301" i="2"/>
  <c r="AE301" i="2"/>
  <c r="AF301" i="2"/>
  <c r="AG301" i="2"/>
  <c r="AH301" i="2"/>
  <c r="AI301" i="2"/>
  <c r="AJ301" i="2"/>
  <c r="AK301" i="2"/>
  <c r="AL301" i="2"/>
  <c r="AM301" i="2"/>
  <c r="AN301" i="2"/>
  <c r="AO301" i="2"/>
  <c r="AP301" i="2"/>
  <c r="AQ301" i="2"/>
  <c r="AR301" i="2"/>
  <c r="AS301" i="2"/>
  <c r="AT301" i="2"/>
  <c r="AU301" i="2"/>
  <c r="AV301" i="2"/>
  <c r="AW301" i="2"/>
  <c r="AX301" i="2"/>
  <c r="AY301" i="2"/>
  <c r="AZ301" i="2"/>
  <c r="BA301" i="2"/>
  <c r="BB301" i="2"/>
  <c r="BC301" i="2"/>
  <c r="BD301" i="2"/>
  <c r="BE301" i="2"/>
  <c r="BF301" i="2"/>
  <c r="BG301" i="2"/>
  <c r="BH301" i="2"/>
  <c r="BI301" i="2"/>
  <c r="D302" i="2"/>
  <c r="E302" i="2"/>
  <c r="F302" i="2"/>
  <c r="G302" i="2"/>
  <c r="H302" i="2"/>
  <c r="I302" i="2"/>
  <c r="J302" i="2"/>
  <c r="K302" i="2"/>
  <c r="L302" i="2"/>
  <c r="M302" i="2"/>
  <c r="N302" i="2"/>
  <c r="O302" i="2"/>
  <c r="P302" i="2"/>
  <c r="Q302" i="2"/>
  <c r="R302" i="2"/>
  <c r="S302" i="2"/>
  <c r="T302" i="2"/>
  <c r="U302" i="2"/>
  <c r="V302" i="2"/>
  <c r="W302" i="2"/>
  <c r="X302" i="2"/>
  <c r="Y302" i="2"/>
  <c r="Z302" i="2"/>
  <c r="AA302" i="2"/>
  <c r="AB302" i="2"/>
  <c r="AC302" i="2"/>
  <c r="AD302" i="2"/>
  <c r="AE302" i="2"/>
  <c r="AF302" i="2"/>
  <c r="AG302" i="2"/>
  <c r="AH302" i="2"/>
  <c r="AI302" i="2"/>
  <c r="AJ302" i="2"/>
  <c r="AK302" i="2"/>
  <c r="AL302" i="2"/>
  <c r="AM302" i="2"/>
  <c r="AN302" i="2"/>
  <c r="AO302" i="2"/>
  <c r="AP302" i="2"/>
  <c r="AQ302" i="2"/>
  <c r="AR302" i="2"/>
  <c r="AS302" i="2"/>
  <c r="AT302" i="2"/>
  <c r="AU302" i="2"/>
  <c r="AV302" i="2"/>
  <c r="AW302" i="2"/>
  <c r="AX302" i="2"/>
  <c r="AY302" i="2"/>
  <c r="AZ302" i="2"/>
  <c r="BA302" i="2"/>
  <c r="BB302" i="2"/>
  <c r="BC302" i="2"/>
  <c r="BD302" i="2"/>
  <c r="BE302" i="2"/>
  <c r="BF302" i="2"/>
  <c r="BG302" i="2"/>
  <c r="BH302" i="2"/>
  <c r="BI302" i="2"/>
  <c r="D303" i="2"/>
  <c r="E303" i="2"/>
  <c r="F303" i="2"/>
  <c r="G303" i="2"/>
  <c r="H303" i="2"/>
  <c r="I303" i="2"/>
  <c r="J303" i="2"/>
  <c r="K303" i="2"/>
  <c r="L303" i="2"/>
  <c r="M303" i="2"/>
  <c r="N303" i="2"/>
  <c r="O303" i="2"/>
  <c r="P303" i="2"/>
  <c r="Q303" i="2"/>
  <c r="R303" i="2"/>
  <c r="S303" i="2"/>
  <c r="T303" i="2"/>
  <c r="U303" i="2"/>
  <c r="V303" i="2"/>
  <c r="W303" i="2"/>
  <c r="X303" i="2"/>
  <c r="Y303" i="2"/>
  <c r="Z303" i="2"/>
  <c r="AA303" i="2"/>
  <c r="AB303" i="2"/>
  <c r="AC303" i="2"/>
  <c r="AD303" i="2"/>
  <c r="AE303" i="2"/>
  <c r="AF303" i="2"/>
  <c r="AG303" i="2"/>
  <c r="AH303" i="2"/>
  <c r="AI303" i="2"/>
  <c r="AJ303" i="2"/>
  <c r="AK303" i="2"/>
  <c r="AL303" i="2"/>
  <c r="AM303" i="2"/>
  <c r="AN303" i="2"/>
  <c r="AO303" i="2"/>
  <c r="AP303" i="2"/>
  <c r="AQ303" i="2"/>
  <c r="AR303" i="2"/>
  <c r="AS303" i="2"/>
  <c r="AT303" i="2"/>
  <c r="AU303" i="2"/>
  <c r="AV303" i="2"/>
  <c r="AW303" i="2"/>
  <c r="AX303" i="2"/>
  <c r="AY303" i="2"/>
  <c r="AZ303" i="2"/>
  <c r="BA303" i="2"/>
  <c r="BB303" i="2"/>
  <c r="BC303" i="2"/>
  <c r="BD303" i="2"/>
  <c r="BE303" i="2"/>
  <c r="BF303" i="2"/>
  <c r="BG303" i="2"/>
  <c r="BH303" i="2"/>
  <c r="BI303" i="2"/>
  <c r="D304" i="2"/>
  <c r="E304" i="2"/>
  <c r="F304" i="2"/>
  <c r="G304" i="2"/>
  <c r="H304" i="2"/>
  <c r="I304" i="2"/>
  <c r="J304" i="2"/>
  <c r="K304" i="2"/>
  <c r="L304" i="2"/>
  <c r="M304" i="2"/>
  <c r="N304" i="2"/>
  <c r="O304" i="2"/>
  <c r="P304" i="2"/>
  <c r="Q304" i="2"/>
  <c r="R304" i="2"/>
  <c r="S304" i="2"/>
  <c r="T304" i="2"/>
  <c r="U304" i="2"/>
  <c r="V304" i="2"/>
  <c r="W304" i="2"/>
  <c r="X304" i="2"/>
  <c r="Y304" i="2"/>
  <c r="Z304" i="2"/>
  <c r="AA304" i="2"/>
  <c r="AB304" i="2"/>
  <c r="AC304" i="2"/>
  <c r="AD304" i="2"/>
  <c r="AE304" i="2"/>
  <c r="AF304" i="2"/>
  <c r="AG304" i="2"/>
  <c r="AH304" i="2"/>
  <c r="AI304" i="2"/>
  <c r="AJ304" i="2"/>
  <c r="AK304" i="2"/>
  <c r="AL304" i="2"/>
  <c r="AM304" i="2"/>
  <c r="AN304" i="2"/>
  <c r="AO304" i="2"/>
  <c r="AP304" i="2"/>
  <c r="AQ304" i="2"/>
  <c r="AR304" i="2"/>
  <c r="AS304" i="2"/>
  <c r="AT304" i="2"/>
  <c r="AU304" i="2"/>
  <c r="AV304" i="2"/>
  <c r="AW304" i="2"/>
  <c r="AX304" i="2"/>
  <c r="AY304" i="2"/>
  <c r="AZ304" i="2"/>
  <c r="BA304" i="2"/>
  <c r="BB304" i="2"/>
  <c r="BC304" i="2"/>
  <c r="BD304" i="2"/>
  <c r="BE304" i="2"/>
  <c r="BF304" i="2"/>
  <c r="BG304" i="2"/>
  <c r="BH304" i="2"/>
  <c r="BI304" i="2"/>
  <c r="D305" i="2"/>
  <c r="E305" i="2"/>
  <c r="F305" i="2"/>
  <c r="G305" i="2"/>
  <c r="H305" i="2"/>
  <c r="I305" i="2"/>
  <c r="J305" i="2"/>
  <c r="K305" i="2"/>
  <c r="L305" i="2"/>
  <c r="M305" i="2"/>
  <c r="N305" i="2"/>
  <c r="O305" i="2"/>
  <c r="P305" i="2"/>
  <c r="Q305" i="2"/>
  <c r="R305" i="2"/>
  <c r="S305" i="2"/>
  <c r="T305" i="2"/>
  <c r="U305" i="2"/>
  <c r="V305" i="2"/>
  <c r="W305" i="2"/>
  <c r="X305" i="2"/>
  <c r="Y305" i="2"/>
  <c r="Z305" i="2"/>
  <c r="AA305" i="2"/>
  <c r="AB305" i="2"/>
  <c r="AC305" i="2"/>
  <c r="AD305" i="2"/>
  <c r="AE305" i="2"/>
  <c r="AF305" i="2"/>
  <c r="AG305" i="2"/>
  <c r="AH305" i="2"/>
  <c r="AI305" i="2"/>
  <c r="AJ305" i="2"/>
  <c r="AK305" i="2"/>
  <c r="AL305" i="2"/>
  <c r="AM305" i="2"/>
  <c r="AN305" i="2"/>
  <c r="AO305" i="2"/>
  <c r="AP305" i="2"/>
  <c r="AQ305" i="2"/>
  <c r="AR305" i="2"/>
  <c r="AS305" i="2"/>
  <c r="AT305" i="2"/>
  <c r="AU305" i="2"/>
  <c r="AV305" i="2"/>
  <c r="AW305" i="2"/>
  <c r="AX305" i="2"/>
  <c r="AY305" i="2"/>
  <c r="AZ305" i="2"/>
  <c r="BA305" i="2"/>
  <c r="BB305" i="2"/>
  <c r="BC305" i="2"/>
  <c r="BD305" i="2"/>
  <c r="BE305" i="2"/>
  <c r="BF305" i="2"/>
  <c r="BG305" i="2"/>
  <c r="BH305" i="2"/>
  <c r="BI305" i="2"/>
  <c r="D306" i="2"/>
  <c r="E306" i="2"/>
  <c r="F306" i="2"/>
  <c r="G306" i="2"/>
  <c r="H306" i="2"/>
  <c r="I306" i="2"/>
  <c r="J306" i="2"/>
  <c r="K306" i="2"/>
  <c r="L306" i="2"/>
  <c r="M306" i="2"/>
  <c r="N306" i="2"/>
  <c r="O306" i="2"/>
  <c r="P306" i="2"/>
  <c r="Q306" i="2"/>
  <c r="R306" i="2"/>
  <c r="S306" i="2"/>
  <c r="T306" i="2"/>
  <c r="U306" i="2"/>
  <c r="V306" i="2"/>
  <c r="W306" i="2"/>
  <c r="X306" i="2"/>
  <c r="Y306" i="2"/>
  <c r="Z306" i="2"/>
  <c r="AA306" i="2"/>
  <c r="AB306" i="2"/>
  <c r="AC306" i="2"/>
  <c r="AD306" i="2"/>
  <c r="AE306" i="2"/>
  <c r="AF306" i="2"/>
  <c r="AG306" i="2"/>
  <c r="AH306" i="2"/>
  <c r="AI306" i="2"/>
  <c r="AJ306" i="2"/>
  <c r="AK306" i="2"/>
  <c r="AL306" i="2"/>
  <c r="AM306" i="2"/>
  <c r="AN306" i="2"/>
  <c r="AO306" i="2"/>
  <c r="AP306" i="2"/>
  <c r="AQ306" i="2"/>
  <c r="AR306" i="2"/>
  <c r="AS306" i="2"/>
  <c r="AT306" i="2"/>
  <c r="AU306" i="2"/>
  <c r="AV306" i="2"/>
  <c r="AW306" i="2"/>
  <c r="AX306" i="2"/>
  <c r="AY306" i="2"/>
  <c r="AZ306" i="2"/>
  <c r="BA306" i="2"/>
  <c r="BB306" i="2"/>
  <c r="BC306" i="2"/>
  <c r="BD306" i="2"/>
  <c r="BE306" i="2"/>
  <c r="BF306" i="2"/>
  <c r="BG306" i="2"/>
  <c r="BH306" i="2"/>
  <c r="BI306" i="2"/>
  <c r="D307" i="2"/>
  <c r="E307" i="2"/>
  <c r="F307" i="2"/>
  <c r="G307" i="2"/>
  <c r="H307" i="2"/>
  <c r="I307" i="2"/>
  <c r="J307" i="2"/>
  <c r="K307" i="2"/>
  <c r="L307" i="2"/>
  <c r="M307" i="2"/>
  <c r="N307" i="2"/>
  <c r="O307" i="2"/>
  <c r="P307" i="2"/>
  <c r="Q307" i="2"/>
  <c r="R307" i="2"/>
  <c r="S307" i="2"/>
  <c r="T307" i="2"/>
  <c r="U307" i="2"/>
  <c r="V307" i="2"/>
  <c r="W307" i="2"/>
  <c r="X307" i="2"/>
  <c r="Y307" i="2"/>
  <c r="Z307" i="2"/>
  <c r="AA307" i="2"/>
  <c r="AB307" i="2"/>
  <c r="AC307" i="2"/>
  <c r="AD307" i="2"/>
  <c r="AE307" i="2"/>
  <c r="AF307" i="2"/>
  <c r="AG307" i="2"/>
  <c r="AH307" i="2"/>
  <c r="AI307" i="2"/>
  <c r="AJ307" i="2"/>
  <c r="AK307" i="2"/>
  <c r="AL307" i="2"/>
  <c r="AM307" i="2"/>
  <c r="AN307" i="2"/>
  <c r="AO307" i="2"/>
  <c r="AP307" i="2"/>
  <c r="AQ307" i="2"/>
  <c r="AR307" i="2"/>
  <c r="AS307" i="2"/>
  <c r="AT307" i="2"/>
  <c r="AU307" i="2"/>
  <c r="AV307" i="2"/>
  <c r="AW307" i="2"/>
  <c r="AX307" i="2"/>
  <c r="AY307" i="2"/>
  <c r="AZ307" i="2"/>
  <c r="BA307" i="2"/>
  <c r="BB307" i="2"/>
  <c r="BC307" i="2"/>
  <c r="BD307" i="2"/>
  <c r="BE307" i="2"/>
  <c r="BF307" i="2"/>
  <c r="BG307" i="2"/>
  <c r="BH307" i="2"/>
  <c r="BI307" i="2"/>
  <c r="D308" i="2"/>
  <c r="E308" i="2"/>
  <c r="F308" i="2"/>
  <c r="G308" i="2"/>
  <c r="H308" i="2"/>
  <c r="I308" i="2"/>
  <c r="J308" i="2"/>
  <c r="K308" i="2"/>
  <c r="L308" i="2"/>
  <c r="M308" i="2"/>
  <c r="N308" i="2"/>
  <c r="O308" i="2"/>
  <c r="P308" i="2"/>
  <c r="Q308" i="2"/>
  <c r="R308" i="2"/>
  <c r="S308" i="2"/>
  <c r="T308" i="2"/>
  <c r="U308" i="2"/>
  <c r="V308" i="2"/>
  <c r="W308" i="2"/>
  <c r="X308" i="2"/>
  <c r="Y308" i="2"/>
  <c r="Z308" i="2"/>
  <c r="AA308" i="2"/>
  <c r="AB308" i="2"/>
  <c r="AC308" i="2"/>
  <c r="AD308" i="2"/>
  <c r="AE308" i="2"/>
  <c r="AF308" i="2"/>
  <c r="AG308" i="2"/>
  <c r="AH308" i="2"/>
  <c r="AI308" i="2"/>
  <c r="AJ308" i="2"/>
  <c r="AK308" i="2"/>
  <c r="AL308" i="2"/>
  <c r="AM308" i="2"/>
  <c r="AN308" i="2"/>
  <c r="AO308" i="2"/>
  <c r="AP308" i="2"/>
  <c r="AQ308" i="2"/>
  <c r="AR308" i="2"/>
  <c r="AS308" i="2"/>
  <c r="AT308" i="2"/>
  <c r="AU308" i="2"/>
  <c r="AV308" i="2"/>
  <c r="AW308" i="2"/>
  <c r="AX308" i="2"/>
  <c r="AY308" i="2"/>
  <c r="AZ308" i="2"/>
  <c r="BA308" i="2"/>
  <c r="BB308" i="2"/>
  <c r="BC308" i="2"/>
  <c r="BD308" i="2"/>
  <c r="BE308" i="2"/>
  <c r="BF308" i="2"/>
  <c r="BG308" i="2"/>
  <c r="BH308" i="2"/>
  <c r="BI308" i="2"/>
  <c r="D309" i="2"/>
  <c r="E309" i="2"/>
  <c r="F309" i="2"/>
  <c r="G309" i="2"/>
  <c r="H309" i="2"/>
  <c r="I309" i="2"/>
  <c r="J309" i="2"/>
  <c r="K309" i="2"/>
  <c r="L309" i="2"/>
  <c r="M309" i="2"/>
  <c r="N309" i="2"/>
  <c r="O309" i="2"/>
  <c r="P309" i="2"/>
  <c r="Q309" i="2"/>
  <c r="R309" i="2"/>
  <c r="S309" i="2"/>
  <c r="T309" i="2"/>
  <c r="U309" i="2"/>
  <c r="V309" i="2"/>
  <c r="W309" i="2"/>
  <c r="X309" i="2"/>
  <c r="Y309" i="2"/>
  <c r="Z309" i="2"/>
  <c r="AA309" i="2"/>
  <c r="AB309" i="2"/>
  <c r="AC309" i="2"/>
  <c r="AD309" i="2"/>
  <c r="AE309" i="2"/>
  <c r="AF309" i="2"/>
  <c r="AG309" i="2"/>
  <c r="AH309" i="2"/>
  <c r="AI309" i="2"/>
  <c r="AJ309" i="2"/>
  <c r="AK309" i="2"/>
  <c r="AL309" i="2"/>
  <c r="AM309" i="2"/>
  <c r="AN309" i="2"/>
  <c r="AO309" i="2"/>
  <c r="AP309" i="2"/>
  <c r="AQ309" i="2"/>
  <c r="AR309" i="2"/>
  <c r="AS309" i="2"/>
  <c r="AT309" i="2"/>
  <c r="AU309" i="2"/>
  <c r="AV309" i="2"/>
  <c r="AW309" i="2"/>
  <c r="AX309" i="2"/>
  <c r="AY309" i="2"/>
  <c r="AZ309" i="2"/>
  <c r="BA309" i="2"/>
  <c r="BB309" i="2"/>
  <c r="BC309" i="2"/>
  <c r="BD309" i="2"/>
  <c r="BE309" i="2"/>
  <c r="BF309" i="2"/>
  <c r="BG309" i="2"/>
  <c r="BH309" i="2"/>
  <c r="BI309" i="2"/>
  <c r="D310" i="2"/>
  <c r="E310" i="2"/>
  <c r="F310" i="2"/>
  <c r="G310" i="2"/>
  <c r="H310" i="2"/>
  <c r="I310" i="2"/>
  <c r="J310" i="2"/>
  <c r="K310" i="2"/>
  <c r="L310" i="2"/>
  <c r="M310" i="2"/>
  <c r="N310" i="2"/>
  <c r="O310" i="2"/>
  <c r="P310" i="2"/>
  <c r="Q310" i="2"/>
  <c r="R310" i="2"/>
  <c r="S310" i="2"/>
  <c r="T310" i="2"/>
  <c r="U310" i="2"/>
  <c r="V310" i="2"/>
  <c r="W310" i="2"/>
  <c r="X310" i="2"/>
  <c r="Y310" i="2"/>
  <c r="Z310" i="2"/>
  <c r="AA310" i="2"/>
  <c r="AB310" i="2"/>
  <c r="AC310" i="2"/>
  <c r="AD310" i="2"/>
  <c r="AE310" i="2"/>
  <c r="AF310" i="2"/>
  <c r="AG310" i="2"/>
  <c r="AH310" i="2"/>
  <c r="AI310" i="2"/>
  <c r="AJ310" i="2"/>
  <c r="AK310" i="2"/>
  <c r="AL310" i="2"/>
  <c r="AM310" i="2"/>
  <c r="AN310" i="2"/>
  <c r="AO310" i="2"/>
  <c r="AP310" i="2"/>
  <c r="AQ310" i="2"/>
  <c r="AR310" i="2"/>
  <c r="AS310" i="2"/>
  <c r="AT310" i="2"/>
  <c r="AU310" i="2"/>
  <c r="AV310" i="2"/>
  <c r="AW310" i="2"/>
  <c r="AX310" i="2"/>
  <c r="AY310" i="2"/>
  <c r="AZ310" i="2"/>
  <c r="BA310" i="2"/>
  <c r="BB310" i="2"/>
  <c r="BC310" i="2"/>
  <c r="BD310" i="2"/>
  <c r="BE310" i="2"/>
  <c r="BF310" i="2"/>
  <c r="BG310" i="2"/>
  <c r="BH310" i="2"/>
  <c r="BI310" i="2"/>
  <c r="D311" i="2"/>
  <c r="E311" i="2"/>
  <c r="F311" i="2"/>
  <c r="G311" i="2"/>
  <c r="H311" i="2"/>
  <c r="I311" i="2"/>
  <c r="J311" i="2"/>
  <c r="K311" i="2"/>
  <c r="L311" i="2"/>
  <c r="M311" i="2"/>
  <c r="N311" i="2"/>
  <c r="O311" i="2"/>
  <c r="P311" i="2"/>
  <c r="Q311" i="2"/>
  <c r="R311" i="2"/>
  <c r="S311" i="2"/>
  <c r="T311" i="2"/>
  <c r="U311" i="2"/>
  <c r="V311" i="2"/>
  <c r="W311" i="2"/>
  <c r="X311" i="2"/>
  <c r="Y311" i="2"/>
  <c r="Z311" i="2"/>
  <c r="AA311" i="2"/>
  <c r="AB311" i="2"/>
  <c r="AC311" i="2"/>
  <c r="AD311" i="2"/>
  <c r="AE311" i="2"/>
  <c r="AF311" i="2"/>
  <c r="AG311" i="2"/>
  <c r="AH311" i="2"/>
  <c r="AI311" i="2"/>
  <c r="AJ311" i="2"/>
  <c r="AK311" i="2"/>
  <c r="AL311" i="2"/>
  <c r="AM311" i="2"/>
  <c r="AN311" i="2"/>
  <c r="AO311" i="2"/>
  <c r="AP311" i="2"/>
  <c r="AQ311" i="2"/>
  <c r="AR311" i="2"/>
  <c r="AS311" i="2"/>
  <c r="AT311" i="2"/>
  <c r="AU311" i="2"/>
  <c r="AV311" i="2"/>
  <c r="AW311" i="2"/>
  <c r="AX311" i="2"/>
  <c r="AY311" i="2"/>
  <c r="AZ311" i="2"/>
  <c r="BA311" i="2"/>
  <c r="BB311" i="2"/>
  <c r="BC311" i="2"/>
  <c r="BD311" i="2"/>
  <c r="BE311" i="2"/>
  <c r="BF311" i="2"/>
  <c r="BG311" i="2"/>
  <c r="BH311" i="2"/>
  <c r="BI311" i="2"/>
  <c r="D312" i="2"/>
  <c r="E312" i="2"/>
  <c r="F312" i="2"/>
  <c r="G312" i="2"/>
  <c r="H312" i="2"/>
  <c r="I312" i="2"/>
  <c r="J312" i="2"/>
  <c r="K312" i="2"/>
  <c r="L312" i="2"/>
  <c r="M312" i="2"/>
  <c r="N312" i="2"/>
  <c r="O312" i="2"/>
  <c r="P312" i="2"/>
  <c r="Q312" i="2"/>
  <c r="R312" i="2"/>
  <c r="S312" i="2"/>
  <c r="T312" i="2"/>
  <c r="U312" i="2"/>
  <c r="V312" i="2"/>
  <c r="W312" i="2"/>
  <c r="X312" i="2"/>
  <c r="Y312" i="2"/>
  <c r="Z312" i="2"/>
  <c r="AA312" i="2"/>
  <c r="AB312" i="2"/>
  <c r="AC312" i="2"/>
  <c r="AD312" i="2"/>
  <c r="AE312" i="2"/>
  <c r="AF312" i="2"/>
  <c r="AG312" i="2"/>
  <c r="AH312" i="2"/>
  <c r="AI312" i="2"/>
  <c r="AJ312" i="2"/>
  <c r="AK312" i="2"/>
  <c r="AL312" i="2"/>
  <c r="AM312" i="2"/>
  <c r="AN312" i="2"/>
  <c r="AO312" i="2"/>
  <c r="AP312" i="2"/>
  <c r="AQ312" i="2"/>
  <c r="AR312" i="2"/>
  <c r="AS312" i="2"/>
  <c r="AT312" i="2"/>
  <c r="AU312" i="2"/>
  <c r="AV312" i="2"/>
  <c r="AW312" i="2"/>
  <c r="AX312" i="2"/>
  <c r="AY312" i="2"/>
  <c r="AZ312" i="2"/>
  <c r="BA312" i="2"/>
  <c r="BB312" i="2"/>
  <c r="BC312" i="2"/>
  <c r="BD312" i="2"/>
  <c r="BE312" i="2"/>
  <c r="BF312" i="2"/>
  <c r="BG312" i="2"/>
  <c r="BH312" i="2"/>
  <c r="BI312" i="2"/>
  <c r="D313" i="2"/>
  <c r="E313" i="2"/>
  <c r="F313" i="2"/>
  <c r="G313" i="2"/>
  <c r="H313" i="2"/>
  <c r="I313" i="2"/>
  <c r="J313" i="2"/>
  <c r="K313" i="2"/>
  <c r="L313" i="2"/>
  <c r="M313" i="2"/>
  <c r="N313" i="2"/>
  <c r="O313" i="2"/>
  <c r="P313" i="2"/>
  <c r="Q313" i="2"/>
  <c r="R313" i="2"/>
  <c r="S313" i="2"/>
  <c r="T313" i="2"/>
  <c r="U313" i="2"/>
  <c r="V313" i="2"/>
  <c r="W313" i="2"/>
  <c r="X313" i="2"/>
  <c r="Y313" i="2"/>
  <c r="Z313" i="2"/>
  <c r="AA313" i="2"/>
  <c r="AB313" i="2"/>
  <c r="AC313" i="2"/>
  <c r="AD313" i="2"/>
  <c r="AE313" i="2"/>
  <c r="AF313" i="2"/>
  <c r="AG313" i="2"/>
  <c r="AH313" i="2"/>
  <c r="AI313" i="2"/>
  <c r="AJ313" i="2"/>
  <c r="AK313" i="2"/>
  <c r="AL313" i="2"/>
  <c r="AM313" i="2"/>
  <c r="AN313" i="2"/>
  <c r="AO313" i="2"/>
  <c r="AP313" i="2"/>
  <c r="AQ313" i="2"/>
  <c r="AR313" i="2"/>
  <c r="AS313" i="2"/>
  <c r="AT313" i="2"/>
  <c r="AU313" i="2"/>
  <c r="AV313" i="2"/>
  <c r="AW313" i="2"/>
  <c r="AX313" i="2"/>
  <c r="AY313" i="2"/>
  <c r="AZ313" i="2"/>
  <c r="BA313" i="2"/>
  <c r="BB313" i="2"/>
  <c r="BC313" i="2"/>
  <c r="BD313" i="2"/>
  <c r="BE313" i="2"/>
  <c r="BF313" i="2"/>
  <c r="BG313" i="2"/>
  <c r="BH313" i="2"/>
  <c r="BI313" i="2"/>
  <c r="D314" i="2"/>
  <c r="E314" i="2"/>
  <c r="F314" i="2"/>
  <c r="G314" i="2"/>
  <c r="H314" i="2"/>
  <c r="I314" i="2"/>
  <c r="J314" i="2"/>
  <c r="K314" i="2"/>
  <c r="L314" i="2"/>
  <c r="M314" i="2"/>
  <c r="N314" i="2"/>
  <c r="O314" i="2"/>
  <c r="P314" i="2"/>
  <c r="Q314" i="2"/>
  <c r="R314" i="2"/>
  <c r="S314" i="2"/>
  <c r="T314" i="2"/>
  <c r="U314" i="2"/>
  <c r="V314" i="2"/>
  <c r="W314" i="2"/>
  <c r="X314" i="2"/>
  <c r="Y314" i="2"/>
  <c r="Z314" i="2"/>
  <c r="AA314" i="2"/>
  <c r="AB314" i="2"/>
  <c r="AC314" i="2"/>
  <c r="AD314" i="2"/>
  <c r="AE314" i="2"/>
  <c r="AF314" i="2"/>
  <c r="AG314" i="2"/>
  <c r="AH314" i="2"/>
  <c r="AI314" i="2"/>
  <c r="AJ314" i="2"/>
  <c r="AK314" i="2"/>
  <c r="AL314" i="2"/>
  <c r="AM314" i="2"/>
  <c r="AN314" i="2"/>
  <c r="AO314" i="2"/>
  <c r="AP314" i="2"/>
  <c r="AQ314" i="2"/>
  <c r="AR314" i="2"/>
  <c r="AS314" i="2"/>
  <c r="AT314" i="2"/>
  <c r="AU314" i="2"/>
  <c r="AV314" i="2"/>
  <c r="AW314" i="2"/>
  <c r="AX314" i="2"/>
  <c r="AY314" i="2"/>
  <c r="AZ314" i="2"/>
  <c r="BA314" i="2"/>
  <c r="BB314" i="2"/>
  <c r="BC314" i="2"/>
  <c r="BD314" i="2"/>
  <c r="BE314" i="2"/>
  <c r="BF314" i="2"/>
  <c r="BG314" i="2"/>
  <c r="BH314" i="2"/>
  <c r="BI314" i="2"/>
  <c r="D315" i="2"/>
  <c r="E315" i="2"/>
  <c r="F315" i="2"/>
  <c r="G315" i="2"/>
  <c r="H315" i="2"/>
  <c r="I315" i="2"/>
  <c r="J315" i="2"/>
  <c r="K315" i="2"/>
  <c r="L315" i="2"/>
  <c r="M315" i="2"/>
  <c r="N315" i="2"/>
  <c r="O315" i="2"/>
  <c r="P315" i="2"/>
  <c r="Q315" i="2"/>
  <c r="R315" i="2"/>
  <c r="S315" i="2"/>
  <c r="T315" i="2"/>
  <c r="U315" i="2"/>
  <c r="V315" i="2"/>
  <c r="W315" i="2"/>
  <c r="X315" i="2"/>
  <c r="Y315" i="2"/>
  <c r="Z315" i="2"/>
  <c r="AA315" i="2"/>
  <c r="AB315" i="2"/>
  <c r="AC315" i="2"/>
  <c r="AD315" i="2"/>
  <c r="AE315" i="2"/>
  <c r="AF315" i="2"/>
  <c r="AG315" i="2"/>
  <c r="AH315" i="2"/>
  <c r="AI315" i="2"/>
  <c r="AJ315" i="2"/>
  <c r="AK315" i="2"/>
  <c r="AL315" i="2"/>
  <c r="AM315" i="2"/>
  <c r="AN315" i="2"/>
  <c r="AO315" i="2"/>
  <c r="AP315" i="2"/>
  <c r="AQ315" i="2"/>
  <c r="AR315" i="2"/>
  <c r="AS315" i="2"/>
  <c r="AT315" i="2"/>
  <c r="AU315" i="2"/>
  <c r="AV315" i="2"/>
  <c r="AW315" i="2"/>
  <c r="AX315" i="2"/>
  <c r="AY315" i="2"/>
  <c r="AZ315" i="2"/>
  <c r="BA315" i="2"/>
  <c r="BB315" i="2"/>
  <c r="BC315" i="2"/>
  <c r="BD315" i="2"/>
  <c r="BE315" i="2"/>
  <c r="BF315" i="2"/>
  <c r="BG315" i="2"/>
  <c r="BH315" i="2"/>
  <c r="BI315" i="2"/>
  <c r="D316" i="2"/>
  <c r="E316" i="2"/>
  <c r="F316" i="2"/>
  <c r="G316" i="2"/>
  <c r="H316" i="2"/>
  <c r="I316" i="2"/>
  <c r="J316" i="2"/>
  <c r="K316" i="2"/>
  <c r="L316" i="2"/>
  <c r="M316" i="2"/>
  <c r="N316" i="2"/>
  <c r="O316" i="2"/>
  <c r="P316" i="2"/>
  <c r="Q316" i="2"/>
  <c r="R316" i="2"/>
  <c r="S316" i="2"/>
  <c r="T316" i="2"/>
  <c r="U316" i="2"/>
  <c r="V316" i="2"/>
  <c r="W316" i="2"/>
  <c r="X316" i="2"/>
  <c r="Y316" i="2"/>
  <c r="Z316" i="2"/>
  <c r="AA316" i="2"/>
  <c r="AB316" i="2"/>
  <c r="AC316" i="2"/>
  <c r="AD316" i="2"/>
  <c r="AE316" i="2"/>
  <c r="AF316" i="2"/>
  <c r="AG316" i="2"/>
  <c r="AH316" i="2"/>
  <c r="AI316" i="2"/>
  <c r="AJ316" i="2"/>
  <c r="AK316" i="2"/>
  <c r="AL316" i="2"/>
  <c r="AM316" i="2"/>
  <c r="AN316" i="2"/>
  <c r="AO316" i="2"/>
  <c r="AP316" i="2"/>
  <c r="AQ316" i="2"/>
  <c r="AR316" i="2"/>
  <c r="AS316" i="2"/>
  <c r="AT316" i="2"/>
  <c r="AU316" i="2"/>
  <c r="AV316" i="2"/>
  <c r="AW316" i="2"/>
  <c r="AX316" i="2"/>
  <c r="AY316" i="2"/>
  <c r="AZ316" i="2"/>
  <c r="BA316" i="2"/>
  <c r="BB316" i="2"/>
  <c r="BC316" i="2"/>
  <c r="BD316" i="2"/>
  <c r="BE316" i="2"/>
  <c r="BF316" i="2"/>
  <c r="BG316" i="2"/>
  <c r="BH316" i="2"/>
  <c r="BI316" i="2"/>
  <c r="D317" i="2"/>
  <c r="E317" i="2"/>
  <c r="F317" i="2"/>
  <c r="G317" i="2"/>
  <c r="H317" i="2"/>
  <c r="I317" i="2"/>
  <c r="J317" i="2"/>
  <c r="K317" i="2"/>
  <c r="L317" i="2"/>
  <c r="M317" i="2"/>
  <c r="N317" i="2"/>
  <c r="O317" i="2"/>
  <c r="P317" i="2"/>
  <c r="Q317" i="2"/>
  <c r="R317" i="2"/>
  <c r="S317" i="2"/>
  <c r="T317" i="2"/>
  <c r="U317" i="2"/>
  <c r="V317" i="2"/>
  <c r="W317" i="2"/>
  <c r="X317" i="2"/>
  <c r="Y317" i="2"/>
  <c r="Z317" i="2"/>
  <c r="AA317" i="2"/>
  <c r="AB317" i="2"/>
  <c r="AC317" i="2"/>
  <c r="AD317" i="2"/>
  <c r="AE317" i="2"/>
  <c r="AF317" i="2"/>
  <c r="AG317" i="2"/>
  <c r="AH317" i="2"/>
  <c r="AI317" i="2"/>
  <c r="AJ317" i="2"/>
  <c r="AK317" i="2"/>
  <c r="AL317" i="2"/>
  <c r="AM317" i="2"/>
  <c r="AN317" i="2"/>
  <c r="AO317" i="2"/>
  <c r="AP317" i="2"/>
  <c r="AQ317" i="2"/>
  <c r="AR317" i="2"/>
  <c r="AS317" i="2"/>
  <c r="AT317" i="2"/>
  <c r="AU317" i="2"/>
  <c r="AV317" i="2"/>
  <c r="AW317" i="2"/>
  <c r="AX317" i="2"/>
  <c r="AY317" i="2"/>
  <c r="AZ317" i="2"/>
  <c r="BA317" i="2"/>
  <c r="BB317" i="2"/>
  <c r="BC317" i="2"/>
  <c r="BD317" i="2"/>
  <c r="BE317" i="2"/>
  <c r="BF317" i="2"/>
  <c r="BG317" i="2"/>
  <c r="BH317" i="2"/>
  <c r="BI317" i="2"/>
  <c r="D318" i="2"/>
  <c r="E318" i="2"/>
  <c r="F318" i="2"/>
  <c r="G318" i="2"/>
  <c r="H318" i="2"/>
  <c r="I318" i="2"/>
  <c r="J318" i="2"/>
  <c r="K318" i="2"/>
  <c r="L318" i="2"/>
  <c r="M318" i="2"/>
  <c r="N318" i="2"/>
  <c r="O318" i="2"/>
  <c r="P318" i="2"/>
  <c r="Q318" i="2"/>
  <c r="R318" i="2"/>
  <c r="S318" i="2"/>
  <c r="T318" i="2"/>
  <c r="U318" i="2"/>
  <c r="V318" i="2"/>
  <c r="W318" i="2"/>
  <c r="X318" i="2"/>
  <c r="Y318" i="2"/>
  <c r="Z318" i="2"/>
  <c r="AA318" i="2"/>
  <c r="AB318" i="2"/>
  <c r="AC318" i="2"/>
  <c r="AD318" i="2"/>
  <c r="AE318" i="2"/>
  <c r="AF318" i="2"/>
  <c r="AG318" i="2"/>
  <c r="AH318" i="2"/>
  <c r="AI318" i="2"/>
  <c r="AJ318" i="2"/>
  <c r="AK318" i="2"/>
  <c r="AL318" i="2"/>
  <c r="AM318" i="2"/>
  <c r="AN318" i="2"/>
  <c r="AO318" i="2"/>
  <c r="AP318" i="2"/>
  <c r="AQ318" i="2"/>
  <c r="AR318" i="2"/>
  <c r="AS318" i="2"/>
  <c r="AT318" i="2"/>
  <c r="AU318" i="2"/>
  <c r="AV318" i="2"/>
  <c r="AW318" i="2"/>
  <c r="AX318" i="2"/>
  <c r="AY318" i="2"/>
  <c r="AZ318" i="2"/>
  <c r="BA318" i="2"/>
  <c r="BB318" i="2"/>
  <c r="BC318" i="2"/>
  <c r="BD318" i="2"/>
  <c r="BE318" i="2"/>
  <c r="BF318" i="2"/>
  <c r="BG318" i="2"/>
  <c r="BH318" i="2"/>
  <c r="BI318" i="2"/>
  <c r="D319" i="2"/>
  <c r="E319" i="2"/>
  <c r="F319" i="2"/>
  <c r="G319" i="2"/>
  <c r="H319" i="2"/>
  <c r="I319" i="2"/>
  <c r="J319" i="2"/>
  <c r="K319" i="2"/>
  <c r="L319" i="2"/>
  <c r="M319" i="2"/>
  <c r="N319" i="2"/>
  <c r="O319" i="2"/>
  <c r="P319" i="2"/>
  <c r="Q319" i="2"/>
  <c r="R319" i="2"/>
  <c r="S319" i="2"/>
  <c r="T319" i="2"/>
  <c r="U319" i="2"/>
  <c r="V319" i="2"/>
  <c r="W319" i="2"/>
  <c r="X319" i="2"/>
  <c r="Y319" i="2"/>
  <c r="Z319" i="2"/>
  <c r="AA319" i="2"/>
  <c r="AB319" i="2"/>
  <c r="AC319" i="2"/>
  <c r="AD319" i="2"/>
  <c r="AE319" i="2"/>
  <c r="AF319" i="2"/>
  <c r="AG319" i="2"/>
  <c r="AH319" i="2"/>
  <c r="AI319" i="2"/>
  <c r="AJ319" i="2"/>
  <c r="AK319" i="2"/>
  <c r="AL319" i="2"/>
  <c r="AM319" i="2"/>
  <c r="AN319" i="2"/>
  <c r="AO319" i="2"/>
  <c r="AP319" i="2"/>
  <c r="AQ319" i="2"/>
  <c r="AR319" i="2"/>
  <c r="AS319" i="2"/>
  <c r="AT319" i="2"/>
  <c r="AU319" i="2"/>
  <c r="AV319" i="2"/>
  <c r="AW319" i="2"/>
  <c r="AX319" i="2"/>
  <c r="AY319" i="2"/>
  <c r="AZ319" i="2"/>
  <c r="BA319" i="2"/>
  <c r="BB319" i="2"/>
  <c r="BC319" i="2"/>
  <c r="BD319" i="2"/>
  <c r="BE319" i="2"/>
  <c r="BF319" i="2"/>
  <c r="BG319" i="2"/>
  <c r="BH319" i="2"/>
  <c r="BI319" i="2"/>
  <c r="D320" i="2"/>
  <c r="E320" i="2"/>
  <c r="F320" i="2"/>
  <c r="G320" i="2"/>
  <c r="H320" i="2"/>
  <c r="I320" i="2"/>
  <c r="J320" i="2"/>
  <c r="K320" i="2"/>
  <c r="L320" i="2"/>
  <c r="M320" i="2"/>
  <c r="N320" i="2"/>
  <c r="O320" i="2"/>
  <c r="P320" i="2"/>
  <c r="Q320" i="2"/>
  <c r="R320" i="2"/>
  <c r="S320" i="2"/>
  <c r="T320" i="2"/>
  <c r="U320" i="2"/>
  <c r="V320" i="2"/>
  <c r="W320" i="2"/>
  <c r="X320" i="2"/>
  <c r="Y320" i="2"/>
  <c r="Z320" i="2"/>
  <c r="AA320" i="2"/>
  <c r="AB320" i="2"/>
  <c r="AC320" i="2"/>
  <c r="AD320" i="2"/>
  <c r="AE320" i="2"/>
  <c r="AF320" i="2"/>
  <c r="AG320" i="2"/>
  <c r="AH320" i="2"/>
  <c r="AI320" i="2"/>
  <c r="AJ320" i="2"/>
  <c r="AK320" i="2"/>
  <c r="AL320" i="2"/>
  <c r="AM320" i="2"/>
  <c r="AN320" i="2"/>
  <c r="AO320" i="2"/>
  <c r="AP320" i="2"/>
  <c r="AQ320" i="2"/>
  <c r="AR320" i="2"/>
  <c r="AS320" i="2"/>
  <c r="AT320" i="2"/>
  <c r="AU320" i="2"/>
  <c r="AV320" i="2"/>
  <c r="AW320" i="2"/>
  <c r="AX320" i="2"/>
  <c r="AY320" i="2"/>
  <c r="AZ320" i="2"/>
  <c r="BA320" i="2"/>
  <c r="BB320" i="2"/>
  <c r="BC320" i="2"/>
  <c r="BD320" i="2"/>
  <c r="BE320" i="2"/>
  <c r="BF320" i="2"/>
  <c r="BG320" i="2"/>
  <c r="BH320" i="2"/>
  <c r="BI320" i="2"/>
  <c r="D321" i="2"/>
  <c r="E321" i="2"/>
  <c r="F321" i="2"/>
  <c r="G321" i="2"/>
  <c r="H321" i="2"/>
  <c r="I321" i="2"/>
  <c r="J321" i="2"/>
  <c r="K321" i="2"/>
  <c r="L321" i="2"/>
  <c r="M321" i="2"/>
  <c r="N321" i="2"/>
  <c r="O321" i="2"/>
  <c r="P321" i="2"/>
  <c r="Q321" i="2"/>
  <c r="R321" i="2"/>
  <c r="S321" i="2"/>
  <c r="T321" i="2"/>
  <c r="U321" i="2"/>
  <c r="V321" i="2"/>
  <c r="W321" i="2"/>
  <c r="X321" i="2"/>
  <c r="Y321" i="2"/>
  <c r="Z321" i="2"/>
  <c r="AA321" i="2"/>
  <c r="AB321" i="2"/>
  <c r="AC321" i="2"/>
  <c r="AD321" i="2"/>
  <c r="AE321" i="2"/>
  <c r="AF321" i="2"/>
  <c r="AG321" i="2"/>
  <c r="AH321" i="2"/>
  <c r="AI321" i="2"/>
  <c r="AJ321" i="2"/>
  <c r="AK321" i="2"/>
  <c r="AL321" i="2"/>
  <c r="AM321" i="2"/>
  <c r="AN321" i="2"/>
  <c r="AO321" i="2"/>
  <c r="AP321" i="2"/>
  <c r="AQ321" i="2"/>
  <c r="AR321" i="2"/>
  <c r="AS321" i="2"/>
  <c r="AT321" i="2"/>
  <c r="AU321" i="2"/>
  <c r="AV321" i="2"/>
  <c r="AW321" i="2"/>
  <c r="AX321" i="2"/>
  <c r="AY321" i="2"/>
  <c r="AZ321" i="2"/>
  <c r="BA321" i="2"/>
  <c r="BB321" i="2"/>
  <c r="BC321" i="2"/>
  <c r="BD321" i="2"/>
  <c r="BE321" i="2"/>
  <c r="BF321" i="2"/>
  <c r="BG321" i="2"/>
  <c r="BH321" i="2"/>
  <c r="BI321" i="2"/>
  <c r="D322" i="2"/>
  <c r="E322" i="2"/>
  <c r="F322" i="2"/>
  <c r="G322" i="2"/>
  <c r="H322" i="2"/>
  <c r="I322" i="2"/>
  <c r="J322" i="2"/>
  <c r="K322" i="2"/>
  <c r="L322" i="2"/>
  <c r="M322" i="2"/>
  <c r="N322" i="2"/>
  <c r="O322" i="2"/>
  <c r="P322" i="2"/>
  <c r="Q322" i="2"/>
  <c r="R322" i="2"/>
  <c r="S322" i="2"/>
  <c r="T322" i="2"/>
  <c r="U322" i="2"/>
  <c r="V322" i="2"/>
  <c r="W322" i="2"/>
  <c r="X322" i="2"/>
  <c r="Y322" i="2"/>
  <c r="Z322" i="2"/>
  <c r="AA322" i="2"/>
  <c r="AB322" i="2"/>
  <c r="AC322" i="2"/>
  <c r="AD322" i="2"/>
  <c r="AE322" i="2"/>
  <c r="AF322" i="2"/>
  <c r="AG322" i="2"/>
  <c r="AH322" i="2"/>
  <c r="AI322" i="2"/>
  <c r="AJ322" i="2"/>
  <c r="AK322" i="2"/>
  <c r="AL322" i="2"/>
  <c r="AM322" i="2"/>
  <c r="AN322" i="2"/>
  <c r="AO322" i="2"/>
  <c r="AP322" i="2"/>
  <c r="AQ322" i="2"/>
  <c r="AR322" i="2"/>
  <c r="AS322" i="2"/>
  <c r="AT322" i="2"/>
  <c r="AU322" i="2"/>
  <c r="AV322" i="2"/>
  <c r="AW322" i="2"/>
  <c r="AX322" i="2"/>
  <c r="AY322" i="2"/>
  <c r="AZ322" i="2"/>
  <c r="BA322" i="2"/>
  <c r="BB322" i="2"/>
  <c r="BC322" i="2"/>
  <c r="BD322" i="2"/>
  <c r="BE322" i="2"/>
  <c r="BF322" i="2"/>
  <c r="BG322" i="2"/>
  <c r="BH322" i="2"/>
  <c r="BI322" i="2"/>
  <c r="D323" i="2"/>
  <c r="E323" i="2"/>
  <c r="F323" i="2"/>
  <c r="G323" i="2"/>
  <c r="H323" i="2"/>
  <c r="I323" i="2"/>
  <c r="J323" i="2"/>
  <c r="K323" i="2"/>
  <c r="L323" i="2"/>
  <c r="M323" i="2"/>
  <c r="N323" i="2"/>
  <c r="O323" i="2"/>
  <c r="P323" i="2"/>
  <c r="Q323" i="2"/>
  <c r="R323" i="2"/>
  <c r="S323" i="2"/>
  <c r="T323" i="2"/>
  <c r="U323" i="2"/>
  <c r="V323" i="2"/>
  <c r="W323" i="2"/>
  <c r="X323" i="2"/>
  <c r="Y323" i="2"/>
  <c r="Z323" i="2"/>
  <c r="AA323" i="2"/>
  <c r="AB323" i="2"/>
  <c r="AC323" i="2"/>
  <c r="AD323" i="2"/>
  <c r="AE323" i="2"/>
  <c r="AF323" i="2"/>
  <c r="AG323" i="2"/>
  <c r="AH323" i="2"/>
  <c r="AI323" i="2"/>
  <c r="AJ323" i="2"/>
  <c r="AK323" i="2"/>
  <c r="AL323" i="2"/>
  <c r="AM323" i="2"/>
  <c r="AN323" i="2"/>
  <c r="AO323" i="2"/>
  <c r="AP323" i="2"/>
  <c r="AQ323" i="2"/>
  <c r="AR323" i="2"/>
  <c r="AS323" i="2"/>
  <c r="AT323" i="2"/>
  <c r="AU323" i="2"/>
  <c r="AV323" i="2"/>
  <c r="AW323" i="2"/>
  <c r="AX323" i="2"/>
  <c r="AY323" i="2"/>
  <c r="AZ323" i="2"/>
  <c r="BA323" i="2"/>
  <c r="BB323" i="2"/>
  <c r="BC323" i="2"/>
  <c r="BD323" i="2"/>
  <c r="BE323" i="2"/>
  <c r="BF323" i="2"/>
  <c r="BG323" i="2"/>
  <c r="BH323" i="2"/>
  <c r="BI323" i="2"/>
  <c r="D324" i="2"/>
  <c r="E324" i="2"/>
  <c r="F324" i="2"/>
  <c r="G324" i="2"/>
  <c r="H324" i="2"/>
  <c r="I324" i="2"/>
  <c r="J324" i="2"/>
  <c r="K324" i="2"/>
  <c r="L324" i="2"/>
  <c r="M324" i="2"/>
  <c r="N324" i="2"/>
  <c r="O324" i="2"/>
  <c r="P324" i="2"/>
  <c r="Q324" i="2"/>
  <c r="R324" i="2"/>
  <c r="S324" i="2"/>
  <c r="T324" i="2"/>
  <c r="U324" i="2"/>
  <c r="V324" i="2"/>
  <c r="W324" i="2"/>
  <c r="X324" i="2"/>
  <c r="Y324" i="2"/>
  <c r="Z324" i="2"/>
  <c r="AA324" i="2"/>
  <c r="AB324" i="2"/>
  <c r="AC324" i="2"/>
  <c r="AD324" i="2"/>
  <c r="AE324" i="2"/>
  <c r="AF324" i="2"/>
  <c r="AG324" i="2"/>
  <c r="AH324" i="2"/>
  <c r="AI324" i="2"/>
  <c r="AJ324" i="2"/>
  <c r="AK324" i="2"/>
  <c r="AL324" i="2"/>
  <c r="AM324" i="2"/>
  <c r="AN324" i="2"/>
  <c r="AO324" i="2"/>
  <c r="AP324" i="2"/>
  <c r="AQ324" i="2"/>
  <c r="AR324" i="2"/>
  <c r="AS324" i="2"/>
  <c r="AT324" i="2"/>
  <c r="AU324" i="2"/>
  <c r="AV324" i="2"/>
  <c r="AW324" i="2"/>
  <c r="AX324" i="2"/>
  <c r="AY324" i="2"/>
  <c r="AZ324" i="2"/>
  <c r="BA324" i="2"/>
  <c r="BB324" i="2"/>
  <c r="BC324" i="2"/>
  <c r="BD324" i="2"/>
  <c r="BE324" i="2"/>
  <c r="BF324" i="2"/>
  <c r="BG324" i="2"/>
  <c r="BH324" i="2"/>
  <c r="BI324" i="2"/>
  <c r="D325" i="2"/>
  <c r="E325" i="2"/>
  <c r="F325" i="2"/>
  <c r="G325" i="2"/>
  <c r="H325" i="2"/>
  <c r="I325" i="2"/>
  <c r="J325" i="2"/>
  <c r="K325" i="2"/>
  <c r="L325" i="2"/>
  <c r="M325" i="2"/>
  <c r="N325" i="2"/>
  <c r="O325" i="2"/>
  <c r="P325" i="2"/>
  <c r="Q325" i="2"/>
  <c r="R325" i="2"/>
  <c r="S325" i="2"/>
  <c r="T325" i="2"/>
  <c r="U325" i="2"/>
  <c r="V325" i="2"/>
  <c r="W325" i="2"/>
  <c r="X325" i="2"/>
  <c r="Y325" i="2"/>
  <c r="Z325" i="2"/>
  <c r="AA325" i="2"/>
  <c r="AB325" i="2"/>
  <c r="AC325" i="2"/>
  <c r="AD325" i="2"/>
  <c r="AE325" i="2"/>
  <c r="AF325" i="2"/>
  <c r="AG325" i="2"/>
  <c r="AH325" i="2"/>
  <c r="AI325" i="2"/>
  <c r="AJ325" i="2"/>
  <c r="AK325" i="2"/>
  <c r="AL325" i="2"/>
  <c r="AM325" i="2"/>
  <c r="AN325" i="2"/>
  <c r="AO325" i="2"/>
  <c r="AP325" i="2"/>
  <c r="AQ325" i="2"/>
  <c r="AR325" i="2"/>
  <c r="AS325" i="2"/>
  <c r="AT325" i="2"/>
  <c r="AU325" i="2"/>
  <c r="AV325" i="2"/>
  <c r="AW325" i="2"/>
  <c r="AX325" i="2"/>
  <c r="AY325" i="2"/>
  <c r="AZ325" i="2"/>
  <c r="BA325" i="2"/>
  <c r="BB325" i="2"/>
  <c r="BC325" i="2"/>
  <c r="BD325" i="2"/>
  <c r="BE325" i="2"/>
  <c r="BF325" i="2"/>
  <c r="BG325" i="2"/>
  <c r="BH325" i="2"/>
  <c r="BI325" i="2"/>
  <c r="D326" i="2"/>
  <c r="E326" i="2"/>
  <c r="F326" i="2"/>
  <c r="G326" i="2"/>
  <c r="H326" i="2"/>
  <c r="I326" i="2"/>
  <c r="J326" i="2"/>
  <c r="K326" i="2"/>
  <c r="L326" i="2"/>
  <c r="M326" i="2"/>
  <c r="N326" i="2"/>
  <c r="O326" i="2"/>
  <c r="P326" i="2"/>
  <c r="Q326" i="2"/>
  <c r="R326" i="2"/>
  <c r="S326" i="2"/>
  <c r="T326" i="2"/>
  <c r="U326" i="2"/>
  <c r="V326" i="2"/>
  <c r="W326" i="2"/>
  <c r="X326" i="2"/>
  <c r="Y326" i="2"/>
  <c r="Z326" i="2"/>
  <c r="AA326" i="2"/>
  <c r="AB326" i="2"/>
  <c r="AC326" i="2"/>
  <c r="AD326" i="2"/>
  <c r="AE326" i="2"/>
  <c r="AF326" i="2"/>
  <c r="AG326" i="2"/>
  <c r="AH326" i="2"/>
  <c r="AI326" i="2"/>
  <c r="AJ326" i="2"/>
  <c r="AK326" i="2"/>
  <c r="AL326" i="2"/>
  <c r="AM326" i="2"/>
  <c r="AN326" i="2"/>
  <c r="AO326" i="2"/>
  <c r="AP326" i="2"/>
  <c r="AQ326" i="2"/>
  <c r="AR326" i="2"/>
  <c r="AS326" i="2"/>
  <c r="AT326" i="2"/>
  <c r="AU326" i="2"/>
  <c r="AV326" i="2"/>
  <c r="AW326" i="2"/>
  <c r="AX326" i="2"/>
  <c r="AY326" i="2"/>
  <c r="AZ326" i="2"/>
  <c r="BA326" i="2"/>
  <c r="BB326" i="2"/>
  <c r="BC326" i="2"/>
  <c r="BD326" i="2"/>
  <c r="BE326" i="2"/>
  <c r="BF326" i="2"/>
  <c r="BG326" i="2"/>
  <c r="BH326" i="2"/>
  <c r="BI326" i="2"/>
  <c r="D327" i="2"/>
  <c r="E327" i="2"/>
  <c r="F327" i="2"/>
  <c r="G327" i="2"/>
  <c r="H327" i="2"/>
  <c r="I327" i="2"/>
  <c r="J327" i="2"/>
  <c r="K327" i="2"/>
  <c r="L327" i="2"/>
  <c r="M327" i="2"/>
  <c r="N327" i="2"/>
  <c r="O327" i="2"/>
  <c r="P327" i="2"/>
  <c r="Q327" i="2"/>
  <c r="R327" i="2"/>
  <c r="S327" i="2"/>
  <c r="T327" i="2"/>
  <c r="U327" i="2"/>
  <c r="V327" i="2"/>
  <c r="W327" i="2"/>
  <c r="X327" i="2"/>
  <c r="Y327" i="2"/>
  <c r="Z327" i="2"/>
  <c r="AA327" i="2"/>
  <c r="AB327" i="2"/>
  <c r="AC327" i="2"/>
  <c r="AD327" i="2"/>
  <c r="AE327" i="2"/>
  <c r="AF327" i="2"/>
  <c r="AG327" i="2"/>
  <c r="AH327" i="2"/>
  <c r="AI327" i="2"/>
  <c r="AJ327" i="2"/>
  <c r="AK327" i="2"/>
  <c r="AL327" i="2"/>
  <c r="AM327" i="2"/>
  <c r="AN327" i="2"/>
  <c r="AO327" i="2"/>
  <c r="AP327" i="2"/>
  <c r="AQ327" i="2"/>
  <c r="AR327" i="2"/>
  <c r="AS327" i="2"/>
  <c r="AT327" i="2"/>
  <c r="AU327" i="2"/>
  <c r="AV327" i="2"/>
  <c r="AW327" i="2"/>
  <c r="AX327" i="2"/>
  <c r="AY327" i="2"/>
  <c r="AZ327" i="2"/>
  <c r="BA327" i="2"/>
  <c r="BB327" i="2"/>
  <c r="BC327" i="2"/>
  <c r="BD327" i="2"/>
  <c r="BE327" i="2"/>
  <c r="BF327" i="2"/>
  <c r="BG327" i="2"/>
  <c r="BH327" i="2"/>
  <c r="BI327" i="2"/>
  <c r="D239" i="2"/>
  <c r="E239" i="2"/>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AN239" i="2"/>
  <c r="AO239" i="2"/>
  <c r="AP239" i="2"/>
  <c r="AQ239" i="2"/>
  <c r="AR239" i="2"/>
  <c r="AS239" i="2"/>
  <c r="AT239" i="2"/>
  <c r="AU239" i="2"/>
  <c r="AV239" i="2"/>
  <c r="AW239" i="2"/>
  <c r="AX239" i="2"/>
  <c r="AY239" i="2"/>
  <c r="AZ239" i="2"/>
  <c r="BA239" i="2"/>
  <c r="BB239" i="2"/>
  <c r="BC239" i="2"/>
  <c r="BD239" i="2"/>
  <c r="BE239" i="2"/>
  <c r="BF239" i="2"/>
  <c r="BG239" i="2"/>
  <c r="BH239" i="2"/>
  <c r="BI239" i="2"/>
  <c r="D240" i="2"/>
  <c r="E240" i="2"/>
  <c r="F240" i="2"/>
  <c r="G240" i="2"/>
  <c r="H240" i="2"/>
  <c r="I240" i="2"/>
  <c r="J240" i="2"/>
  <c r="K240" i="2"/>
  <c r="L240" i="2"/>
  <c r="M240" i="2"/>
  <c r="N240" i="2"/>
  <c r="O240" i="2"/>
  <c r="P240" i="2"/>
  <c r="Q240" i="2"/>
  <c r="R240" i="2"/>
  <c r="S240" i="2"/>
  <c r="T240" i="2"/>
  <c r="U240" i="2"/>
  <c r="V240" i="2"/>
  <c r="W240" i="2"/>
  <c r="X240" i="2"/>
  <c r="Y240" i="2"/>
  <c r="Z240" i="2"/>
  <c r="AA240" i="2"/>
  <c r="AB240" i="2"/>
  <c r="AC240" i="2"/>
  <c r="AD240" i="2"/>
  <c r="AE240" i="2"/>
  <c r="AF240" i="2"/>
  <c r="AG240" i="2"/>
  <c r="AH240" i="2"/>
  <c r="AI240" i="2"/>
  <c r="AJ240" i="2"/>
  <c r="AK240" i="2"/>
  <c r="AL240" i="2"/>
  <c r="AM240" i="2"/>
  <c r="AN240" i="2"/>
  <c r="AO240" i="2"/>
  <c r="AP240" i="2"/>
  <c r="AQ240" i="2"/>
  <c r="AR240" i="2"/>
  <c r="AS240" i="2"/>
  <c r="AT240" i="2"/>
  <c r="AU240" i="2"/>
  <c r="AV240" i="2"/>
  <c r="AW240" i="2"/>
  <c r="AX240" i="2"/>
  <c r="AY240" i="2"/>
  <c r="AZ240" i="2"/>
  <c r="BA240" i="2"/>
  <c r="BB240" i="2"/>
  <c r="BC240" i="2"/>
  <c r="BD240" i="2"/>
  <c r="BE240" i="2"/>
  <c r="BF240" i="2"/>
  <c r="BG240" i="2"/>
  <c r="BH240" i="2"/>
  <c r="BI240" i="2"/>
  <c r="D241" i="2"/>
  <c r="E241" i="2"/>
  <c r="F241" i="2"/>
  <c r="G241" i="2"/>
  <c r="H241" i="2"/>
  <c r="I241" i="2"/>
  <c r="J241" i="2"/>
  <c r="K241" i="2"/>
  <c r="L241" i="2"/>
  <c r="M241" i="2"/>
  <c r="N241" i="2"/>
  <c r="O241" i="2"/>
  <c r="P241" i="2"/>
  <c r="Q241" i="2"/>
  <c r="R241" i="2"/>
  <c r="S241" i="2"/>
  <c r="T241" i="2"/>
  <c r="U241" i="2"/>
  <c r="V241" i="2"/>
  <c r="W241" i="2"/>
  <c r="X241" i="2"/>
  <c r="Y241" i="2"/>
  <c r="Z241" i="2"/>
  <c r="AA241" i="2"/>
  <c r="AB241" i="2"/>
  <c r="AC241" i="2"/>
  <c r="AD241" i="2"/>
  <c r="AE241" i="2"/>
  <c r="AF241" i="2"/>
  <c r="AG241" i="2"/>
  <c r="AH241" i="2"/>
  <c r="AI241" i="2"/>
  <c r="AJ241" i="2"/>
  <c r="AK241" i="2"/>
  <c r="AL241" i="2"/>
  <c r="AM241" i="2"/>
  <c r="AN241" i="2"/>
  <c r="AO241" i="2"/>
  <c r="AP241" i="2"/>
  <c r="AQ241" i="2"/>
  <c r="AR241" i="2"/>
  <c r="AS241" i="2"/>
  <c r="AT241" i="2"/>
  <c r="AU241" i="2"/>
  <c r="AV241" i="2"/>
  <c r="AW241" i="2"/>
  <c r="AX241" i="2"/>
  <c r="AY241" i="2"/>
  <c r="AZ241" i="2"/>
  <c r="BA241" i="2"/>
  <c r="BB241" i="2"/>
  <c r="BC241" i="2"/>
  <c r="BD241" i="2"/>
  <c r="BE241" i="2"/>
  <c r="BF241" i="2"/>
  <c r="BG241" i="2"/>
  <c r="BH241" i="2"/>
  <c r="BI241" i="2"/>
  <c r="D242" i="2"/>
  <c r="E242" i="2"/>
  <c r="F242" i="2"/>
  <c r="G242" i="2"/>
  <c r="H242" i="2"/>
  <c r="I242" i="2"/>
  <c r="J242" i="2"/>
  <c r="K242" i="2"/>
  <c r="L242" i="2"/>
  <c r="M242" i="2"/>
  <c r="N242" i="2"/>
  <c r="O242" i="2"/>
  <c r="P242" i="2"/>
  <c r="Q242" i="2"/>
  <c r="R242" i="2"/>
  <c r="S242" i="2"/>
  <c r="T242" i="2"/>
  <c r="U242" i="2"/>
  <c r="V242" i="2"/>
  <c r="W242" i="2"/>
  <c r="X242" i="2"/>
  <c r="Y242" i="2"/>
  <c r="Z242" i="2"/>
  <c r="AA242" i="2"/>
  <c r="AB242" i="2"/>
  <c r="AC242" i="2"/>
  <c r="AD242" i="2"/>
  <c r="AE242" i="2"/>
  <c r="AF242" i="2"/>
  <c r="AG242" i="2"/>
  <c r="AH242" i="2"/>
  <c r="AI242" i="2"/>
  <c r="AJ242" i="2"/>
  <c r="AK242" i="2"/>
  <c r="AL242" i="2"/>
  <c r="AM242" i="2"/>
  <c r="AN242" i="2"/>
  <c r="AO242" i="2"/>
  <c r="AP242" i="2"/>
  <c r="AQ242" i="2"/>
  <c r="AR242" i="2"/>
  <c r="AS242" i="2"/>
  <c r="AT242" i="2"/>
  <c r="AU242" i="2"/>
  <c r="AV242" i="2"/>
  <c r="AW242" i="2"/>
  <c r="AX242" i="2"/>
  <c r="AY242" i="2"/>
  <c r="AZ242" i="2"/>
  <c r="BA242" i="2"/>
  <c r="BB242" i="2"/>
  <c r="BC242" i="2"/>
  <c r="BD242" i="2"/>
  <c r="BE242" i="2"/>
  <c r="BF242" i="2"/>
  <c r="BG242" i="2"/>
  <c r="BH242" i="2"/>
  <c r="BI242" i="2"/>
  <c r="D243" i="2"/>
  <c r="E243" i="2"/>
  <c r="F243" i="2"/>
  <c r="G243" i="2"/>
  <c r="H243" i="2"/>
  <c r="I243" i="2"/>
  <c r="J243" i="2"/>
  <c r="K243" i="2"/>
  <c r="L243" i="2"/>
  <c r="M243" i="2"/>
  <c r="N243" i="2"/>
  <c r="O243" i="2"/>
  <c r="P243" i="2"/>
  <c r="Q243" i="2"/>
  <c r="R243" i="2"/>
  <c r="S243" i="2"/>
  <c r="T243" i="2"/>
  <c r="U243" i="2"/>
  <c r="V243" i="2"/>
  <c r="W243" i="2"/>
  <c r="X243" i="2"/>
  <c r="Y243" i="2"/>
  <c r="Z243" i="2"/>
  <c r="AA243" i="2"/>
  <c r="AB243" i="2"/>
  <c r="AC243" i="2"/>
  <c r="AD243" i="2"/>
  <c r="AE243" i="2"/>
  <c r="AF243" i="2"/>
  <c r="AG243" i="2"/>
  <c r="AH243" i="2"/>
  <c r="AI243" i="2"/>
  <c r="AJ243" i="2"/>
  <c r="AK243" i="2"/>
  <c r="AL243" i="2"/>
  <c r="AM243" i="2"/>
  <c r="AN243" i="2"/>
  <c r="AO243" i="2"/>
  <c r="AP243" i="2"/>
  <c r="AQ243" i="2"/>
  <c r="AR243" i="2"/>
  <c r="AS243" i="2"/>
  <c r="AT243" i="2"/>
  <c r="AU243" i="2"/>
  <c r="AV243" i="2"/>
  <c r="AW243" i="2"/>
  <c r="AX243" i="2"/>
  <c r="AY243" i="2"/>
  <c r="AZ243" i="2"/>
  <c r="BA243" i="2"/>
  <c r="BB243" i="2"/>
  <c r="BC243" i="2"/>
  <c r="BD243" i="2"/>
  <c r="BE243" i="2"/>
  <c r="BF243" i="2"/>
  <c r="BG243" i="2"/>
  <c r="BH243" i="2"/>
  <c r="BI243" i="2"/>
  <c r="D244" i="2"/>
  <c r="E244" i="2"/>
  <c r="F244" i="2"/>
  <c r="G244" i="2"/>
  <c r="H244" i="2"/>
  <c r="I244" i="2"/>
  <c r="J244" i="2"/>
  <c r="K244" i="2"/>
  <c r="L244" i="2"/>
  <c r="M244" i="2"/>
  <c r="N244" i="2"/>
  <c r="O244" i="2"/>
  <c r="P244" i="2"/>
  <c r="Q244" i="2"/>
  <c r="R244" i="2"/>
  <c r="S244" i="2"/>
  <c r="T244" i="2"/>
  <c r="U244" i="2"/>
  <c r="V244" i="2"/>
  <c r="W244" i="2"/>
  <c r="X244" i="2"/>
  <c r="Y244" i="2"/>
  <c r="Z244" i="2"/>
  <c r="AA244" i="2"/>
  <c r="AB244" i="2"/>
  <c r="AC244" i="2"/>
  <c r="AD244" i="2"/>
  <c r="AE244" i="2"/>
  <c r="AF244" i="2"/>
  <c r="AG244" i="2"/>
  <c r="AH244" i="2"/>
  <c r="AI244" i="2"/>
  <c r="AJ244" i="2"/>
  <c r="AK244" i="2"/>
  <c r="AL244" i="2"/>
  <c r="AM244" i="2"/>
  <c r="AN244" i="2"/>
  <c r="AO244" i="2"/>
  <c r="AP244" i="2"/>
  <c r="AQ244" i="2"/>
  <c r="AR244" i="2"/>
  <c r="AS244" i="2"/>
  <c r="AT244" i="2"/>
  <c r="AU244" i="2"/>
  <c r="AV244" i="2"/>
  <c r="AW244" i="2"/>
  <c r="AX244" i="2"/>
  <c r="AY244" i="2"/>
  <c r="AZ244" i="2"/>
  <c r="BA244" i="2"/>
  <c r="BB244" i="2"/>
  <c r="BC244" i="2"/>
  <c r="BD244" i="2"/>
  <c r="BE244" i="2"/>
  <c r="BF244" i="2"/>
  <c r="BG244" i="2"/>
  <c r="BH244" i="2"/>
  <c r="BI244" i="2"/>
  <c r="D245" i="2"/>
  <c r="E245" i="2"/>
  <c r="F245" i="2"/>
  <c r="G245" i="2"/>
  <c r="H245" i="2"/>
  <c r="I245" i="2"/>
  <c r="J245" i="2"/>
  <c r="K245" i="2"/>
  <c r="L245" i="2"/>
  <c r="M245" i="2"/>
  <c r="N245" i="2"/>
  <c r="O245" i="2"/>
  <c r="P245" i="2"/>
  <c r="Q245" i="2"/>
  <c r="R245" i="2"/>
  <c r="S245" i="2"/>
  <c r="T245" i="2"/>
  <c r="U245" i="2"/>
  <c r="V245" i="2"/>
  <c r="W245" i="2"/>
  <c r="X245" i="2"/>
  <c r="Y245" i="2"/>
  <c r="Z245" i="2"/>
  <c r="AA245" i="2"/>
  <c r="AB245" i="2"/>
  <c r="AC245" i="2"/>
  <c r="AD245" i="2"/>
  <c r="AE245" i="2"/>
  <c r="AF245" i="2"/>
  <c r="AG245" i="2"/>
  <c r="AH245" i="2"/>
  <c r="AI245" i="2"/>
  <c r="AJ245" i="2"/>
  <c r="AK245" i="2"/>
  <c r="AL245" i="2"/>
  <c r="AM245" i="2"/>
  <c r="AN245" i="2"/>
  <c r="AO245" i="2"/>
  <c r="AP245" i="2"/>
  <c r="AQ245" i="2"/>
  <c r="AR245" i="2"/>
  <c r="AS245" i="2"/>
  <c r="AT245" i="2"/>
  <c r="AU245" i="2"/>
  <c r="AV245" i="2"/>
  <c r="AW245" i="2"/>
  <c r="AX245" i="2"/>
  <c r="AY245" i="2"/>
  <c r="AZ245" i="2"/>
  <c r="BA245" i="2"/>
  <c r="BB245" i="2"/>
  <c r="BC245" i="2"/>
  <c r="BD245" i="2"/>
  <c r="BE245" i="2"/>
  <c r="BF245" i="2"/>
  <c r="BG245" i="2"/>
  <c r="BH245" i="2"/>
  <c r="BI245" i="2"/>
  <c r="D246" i="2"/>
  <c r="E246" i="2"/>
  <c r="F246" i="2"/>
  <c r="G246" i="2"/>
  <c r="H246" i="2"/>
  <c r="I246" i="2"/>
  <c r="J246" i="2"/>
  <c r="K246" i="2"/>
  <c r="L246" i="2"/>
  <c r="M246" i="2"/>
  <c r="N246" i="2"/>
  <c r="O246" i="2"/>
  <c r="P246" i="2"/>
  <c r="Q246" i="2"/>
  <c r="R246" i="2"/>
  <c r="S246" i="2"/>
  <c r="T246" i="2"/>
  <c r="U246" i="2"/>
  <c r="V246" i="2"/>
  <c r="W246" i="2"/>
  <c r="X246" i="2"/>
  <c r="Y246" i="2"/>
  <c r="Z246" i="2"/>
  <c r="AA246" i="2"/>
  <c r="AB246" i="2"/>
  <c r="AC246" i="2"/>
  <c r="AD246" i="2"/>
  <c r="AE246" i="2"/>
  <c r="AF246" i="2"/>
  <c r="AG246" i="2"/>
  <c r="AH246" i="2"/>
  <c r="AI246" i="2"/>
  <c r="AJ246" i="2"/>
  <c r="AK246" i="2"/>
  <c r="AL246" i="2"/>
  <c r="AM246" i="2"/>
  <c r="AN246" i="2"/>
  <c r="AO246" i="2"/>
  <c r="AP246" i="2"/>
  <c r="AQ246" i="2"/>
  <c r="AR246" i="2"/>
  <c r="AS246" i="2"/>
  <c r="AT246" i="2"/>
  <c r="AU246" i="2"/>
  <c r="AV246" i="2"/>
  <c r="AW246" i="2"/>
  <c r="AX246" i="2"/>
  <c r="AY246" i="2"/>
  <c r="AZ246" i="2"/>
  <c r="BA246" i="2"/>
  <c r="BB246" i="2"/>
  <c r="BC246" i="2"/>
  <c r="BD246" i="2"/>
  <c r="BE246" i="2"/>
  <c r="BF246" i="2"/>
  <c r="BG246" i="2"/>
  <c r="BH246" i="2"/>
  <c r="BI246" i="2"/>
  <c r="D247" i="2"/>
  <c r="E247" i="2"/>
  <c r="F247" i="2"/>
  <c r="G247" i="2"/>
  <c r="H247" i="2"/>
  <c r="I247" i="2"/>
  <c r="J247" i="2"/>
  <c r="K247" i="2"/>
  <c r="L247" i="2"/>
  <c r="M247" i="2"/>
  <c r="N247" i="2"/>
  <c r="O247" i="2"/>
  <c r="P247" i="2"/>
  <c r="Q247" i="2"/>
  <c r="R247" i="2"/>
  <c r="S247" i="2"/>
  <c r="T247" i="2"/>
  <c r="U247" i="2"/>
  <c r="V247" i="2"/>
  <c r="W247" i="2"/>
  <c r="X247" i="2"/>
  <c r="Y247" i="2"/>
  <c r="Z247" i="2"/>
  <c r="AA247" i="2"/>
  <c r="AB247" i="2"/>
  <c r="AC247" i="2"/>
  <c r="AD247" i="2"/>
  <c r="AE247" i="2"/>
  <c r="AF247" i="2"/>
  <c r="AG247" i="2"/>
  <c r="AH247" i="2"/>
  <c r="AI247" i="2"/>
  <c r="AJ247" i="2"/>
  <c r="AK247" i="2"/>
  <c r="AL247" i="2"/>
  <c r="AM247" i="2"/>
  <c r="AN247" i="2"/>
  <c r="AO247" i="2"/>
  <c r="AP247" i="2"/>
  <c r="AQ247" i="2"/>
  <c r="AR247" i="2"/>
  <c r="AS247" i="2"/>
  <c r="AT247" i="2"/>
  <c r="AU247" i="2"/>
  <c r="AV247" i="2"/>
  <c r="AW247" i="2"/>
  <c r="AX247" i="2"/>
  <c r="AY247" i="2"/>
  <c r="AZ247" i="2"/>
  <c r="BA247" i="2"/>
  <c r="BB247" i="2"/>
  <c r="BC247" i="2"/>
  <c r="BD247" i="2"/>
  <c r="BE247" i="2"/>
  <c r="BF247" i="2"/>
  <c r="BG247" i="2"/>
  <c r="BH247" i="2"/>
  <c r="BI247" i="2"/>
  <c r="D248" i="2"/>
  <c r="E248" i="2"/>
  <c r="F248" i="2"/>
  <c r="G248" i="2"/>
  <c r="H248" i="2"/>
  <c r="I248" i="2"/>
  <c r="J248" i="2"/>
  <c r="K248" i="2"/>
  <c r="L248" i="2"/>
  <c r="M248" i="2"/>
  <c r="N248" i="2"/>
  <c r="O248" i="2"/>
  <c r="P248" i="2"/>
  <c r="Q248" i="2"/>
  <c r="R248" i="2"/>
  <c r="S248" i="2"/>
  <c r="T248" i="2"/>
  <c r="U248" i="2"/>
  <c r="V248" i="2"/>
  <c r="W248" i="2"/>
  <c r="X248" i="2"/>
  <c r="Y248" i="2"/>
  <c r="Z248" i="2"/>
  <c r="AA248" i="2"/>
  <c r="AB248" i="2"/>
  <c r="AC248" i="2"/>
  <c r="AD248" i="2"/>
  <c r="AE248" i="2"/>
  <c r="AF248" i="2"/>
  <c r="AG248" i="2"/>
  <c r="AH248" i="2"/>
  <c r="AI248" i="2"/>
  <c r="AJ248" i="2"/>
  <c r="AK248" i="2"/>
  <c r="AL248" i="2"/>
  <c r="AM248" i="2"/>
  <c r="AN248" i="2"/>
  <c r="AO248" i="2"/>
  <c r="AP248" i="2"/>
  <c r="AQ248" i="2"/>
  <c r="AR248" i="2"/>
  <c r="AS248" i="2"/>
  <c r="AT248" i="2"/>
  <c r="AU248" i="2"/>
  <c r="AV248" i="2"/>
  <c r="AW248" i="2"/>
  <c r="AX248" i="2"/>
  <c r="AY248" i="2"/>
  <c r="AZ248" i="2"/>
  <c r="BA248" i="2"/>
  <c r="BB248" i="2"/>
  <c r="BC248" i="2"/>
  <c r="BD248" i="2"/>
  <c r="BE248" i="2"/>
  <c r="BF248" i="2"/>
  <c r="BG248" i="2"/>
  <c r="BH248" i="2"/>
  <c r="BI248" i="2"/>
  <c r="D249" i="2"/>
  <c r="E249" i="2"/>
  <c r="F249" i="2"/>
  <c r="G249" i="2"/>
  <c r="H249" i="2"/>
  <c r="I249" i="2"/>
  <c r="J249" i="2"/>
  <c r="K249" i="2"/>
  <c r="L249" i="2"/>
  <c r="M249" i="2"/>
  <c r="N249" i="2"/>
  <c r="O249" i="2"/>
  <c r="P249" i="2"/>
  <c r="Q249" i="2"/>
  <c r="R249" i="2"/>
  <c r="S249" i="2"/>
  <c r="T249" i="2"/>
  <c r="U249" i="2"/>
  <c r="V249" i="2"/>
  <c r="W249" i="2"/>
  <c r="X249" i="2"/>
  <c r="Y249" i="2"/>
  <c r="Z249" i="2"/>
  <c r="AA249" i="2"/>
  <c r="AB249" i="2"/>
  <c r="AC249" i="2"/>
  <c r="AD249" i="2"/>
  <c r="AE249" i="2"/>
  <c r="AF249" i="2"/>
  <c r="AG249" i="2"/>
  <c r="AH249" i="2"/>
  <c r="AI249" i="2"/>
  <c r="AJ249" i="2"/>
  <c r="AK249" i="2"/>
  <c r="AL249" i="2"/>
  <c r="AM249" i="2"/>
  <c r="AN249" i="2"/>
  <c r="AO249" i="2"/>
  <c r="AP249" i="2"/>
  <c r="AQ249" i="2"/>
  <c r="AR249" i="2"/>
  <c r="AS249" i="2"/>
  <c r="AT249" i="2"/>
  <c r="AU249" i="2"/>
  <c r="AV249" i="2"/>
  <c r="AW249" i="2"/>
  <c r="AX249" i="2"/>
  <c r="AY249" i="2"/>
  <c r="AZ249" i="2"/>
  <c r="BA249" i="2"/>
  <c r="BB249" i="2"/>
  <c r="BC249" i="2"/>
  <c r="BD249" i="2"/>
  <c r="BE249" i="2"/>
  <c r="BF249" i="2"/>
  <c r="BG249" i="2"/>
  <c r="BH249" i="2"/>
  <c r="BI249" i="2"/>
  <c r="D250" i="2"/>
  <c r="E250" i="2"/>
  <c r="F250" i="2"/>
  <c r="G250" i="2"/>
  <c r="H250" i="2"/>
  <c r="I250" i="2"/>
  <c r="J250" i="2"/>
  <c r="K250" i="2"/>
  <c r="L250" i="2"/>
  <c r="M250" i="2"/>
  <c r="N250" i="2"/>
  <c r="O250" i="2"/>
  <c r="P250" i="2"/>
  <c r="Q250" i="2"/>
  <c r="R250" i="2"/>
  <c r="S250" i="2"/>
  <c r="T250" i="2"/>
  <c r="U250" i="2"/>
  <c r="V250" i="2"/>
  <c r="W250" i="2"/>
  <c r="X250" i="2"/>
  <c r="Y250" i="2"/>
  <c r="Z250" i="2"/>
  <c r="AA250" i="2"/>
  <c r="AB250" i="2"/>
  <c r="AC250" i="2"/>
  <c r="AD250" i="2"/>
  <c r="AE250" i="2"/>
  <c r="AF250" i="2"/>
  <c r="AG250" i="2"/>
  <c r="AH250" i="2"/>
  <c r="AI250" i="2"/>
  <c r="AJ250" i="2"/>
  <c r="AK250" i="2"/>
  <c r="AL250" i="2"/>
  <c r="AM250" i="2"/>
  <c r="AN250" i="2"/>
  <c r="AO250" i="2"/>
  <c r="AP250" i="2"/>
  <c r="AQ250" i="2"/>
  <c r="AR250" i="2"/>
  <c r="AS250" i="2"/>
  <c r="AT250" i="2"/>
  <c r="AU250" i="2"/>
  <c r="AV250" i="2"/>
  <c r="AW250" i="2"/>
  <c r="AX250" i="2"/>
  <c r="AY250" i="2"/>
  <c r="AZ250" i="2"/>
  <c r="BA250" i="2"/>
  <c r="BB250" i="2"/>
  <c r="BC250" i="2"/>
  <c r="BD250" i="2"/>
  <c r="BE250" i="2"/>
  <c r="BF250" i="2"/>
  <c r="BG250" i="2"/>
  <c r="BH250" i="2"/>
  <c r="BI250" i="2"/>
  <c r="D251" i="2"/>
  <c r="E251" i="2"/>
  <c r="F251" i="2"/>
  <c r="G251" i="2"/>
  <c r="H251" i="2"/>
  <c r="I251" i="2"/>
  <c r="J251" i="2"/>
  <c r="K251" i="2"/>
  <c r="L251" i="2"/>
  <c r="M251" i="2"/>
  <c r="N251" i="2"/>
  <c r="O251" i="2"/>
  <c r="P251" i="2"/>
  <c r="Q251" i="2"/>
  <c r="R251" i="2"/>
  <c r="S251" i="2"/>
  <c r="T251" i="2"/>
  <c r="U251" i="2"/>
  <c r="V251" i="2"/>
  <c r="W251" i="2"/>
  <c r="X251" i="2"/>
  <c r="Y251" i="2"/>
  <c r="Z251" i="2"/>
  <c r="AA251" i="2"/>
  <c r="AB251" i="2"/>
  <c r="AC251" i="2"/>
  <c r="AD251" i="2"/>
  <c r="AE251" i="2"/>
  <c r="AF251" i="2"/>
  <c r="AG251" i="2"/>
  <c r="AH251" i="2"/>
  <c r="AI251" i="2"/>
  <c r="AJ251" i="2"/>
  <c r="AK251" i="2"/>
  <c r="AL251" i="2"/>
  <c r="AM251" i="2"/>
  <c r="AN251" i="2"/>
  <c r="AO251" i="2"/>
  <c r="AP251" i="2"/>
  <c r="AQ251" i="2"/>
  <c r="AR251" i="2"/>
  <c r="AS251" i="2"/>
  <c r="AT251" i="2"/>
  <c r="AU251" i="2"/>
  <c r="AV251" i="2"/>
  <c r="AW251" i="2"/>
  <c r="AX251" i="2"/>
  <c r="AY251" i="2"/>
  <c r="AZ251" i="2"/>
  <c r="BA251" i="2"/>
  <c r="BB251" i="2"/>
  <c r="BC251" i="2"/>
  <c r="BD251" i="2"/>
  <c r="BE251" i="2"/>
  <c r="BF251" i="2"/>
  <c r="BG251" i="2"/>
  <c r="BH251" i="2"/>
  <c r="BI251" i="2"/>
  <c r="D252" i="2"/>
  <c r="E252" i="2"/>
  <c r="F252" i="2"/>
  <c r="G252" i="2"/>
  <c r="H252" i="2"/>
  <c r="I252" i="2"/>
  <c r="J252" i="2"/>
  <c r="K252" i="2"/>
  <c r="L252" i="2"/>
  <c r="M252" i="2"/>
  <c r="N252" i="2"/>
  <c r="O252" i="2"/>
  <c r="P252" i="2"/>
  <c r="Q252" i="2"/>
  <c r="R252" i="2"/>
  <c r="S252" i="2"/>
  <c r="T252" i="2"/>
  <c r="U252" i="2"/>
  <c r="V252" i="2"/>
  <c r="W252" i="2"/>
  <c r="X252" i="2"/>
  <c r="Y252" i="2"/>
  <c r="Z252" i="2"/>
  <c r="AA252" i="2"/>
  <c r="AB252" i="2"/>
  <c r="AC252" i="2"/>
  <c r="AD252" i="2"/>
  <c r="AE252" i="2"/>
  <c r="AF252" i="2"/>
  <c r="AG252" i="2"/>
  <c r="AH252" i="2"/>
  <c r="AI252" i="2"/>
  <c r="AJ252" i="2"/>
  <c r="AK252" i="2"/>
  <c r="AL252" i="2"/>
  <c r="AM252" i="2"/>
  <c r="AN252" i="2"/>
  <c r="AO252" i="2"/>
  <c r="AP252" i="2"/>
  <c r="AQ252" i="2"/>
  <c r="AR252" i="2"/>
  <c r="AS252" i="2"/>
  <c r="AT252" i="2"/>
  <c r="AU252" i="2"/>
  <c r="AV252" i="2"/>
  <c r="AW252" i="2"/>
  <c r="AX252" i="2"/>
  <c r="AY252" i="2"/>
  <c r="AZ252" i="2"/>
  <c r="BA252" i="2"/>
  <c r="BB252" i="2"/>
  <c r="BC252" i="2"/>
  <c r="BD252" i="2"/>
  <c r="BE252" i="2"/>
  <c r="BF252" i="2"/>
  <c r="BG252" i="2"/>
  <c r="BH252" i="2"/>
  <c r="BI252" i="2"/>
  <c r="D253" i="2"/>
  <c r="E253" i="2"/>
  <c r="F253" i="2"/>
  <c r="G253" i="2"/>
  <c r="H253" i="2"/>
  <c r="I253" i="2"/>
  <c r="J253" i="2"/>
  <c r="K253" i="2"/>
  <c r="L253" i="2"/>
  <c r="M253" i="2"/>
  <c r="N253" i="2"/>
  <c r="O253" i="2"/>
  <c r="P253" i="2"/>
  <c r="Q253" i="2"/>
  <c r="R253" i="2"/>
  <c r="S253" i="2"/>
  <c r="T253" i="2"/>
  <c r="U253" i="2"/>
  <c r="V253" i="2"/>
  <c r="W253" i="2"/>
  <c r="X253" i="2"/>
  <c r="Y253" i="2"/>
  <c r="Z253" i="2"/>
  <c r="AA253" i="2"/>
  <c r="AB253" i="2"/>
  <c r="AC253" i="2"/>
  <c r="AD253" i="2"/>
  <c r="AE253" i="2"/>
  <c r="AF253" i="2"/>
  <c r="AG253" i="2"/>
  <c r="AH253" i="2"/>
  <c r="AI253" i="2"/>
  <c r="AJ253" i="2"/>
  <c r="AK253" i="2"/>
  <c r="AL253" i="2"/>
  <c r="AM253" i="2"/>
  <c r="AN253" i="2"/>
  <c r="AO253" i="2"/>
  <c r="AP253" i="2"/>
  <c r="AQ253" i="2"/>
  <c r="AR253" i="2"/>
  <c r="AS253" i="2"/>
  <c r="AT253" i="2"/>
  <c r="AU253" i="2"/>
  <c r="AV253" i="2"/>
  <c r="AW253" i="2"/>
  <c r="AX253" i="2"/>
  <c r="AY253" i="2"/>
  <c r="AZ253" i="2"/>
  <c r="BA253" i="2"/>
  <c r="BB253" i="2"/>
  <c r="BC253" i="2"/>
  <c r="BD253" i="2"/>
  <c r="BE253" i="2"/>
  <c r="BF253" i="2"/>
  <c r="BG253" i="2"/>
  <c r="BH253" i="2"/>
  <c r="BI253" i="2"/>
  <c r="D254" i="2"/>
  <c r="E254" i="2"/>
  <c r="F254" i="2"/>
  <c r="G254" i="2"/>
  <c r="H254" i="2"/>
  <c r="I254" i="2"/>
  <c r="J254" i="2"/>
  <c r="K254" i="2"/>
  <c r="L254" i="2"/>
  <c r="M254" i="2"/>
  <c r="N254" i="2"/>
  <c r="O254" i="2"/>
  <c r="P254" i="2"/>
  <c r="Q254" i="2"/>
  <c r="R254" i="2"/>
  <c r="S254" i="2"/>
  <c r="T254" i="2"/>
  <c r="U254" i="2"/>
  <c r="V254" i="2"/>
  <c r="W254" i="2"/>
  <c r="X254" i="2"/>
  <c r="Y254" i="2"/>
  <c r="Z254" i="2"/>
  <c r="AA254" i="2"/>
  <c r="AB254" i="2"/>
  <c r="AC254" i="2"/>
  <c r="AD254" i="2"/>
  <c r="AE254" i="2"/>
  <c r="AF254" i="2"/>
  <c r="AG254" i="2"/>
  <c r="AH254" i="2"/>
  <c r="AI254" i="2"/>
  <c r="AJ254" i="2"/>
  <c r="AK254" i="2"/>
  <c r="AL254" i="2"/>
  <c r="AM254" i="2"/>
  <c r="AN254" i="2"/>
  <c r="AO254" i="2"/>
  <c r="AP254" i="2"/>
  <c r="AQ254" i="2"/>
  <c r="AR254" i="2"/>
  <c r="AS254" i="2"/>
  <c r="AT254" i="2"/>
  <c r="AU254" i="2"/>
  <c r="AV254" i="2"/>
  <c r="AW254" i="2"/>
  <c r="AX254" i="2"/>
  <c r="AY254" i="2"/>
  <c r="AZ254" i="2"/>
  <c r="BA254" i="2"/>
  <c r="BB254" i="2"/>
  <c r="BC254" i="2"/>
  <c r="BD254" i="2"/>
  <c r="BE254" i="2"/>
  <c r="BF254" i="2"/>
  <c r="BG254" i="2"/>
  <c r="BH254" i="2"/>
  <c r="BI254" i="2"/>
  <c r="D255" i="2"/>
  <c r="E255" i="2"/>
  <c r="F255" i="2"/>
  <c r="G255" i="2"/>
  <c r="H255" i="2"/>
  <c r="I255" i="2"/>
  <c r="J255" i="2"/>
  <c r="K255" i="2"/>
  <c r="L255" i="2"/>
  <c r="M255" i="2"/>
  <c r="N255" i="2"/>
  <c r="O255" i="2"/>
  <c r="P255" i="2"/>
  <c r="Q255" i="2"/>
  <c r="R255" i="2"/>
  <c r="S255" i="2"/>
  <c r="T255" i="2"/>
  <c r="U255" i="2"/>
  <c r="V255" i="2"/>
  <c r="W255" i="2"/>
  <c r="X255" i="2"/>
  <c r="Y255" i="2"/>
  <c r="Z255" i="2"/>
  <c r="AA255" i="2"/>
  <c r="AB255" i="2"/>
  <c r="AC255" i="2"/>
  <c r="AD255" i="2"/>
  <c r="AE255" i="2"/>
  <c r="AF255" i="2"/>
  <c r="AG255" i="2"/>
  <c r="AH255" i="2"/>
  <c r="AI255" i="2"/>
  <c r="AJ255" i="2"/>
  <c r="AK255" i="2"/>
  <c r="AL255" i="2"/>
  <c r="AM255" i="2"/>
  <c r="AN255" i="2"/>
  <c r="AO255" i="2"/>
  <c r="AP255" i="2"/>
  <c r="AQ255" i="2"/>
  <c r="AR255" i="2"/>
  <c r="AS255" i="2"/>
  <c r="AT255" i="2"/>
  <c r="AU255" i="2"/>
  <c r="AV255" i="2"/>
  <c r="AW255" i="2"/>
  <c r="AX255" i="2"/>
  <c r="AY255" i="2"/>
  <c r="AZ255" i="2"/>
  <c r="BA255" i="2"/>
  <c r="BB255" i="2"/>
  <c r="BC255" i="2"/>
  <c r="BD255" i="2"/>
  <c r="BE255" i="2"/>
  <c r="BF255" i="2"/>
  <c r="BG255" i="2"/>
  <c r="BH255" i="2"/>
  <c r="BI255" i="2"/>
  <c r="D256" i="2"/>
  <c r="E256" i="2"/>
  <c r="F256" i="2"/>
  <c r="G256" i="2"/>
  <c r="H256" i="2"/>
  <c r="I256" i="2"/>
  <c r="J256" i="2"/>
  <c r="K256" i="2"/>
  <c r="L256" i="2"/>
  <c r="M256" i="2"/>
  <c r="N256" i="2"/>
  <c r="O256" i="2"/>
  <c r="P256" i="2"/>
  <c r="Q256" i="2"/>
  <c r="R256" i="2"/>
  <c r="S256" i="2"/>
  <c r="T256" i="2"/>
  <c r="U256" i="2"/>
  <c r="V256" i="2"/>
  <c r="W256" i="2"/>
  <c r="X256" i="2"/>
  <c r="Y256" i="2"/>
  <c r="Z256" i="2"/>
  <c r="AA256" i="2"/>
  <c r="AB256" i="2"/>
  <c r="AC256" i="2"/>
  <c r="AD256" i="2"/>
  <c r="AE256" i="2"/>
  <c r="AF256" i="2"/>
  <c r="AG256" i="2"/>
  <c r="AH256" i="2"/>
  <c r="AI256" i="2"/>
  <c r="AJ256" i="2"/>
  <c r="AK256" i="2"/>
  <c r="AL256" i="2"/>
  <c r="AM256" i="2"/>
  <c r="AN256" i="2"/>
  <c r="AO256" i="2"/>
  <c r="AP256" i="2"/>
  <c r="AQ256" i="2"/>
  <c r="AR256" i="2"/>
  <c r="AS256" i="2"/>
  <c r="AT256" i="2"/>
  <c r="AU256" i="2"/>
  <c r="AV256" i="2"/>
  <c r="AW256" i="2"/>
  <c r="AX256" i="2"/>
  <c r="AY256" i="2"/>
  <c r="AZ256" i="2"/>
  <c r="BA256" i="2"/>
  <c r="BB256" i="2"/>
  <c r="BC256" i="2"/>
  <c r="BD256" i="2"/>
  <c r="BE256" i="2"/>
  <c r="BF256" i="2"/>
  <c r="BG256" i="2"/>
  <c r="BH256" i="2"/>
  <c r="BI256" i="2"/>
  <c r="D257" i="2"/>
  <c r="E257" i="2"/>
  <c r="F257" i="2"/>
  <c r="G257" i="2"/>
  <c r="H257" i="2"/>
  <c r="I257" i="2"/>
  <c r="J257" i="2"/>
  <c r="K257" i="2"/>
  <c r="L257" i="2"/>
  <c r="M257" i="2"/>
  <c r="N257" i="2"/>
  <c r="O257" i="2"/>
  <c r="P257" i="2"/>
  <c r="Q257" i="2"/>
  <c r="R257" i="2"/>
  <c r="S257" i="2"/>
  <c r="T257" i="2"/>
  <c r="U257" i="2"/>
  <c r="V257" i="2"/>
  <c r="W257" i="2"/>
  <c r="X257" i="2"/>
  <c r="Y257" i="2"/>
  <c r="Z257" i="2"/>
  <c r="AA257" i="2"/>
  <c r="AB257" i="2"/>
  <c r="AC257" i="2"/>
  <c r="AD257" i="2"/>
  <c r="AE257" i="2"/>
  <c r="AF257" i="2"/>
  <c r="AG257" i="2"/>
  <c r="AH257" i="2"/>
  <c r="AI257" i="2"/>
  <c r="AJ257" i="2"/>
  <c r="AK257" i="2"/>
  <c r="AL257" i="2"/>
  <c r="AM257" i="2"/>
  <c r="AN257" i="2"/>
  <c r="AO257" i="2"/>
  <c r="AP257" i="2"/>
  <c r="AQ257" i="2"/>
  <c r="AR257" i="2"/>
  <c r="AS257" i="2"/>
  <c r="AT257" i="2"/>
  <c r="AU257" i="2"/>
  <c r="AV257" i="2"/>
  <c r="AW257" i="2"/>
  <c r="AX257" i="2"/>
  <c r="AY257" i="2"/>
  <c r="AZ257" i="2"/>
  <c r="BA257" i="2"/>
  <c r="BB257" i="2"/>
  <c r="BC257" i="2"/>
  <c r="BD257" i="2"/>
  <c r="BE257" i="2"/>
  <c r="BF257" i="2"/>
  <c r="BG257" i="2"/>
  <c r="BH257" i="2"/>
  <c r="BI257" i="2"/>
  <c r="D258" i="2"/>
  <c r="E258" i="2"/>
  <c r="F258" i="2"/>
  <c r="G258" i="2"/>
  <c r="H258" i="2"/>
  <c r="I258" i="2"/>
  <c r="J258" i="2"/>
  <c r="K258" i="2"/>
  <c r="L258" i="2"/>
  <c r="M258" i="2"/>
  <c r="N258" i="2"/>
  <c r="O258" i="2"/>
  <c r="P258" i="2"/>
  <c r="Q258" i="2"/>
  <c r="R258" i="2"/>
  <c r="S258" i="2"/>
  <c r="T258" i="2"/>
  <c r="U258" i="2"/>
  <c r="V258" i="2"/>
  <c r="W258" i="2"/>
  <c r="X258" i="2"/>
  <c r="Y258" i="2"/>
  <c r="Z258" i="2"/>
  <c r="AA258" i="2"/>
  <c r="AB258" i="2"/>
  <c r="AC258" i="2"/>
  <c r="AD258" i="2"/>
  <c r="AE258" i="2"/>
  <c r="AF258" i="2"/>
  <c r="AG258" i="2"/>
  <c r="AH258" i="2"/>
  <c r="AI258" i="2"/>
  <c r="AJ258" i="2"/>
  <c r="AK258" i="2"/>
  <c r="AL258" i="2"/>
  <c r="AM258" i="2"/>
  <c r="AN258" i="2"/>
  <c r="AO258" i="2"/>
  <c r="AP258" i="2"/>
  <c r="AQ258" i="2"/>
  <c r="AR258" i="2"/>
  <c r="AS258" i="2"/>
  <c r="AT258" i="2"/>
  <c r="AU258" i="2"/>
  <c r="AV258" i="2"/>
  <c r="AW258" i="2"/>
  <c r="AX258" i="2"/>
  <c r="AY258" i="2"/>
  <c r="AZ258" i="2"/>
  <c r="BA258" i="2"/>
  <c r="BB258" i="2"/>
  <c r="BC258" i="2"/>
  <c r="BD258" i="2"/>
  <c r="BE258" i="2"/>
  <c r="BF258" i="2"/>
  <c r="BG258" i="2"/>
  <c r="BH258" i="2"/>
  <c r="BI258" i="2"/>
  <c r="D259" i="2"/>
  <c r="E259" i="2"/>
  <c r="F259" i="2"/>
  <c r="G259" i="2"/>
  <c r="H259" i="2"/>
  <c r="I259" i="2"/>
  <c r="J259" i="2"/>
  <c r="K259" i="2"/>
  <c r="L259" i="2"/>
  <c r="M259" i="2"/>
  <c r="N259" i="2"/>
  <c r="O259" i="2"/>
  <c r="P259" i="2"/>
  <c r="Q259" i="2"/>
  <c r="R259" i="2"/>
  <c r="S259" i="2"/>
  <c r="T259" i="2"/>
  <c r="U259" i="2"/>
  <c r="V259" i="2"/>
  <c r="W259" i="2"/>
  <c r="X259" i="2"/>
  <c r="Y259" i="2"/>
  <c r="Z259" i="2"/>
  <c r="AA259" i="2"/>
  <c r="AB259" i="2"/>
  <c r="AC259" i="2"/>
  <c r="AD259" i="2"/>
  <c r="AE259" i="2"/>
  <c r="AF259" i="2"/>
  <c r="AG259" i="2"/>
  <c r="AH259" i="2"/>
  <c r="AI259" i="2"/>
  <c r="AJ259" i="2"/>
  <c r="AK259" i="2"/>
  <c r="AL259" i="2"/>
  <c r="AM259" i="2"/>
  <c r="AN259" i="2"/>
  <c r="AO259" i="2"/>
  <c r="AP259" i="2"/>
  <c r="AQ259" i="2"/>
  <c r="AR259" i="2"/>
  <c r="AS259" i="2"/>
  <c r="AT259" i="2"/>
  <c r="AU259" i="2"/>
  <c r="AV259" i="2"/>
  <c r="AW259" i="2"/>
  <c r="AX259" i="2"/>
  <c r="AY259" i="2"/>
  <c r="AZ259" i="2"/>
  <c r="BA259" i="2"/>
  <c r="BB259" i="2"/>
  <c r="BC259" i="2"/>
  <c r="BD259" i="2"/>
  <c r="BE259" i="2"/>
  <c r="BF259" i="2"/>
  <c r="BG259" i="2"/>
  <c r="BH259" i="2"/>
  <c r="BI259" i="2"/>
  <c r="D260" i="2"/>
  <c r="E260" i="2"/>
  <c r="F260" i="2"/>
  <c r="G260" i="2"/>
  <c r="H260" i="2"/>
  <c r="I260" i="2"/>
  <c r="J260" i="2"/>
  <c r="K260" i="2"/>
  <c r="L260" i="2"/>
  <c r="M260" i="2"/>
  <c r="N260" i="2"/>
  <c r="O260" i="2"/>
  <c r="P260" i="2"/>
  <c r="Q260" i="2"/>
  <c r="R260" i="2"/>
  <c r="S260" i="2"/>
  <c r="T260" i="2"/>
  <c r="U260" i="2"/>
  <c r="V260" i="2"/>
  <c r="W260" i="2"/>
  <c r="X260" i="2"/>
  <c r="Y260" i="2"/>
  <c r="Z260" i="2"/>
  <c r="AA260" i="2"/>
  <c r="AB260" i="2"/>
  <c r="AC260" i="2"/>
  <c r="AD260" i="2"/>
  <c r="AE260" i="2"/>
  <c r="AF260" i="2"/>
  <c r="AG260" i="2"/>
  <c r="AH260" i="2"/>
  <c r="AI260" i="2"/>
  <c r="AJ260" i="2"/>
  <c r="AK260" i="2"/>
  <c r="AL260" i="2"/>
  <c r="AM260" i="2"/>
  <c r="AN260" i="2"/>
  <c r="AO260" i="2"/>
  <c r="AP260" i="2"/>
  <c r="AQ260" i="2"/>
  <c r="AR260" i="2"/>
  <c r="AS260" i="2"/>
  <c r="AT260" i="2"/>
  <c r="AU260" i="2"/>
  <c r="AV260" i="2"/>
  <c r="AW260" i="2"/>
  <c r="AX260" i="2"/>
  <c r="AY260" i="2"/>
  <c r="AZ260" i="2"/>
  <c r="BA260" i="2"/>
  <c r="BB260" i="2"/>
  <c r="BC260" i="2"/>
  <c r="BD260" i="2"/>
  <c r="BE260" i="2"/>
  <c r="BF260" i="2"/>
  <c r="BG260" i="2"/>
  <c r="BH260" i="2"/>
  <c r="BI260" i="2"/>
  <c r="D261" i="2"/>
  <c r="E261" i="2"/>
  <c r="F261" i="2"/>
  <c r="G261" i="2"/>
  <c r="H261" i="2"/>
  <c r="I261" i="2"/>
  <c r="J261" i="2"/>
  <c r="K261" i="2"/>
  <c r="L261" i="2"/>
  <c r="M261" i="2"/>
  <c r="N261" i="2"/>
  <c r="O261" i="2"/>
  <c r="P261" i="2"/>
  <c r="Q261" i="2"/>
  <c r="R261" i="2"/>
  <c r="S261" i="2"/>
  <c r="T261" i="2"/>
  <c r="U261" i="2"/>
  <c r="V261" i="2"/>
  <c r="W261" i="2"/>
  <c r="X261" i="2"/>
  <c r="Y261" i="2"/>
  <c r="Z261" i="2"/>
  <c r="AA261" i="2"/>
  <c r="AB261" i="2"/>
  <c r="AC261" i="2"/>
  <c r="AD261" i="2"/>
  <c r="AE261" i="2"/>
  <c r="AF261" i="2"/>
  <c r="AG261" i="2"/>
  <c r="AH261" i="2"/>
  <c r="AI261" i="2"/>
  <c r="AJ261" i="2"/>
  <c r="AK261" i="2"/>
  <c r="AL261" i="2"/>
  <c r="AM261" i="2"/>
  <c r="AN261" i="2"/>
  <c r="AO261" i="2"/>
  <c r="AP261" i="2"/>
  <c r="AQ261" i="2"/>
  <c r="AR261" i="2"/>
  <c r="AS261" i="2"/>
  <c r="AT261" i="2"/>
  <c r="AU261" i="2"/>
  <c r="AV261" i="2"/>
  <c r="AW261" i="2"/>
  <c r="AX261" i="2"/>
  <c r="AY261" i="2"/>
  <c r="AZ261" i="2"/>
  <c r="BA261" i="2"/>
  <c r="BB261" i="2"/>
  <c r="BC261" i="2"/>
  <c r="BD261" i="2"/>
  <c r="BE261" i="2"/>
  <c r="BF261" i="2"/>
  <c r="BG261" i="2"/>
  <c r="BH261" i="2"/>
  <c r="BI261" i="2"/>
  <c r="D262" i="2"/>
  <c r="E262" i="2"/>
  <c r="F262" i="2"/>
  <c r="G262" i="2"/>
  <c r="H262" i="2"/>
  <c r="I262" i="2"/>
  <c r="J262" i="2"/>
  <c r="K262" i="2"/>
  <c r="L262" i="2"/>
  <c r="M262" i="2"/>
  <c r="N262" i="2"/>
  <c r="O262" i="2"/>
  <c r="P262" i="2"/>
  <c r="Q262" i="2"/>
  <c r="R262" i="2"/>
  <c r="S262" i="2"/>
  <c r="T262" i="2"/>
  <c r="U262" i="2"/>
  <c r="V262" i="2"/>
  <c r="W262" i="2"/>
  <c r="X262" i="2"/>
  <c r="Y262" i="2"/>
  <c r="Z262" i="2"/>
  <c r="AA262" i="2"/>
  <c r="AB262" i="2"/>
  <c r="AC262" i="2"/>
  <c r="AD262" i="2"/>
  <c r="AE262" i="2"/>
  <c r="AF262" i="2"/>
  <c r="AG262" i="2"/>
  <c r="AH262" i="2"/>
  <c r="AI262" i="2"/>
  <c r="AJ262" i="2"/>
  <c r="AK262" i="2"/>
  <c r="AL262" i="2"/>
  <c r="AM262" i="2"/>
  <c r="AN262" i="2"/>
  <c r="AO262" i="2"/>
  <c r="AP262" i="2"/>
  <c r="AQ262" i="2"/>
  <c r="AR262" i="2"/>
  <c r="AS262" i="2"/>
  <c r="AT262" i="2"/>
  <c r="AU262" i="2"/>
  <c r="AV262" i="2"/>
  <c r="AW262" i="2"/>
  <c r="AX262" i="2"/>
  <c r="AY262" i="2"/>
  <c r="AZ262" i="2"/>
  <c r="BA262" i="2"/>
  <c r="BB262" i="2"/>
  <c r="BC262" i="2"/>
  <c r="BD262" i="2"/>
  <c r="BE262" i="2"/>
  <c r="BF262" i="2"/>
  <c r="BG262" i="2"/>
  <c r="BH262" i="2"/>
  <c r="BI262" i="2"/>
  <c r="D263" i="2"/>
  <c r="E263" i="2"/>
  <c r="F263" i="2"/>
  <c r="G263" i="2"/>
  <c r="H263" i="2"/>
  <c r="I263" i="2"/>
  <c r="J263" i="2"/>
  <c r="K263" i="2"/>
  <c r="L263" i="2"/>
  <c r="M263" i="2"/>
  <c r="N263" i="2"/>
  <c r="O263" i="2"/>
  <c r="P263" i="2"/>
  <c r="Q263" i="2"/>
  <c r="R263" i="2"/>
  <c r="S263" i="2"/>
  <c r="T263" i="2"/>
  <c r="U263" i="2"/>
  <c r="V263" i="2"/>
  <c r="W263" i="2"/>
  <c r="X263" i="2"/>
  <c r="Y263" i="2"/>
  <c r="Z263" i="2"/>
  <c r="AA263" i="2"/>
  <c r="AB263" i="2"/>
  <c r="AC263" i="2"/>
  <c r="AD263" i="2"/>
  <c r="AE263" i="2"/>
  <c r="AF263" i="2"/>
  <c r="AG263" i="2"/>
  <c r="AH263" i="2"/>
  <c r="AI263" i="2"/>
  <c r="AJ263" i="2"/>
  <c r="AK263" i="2"/>
  <c r="AL263" i="2"/>
  <c r="AM263" i="2"/>
  <c r="AN263" i="2"/>
  <c r="AO263" i="2"/>
  <c r="AP263" i="2"/>
  <c r="AQ263" i="2"/>
  <c r="AR263" i="2"/>
  <c r="AS263" i="2"/>
  <c r="AT263" i="2"/>
  <c r="AU263" i="2"/>
  <c r="AV263" i="2"/>
  <c r="AW263" i="2"/>
  <c r="AX263" i="2"/>
  <c r="AY263" i="2"/>
  <c r="AZ263" i="2"/>
  <c r="BA263" i="2"/>
  <c r="BB263" i="2"/>
  <c r="BC263" i="2"/>
  <c r="BD263" i="2"/>
  <c r="BE263" i="2"/>
  <c r="BF263" i="2"/>
  <c r="BG263" i="2"/>
  <c r="BH263" i="2"/>
  <c r="BI263" i="2"/>
  <c r="D264" i="2"/>
  <c r="E264" i="2"/>
  <c r="F264" i="2"/>
  <c r="G264" i="2"/>
  <c r="H264" i="2"/>
  <c r="I264" i="2"/>
  <c r="J264" i="2"/>
  <c r="K264" i="2"/>
  <c r="L264" i="2"/>
  <c r="M264" i="2"/>
  <c r="N264" i="2"/>
  <c r="O264" i="2"/>
  <c r="P264" i="2"/>
  <c r="Q264" i="2"/>
  <c r="R264" i="2"/>
  <c r="S264" i="2"/>
  <c r="T264" i="2"/>
  <c r="U264" i="2"/>
  <c r="V264" i="2"/>
  <c r="W264" i="2"/>
  <c r="X264" i="2"/>
  <c r="Y264" i="2"/>
  <c r="Z264" i="2"/>
  <c r="AA264" i="2"/>
  <c r="AB264" i="2"/>
  <c r="AC264" i="2"/>
  <c r="AD264" i="2"/>
  <c r="AE264" i="2"/>
  <c r="AF264" i="2"/>
  <c r="AG264" i="2"/>
  <c r="AH264" i="2"/>
  <c r="AI264" i="2"/>
  <c r="AJ264" i="2"/>
  <c r="AK264" i="2"/>
  <c r="AL264" i="2"/>
  <c r="AM264" i="2"/>
  <c r="AN264" i="2"/>
  <c r="AO264" i="2"/>
  <c r="AP264" i="2"/>
  <c r="AQ264" i="2"/>
  <c r="AR264" i="2"/>
  <c r="AS264" i="2"/>
  <c r="AT264" i="2"/>
  <c r="AU264" i="2"/>
  <c r="AV264" i="2"/>
  <c r="AW264" i="2"/>
  <c r="AX264" i="2"/>
  <c r="AY264" i="2"/>
  <c r="AZ264" i="2"/>
  <c r="BA264" i="2"/>
  <c r="BB264" i="2"/>
  <c r="BC264" i="2"/>
  <c r="BD264" i="2"/>
  <c r="BE264" i="2"/>
  <c r="BF264" i="2"/>
  <c r="BG264" i="2"/>
  <c r="BH264" i="2"/>
  <c r="BI264" i="2"/>
  <c r="D265" i="2"/>
  <c r="E265" i="2"/>
  <c r="F265" i="2"/>
  <c r="G265" i="2"/>
  <c r="H265" i="2"/>
  <c r="I265" i="2"/>
  <c r="J265" i="2"/>
  <c r="K265" i="2"/>
  <c r="L265" i="2"/>
  <c r="M265" i="2"/>
  <c r="N265" i="2"/>
  <c r="O265" i="2"/>
  <c r="P265" i="2"/>
  <c r="Q265" i="2"/>
  <c r="R265" i="2"/>
  <c r="S265" i="2"/>
  <c r="T265" i="2"/>
  <c r="U265" i="2"/>
  <c r="V265" i="2"/>
  <c r="W265" i="2"/>
  <c r="X265" i="2"/>
  <c r="Y265" i="2"/>
  <c r="Z265" i="2"/>
  <c r="AA265" i="2"/>
  <c r="AB265" i="2"/>
  <c r="AC265" i="2"/>
  <c r="AD265" i="2"/>
  <c r="AE265" i="2"/>
  <c r="AF265" i="2"/>
  <c r="AG265" i="2"/>
  <c r="AH265" i="2"/>
  <c r="AI265" i="2"/>
  <c r="AJ265" i="2"/>
  <c r="AK265" i="2"/>
  <c r="AL265" i="2"/>
  <c r="AM265" i="2"/>
  <c r="AN265" i="2"/>
  <c r="AO265" i="2"/>
  <c r="AP265" i="2"/>
  <c r="AQ265" i="2"/>
  <c r="AR265" i="2"/>
  <c r="AS265" i="2"/>
  <c r="AT265" i="2"/>
  <c r="AU265" i="2"/>
  <c r="AV265" i="2"/>
  <c r="AW265" i="2"/>
  <c r="AX265" i="2"/>
  <c r="AY265" i="2"/>
  <c r="AZ265" i="2"/>
  <c r="BA265" i="2"/>
  <c r="BB265" i="2"/>
  <c r="BC265" i="2"/>
  <c r="BD265" i="2"/>
  <c r="BE265" i="2"/>
  <c r="BF265" i="2"/>
  <c r="BG265" i="2"/>
  <c r="BH265" i="2"/>
  <c r="BI265" i="2"/>
  <c r="D266" i="2"/>
  <c r="E266" i="2"/>
  <c r="F266" i="2"/>
  <c r="G266" i="2"/>
  <c r="H266" i="2"/>
  <c r="I266" i="2"/>
  <c r="J266" i="2"/>
  <c r="K266" i="2"/>
  <c r="L266" i="2"/>
  <c r="M266" i="2"/>
  <c r="N266" i="2"/>
  <c r="O266" i="2"/>
  <c r="P266" i="2"/>
  <c r="Q266" i="2"/>
  <c r="R266" i="2"/>
  <c r="S266" i="2"/>
  <c r="T266" i="2"/>
  <c r="U266" i="2"/>
  <c r="V266" i="2"/>
  <c r="W266" i="2"/>
  <c r="X266" i="2"/>
  <c r="Y266" i="2"/>
  <c r="Z266" i="2"/>
  <c r="AA266" i="2"/>
  <c r="AB266" i="2"/>
  <c r="AC266" i="2"/>
  <c r="AD266" i="2"/>
  <c r="AE266" i="2"/>
  <c r="AF266" i="2"/>
  <c r="AG266" i="2"/>
  <c r="AH266" i="2"/>
  <c r="AI266" i="2"/>
  <c r="AJ266" i="2"/>
  <c r="AK266" i="2"/>
  <c r="AL266" i="2"/>
  <c r="AM266" i="2"/>
  <c r="AN266" i="2"/>
  <c r="AO266" i="2"/>
  <c r="AP266" i="2"/>
  <c r="AQ266" i="2"/>
  <c r="AR266" i="2"/>
  <c r="AS266" i="2"/>
  <c r="AT266" i="2"/>
  <c r="AU266" i="2"/>
  <c r="AV266" i="2"/>
  <c r="AW266" i="2"/>
  <c r="AX266" i="2"/>
  <c r="AY266" i="2"/>
  <c r="AZ266" i="2"/>
  <c r="BA266" i="2"/>
  <c r="BB266" i="2"/>
  <c r="BC266" i="2"/>
  <c r="BD266" i="2"/>
  <c r="BE266" i="2"/>
  <c r="BF266" i="2"/>
  <c r="BG266" i="2"/>
  <c r="BH266" i="2"/>
  <c r="BI266" i="2"/>
  <c r="D267" i="2"/>
  <c r="E267" i="2"/>
  <c r="F267" i="2"/>
  <c r="G267" i="2"/>
  <c r="H267" i="2"/>
  <c r="I267" i="2"/>
  <c r="J267" i="2"/>
  <c r="K267" i="2"/>
  <c r="L267" i="2"/>
  <c r="M267" i="2"/>
  <c r="N267" i="2"/>
  <c r="O267" i="2"/>
  <c r="P267" i="2"/>
  <c r="Q267" i="2"/>
  <c r="R267" i="2"/>
  <c r="S267" i="2"/>
  <c r="T267" i="2"/>
  <c r="U267" i="2"/>
  <c r="V267" i="2"/>
  <c r="W267" i="2"/>
  <c r="X267" i="2"/>
  <c r="Y267" i="2"/>
  <c r="Z267" i="2"/>
  <c r="AA267" i="2"/>
  <c r="AB267" i="2"/>
  <c r="AC267" i="2"/>
  <c r="AD267" i="2"/>
  <c r="AE267" i="2"/>
  <c r="AF267" i="2"/>
  <c r="AG267" i="2"/>
  <c r="AH267" i="2"/>
  <c r="AI267" i="2"/>
  <c r="AJ267" i="2"/>
  <c r="AK267" i="2"/>
  <c r="AL267" i="2"/>
  <c r="AM267" i="2"/>
  <c r="AN267" i="2"/>
  <c r="AO267" i="2"/>
  <c r="AP267" i="2"/>
  <c r="AQ267" i="2"/>
  <c r="AR267" i="2"/>
  <c r="AS267" i="2"/>
  <c r="AT267" i="2"/>
  <c r="AU267" i="2"/>
  <c r="AV267" i="2"/>
  <c r="AW267" i="2"/>
  <c r="AX267" i="2"/>
  <c r="AY267" i="2"/>
  <c r="AZ267" i="2"/>
  <c r="BA267" i="2"/>
  <c r="BB267" i="2"/>
  <c r="BC267" i="2"/>
  <c r="BD267" i="2"/>
  <c r="BE267" i="2"/>
  <c r="BF267" i="2"/>
  <c r="BG267" i="2"/>
  <c r="BH267" i="2"/>
  <c r="BI267" i="2"/>
  <c r="D268" i="2"/>
  <c r="E268" i="2"/>
  <c r="F268" i="2"/>
  <c r="G268" i="2"/>
  <c r="H268" i="2"/>
  <c r="I268" i="2"/>
  <c r="J268" i="2"/>
  <c r="K268" i="2"/>
  <c r="L268" i="2"/>
  <c r="M268" i="2"/>
  <c r="N268" i="2"/>
  <c r="O268" i="2"/>
  <c r="P268" i="2"/>
  <c r="Q268" i="2"/>
  <c r="R268" i="2"/>
  <c r="S268" i="2"/>
  <c r="T268" i="2"/>
  <c r="U268" i="2"/>
  <c r="V268" i="2"/>
  <c r="W268" i="2"/>
  <c r="X268" i="2"/>
  <c r="Y268" i="2"/>
  <c r="Z268" i="2"/>
  <c r="AA268" i="2"/>
  <c r="AB268" i="2"/>
  <c r="AC268" i="2"/>
  <c r="AD268" i="2"/>
  <c r="AE268" i="2"/>
  <c r="AF268" i="2"/>
  <c r="AG268" i="2"/>
  <c r="AH268" i="2"/>
  <c r="AI268" i="2"/>
  <c r="AJ268" i="2"/>
  <c r="AK268" i="2"/>
  <c r="AL268" i="2"/>
  <c r="AM268" i="2"/>
  <c r="AN268" i="2"/>
  <c r="AO268" i="2"/>
  <c r="AP268" i="2"/>
  <c r="AQ268" i="2"/>
  <c r="AR268" i="2"/>
  <c r="AS268" i="2"/>
  <c r="AT268" i="2"/>
  <c r="AU268" i="2"/>
  <c r="AV268" i="2"/>
  <c r="AW268" i="2"/>
  <c r="AX268" i="2"/>
  <c r="AY268" i="2"/>
  <c r="AZ268" i="2"/>
  <c r="BA268" i="2"/>
  <c r="BB268" i="2"/>
  <c r="BC268" i="2"/>
  <c r="BD268" i="2"/>
  <c r="BE268" i="2"/>
  <c r="BF268" i="2"/>
  <c r="BG268" i="2"/>
  <c r="BH268" i="2"/>
  <c r="BI268" i="2"/>
  <c r="D269" i="2"/>
  <c r="E269" i="2"/>
  <c r="F269" i="2"/>
  <c r="G269" i="2"/>
  <c r="H269" i="2"/>
  <c r="I269" i="2"/>
  <c r="J269" i="2"/>
  <c r="K269" i="2"/>
  <c r="L269" i="2"/>
  <c r="M269" i="2"/>
  <c r="N269" i="2"/>
  <c r="O269" i="2"/>
  <c r="P269" i="2"/>
  <c r="Q269" i="2"/>
  <c r="R269" i="2"/>
  <c r="S269" i="2"/>
  <c r="T269" i="2"/>
  <c r="U269" i="2"/>
  <c r="V269" i="2"/>
  <c r="W269" i="2"/>
  <c r="X269" i="2"/>
  <c r="Y269" i="2"/>
  <c r="Z269" i="2"/>
  <c r="AA269" i="2"/>
  <c r="AB269" i="2"/>
  <c r="AC269" i="2"/>
  <c r="AD269" i="2"/>
  <c r="AE269" i="2"/>
  <c r="AF269" i="2"/>
  <c r="AG269" i="2"/>
  <c r="AH269" i="2"/>
  <c r="AI269" i="2"/>
  <c r="AJ269" i="2"/>
  <c r="AK269" i="2"/>
  <c r="AL269" i="2"/>
  <c r="AM269" i="2"/>
  <c r="AN269" i="2"/>
  <c r="AO269" i="2"/>
  <c r="AP269" i="2"/>
  <c r="AQ269" i="2"/>
  <c r="AR269" i="2"/>
  <c r="AS269" i="2"/>
  <c r="AT269" i="2"/>
  <c r="AU269" i="2"/>
  <c r="AV269" i="2"/>
  <c r="AW269" i="2"/>
  <c r="AX269" i="2"/>
  <c r="AY269" i="2"/>
  <c r="AZ269" i="2"/>
  <c r="BA269" i="2"/>
  <c r="BB269" i="2"/>
  <c r="BC269" i="2"/>
  <c r="BD269" i="2"/>
  <c r="BE269" i="2"/>
  <c r="BF269" i="2"/>
  <c r="BG269" i="2"/>
  <c r="BH269" i="2"/>
  <c r="BI269" i="2"/>
  <c r="D270" i="2"/>
  <c r="E270" i="2"/>
  <c r="F270" i="2"/>
  <c r="G270" i="2"/>
  <c r="H270" i="2"/>
  <c r="I270" i="2"/>
  <c r="J270" i="2"/>
  <c r="K270" i="2"/>
  <c r="L270" i="2"/>
  <c r="M270" i="2"/>
  <c r="N270" i="2"/>
  <c r="O270" i="2"/>
  <c r="P270" i="2"/>
  <c r="Q270" i="2"/>
  <c r="R270" i="2"/>
  <c r="S270" i="2"/>
  <c r="T270" i="2"/>
  <c r="U270" i="2"/>
  <c r="V270" i="2"/>
  <c r="W270" i="2"/>
  <c r="X270" i="2"/>
  <c r="Y270" i="2"/>
  <c r="Z270" i="2"/>
  <c r="AA270" i="2"/>
  <c r="AB270" i="2"/>
  <c r="AC270" i="2"/>
  <c r="AD270" i="2"/>
  <c r="AE270" i="2"/>
  <c r="AF270" i="2"/>
  <c r="AG270" i="2"/>
  <c r="AH270" i="2"/>
  <c r="AI270" i="2"/>
  <c r="AJ270" i="2"/>
  <c r="AK270" i="2"/>
  <c r="AL270" i="2"/>
  <c r="AM270" i="2"/>
  <c r="AN270" i="2"/>
  <c r="AO270" i="2"/>
  <c r="AP270" i="2"/>
  <c r="AQ270" i="2"/>
  <c r="AR270" i="2"/>
  <c r="AS270" i="2"/>
  <c r="AT270" i="2"/>
  <c r="AU270" i="2"/>
  <c r="AV270" i="2"/>
  <c r="AW270" i="2"/>
  <c r="AX270" i="2"/>
  <c r="AY270" i="2"/>
  <c r="AZ270" i="2"/>
  <c r="BA270" i="2"/>
  <c r="BB270" i="2"/>
  <c r="BC270" i="2"/>
  <c r="BD270" i="2"/>
  <c r="BE270" i="2"/>
  <c r="BF270" i="2"/>
  <c r="BG270" i="2"/>
  <c r="BH270" i="2"/>
  <c r="BI270" i="2"/>
  <c r="D271" i="2"/>
  <c r="E271" i="2"/>
  <c r="F271" i="2"/>
  <c r="G271" i="2"/>
  <c r="H271" i="2"/>
  <c r="I271" i="2"/>
  <c r="J271" i="2"/>
  <c r="K271" i="2"/>
  <c r="L271" i="2"/>
  <c r="M271" i="2"/>
  <c r="N271" i="2"/>
  <c r="O271" i="2"/>
  <c r="P271" i="2"/>
  <c r="Q271" i="2"/>
  <c r="R271" i="2"/>
  <c r="S271" i="2"/>
  <c r="T271" i="2"/>
  <c r="U271" i="2"/>
  <c r="V271" i="2"/>
  <c r="W271" i="2"/>
  <c r="X271" i="2"/>
  <c r="Y271" i="2"/>
  <c r="Z271" i="2"/>
  <c r="AA271" i="2"/>
  <c r="AB271" i="2"/>
  <c r="AC271" i="2"/>
  <c r="AD271" i="2"/>
  <c r="AE271" i="2"/>
  <c r="AF271" i="2"/>
  <c r="AG271" i="2"/>
  <c r="AH271" i="2"/>
  <c r="AI271" i="2"/>
  <c r="AJ271" i="2"/>
  <c r="AK271" i="2"/>
  <c r="AL271" i="2"/>
  <c r="AM271" i="2"/>
  <c r="AN271" i="2"/>
  <c r="AO271" i="2"/>
  <c r="AP271" i="2"/>
  <c r="AQ271" i="2"/>
  <c r="AR271" i="2"/>
  <c r="AS271" i="2"/>
  <c r="AT271" i="2"/>
  <c r="AU271" i="2"/>
  <c r="AV271" i="2"/>
  <c r="AW271" i="2"/>
  <c r="AX271" i="2"/>
  <c r="AY271" i="2"/>
  <c r="AZ271" i="2"/>
  <c r="BA271" i="2"/>
  <c r="BB271" i="2"/>
  <c r="BC271" i="2"/>
  <c r="BD271" i="2"/>
  <c r="BE271" i="2"/>
  <c r="BF271" i="2"/>
  <c r="BG271" i="2"/>
  <c r="BH271" i="2"/>
  <c r="BI271" i="2"/>
  <c r="D272" i="2"/>
  <c r="E272" i="2"/>
  <c r="F272" i="2"/>
  <c r="G272" i="2"/>
  <c r="H272" i="2"/>
  <c r="I272" i="2"/>
  <c r="J272" i="2"/>
  <c r="K272" i="2"/>
  <c r="L272" i="2"/>
  <c r="M272" i="2"/>
  <c r="N272" i="2"/>
  <c r="O272" i="2"/>
  <c r="P272" i="2"/>
  <c r="Q272" i="2"/>
  <c r="R272" i="2"/>
  <c r="S272" i="2"/>
  <c r="T272" i="2"/>
  <c r="U272" i="2"/>
  <c r="V272" i="2"/>
  <c r="W272" i="2"/>
  <c r="X272" i="2"/>
  <c r="Y272" i="2"/>
  <c r="Z272" i="2"/>
  <c r="AA272" i="2"/>
  <c r="AB272" i="2"/>
  <c r="AC272" i="2"/>
  <c r="AD272" i="2"/>
  <c r="AE272" i="2"/>
  <c r="AF272" i="2"/>
  <c r="AG272" i="2"/>
  <c r="AH272" i="2"/>
  <c r="AI272" i="2"/>
  <c r="AJ272" i="2"/>
  <c r="AK272" i="2"/>
  <c r="AL272" i="2"/>
  <c r="AM272" i="2"/>
  <c r="AN272" i="2"/>
  <c r="AO272" i="2"/>
  <c r="AP272" i="2"/>
  <c r="AQ272" i="2"/>
  <c r="AR272" i="2"/>
  <c r="AS272" i="2"/>
  <c r="AT272" i="2"/>
  <c r="AU272" i="2"/>
  <c r="AV272" i="2"/>
  <c r="AW272" i="2"/>
  <c r="AX272" i="2"/>
  <c r="AY272" i="2"/>
  <c r="AZ272" i="2"/>
  <c r="BA272" i="2"/>
  <c r="BB272" i="2"/>
  <c r="BC272" i="2"/>
  <c r="BD272" i="2"/>
  <c r="BE272" i="2"/>
  <c r="BF272" i="2"/>
  <c r="BG272" i="2"/>
  <c r="BH272" i="2"/>
  <c r="BI272" i="2"/>
  <c r="D273" i="2"/>
  <c r="E273" i="2"/>
  <c r="F273" i="2"/>
  <c r="G273" i="2"/>
  <c r="H273" i="2"/>
  <c r="I273" i="2"/>
  <c r="J273" i="2"/>
  <c r="K273" i="2"/>
  <c r="L273" i="2"/>
  <c r="M273" i="2"/>
  <c r="N273" i="2"/>
  <c r="O273" i="2"/>
  <c r="P273" i="2"/>
  <c r="Q273" i="2"/>
  <c r="R273" i="2"/>
  <c r="S273" i="2"/>
  <c r="T273" i="2"/>
  <c r="U273" i="2"/>
  <c r="V273" i="2"/>
  <c r="W273" i="2"/>
  <c r="X273" i="2"/>
  <c r="Y273" i="2"/>
  <c r="Z273" i="2"/>
  <c r="AA273" i="2"/>
  <c r="AB273" i="2"/>
  <c r="AC273" i="2"/>
  <c r="AD273" i="2"/>
  <c r="AE273" i="2"/>
  <c r="AF273" i="2"/>
  <c r="AG273" i="2"/>
  <c r="AH273" i="2"/>
  <c r="AI273" i="2"/>
  <c r="AJ273" i="2"/>
  <c r="AK273" i="2"/>
  <c r="AL273" i="2"/>
  <c r="AM273" i="2"/>
  <c r="AN273" i="2"/>
  <c r="AO273" i="2"/>
  <c r="AP273" i="2"/>
  <c r="AQ273" i="2"/>
  <c r="AR273" i="2"/>
  <c r="AS273" i="2"/>
  <c r="AT273" i="2"/>
  <c r="AU273" i="2"/>
  <c r="AV273" i="2"/>
  <c r="AW273" i="2"/>
  <c r="AX273" i="2"/>
  <c r="AY273" i="2"/>
  <c r="AZ273" i="2"/>
  <c r="BA273" i="2"/>
  <c r="BB273" i="2"/>
  <c r="BC273" i="2"/>
  <c r="BD273" i="2"/>
  <c r="BE273" i="2"/>
  <c r="BF273" i="2"/>
  <c r="BG273" i="2"/>
  <c r="BH273" i="2"/>
  <c r="BI273" i="2"/>
  <c r="D274" i="2"/>
  <c r="E274" i="2"/>
  <c r="F274" i="2"/>
  <c r="G274" i="2"/>
  <c r="H274" i="2"/>
  <c r="I274" i="2"/>
  <c r="J274" i="2"/>
  <c r="K274" i="2"/>
  <c r="L274" i="2"/>
  <c r="M274" i="2"/>
  <c r="N274" i="2"/>
  <c r="O274" i="2"/>
  <c r="P274" i="2"/>
  <c r="Q274" i="2"/>
  <c r="R274" i="2"/>
  <c r="S274" i="2"/>
  <c r="T274" i="2"/>
  <c r="U274" i="2"/>
  <c r="V274" i="2"/>
  <c r="W274" i="2"/>
  <c r="X274" i="2"/>
  <c r="Y274" i="2"/>
  <c r="Z274" i="2"/>
  <c r="AA274" i="2"/>
  <c r="AB274" i="2"/>
  <c r="AC274" i="2"/>
  <c r="AD274" i="2"/>
  <c r="AE274" i="2"/>
  <c r="AF274" i="2"/>
  <c r="AG274" i="2"/>
  <c r="AH274" i="2"/>
  <c r="AI274" i="2"/>
  <c r="AJ274" i="2"/>
  <c r="AK274" i="2"/>
  <c r="AL274" i="2"/>
  <c r="AM274" i="2"/>
  <c r="AN274" i="2"/>
  <c r="AO274" i="2"/>
  <c r="AP274" i="2"/>
  <c r="AQ274" i="2"/>
  <c r="AR274" i="2"/>
  <c r="AS274" i="2"/>
  <c r="AT274" i="2"/>
  <c r="AU274" i="2"/>
  <c r="AV274" i="2"/>
  <c r="AW274" i="2"/>
  <c r="AX274" i="2"/>
  <c r="AY274" i="2"/>
  <c r="AZ274" i="2"/>
  <c r="BA274" i="2"/>
  <c r="BB274" i="2"/>
  <c r="BC274" i="2"/>
  <c r="BD274" i="2"/>
  <c r="BE274" i="2"/>
  <c r="BF274" i="2"/>
  <c r="BG274" i="2"/>
  <c r="BH274" i="2"/>
  <c r="BI274" i="2"/>
  <c r="D215" i="2"/>
  <c r="E215" i="2"/>
  <c r="F215" i="2"/>
  <c r="G215" i="2"/>
  <c r="H215" i="2"/>
  <c r="I215" i="2"/>
  <c r="J215" i="2"/>
  <c r="K215" i="2"/>
  <c r="L215" i="2"/>
  <c r="M215" i="2"/>
  <c r="N215" i="2"/>
  <c r="O215" i="2"/>
  <c r="P215" i="2"/>
  <c r="Q215" i="2"/>
  <c r="R215" i="2"/>
  <c r="S215" i="2"/>
  <c r="T215" i="2"/>
  <c r="U215" i="2"/>
  <c r="V215" i="2"/>
  <c r="W215" i="2"/>
  <c r="X215" i="2"/>
  <c r="Y215" i="2"/>
  <c r="Z215" i="2"/>
  <c r="AA215" i="2"/>
  <c r="AB215" i="2"/>
  <c r="AC215" i="2"/>
  <c r="AD215" i="2"/>
  <c r="AE215" i="2"/>
  <c r="AF215" i="2"/>
  <c r="AG215" i="2"/>
  <c r="AH215" i="2"/>
  <c r="AI215" i="2"/>
  <c r="AJ215" i="2"/>
  <c r="AK215" i="2"/>
  <c r="AL215" i="2"/>
  <c r="AM215" i="2"/>
  <c r="AN215" i="2"/>
  <c r="AO215" i="2"/>
  <c r="AP215" i="2"/>
  <c r="AQ215" i="2"/>
  <c r="AR215" i="2"/>
  <c r="AS215" i="2"/>
  <c r="AT215" i="2"/>
  <c r="AU215" i="2"/>
  <c r="AV215" i="2"/>
  <c r="AW215" i="2"/>
  <c r="AX215" i="2"/>
  <c r="AY215" i="2"/>
  <c r="AZ215" i="2"/>
  <c r="BA215" i="2"/>
  <c r="BB215" i="2"/>
  <c r="BC215" i="2"/>
  <c r="BD215" i="2"/>
  <c r="BE215" i="2"/>
  <c r="BF215" i="2"/>
  <c r="BG215" i="2"/>
  <c r="BH215" i="2"/>
  <c r="BI215" i="2"/>
  <c r="D216" i="2"/>
  <c r="E216" i="2"/>
  <c r="F216" i="2"/>
  <c r="G216" i="2"/>
  <c r="H216" i="2"/>
  <c r="I216" i="2"/>
  <c r="J216" i="2"/>
  <c r="K216" i="2"/>
  <c r="L216" i="2"/>
  <c r="M216" i="2"/>
  <c r="N216" i="2"/>
  <c r="O216" i="2"/>
  <c r="P216" i="2"/>
  <c r="Q216" i="2"/>
  <c r="R216" i="2"/>
  <c r="S216" i="2"/>
  <c r="T216" i="2"/>
  <c r="U216" i="2"/>
  <c r="V216" i="2"/>
  <c r="W216" i="2"/>
  <c r="X216" i="2"/>
  <c r="Y216" i="2"/>
  <c r="Z216" i="2"/>
  <c r="AA216" i="2"/>
  <c r="AB216" i="2"/>
  <c r="AC216" i="2"/>
  <c r="AD216" i="2"/>
  <c r="AE216" i="2"/>
  <c r="AF216" i="2"/>
  <c r="AG216" i="2"/>
  <c r="AH216" i="2"/>
  <c r="AI216" i="2"/>
  <c r="AJ216" i="2"/>
  <c r="AK216" i="2"/>
  <c r="AL216" i="2"/>
  <c r="AM216" i="2"/>
  <c r="AN216" i="2"/>
  <c r="AO216" i="2"/>
  <c r="AP216" i="2"/>
  <c r="AQ216" i="2"/>
  <c r="AR216" i="2"/>
  <c r="AS216" i="2"/>
  <c r="AT216" i="2"/>
  <c r="AU216" i="2"/>
  <c r="AV216" i="2"/>
  <c r="AW216" i="2"/>
  <c r="AX216" i="2"/>
  <c r="AY216" i="2"/>
  <c r="AZ216" i="2"/>
  <c r="BA216" i="2"/>
  <c r="BB216" i="2"/>
  <c r="BC216" i="2"/>
  <c r="BD216" i="2"/>
  <c r="BE216" i="2"/>
  <c r="BF216" i="2"/>
  <c r="BG216" i="2"/>
  <c r="BH216" i="2"/>
  <c r="BI216" i="2"/>
  <c r="D217" i="2"/>
  <c r="E217" i="2"/>
  <c r="F217" i="2"/>
  <c r="G217" i="2"/>
  <c r="H217" i="2"/>
  <c r="I217" i="2"/>
  <c r="J217" i="2"/>
  <c r="K217" i="2"/>
  <c r="L217" i="2"/>
  <c r="M217" i="2"/>
  <c r="N217" i="2"/>
  <c r="O217" i="2"/>
  <c r="P217" i="2"/>
  <c r="Q217" i="2"/>
  <c r="R217" i="2"/>
  <c r="S217" i="2"/>
  <c r="T217" i="2"/>
  <c r="U217" i="2"/>
  <c r="V217" i="2"/>
  <c r="W217" i="2"/>
  <c r="X217" i="2"/>
  <c r="Y217" i="2"/>
  <c r="Z217" i="2"/>
  <c r="AA217" i="2"/>
  <c r="AB217" i="2"/>
  <c r="AC217" i="2"/>
  <c r="AD217" i="2"/>
  <c r="AE217" i="2"/>
  <c r="AF217" i="2"/>
  <c r="AG217" i="2"/>
  <c r="AH217" i="2"/>
  <c r="AI217" i="2"/>
  <c r="AJ217" i="2"/>
  <c r="AK217" i="2"/>
  <c r="AL217" i="2"/>
  <c r="AM217" i="2"/>
  <c r="AN217" i="2"/>
  <c r="AO217" i="2"/>
  <c r="AP217" i="2"/>
  <c r="AQ217" i="2"/>
  <c r="AR217" i="2"/>
  <c r="AS217" i="2"/>
  <c r="AT217" i="2"/>
  <c r="AU217" i="2"/>
  <c r="AV217" i="2"/>
  <c r="AW217" i="2"/>
  <c r="AX217" i="2"/>
  <c r="AY217" i="2"/>
  <c r="AZ217" i="2"/>
  <c r="BA217" i="2"/>
  <c r="BB217" i="2"/>
  <c r="BC217" i="2"/>
  <c r="BD217" i="2"/>
  <c r="BE217" i="2"/>
  <c r="BF217" i="2"/>
  <c r="BG217" i="2"/>
  <c r="BH217" i="2"/>
  <c r="BI217" i="2"/>
  <c r="D218" i="2"/>
  <c r="E218" i="2"/>
  <c r="F218" i="2"/>
  <c r="G218" i="2"/>
  <c r="H218" i="2"/>
  <c r="I218" i="2"/>
  <c r="J218" i="2"/>
  <c r="K218" i="2"/>
  <c r="L218" i="2"/>
  <c r="M218" i="2"/>
  <c r="N218" i="2"/>
  <c r="O218" i="2"/>
  <c r="P218" i="2"/>
  <c r="Q218" i="2"/>
  <c r="R218" i="2"/>
  <c r="S218" i="2"/>
  <c r="T218" i="2"/>
  <c r="U218" i="2"/>
  <c r="V218" i="2"/>
  <c r="W218" i="2"/>
  <c r="X218" i="2"/>
  <c r="Y218" i="2"/>
  <c r="Z218" i="2"/>
  <c r="AA218" i="2"/>
  <c r="AB218" i="2"/>
  <c r="AC218" i="2"/>
  <c r="AD218" i="2"/>
  <c r="AE218" i="2"/>
  <c r="AF218" i="2"/>
  <c r="AG218" i="2"/>
  <c r="AH218" i="2"/>
  <c r="AI218" i="2"/>
  <c r="AJ218" i="2"/>
  <c r="AK218" i="2"/>
  <c r="AL218" i="2"/>
  <c r="AM218" i="2"/>
  <c r="AN218" i="2"/>
  <c r="AO218" i="2"/>
  <c r="AP218" i="2"/>
  <c r="AQ218" i="2"/>
  <c r="AR218" i="2"/>
  <c r="AS218" i="2"/>
  <c r="AT218" i="2"/>
  <c r="AU218" i="2"/>
  <c r="AV218" i="2"/>
  <c r="AW218" i="2"/>
  <c r="AX218" i="2"/>
  <c r="AY218" i="2"/>
  <c r="AZ218" i="2"/>
  <c r="BA218" i="2"/>
  <c r="BB218" i="2"/>
  <c r="BC218" i="2"/>
  <c r="BD218" i="2"/>
  <c r="BE218" i="2"/>
  <c r="BF218" i="2"/>
  <c r="BG218" i="2"/>
  <c r="BH218" i="2"/>
  <c r="BI218" i="2"/>
  <c r="D219" i="2"/>
  <c r="E219" i="2"/>
  <c r="F219" i="2"/>
  <c r="G219" i="2"/>
  <c r="H219" i="2"/>
  <c r="I219" i="2"/>
  <c r="J219" i="2"/>
  <c r="K219" i="2"/>
  <c r="L219" i="2"/>
  <c r="M219" i="2"/>
  <c r="N219" i="2"/>
  <c r="O219" i="2"/>
  <c r="P219" i="2"/>
  <c r="Q219" i="2"/>
  <c r="R219" i="2"/>
  <c r="S219" i="2"/>
  <c r="T219" i="2"/>
  <c r="U219" i="2"/>
  <c r="V219" i="2"/>
  <c r="W219" i="2"/>
  <c r="X219" i="2"/>
  <c r="Y219" i="2"/>
  <c r="Z219" i="2"/>
  <c r="AA219" i="2"/>
  <c r="AB219" i="2"/>
  <c r="AC219" i="2"/>
  <c r="AD219" i="2"/>
  <c r="AE219" i="2"/>
  <c r="AF219" i="2"/>
  <c r="AG219" i="2"/>
  <c r="AH219" i="2"/>
  <c r="AI219" i="2"/>
  <c r="AJ219" i="2"/>
  <c r="AK219" i="2"/>
  <c r="AL219" i="2"/>
  <c r="AM219" i="2"/>
  <c r="AN219" i="2"/>
  <c r="AO219" i="2"/>
  <c r="AP219" i="2"/>
  <c r="AQ219" i="2"/>
  <c r="AR219" i="2"/>
  <c r="AS219" i="2"/>
  <c r="AT219" i="2"/>
  <c r="AU219" i="2"/>
  <c r="AV219" i="2"/>
  <c r="AW219" i="2"/>
  <c r="AX219" i="2"/>
  <c r="AY219" i="2"/>
  <c r="AZ219" i="2"/>
  <c r="BA219" i="2"/>
  <c r="BB219" i="2"/>
  <c r="BC219" i="2"/>
  <c r="BD219" i="2"/>
  <c r="BE219" i="2"/>
  <c r="BF219" i="2"/>
  <c r="BG219" i="2"/>
  <c r="BH219" i="2"/>
  <c r="BI219" i="2"/>
  <c r="D220" i="2"/>
  <c r="E220" i="2"/>
  <c r="F220" i="2"/>
  <c r="G220" i="2"/>
  <c r="H220" i="2"/>
  <c r="I220" i="2"/>
  <c r="J220" i="2"/>
  <c r="K220" i="2"/>
  <c r="L220" i="2"/>
  <c r="M220" i="2"/>
  <c r="N220" i="2"/>
  <c r="O220" i="2"/>
  <c r="P220" i="2"/>
  <c r="Q220" i="2"/>
  <c r="R220" i="2"/>
  <c r="S220" i="2"/>
  <c r="T220" i="2"/>
  <c r="U220" i="2"/>
  <c r="V220" i="2"/>
  <c r="W220" i="2"/>
  <c r="X220" i="2"/>
  <c r="Y220" i="2"/>
  <c r="Z220" i="2"/>
  <c r="AA220" i="2"/>
  <c r="AB220" i="2"/>
  <c r="AC220" i="2"/>
  <c r="AD220" i="2"/>
  <c r="AE220" i="2"/>
  <c r="AF220" i="2"/>
  <c r="AG220" i="2"/>
  <c r="AH220" i="2"/>
  <c r="AI220" i="2"/>
  <c r="AJ220" i="2"/>
  <c r="AK220" i="2"/>
  <c r="AL220" i="2"/>
  <c r="AM220" i="2"/>
  <c r="AN220" i="2"/>
  <c r="AO220" i="2"/>
  <c r="AP220" i="2"/>
  <c r="AQ220" i="2"/>
  <c r="AR220" i="2"/>
  <c r="AS220" i="2"/>
  <c r="AT220" i="2"/>
  <c r="AU220" i="2"/>
  <c r="AV220" i="2"/>
  <c r="AW220" i="2"/>
  <c r="AX220" i="2"/>
  <c r="AY220" i="2"/>
  <c r="AZ220" i="2"/>
  <c r="BA220" i="2"/>
  <c r="BB220" i="2"/>
  <c r="BC220" i="2"/>
  <c r="BD220" i="2"/>
  <c r="BE220" i="2"/>
  <c r="BF220" i="2"/>
  <c r="BG220" i="2"/>
  <c r="BH220" i="2"/>
  <c r="BI220" i="2"/>
  <c r="D221" i="2"/>
  <c r="E221" i="2"/>
  <c r="F221" i="2"/>
  <c r="G221" i="2"/>
  <c r="H221" i="2"/>
  <c r="I221" i="2"/>
  <c r="J221" i="2"/>
  <c r="K221" i="2"/>
  <c r="L221" i="2"/>
  <c r="M221" i="2"/>
  <c r="N221" i="2"/>
  <c r="O221" i="2"/>
  <c r="P221" i="2"/>
  <c r="Q221" i="2"/>
  <c r="R221" i="2"/>
  <c r="S221" i="2"/>
  <c r="T221" i="2"/>
  <c r="U221" i="2"/>
  <c r="V221" i="2"/>
  <c r="W221" i="2"/>
  <c r="X221" i="2"/>
  <c r="Y221" i="2"/>
  <c r="Z221" i="2"/>
  <c r="AA221" i="2"/>
  <c r="AB221" i="2"/>
  <c r="AC221" i="2"/>
  <c r="AD221" i="2"/>
  <c r="AE221" i="2"/>
  <c r="AF221" i="2"/>
  <c r="AG221" i="2"/>
  <c r="AH221" i="2"/>
  <c r="AI221" i="2"/>
  <c r="AJ221" i="2"/>
  <c r="AK221" i="2"/>
  <c r="AL221" i="2"/>
  <c r="AM221" i="2"/>
  <c r="AN221" i="2"/>
  <c r="AO221" i="2"/>
  <c r="AP221" i="2"/>
  <c r="AQ221" i="2"/>
  <c r="AR221" i="2"/>
  <c r="AS221" i="2"/>
  <c r="AT221" i="2"/>
  <c r="AU221" i="2"/>
  <c r="AV221" i="2"/>
  <c r="AW221" i="2"/>
  <c r="AX221" i="2"/>
  <c r="AY221" i="2"/>
  <c r="AZ221" i="2"/>
  <c r="BA221" i="2"/>
  <c r="BB221" i="2"/>
  <c r="BC221" i="2"/>
  <c r="BD221" i="2"/>
  <c r="BE221" i="2"/>
  <c r="BF221" i="2"/>
  <c r="BG221" i="2"/>
  <c r="BH221" i="2"/>
  <c r="BI221" i="2"/>
  <c r="D222" i="2"/>
  <c r="E222" i="2"/>
  <c r="F222" i="2"/>
  <c r="G222" i="2"/>
  <c r="H222" i="2"/>
  <c r="I222" i="2"/>
  <c r="J222" i="2"/>
  <c r="K222" i="2"/>
  <c r="L222" i="2"/>
  <c r="M222" i="2"/>
  <c r="N222" i="2"/>
  <c r="O222" i="2"/>
  <c r="P222" i="2"/>
  <c r="Q222" i="2"/>
  <c r="R222" i="2"/>
  <c r="S222" i="2"/>
  <c r="T222" i="2"/>
  <c r="U222" i="2"/>
  <c r="V222" i="2"/>
  <c r="W222" i="2"/>
  <c r="X222" i="2"/>
  <c r="Y222" i="2"/>
  <c r="Z222" i="2"/>
  <c r="AA222" i="2"/>
  <c r="AB222" i="2"/>
  <c r="AC222" i="2"/>
  <c r="AD222" i="2"/>
  <c r="AE222" i="2"/>
  <c r="AF222" i="2"/>
  <c r="AG222" i="2"/>
  <c r="AH222" i="2"/>
  <c r="AI222" i="2"/>
  <c r="AJ222" i="2"/>
  <c r="AK222" i="2"/>
  <c r="AL222" i="2"/>
  <c r="AM222" i="2"/>
  <c r="AN222" i="2"/>
  <c r="AO222" i="2"/>
  <c r="AP222" i="2"/>
  <c r="AQ222" i="2"/>
  <c r="AR222" i="2"/>
  <c r="AS222" i="2"/>
  <c r="AT222" i="2"/>
  <c r="AU222" i="2"/>
  <c r="AV222" i="2"/>
  <c r="AW222" i="2"/>
  <c r="AX222" i="2"/>
  <c r="AY222" i="2"/>
  <c r="AZ222" i="2"/>
  <c r="BA222" i="2"/>
  <c r="BB222" i="2"/>
  <c r="BC222" i="2"/>
  <c r="BD222" i="2"/>
  <c r="BE222" i="2"/>
  <c r="BF222" i="2"/>
  <c r="BG222" i="2"/>
  <c r="BH222" i="2"/>
  <c r="BI222" i="2"/>
  <c r="D223" i="2"/>
  <c r="E223" i="2"/>
  <c r="F223" i="2"/>
  <c r="G223" i="2"/>
  <c r="H223" i="2"/>
  <c r="I223" i="2"/>
  <c r="J223" i="2"/>
  <c r="K223" i="2"/>
  <c r="L223" i="2"/>
  <c r="M223" i="2"/>
  <c r="N223" i="2"/>
  <c r="O223" i="2"/>
  <c r="P223" i="2"/>
  <c r="Q223" i="2"/>
  <c r="R223" i="2"/>
  <c r="S223" i="2"/>
  <c r="T223" i="2"/>
  <c r="U223" i="2"/>
  <c r="V223" i="2"/>
  <c r="W223" i="2"/>
  <c r="X223" i="2"/>
  <c r="Y223" i="2"/>
  <c r="Z223" i="2"/>
  <c r="AA223" i="2"/>
  <c r="AB223" i="2"/>
  <c r="AC223" i="2"/>
  <c r="AD223" i="2"/>
  <c r="AE223" i="2"/>
  <c r="AF223" i="2"/>
  <c r="AG223" i="2"/>
  <c r="AH223" i="2"/>
  <c r="AI223" i="2"/>
  <c r="AJ223" i="2"/>
  <c r="AK223" i="2"/>
  <c r="AL223" i="2"/>
  <c r="AM223" i="2"/>
  <c r="AN223" i="2"/>
  <c r="AO223" i="2"/>
  <c r="AP223" i="2"/>
  <c r="AQ223" i="2"/>
  <c r="AR223" i="2"/>
  <c r="AS223" i="2"/>
  <c r="AT223" i="2"/>
  <c r="AU223" i="2"/>
  <c r="AV223" i="2"/>
  <c r="AW223" i="2"/>
  <c r="AX223" i="2"/>
  <c r="AY223" i="2"/>
  <c r="AZ223" i="2"/>
  <c r="BA223" i="2"/>
  <c r="BB223" i="2"/>
  <c r="BC223" i="2"/>
  <c r="BD223" i="2"/>
  <c r="BE223" i="2"/>
  <c r="BF223" i="2"/>
  <c r="BG223" i="2"/>
  <c r="BH223" i="2"/>
  <c r="BI223" i="2"/>
  <c r="D224" i="2"/>
  <c r="E224" i="2"/>
  <c r="F224" i="2"/>
  <c r="G224" i="2"/>
  <c r="H224" i="2"/>
  <c r="I224" i="2"/>
  <c r="J224" i="2"/>
  <c r="K224" i="2"/>
  <c r="L224" i="2"/>
  <c r="M224" i="2"/>
  <c r="N224" i="2"/>
  <c r="O224" i="2"/>
  <c r="P224" i="2"/>
  <c r="Q224" i="2"/>
  <c r="R224" i="2"/>
  <c r="S224" i="2"/>
  <c r="T224" i="2"/>
  <c r="U224" i="2"/>
  <c r="V224" i="2"/>
  <c r="W224" i="2"/>
  <c r="X224" i="2"/>
  <c r="Y224" i="2"/>
  <c r="Z224" i="2"/>
  <c r="AA224" i="2"/>
  <c r="AB224" i="2"/>
  <c r="AC224" i="2"/>
  <c r="AD224" i="2"/>
  <c r="AE224" i="2"/>
  <c r="AF224" i="2"/>
  <c r="AG224" i="2"/>
  <c r="AH224" i="2"/>
  <c r="AI224" i="2"/>
  <c r="AJ224" i="2"/>
  <c r="AK224" i="2"/>
  <c r="AL224" i="2"/>
  <c r="AM224" i="2"/>
  <c r="AN224" i="2"/>
  <c r="AO224" i="2"/>
  <c r="AP224" i="2"/>
  <c r="AQ224" i="2"/>
  <c r="AR224" i="2"/>
  <c r="AS224" i="2"/>
  <c r="AT224" i="2"/>
  <c r="AU224" i="2"/>
  <c r="AV224" i="2"/>
  <c r="AW224" i="2"/>
  <c r="AX224" i="2"/>
  <c r="AY224" i="2"/>
  <c r="AZ224" i="2"/>
  <c r="BA224" i="2"/>
  <c r="BB224" i="2"/>
  <c r="BC224" i="2"/>
  <c r="BD224" i="2"/>
  <c r="BE224" i="2"/>
  <c r="BF224" i="2"/>
  <c r="BG224" i="2"/>
  <c r="BH224" i="2"/>
  <c r="BI224" i="2"/>
  <c r="D225" i="2"/>
  <c r="E225" i="2"/>
  <c r="F225" i="2"/>
  <c r="G225" i="2"/>
  <c r="H225" i="2"/>
  <c r="I225" i="2"/>
  <c r="J225" i="2"/>
  <c r="K225" i="2"/>
  <c r="L225" i="2"/>
  <c r="M225" i="2"/>
  <c r="N225" i="2"/>
  <c r="O225" i="2"/>
  <c r="P225" i="2"/>
  <c r="Q225" i="2"/>
  <c r="R225" i="2"/>
  <c r="S225" i="2"/>
  <c r="T225" i="2"/>
  <c r="U225" i="2"/>
  <c r="V225" i="2"/>
  <c r="W225" i="2"/>
  <c r="X225" i="2"/>
  <c r="Y225" i="2"/>
  <c r="Z225" i="2"/>
  <c r="AA225" i="2"/>
  <c r="AB225" i="2"/>
  <c r="AC225" i="2"/>
  <c r="AD225" i="2"/>
  <c r="AE225" i="2"/>
  <c r="AF225" i="2"/>
  <c r="AG225" i="2"/>
  <c r="AH225" i="2"/>
  <c r="AI225" i="2"/>
  <c r="AJ225" i="2"/>
  <c r="AK225" i="2"/>
  <c r="AL225" i="2"/>
  <c r="AM225" i="2"/>
  <c r="AN225" i="2"/>
  <c r="AO225" i="2"/>
  <c r="AP225" i="2"/>
  <c r="AQ225" i="2"/>
  <c r="AR225" i="2"/>
  <c r="AS225" i="2"/>
  <c r="AT225" i="2"/>
  <c r="AU225" i="2"/>
  <c r="AV225" i="2"/>
  <c r="AW225" i="2"/>
  <c r="AX225" i="2"/>
  <c r="AY225" i="2"/>
  <c r="AZ225" i="2"/>
  <c r="BA225" i="2"/>
  <c r="BB225" i="2"/>
  <c r="BC225" i="2"/>
  <c r="BD225" i="2"/>
  <c r="BE225" i="2"/>
  <c r="BF225" i="2"/>
  <c r="BG225" i="2"/>
  <c r="BH225" i="2"/>
  <c r="BI225" i="2"/>
  <c r="D226" i="2"/>
  <c r="E226" i="2"/>
  <c r="F226" i="2"/>
  <c r="G226" i="2"/>
  <c r="H226" i="2"/>
  <c r="I226" i="2"/>
  <c r="J226" i="2"/>
  <c r="K226" i="2"/>
  <c r="L226" i="2"/>
  <c r="M226" i="2"/>
  <c r="N226" i="2"/>
  <c r="O226" i="2"/>
  <c r="P226" i="2"/>
  <c r="Q226" i="2"/>
  <c r="R226" i="2"/>
  <c r="S226" i="2"/>
  <c r="T226" i="2"/>
  <c r="U226" i="2"/>
  <c r="V226" i="2"/>
  <c r="W226" i="2"/>
  <c r="X226" i="2"/>
  <c r="Y226" i="2"/>
  <c r="Z226" i="2"/>
  <c r="AA226" i="2"/>
  <c r="AB226" i="2"/>
  <c r="AC226" i="2"/>
  <c r="AD226" i="2"/>
  <c r="AE226" i="2"/>
  <c r="AF226" i="2"/>
  <c r="AG226" i="2"/>
  <c r="AH226" i="2"/>
  <c r="AI226" i="2"/>
  <c r="AJ226" i="2"/>
  <c r="AK226" i="2"/>
  <c r="AL226" i="2"/>
  <c r="AM226" i="2"/>
  <c r="AN226" i="2"/>
  <c r="AO226" i="2"/>
  <c r="AP226" i="2"/>
  <c r="AQ226" i="2"/>
  <c r="AR226" i="2"/>
  <c r="AS226" i="2"/>
  <c r="AT226" i="2"/>
  <c r="AU226" i="2"/>
  <c r="AV226" i="2"/>
  <c r="AW226" i="2"/>
  <c r="AX226" i="2"/>
  <c r="AY226" i="2"/>
  <c r="AZ226" i="2"/>
  <c r="BA226" i="2"/>
  <c r="BB226" i="2"/>
  <c r="BC226" i="2"/>
  <c r="BD226" i="2"/>
  <c r="BE226" i="2"/>
  <c r="BF226" i="2"/>
  <c r="BG226" i="2"/>
  <c r="BH226" i="2"/>
  <c r="BI226" i="2"/>
  <c r="D227" i="2"/>
  <c r="E227" i="2"/>
  <c r="F227" i="2"/>
  <c r="G227" i="2"/>
  <c r="H227" i="2"/>
  <c r="I227" i="2"/>
  <c r="J227" i="2"/>
  <c r="K227" i="2"/>
  <c r="L227" i="2"/>
  <c r="M227" i="2"/>
  <c r="N227" i="2"/>
  <c r="O227" i="2"/>
  <c r="P227" i="2"/>
  <c r="Q227" i="2"/>
  <c r="R227" i="2"/>
  <c r="S227" i="2"/>
  <c r="T227" i="2"/>
  <c r="U227" i="2"/>
  <c r="V227" i="2"/>
  <c r="W227" i="2"/>
  <c r="X227" i="2"/>
  <c r="Y227" i="2"/>
  <c r="Z227" i="2"/>
  <c r="AA227" i="2"/>
  <c r="AB227" i="2"/>
  <c r="AC227" i="2"/>
  <c r="AD227" i="2"/>
  <c r="AE227" i="2"/>
  <c r="AF227" i="2"/>
  <c r="AG227" i="2"/>
  <c r="AH227" i="2"/>
  <c r="AI227" i="2"/>
  <c r="AJ227" i="2"/>
  <c r="AK227" i="2"/>
  <c r="AL227" i="2"/>
  <c r="AM227" i="2"/>
  <c r="AN227" i="2"/>
  <c r="AO227" i="2"/>
  <c r="AP227" i="2"/>
  <c r="AQ227" i="2"/>
  <c r="AR227" i="2"/>
  <c r="AS227" i="2"/>
  <c r="AT227" i="2"/>
  <c r="AU227" i="2"/>
  <c r="AV227" i="2"/>
  <c r="AW227" i="2"/>
  <c r="AX227" i="2"/>
  <c r="AY227" i="2"/>
  <c r="AZ227" i="2"/>
  <c r="BA227" i="2"/>
  <c r="BB227" i="2"/>
  <c r="BC227" i="2"/>
  <c r="BD227" i="2"/>
  <c r="BE227" i="2"/>
  <c r="BF227" i="2"/>
  <c r="BG227" i="2"/>
  <c r="BH227" i="2"/>
  <c r="BI227" i="2"/>
  <c r="D228" i="2"/>
  <c r="E228" i="2"/>
  <c r="F228" i="2"/>
  <c r="G228" i="2"/>
  <c r="H228" i="2"/>
  <c r="I228" i="2"/>
  <c r="J228" i="2"/>
  <c r="K228" i="2"/>
  <c r="L228" i="2"/>
  <c r="M228" i="2"/>
  <c r="N228" i="2"/>
  <c r="O228" i="2"/>
  <c r="P228" i="2"/>
  <c r="Q228" i="2"/>
  <c r="R228" i="2"/>
  <c r="S228" i="2"/>
  <c r="T228" i="2"/>
  <c r="U228" i="2"/>
  <c r="V228" i="2"/>
  <c r="W228" i="2"/>
  <c r="X228" i="2"/>
  <c r="Y228" i="2"/>
  <c r="Z228" i="2"/>
  <c r="AA228" i="2"/>
  <c r="AB228" i="2"/>
  <c r="AC228" i="2"/>
  <c r="AD228" i="2"/>
  <c r="AE228" i="2"/>
  <c r="AF228" i="2"/>
  <c r="AG228" i="2"/>
  <c r="AH228" i="2"/>
  <c r="AI228" i="2"/>
  <c r="AJ228" i="2"/>
  <c r="AK228" i="2"/>
  <c r="AL228" i="2"/>
  <c r="AM228" i="2"/>
  <c r="AN228" i="2"/>
  <c r="AO228" i="2"/>
  <c r="AP228" i="2"/>
  <c r="AQ228" i="2"/>
  <c r="AR228" i="2"/>
  <c r="AS228" i="2"/>
  <c r="AT228" i="2"/>
  <c r="AU228" i="2"/>
  <c r="AV228" i="2"/>
  <c r="AW228" i="2"/>
  <c r="AX228" i="2"/>
  <c r="AY228" i="2"/>
  <c r="AZ228" i="2"/>
  <c r="BA228" i="2"/>
  <c r="BB228" i="2"/>
  <c r="BC228" i="2"/>
  <c r="BD228" i="2"/>
  <c r="BE228" i="2"/>
  <c r="BF228" i="2"/>
  <c r="BG228" i="2"/>
  <c r="BH228" i="2"/>
  <c r="BI228" i="2"/>
  <c r="D229" i="2"/>
  <c r="E229" i="2"/>
  <c r="F229" i="2"/>
  <c r="G229" i="2"/>
  <c r="H229" i="2"/>
  <c r="I229" i="2"/>
  <c r="J229" i="2"/>
  <c r="K229" i="2"/>
  <c r="L229" i="2"/>
  <c r="M229" i="2"/>
  <c r="N229" i="2"/>
  <c r="O229" i="2"/>
  <c r="P229" i="2"/>
  <c r="Q229" i="2"/>
  <c r="R229" i="2"/>
  <c r="S229" i="2"/>
  <c r="T229" i="2"/>
  <c r="U229" i="2"/>
  <c r="V229" i="2"/>
  <c r="W229" i="2"/>
  <c r="X229" i="2"/>
  <c r="Y229" i="2"/>
  <c r="Z229" i="2"/>
  <c r="AA229" i="2"/>
  <c r="AB229" i="2"/>
  <c r="AC229" i="2"/>
  <c r="AD229" i="2"/>
  <c r="AE229" i="2"/>
  <c r="AF229" i="2"/>
  <c r="AG229" i="2"/>
  <c r="AH229" i="2"/>
  <c r="AI229" i="2"/>
  <c r="AJ229" i="2"/>
  <c r="AK229" i="2"/>
  <c r="AL229" i="2"/>
  <c r="AM229" i="2"/>
  <c r="AN229" i="2"/>
  <c r="AO229" i="2"/>
  <c r="AP229" i="2"/>
  <c r="AQ229" i="2"/>
  <c r="AR229" i="2"/>
  <c r="AS229" i="2"/>
  <c r="AT229" i="2"/>
  <c r="AU229" i="2"/>
  <c r="AV229" i="2"/>
  <c r="AW229" i="2"/>
  <c r="AX229" i="2"/>
  <c r="AY229" i="2"/>
  <c r="AZ229" i="2"/>
  <c r="BA229" i="2"/>
  <c r="BB229" i="2"/>
  <c r="BC229" i="2"/>
  <c r="BD229" i="2"/>
  <c r="BE229" i="2"/>
  <c r="BF229" i="2"/>
  <c r="BG229" i="2"/>
  <c r="BH229" i="2"/>
  <c r="BI229" i="2"/>
  <c r="D230" i="2"/>
  <c r="E230" i="2"/>
  <c r="F230" i="2"/>
  <c r="G230" i="2"/>
  <c r="H230" i="2"/>
  <c r="I230" i="2"/>
  <c r="J230" i="2"/>
  <c r="K230" i="2"/>
  <c r="L230" i="2"/>
  <c r="M230" i="2"/>
  <c r="N230" i="2"/>
  <c r="O230" i="2"/>
  <c r="P230" i="2"/>
  <c r="Q230" i="2"/>
  <c r="R230" i="2"/>
  <c r="S230" i="2"/>
  <c r="T230" i="2"/>
  <c r="U230" i="2"/>
  <c r="V230" i="2"/>
  <c r="W230" i="2"/>
  <c r="X230" i="2"/>
  <c r="Y230" i="2"/>
  <c r="Z230" i="2"/>
  <c r="AA230" i="2"/>
  <c r="AB230" i="2"/>
  <c r="AC230" i="2"/>
  <c r="AD230" i="2"/>
  <c r="AE230" i="2"/>
  <c r="AF230" i="2"/>
  <c r="AG230" i="2"/>
  <c r="AH230" i="2"/>
  <c r="AI230" i="2"/>
  <c r="AJ230" i="2"/>
  <c r="AK230" i="2"/>
  <c r="AL230" i="2"/>
  <c r="AM230" i="2"/>
  <c r="AN230" i="2"/>
  <c r="AO230" i="2"/>
  <c r="AP230" i="2"/>
  <c r="AQ230" i="2"/>
  <c r="AR230" i="2"/>
  <c r="AS230" i="2"/>
  <c r="AT230" i="2"/>
  <c r="AU230" i="2"/>
  <c r="AV230" i="2"/>
  <c r="AW230" i="2"/>
  <c r="AX230" i="2"/>
  <c r="AY230" i="2"/>
  <c r="AZ230" i="2"/>
  <c r="BA230" i="2"/>
  <c r="BB230" i="2"/>
  <c r="BC230" i="2"/>
  <c r="BD230" i="2"/>
  <c r="BE230" i="2"/>
  <c r="BF230" i="2"/>
  <c r="BG230" i="2"/>
  <c r="BH230" i="2"/>
  <c r="BI230" i="2"/>
  <c r="D231" i="2"/>
  <c r="E231" i="2"/>
  <c r="F231" i="2"/>
  <c r="G231" i="2"/>
  <c r="H231" i="2"/>
  <c r="I231" i="2"/>
  <c r="J231" i="2"/>
  <c r="K231" i="2"/>
  <c r="L231" i="2"/>
  <c r="M231" i="2"/>
  <c r="N231" i="2"/>
  <c r="O231" i="2"/>
  <c r="P231" i="2"/>
  <c r="Q231" i="2"/>
  <c r="R231" i="2"/>
  <c r="S231" i="2"/>
  <c r="T231" i="2"/>
  <c r="U231" i="2"/>
  <c r="V231" i="2"/>
  <c r="W231" i="2"/>
  <c r="X231" i="2"/>
  <c r="Y231" i="2"/>
  <c r="Z231" i="2"/>
  <c r="AA231" i="2"/>
  <c r="AB231" i="2"/>
  <c r="AC231" i="2"/>
  <c r="AD231" i="2"/>
  <c r="AE231" i="2"/>
  <c r="AF231" i="2"/>
  <c r="AG231" i="2"/>
  <c r="AH231" i="2"/>
  <c r="AI231" i="2"/>
  <c r="AJ231" i="2"/>
  <c r="AK231" i="2"/>
  <c r="AL231" i="2"/>
  <c r="AM231" i="2"/>
  <c r="AN231" i="2"/>
  <c r="AO231" i="2"/>
  <c r="AP231" i="2"/>
  <c r="AQ231" i="2"/>
  <c r="AR231" i="2"/>
  <c r="AS231" i="2"/>
  <c r="AT231" i="2"/>
  <c r="AU231" i="2"/>
  <c r="AV231" i="2"/>
  <c r="AW231" i="2"/>
  <c r="AX231" i="2"/>
  <c r="AY231" i="2"/>
  <c r="AZ231" i="2"/>
  <c r="BA231" i="2"/>
  <c r="BB231" i="2"/>
  <c r="BC231" i="2"/>
  <c r="BD231" i="2"/>
  <c r="BE231" i="2"/>
  <c r="BF231" i="2"/>
  <c r="BG231" i="2"/>
  <c r="BH231" i="2"/>
  <c r="BI231" i="2"/>
  <c r="D232" i="2"/>
  <c r="E232" i="2"/>
  <c r="F232" i="2"/>
  <c r="G232" i="2"/>
  <c r="H232" i="2"/>
  <c r="I232" i="2"/>
  <c r="J232" i="2"/>
  <c r="K232" i="2"/>
  <c r="L232" i="2"/>
  <c r="M232" i="2"/>
  <c r="N232" i="2"/>
  <c r="O232" i="2"/>
  <c r="P232" i="2"/>
  <c r="Q232" i="2"/>
  <c r="R232" i="2"/>
  <c r="S232" i="2"/>
  <c r="T232" i="2"/>
  <c r="U232" i="2"/>
  <c r="V232" i="2"/>
  <c r="W232" i="2"/>
  <c r="X232" i="2"/>
  <c r="Y232" i="2"/>
  <c r="Z232" i="2"/>
  <c r="AA232" i="2"/>
  <c r="AB232" i="2"/>
  <c r="AC232" i="2"/>
  <c r="AD232" i="2"/>
  <c r="AE232" i="2"/>
  <c r="AF232" i="2"/>
  <c r="AG232" i="2"/>
  <c r="AH232" i="2"/>
  <c r="AI232" i="2"/>
  <c r="AJ232" i="2"/>
  <c r="AK232" i="2"/>
  <c r="AL232" i="2"/>
  <c r="AM232" i="2"/>
  <c r="AN232" i="2"/>
  <c r="AO232" i="2"/>
  <c r="AP232" i="2"/>
  <c r="AQ232" i="2"/>
  <c r="AR232" i="2"/>
  <c r="AS232" i="2"/>
  <c r="AT232" i="2"/>
  <c r="AU232" i="2"/>
  <c r="AV232" i="2"/>
  <c r="AW232" i="2"/>
  <c r="AX232" i="2"/>
  <c r="AY232" i="2"/>
  <c r="AZ232" i="2"/>
  <c r="BA232" i="2"/>
  <c r="BB232" i="2"/>
  <c r="BC232" i="2"/>
  <c r="BD232" i="2"/>
  <c r="BE232" i="2"/>
  <c r="BF232" i="2"/>
  <c r="BG232" i="2"/>
  <c r="BH232" i="2"/>
  <c r="BI232" i="2"/>
  <c r="D233" i="2"/>
  <c r="E233" i="2"/>
  <c r="F233" i="2"/>
  <c r="G233" i="2"/>
  <c r="H233" i="2"/>
  <c r="I233" i="2"/>
  <c r="J233" i="2"/>
  <c r="K233" i="2"/>
  <c r="L233" i="2"/>
  <c r="M233" i="2"/>
  <c r="N233" i="2"/>
  <c r="O233" i="2"/>
  <c r="P233" i="2"/>
  <c r="Q233" i="2"/>
  <c r="R233" i="2"/>
  <c r="S233" i="2"/>
  <c r="T233" i="2"/>
  <c r="U233" i="2"/>
  <c r="V233" i="2"/>
  <c r="W233" i="2"/>
  <c r="X233" i="2"/>
  <c r="Y233" i="2"/>
  <c r="Z233" i="2"/>
  <c r="AA233" i="2"/>
  <c r="AB233" i="2"/>
  <c r="AC233" i="2"/>
  <c r="AD233" i="2"/>
  <c r="AE233" i="2"/>
  <c r="AF233" i="2"/>
  <c r="AG233" i="2"/>
  <c r="AH233" i="2"/>
  <c r="AI233" i="2"/>
  <c r="AJ233" i="2"/>
  <c r="AK233" i="2"/>
  <c r="AL233" i="2"/>
  <c r="AM233" i="2"/>
  <c r="AN233" i="2"/>
  <c r="AO233" i="2"/>
  <c r="AP233" i="2"/>
  <c r="AQ233" i="2"/>
  <c r="AR233" i="2"/>
  <c r="AS233" i="2"/>
  <c r="AT233" i="2"/>
  <c r="AU233" i="2"/>
  <c r="AV233" i="2"/>
  <c r="AW233" i="2"/>
  <c r="AX233" i="2"/>
  <c r="AY233" i="2"/>
  <c r="AZ233" i="2"/>
  <c r="BA233" i="2"/>
  <c r="BB233" i="2"/>
  <c r="BC233" i="2"/>
  <c r="BD233" i="2"/>
  <c r="BE233" i="2"/>
  <c r="BF233" i="2"/>
  <c r="BG233" i="2"/>
  <c r="BH233" i="2"/>
  <c r="BI233" i="2"/>
  <c r="D234" i="2"/>
  <c r="E234" i="2"/>
  <c r="F234" i="2"/>
  <c r="G234" i="2"/>
  <c r="H234" i="2"/>
  <c r="I234" i="2"/>
  <c r="J234" i="2"/>
  <c r="K234" i="2"/>
  <c r="L234" i="2"/>
  <c r="M234" i="2"/>
  <c r="N234" i="2"/>
  <c r="O234" i="2"/>
  <c r="P234" i="2"/>
  <c r="Q234" i="2"/>
  <c r="R234" i="2"/>
  <c r="S234" i="2"/>
  <c r="T234" i="2"/>
  <c r="U234" i="2"/>
  <c r="V234" i="2"/>
  <c r="W234" i="2"/>
  <c r="X234" i="2"/>
  <c r="Y234" i="2"/>
  <c r="Z234" i="2"/>
  <c r="AA234" i="2"/>
  <c r="AB234" i="2"/>
  <c r="AC234" i="2"/>
  <c r="AD234" i="2"/>
  <c r="AE234" i="2"/>
  <c r="AF234" i="2"/>
  <c r="AG234" i="2"/>
  <c r="AH234" i="2"/>
  <c r="AI234" i="2"/>
  <c r="AJ234" i="2"/>
  <c r="AK234" i="2"/>
  <c r="AL234" i="2"/>
  <c r="AM234" i="2"/>
  <c r="AN234" i="2"/>
  <c r="AO234" i="2"/>
  <c r="AP234" i="2"/>
  <c r="AQ234" i="2"/>
  <c r="AR234" i="2"/>
  <c r="AS234" i="2"/>
  <c r="AT234" i="2"/>
  <c r="AU234" i="2"/>
  <c r="AV234" i="2"/>
  <c r="AW234" i="2"/>
  <c r="AX234" i="2"/>
  <c r="AY234" i="2"/>
  <c r="AZ234" i="2"/>
  <c r="BA234" i="2"/>
  <c r="BB234" i="2"/>
  <c r="BC234" i="2"/>
  <c r="BD234" i="2"/>
  <c r="BE234" i="2"/>
  <c r="BF234" i="2"/>
  <c r="BG234" i="2"/>
  <c r="BH234" i="2"/>
  <c r="BI234" i="2"/>
  <c r="D235" i="2"/>
  <c r="E235" i="2"/>
  <c r="F235" i="2"/>
  <c r="G235" i="2"/>
  <c r="H235" i="2"/>
  <c r="I235" i="2"/>
  <c r="J235" i="2"/>
  <c r="K235" i="2"/>
  <c r="L235" i="2"/>
  <c r="M235" i="2"/>
  <c r="N235" i="2"/>
  <c r="O235" i="2"/>
  <c r="P235" i="2"/>
  <c r="Q235" i="2"/>
  <c r="R235" i="2"/>
  <c r="S235" i="2"/>
  <c r="T235" i="2"/>
  <c r="U235" i="2"/>
  <c r="V235" i="2"/>
  <c r="W235" i="2"/>
  <c r="X235" i="2"/>
  <c r="Y235" i="2"/>
  <c r="Z235" i="2"/>
  <c r="AA235" i="2"/>
  <c r="AB235" i="2"/>
  <c r="AC235" i="2"/>
  <c r="AD235" i="2"/>
  <c r="AE235" i="2"/>
  <c r="AF235" i="2"/>
  <c r="AG235" i="2"/>
  <c r="AH235" i="2"/>
  <c r="AI235" i="2"/>
  <c r="AJ235" i="2"/>
  <c r="AK235" i="2"/>
  <c r="AL235" i="2"/>
  <c r="AM235" i="2"/>
  <c r="AN235" i="2"/>
  <c r="AO235" i="2"/>
  <c r="AP235" i="2"/>
  <c r="AQ235" i="2"/>
  <c r="AR235" i="2"/>
  <c r="AS235" i="2"/>
  <c r="AT235" i="2"/>
  <c r="AU235" i="2"/>
  <c r="AV235" i="2"/>
  <c r="AW235" i="2"/>
  <c r="AX235" i="2"/>
  <c r="AY235" i="2"/>
  <c r="AZ235" i="2"/>
  <c r="BA235" i="2"/>
  <c r="BB235" i="2"/>
  <c r="BC235" i="2"/>
  <c r="BD235" i="2"/>
  <c r="BE235" i="2"/>
  <c r="BF235" i="2"/>
  <c r="BG235" i="2"/>
  <c r="BH235" i="2"/>
  <c r="BI235" i="2"/>
  <c r="D236" i="2"/>
  <c r="E236" i="2"/>
  <c r="F236" i="2"/>
  <c r="G236" i="2"/>
  <c r="H236" i="2"/>
  <c r="I236" i="2"/>
  <c r="J236" i="2"/>
  <c r="K236" i="2"/>
  <c r="L236" i="2"/>
  <c r="M236" i="2"/>
  <c r="N236" i="2"/>
  <c r="O236" i="2"/>
  <c r="P236" i="2"/>
  <c r="Q236" i="2"/>
  <c r="R236" i="2"/>
  <c r="S236" i="2"/>
  <c r="T236" i="2"/>
  <c r="U236" i="2"/>
  <c r="V236" i="2"/>
  <c r="W236" i="2"/>
  <c r="X236" i="2"/>
  <c r="Y236" i="2"/>
  <c r="Z236" i="2"/>
  <c r="AA236" i="2"/>
  <c r="AB236" i="2"/>
  <c r="AC236" i="2"/>
  <c r="AD236" i="2"/>
  <c r="AE236" i="2"/>
  <c r="AF236" i="2"/>
  <c r="AG236" i="2"/>
  <c r="AH236" i="2"/>
  <c r="AI236" i="2"/>
  <c r="AJ236" i="2"/>
  <c r="AK236" i="2"/>
  <c r="AL236" i="2"/>
  <c r="AM236" i="2"/>
  <c r="AN236" i="2"/>
  <c r="AO236" i="2"/>
  <c r="AP236" i="2"/>
  <c r="AQ236" i="2"/>
  <c r="AR236" i="2"/>
  <c r="AS236" i="2"/>
  <c r="AT236" i="2"/>
  <c r="AU236" i="2"/>
  <c r="AV236" i="2"/>
  <c r="AW236" i="2"/>
  <c r="AX236" i="2"/>
  <c r="AY236" i="2"/>
  <c r="AZ236" i="2"/>
  <c r="BA236" i="2"/>
  <c r="BB236" i="2"/>
  <c r="BC236" i="2"/>
  <c r="BD236" i="2"/>
  <c r="BE236" i="2"/>
  <c r="BF236" i="2"/>
  <c r="BG236" i="2"/>
  <c r="BH236" i="2"/>
  <c r="BI236" i="2"/>
  <c r="D237" i="2"/>
  <c r="E237" i="2"/>
  <c r="F237" i="2"/>
  <c r="G237" i="2"/>
  <c r="H237" i="2"/>
  <c r="I237" i="2"/>
  <c r="J237" i="2"/>
  <c r="K237" i="2"/>
  <c r="L237" i="2"/>
  <c r="M237" i="2"/>
  <c r="N237" i="2"/>
  <c r="O237" i="2"/>
  <c r="P237" i="2"/>
  <c r="Q237" i="2"/>
  <c r="R237" i="2"/>
  <c r="S237" i="2"/>
  <c r="T237" i="2"/>
  <c r="U237" i="2"/>
  <c r="V237" i="2"/>
  <c r="W237" i="2"/>
  <c r="X237" i="2"/>
  <c r="Y237" i="2"/>
  <c r="Z237" i="2"/>
  <c r="AA237" i="2"/>
  <c r="AB237" i="2"/>
  <c r="AC237" i="2"/>
  <c r="AD237" i="2"/>
  <c r="AE237" i="2"/>
  <c r="AF237" i="2"/>
  <c r="AG237" i="2"/>
  <c r="AH237" i="2"/>
  <c r="AI237" i="2"/>
  <c r="AJ237" i="2"/>
  <c r="AK237" i="2"/>
  <c r="AL237" i="2"/>
  <c r="AM237" i="2"/>
  <c r="AN237" i="2"/>
  <c r="AO237" i="2"/>
  <c r="AP237" i="2"/>
  <c r="AQ237" i="2"/>
  <c r="AR237" i="2"/>
  <c r="AS237" i="2"/>
  <c r="AT237" i="2"/>
  <c r="AU237" i="2"/>
  <c r="AV237" i="2"/>
  <c r="AW237" i="2"/>
  <c r="AX237" i="2"/>
  <c r="AY237" i="2"/>
  <c r="AZ237" i="2"/>
  <c r="BA237" i="2"/>
  <c r="BB237" i="2"/>
  <c r="BC237" i="2"/>
  <c r="BD237" i="2"/>
  <c r="BE237" i="2"/>
  <c r="BF237" i="2"/>
  <c r="BG237" i="2"/>
  <c r="BH237" i="2"/>
  <c r="BI237"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4" i="2"/>
  <c r="C273" i="2"/>
  <c r="C272" i="2"/>
  <c r="C271" i="2"/>
  <c r="C270" i="2"/>
  <c r="C269" i="2"/>
  <c r="C268" i="2"/>
  <c r="C267" i="2"/>
  <c r="C266" i="2"/>
  <c r="C265" i="2"/>
  <c r="C264" i="2"/>
  <c r="C263" i="2"/>
  <c r="C262" i="2"/>
  <c r="C261" i="2"/>
  <c r="C260" i="2"/>
  <c r="C259" i="2"/>
  <c r="C258" i="2"/>
  <c r="C257" i="2"/>
  <c r="C256" i="2"/>
  <c r="C255" i="2"/>
  <c r="C254" i="2"/>
  <c r="C253" i="2"/>
  <c r="C252" i="2"/>
  <c r="C241" i="2"/>
  <c r="C242" i="2"/>
  <c r="C239" i="2"/>
  <c r="C240" i="2"/>
  <c r="C237" i="2"/>
  <c r="C236" i="2"/>
  <c r="C235" i="2"/>
  <c r="C234" i="2"/>
  <c r="C233" i="2"/>
  <c r="C232" i="2"/>
  <c r="C231" i="2"/>
  <c r="C230" i="2"/>
  <c r="C229" i="2"/>
  <c r="C228" i="2"/>
  <c r="C227" i="2"/>
  <c r="C226" i="2"/>
  <c r="C225" i="2"/>
  <c r="C224" i="2"/>
  <c r="C223" i="2"/>
  <c r="C222" i="2"/>
  <c r="C221" i="2"/>
  <c r="C220" i="2"/>
  <c r="C219" i="2"/>
  <c r="C218" i="2"/>
  <c r="C217" i="2"/>
  <c r="C216" i="2"/>
  <c r="C215" i="2"/>
  <c r="AJ15" i="2"/>
  <c r="AK15" i="2" s="1"/>
  <c r="AL15" i="2" s="1"/>
  <c r="AM15" i="2" s="1"/>
  <c r="AN15" i="2" s="1"/>
  <c r="AO15" i="2" s="1"/>
  <c r="AP15" i="2" s="1"/>
  <c r="AQ15" i="2" s="1"/>
  <c r="AR15" i="2" s="1"/>
  <c r="AS15" i="2" s="1"/>
  <c r="AT15" i="2" s="1"/>
  <c r="AU15" i="2" s="1"/>
  <c r="AV15" i="2" s="1"/>
  <c r="AW15" i="2" s="1"/>
  <c r="AX15" i="2" s="1"/>
  <c r="AY15" i="2" s="1"/>
  <c r="AZ15" i="2" s="1"/>
  <c r="BA15" i="2" s="1"/>
  <c r="BB15" i="2" s="1"/>
  <c r="BC15" i="2" s="1"/>
  <c r="BD15" i="2" s="1"/>
  <c r="BE15" i="2" s="1"/>
  <c r="BF15" i="2" s="1"/>
  <c r="BG15" i="2" s="1"/>
  <c r="BH15" i="2" s="1"/>
  <c r="BI15" i="2" s="1"/>
  <c r="AJ16" i="2"/>
  <c r="AK16" i="2" s="1"/>
  <c r="AL16" i="2" s="1"/>
  <c r="AM16" i="2" s="1"/>
  <c r="AN16" i="2" s="1"/>
  <c r="AO16" i="2" s="1"/>
  <c r="AP16" i="2" s="1"/>
  <c r="AQ16" i="2" s="1"/>
  <c r="AR16" i="2" s="1"/>
  <c r="AS16" i="2" s="1"/>
  <c r="AT16" i="2" s="1"/>
  <c r="AU16" i="2" s="1"/>
  <c r="AV16" i="2" s="1"/>
  <c r="AW16" i="2" s="1"/>
  <c r="AX16" i="2" s="1"/>
  <c r="AY16" i="2" s="1"/>
  <c r="AZ16" i="2" s="1"/>
  <c r="BA16" i="2" s="1"/>
  <c r="BB16" i="2" s="1"/>
  <c r="BC16" i="2" s="1"/>
  <c r="BD16" i="2" s="1"/>
  <c r="BE16" i="2" s="1"/>
  <c r="BF16" i="2" s="1"/>
  <c r="BG16" i="2" s="1"/>
  <c r="BH16" i="2" s="1"/>
  <c r="BI16" i="2" s="1"/>
  <c r="AJ17" i="2"/>
  <c r="AK17" i="2" s="1"/>
  <c r="AL17" i="2" s="1"/>
  <c r="AM17" i="2" s="1"/>
  <c r="AN17" i="2" s="1"/>
  <c r="AO17" i="2" s="1"/>
  <c r="AP17" i="2" s="1"/>
  <c r="AQ17" i="2" s="1"/>
  <c r="AR17" i="2" s="1"/>
  <c r="AS17" i="2" s="1"/>
  <c r="AT17" i="2" s="1"/>
  <c r="AU17" i="2" s="1"/>
  <c r="AV17" i="2" s="1"/>
  <c r="AW17" i="2" s="1"/>
  <c r="AX17" i="2" s="1"/>
  <c r="AY17" i="2" s="1"/>
  <c r="AZ17" i="2" s="1"/>
  <c r="BA17" i="2" s="1"/>
  <c r="BB17" i="2" s="1"/>
  <c r="BC17" i="2" s="1"/>
  <c r="BD17" i="2" s="1"/>
  <c r="BE17" i="2" s="1"/>
  <c r="BF17" i="2" s="1"/>
  <c r="BG17" i="2" s="1"/>
  <c r="BH17" i="2" s="1"/>
  <c r="BI17" i="2" s="1"/>
  <c r="AJ18" i="2"/>
  <c r="AK18" i="2"/>
  <c r="AL18" i="2" s="1"/>
  <c r="AM18" i="2" s="1"/>
  <c r="AN18" i="2" s="1"/>
  <c r="AO18" i="2" s="1"/>
  <c r="AP18" i="2" s="1"/>
  <c r="AQ18" i="2" s="1"/>
  <c r="AR18" i="2" s="1"/>
  <c r="AS18" i="2" s="1"/>
  <c r="AT18" i="2" s="1"/>
  <c r="AU18" i="2" s="1"/>
  <c r="AV18" i="2" s="1"/>
  <c r="AW18" i="2" s="1"/>
  <c r="AX18" i="2" s="1"/>
  <c r="AY18" i="2" s="1"/>
  <c r="AZ18" i="2" s="1"/>
  <c r="BA18" i="2"/>
  <c r="BB18" i="2" s="1"/>
  <c r="BC18" i="2" s="1"/>
  <c r="BD18" i="2" s="1"/>
  <c r="BE18" i="2" s="1"/>
  <c r="BF18" i="2" s="1"/>
  <c r="BG18" i="2" s="1"/>
  <c r="BH18" i="2" s="1"/>
  <c r="BI18" i="2" s="1"/>
  <c r="AJ19" i="2"/>
  <c r="AK19" i="2"/>
  <c r="AL19" i="2" s="1"/>
  <c r="AM19" i="2" s="1"/>
  <c r="AN19" i="2" s="1"/>
  <c r="AO19" i="2" s="1"/>
  <c r="AP19" i="2" s="1"/>
  <c r="AQ19" i="2" s="1"/>
  <c r="AR19" i="2" s="1"/>
  <c r="AS19" i="2" s="1"/>
  <c r="AT19" i="2" s="1"/>
  <c r="AU19" i="2" s="1"/>
  <c r="AV19" i="2" s="1"/>
  <c r="AW19" i="2" s="1"/>
  <c r="AX19" i="2" s="1"/>
  <c r="AY19" i="2" s="1"/>
  <c r="AZ19" i="2" s="1"/>
  <c r="BA19" i="2" s="1"/>
  <c r="BB19" i="2" s="1"/>
  <c r="BC19" i="2" s="1"/>
  <c r="BD19" i="2" s="1"/>
  <c r="BE19" i="2" s="1"/>
  <c r="BF19" i="2" s="1"/>
  <c r="BG19" i="2" s="1"/>
  <c r="BH19" i="2" s="1"/>
  <c r="BI19" i="2" s="1"/>
  <c r="AJ20" i="2"/>
  <c r="AK20" i="2" s="1"/>
  <c r="AL20" i="2" s="1"/>
  <c r="AM20" i="2" s="1"/>
  <c r="AN20" i="2" s="1"/>
  <c r="AO20" i="2"/>
  <c r="AP20" i="2" s="1"/>
  <c r="AQ20" i="2" s="1"/>
  <c r="AR20" i="2" s="1"/>
  <c r="AS20" i="2" s="1"/>
  <c r="AT20" i="2" s="1"/>
  <c r="AU20" i="2" s="1"/>
  <c r="AV20" i="2" s="1"/>
  <c r="AW20" i="2" s="1"/>
  <c r="AX20" i="2" s="1"/>
  <c r="AY20" i="2" s="1"/>
  <c r="AZ20" i="2" s="1"/>
  <c r="BA20" i="2" s="1"/>
  <c r="BB20" i="2" s="1"/>
  <c r="BC20" i="2" s="1"/>
  <c r="BD20" i="2" s="1"/>
  <c r="BE20" i="2" s="1"/>
  <c r="BF20" i="2" s="1"/>
  <c r="BG20" i="2" s="1"/>
  <c r="BH20" i="2" s="1"/>
  <c r="BI20" i="2" s="1"/>
  <c r="AJ21" i="2"/>
  <c r="AK21" i="2" s="1"/>
  <c r="AL21" i="2" s="1"/>
  <c r="AM21" i="2" s="1"/>
  <c r="AN21" i="2" s="1"/>
  <c r="AO21" i="2" s="1"/>
  <c r="AP21" i="2" s="1"/>
  <c r="AQ21" i="2" s="1"/>
  <c r="AR21" i="2" s="1"/>
  <c r="AS21" i="2" s="1"/>
  <c r="AT21" i="2" s="1"/>
  <c r="AU21" i="2" s="1"/>
  <c r="AV21" i="2" s="1"/>
  <c r="AW21" i="2" s="1"/>
  <c r="AX21" i="2" s="1"/>
  <c r="AY21" i="2" s="1"/>
  <c r="AZ21" i="2" s="1"/>
  <c r="BA21" i="2" s="1"/>
  <c r="BB21" i="2" s="1"/>
  <c r="BC21" i="2" s="1"/>
  <c r="BD21" i="2" s="1"/>
  <c r="BE21" i="2" s="1"/>
  <c r="BF21" i="2" s="1"/>
  <c r="BG21" i="2" s="1"/>
  <c r="BH21" i="2" s="1"/>
  <c r="BI21" i="2" s="1"/>
  <c r="AJ22" i="2"/>
  <c r="AK22" i="2"/>
  <c r="AL22" i="2" s="1"/>
  <c r="AM22" i="2" s="1"/>
  <c r="AN22" i="2" s="1"/>
  <c r="AO22" i="2" s="1"/>
  <c r="AP22" i="2" s="1"/>
  <c r="AQ22" i="2" s="1"/>
  <c r="AR22" i="2" s="1"/>
  <c r="AS22" i="2" s="1"/>
  <c r="AT22" i="2" s="1"/>
  <c r="AU22" i="2" s="1"/>
  <c r="AV22" i="2" s="1"/>
  <c r="AW22" i="2" s="1"/>
  <c r="AX22" i="2" s="1"/>
  <c r="AY22" i="2" s="1"/>
  <c r="AZ22" i="2" s="1"/>
  <c r="BA22" i="2" s="1"/>
  <c r="BB22" i="2" s="1"/>
  <c r="BC22" i="2" s="1"/>
  <c r="BD22" i="2" s="1"/>
  <c r="BE22" i="2" s="1"/>
  <c r="BF22" i="2" s="1"/>
  <c r="BG22" i="2" s="1"/>
  <c r="BH22" i="2" s="1"/>
  <c r="BI22" i="2" s="1"/>
  <c r="AJ23" i="2"/>
  <c r="AK23" i="2"/>
  <c r="AL23" i="2" s="1"/>
  <c r="AM23" i="2" s="1"/>
  <c r="AN23" i="2" s="1"/>
  <c r="AO23" i="2" s="1"/>
  <c r="AP23" i="2" s="1"/>
  <c r="AQ23" i="2"/>
  <c r="AR23" i="2" s="1"/>
  <c r="AS23" i="2" s="1"/>
  <c r="AT23" i="2" s="1"/>
  <c r="AU23" i="2" s="1"/>
  <c r="AV23" i="2" s="1"/>
  <c r="AW23" i="2" s="1"/>
  <c r="AX23" i="2" s="1"/>
  <c r="AY23" i="2" s="1"/>
  <c r="AZ23" i="2" s="1"/>
  <c r="BA23" i="2" s="1"/>
  <c r="AJ24" i="2"/>
  <c r="AK24" i="2" s="1"/>
  <c r="AL24" i="2" s="1"/>
  <c r="AM24" i="2" s="1"/>
  <c r="AN24" i="2" s="1"/>
  <c r="AO24" i="2" s="1"/>
  <c r="AP24" i="2" s="1"/>
  <c r="AQ24" i="2" s="1"/>
  <c r="AR24" i="2" s="1"/>
  <c r="AS24" i="2" s="1"/>
  <c r="AT24" i="2" s="1"/>
  <c r="AU24" i="2" s="1"/>
  <c r="AV24" i="2" s="1"/>
  <c r="AW24" i="2" s="1"/>
  <c r="AX24" i="2" s="1"/>
  <c r="AY24" i="2" s="1"/>
  <c r="AZ24" i="2" s="1"/>
  <c r="BA24" i="2" s="1"/>
  <c r="BB24" i="2" s="1"/>
  <c r="BC24" i="2" s="1"/>
  <c r="BD24" i="2" s="1"/>
  <c r="BE24" i="2"/>
  <c r="BF24" i="2" s="1"/>
  <c r="BG24" i="2" s="1"/>
  <c r="BH24" i="2" s="1"/>
  <c r="BI24" i="2" s="1"/>
  <c r="AJ25" i="2"/>
  <c r="AK25" i="2" s="1"/>
  <c r="AL25" i="2" s="1"/>
  <c r="AM25" i="2"/>
  <c r="AN25" i="2" s="1"/>
  <c r="AO25" i="2" s="1"/>
  <c r="AP25" i="2" s="1"/>
  <c r="AQ25" i="2" s="1"/>
  <c r="AR25" i="2" s="1"/>
  <c r="AS25" i="2" s="1"/>
  <c r="AT25" i="2" s="1"/>
  <c r="AU25" i="2" s="1"/>
  <c r="AV25" i="2" s="1"/>
  <c r="AW25" i="2" s="1"/>
  <c r="AX25" i="2" s="1"/>
  <c r="AY25" i="2" s="1"/>
  <c r="AZ25" i="2" s="1"/>
  <c r="BA25" i="2" s="1"/>
  <c r="BB25" i="2" s="1"/>
  <c r="BC25" i="2" s="1"/>
  <c r="BD25" i="2" s="1"/>
  <c r="BE25" i="2"/>
  <c r="BF25" i="2" s="1"/>
  <c r="BG25" i="2" s="1"/>
  <c r="BH25" i="2" s="1"/>
  <c r="BI25" i="2" s="1"/>
  <c r="AJ26" i="2"/>
  <c r="AK26" i="2"/>
  <c r="AL26" i="2" s="1"/>
  <c r="AM26" i="2"/>
  <c r="AN26" i="2" s="1"/>
  <c r="AO26" i="2" s="1"/>
  <c r="AP26" i="2" s="1"/>
  <c r="AQ26" i="2" s="1"/>
  <c r="AR26" i="2" s="1"/>
  <c r="AS26" i="2" s="1"/>
  <c r="AT26" i="2" s="1"/>
  <c r="AU26" i="2" s="1"/>
  <c r="AV26" i="2" s="1"/>
  <c r="AW26" i="2" s="1"/>
  <c r="AX26" i="2" s="1"/>
  <c r="AY26" i="2" s="1"/>
  <c r="AZ26" i="2" s="1"/>
  <c r="BA26" i="2" s="1"/>
  <c r="BB26" i="2" s="1"/>
  <c r="BC26" i="2" s="1"/>
  <c r="BD26" i="2" s="1"/>
  <c r="BE26" i="2" s="1"/>
  <c r="BF26" i="2" s="1"/>
  <c r="BG26" i="2" s="1"/>
  <c r="BH26" i="2" s="1"/>
  <c r="BI26" i="2" s="1"/>
  <c r="AJ27" i="2"/>
  <c r="AK27" i="2"/>
  <c r="AL27" i="2" s="1"/>
  <c r="AM27" i="2" s="1"/>
  <c r="AN27" i="2" s="1"/>
  <c r="AO27" i="2" s="1"/>
  <c r="AP27" i="2" s="1"/>
  <c r="AQ27" i="2"/>
  <c r="AR27" i="2" s="1"/>
  <c r="AS27" i="2" s="1"/>
  <c r="AT27" i="2" s="1"/>
  <c r="AU27" i="2" s="1"/>
  <c r="AV27" i="2" s="1"/>
  <c r="AW27" i="2" s="1"/>
  <c r="AX27" i="2" s="1"/>
  <c r="AY27" i="2" s="1"/>
  <c r="AZ27" i="2" s="1"/>
  <c r="BA27" i="2" s="1"/>
  <c r="BB27" i="2" s="1"/>
  <c r="BC27" i="2" s="1"/>
  <c r="BD27" i="2" s="1"/>
  <c r="BE27" i="2" s="1"/>
  <c r="BF27" i="2" s="1"/>
  <c r="BG27" i="2" s="1"/>
  <c r="BH27" i="2" s="1"/>
  <c r="BI27" i="2"/>
  <c r="AJ28" i="2"/>
  <c r="AK28" i="2" s="1"/>
  <c r="AL28" i="2" s="1"/>
  <c r="AM28" i="2" s="1"/>
  <c r="AN28" i="2" s="1"/>
  <c r="AO28" i="2"/>
  <c r="AP28" i="2" s="1"/>
  <c r="AQ28" i="2"/>
  <c r="AR28" i="2" s="1"/>
  <c r="AS28" i="2" s="1"/>
  <c r="AT28" i="2" s="1"/>
  <c r="AU28" i="2" s="1"/>
  <c r="AV28" i="2" s="1"/>
  <c r="AW28" i="2" s="1"/>
  <c r="AX28" i="2" s="1"/>
  <c r="AY28" i="2" s="1"/>
  <c r="AZ28" i="2" s="1"/>
  <c r="BA28" i="2" s="1"/>
  <c r="BB28" i="2" s="1"/>
  <c r="BC28" i="2" s="1"/>
  <c r="BD28" i="2" s="1"/>
  <c r="BE28" i="2" s="1"/>
  <c r="BF28" i="2" s="1"/>
  <c r="BG28" i="2" s="1"/>
  <c r="BH28" i="2" s="1"/>
  <c r="BI28" i="2" s="1"/>
  <c r="AJ29" i="2"/>
  <c r="AK29" i="2" s="1"/>
  <c r="AL29" i="2" s="1"/>
  <c r="AM29" i="2" s="1"/>
  <c r="AN29" i="2" s="1"/>
  <c r="AO29" i="2" s="1"/>
  <c r="AP29" i="2" s="1"/>
  <c r="AQ29" i="2" s="1"/>
  <c r="AR29" i="2" s="1"/>
  <c r="AS29" i="2" s="1"/>
  <c r="AT29" i="2" s="1"/>
  <c r="AU29" i="2" s="1"/>
  <c r="AV29" i="2" s="1"/>
  <c r="AW29" i="2" s="1"/>
  <c r="AX29" i="2" s="1"/>
  <c r="AY29" i="2" s="1"/>
  <c r="AZ29" i="2" s="1"/>
  <c r="BA29" i="2" s="1"/>
  <c r="BB29" i="2" s="1"/>
  <c r="BC29" i="2" s="1"/>
  <c r="BD29" i="2" s="1"/>
  <c r="BE29" i="2" s="1"/>
  <c r="BF29" i="2" s="1"/>
  <c r="BG29" i="2" s="1"/>
  <c r="BH29" i="2" s="1"/>
  <c r="BI29" i="2" s="1"/>
  <c r="AJ30" i="2"/>
  <c r="AK30" i="2"/>
  <c r="AL30" i="2" s="1"/>
  <c r="AM30" i="2" s="1"/>
  <c r="AN30" i="2" s="1"/>
  <c r="AO30" i="2" s="1"/>
  <c r="AP30" i="2" s="1"/>
  <c r="AQ30" i="2" s="1"/>
  <c r="AR30" i="2" s="1"/>
  <c r="AS30" i="2" s="1"/>
  <c r="AT30" i="2" s="1"/>
  <c r="AU30" i="2" s="1"/>
  <c r="AV30" i="2" s="1"/>
  <c r="AW30" i="2" s="1"/>
  <c r="AX30" i="2" s="1"/>
  <c r="AY30" i="2" s="1"/>
  <c r="AZ30" i="2" s="1"/>
  <c r="BA30" i="2" s="1"/>
  <c r="BB30" i="2" s="1"/>
  <c r="BC30" i="2" s="1"/>
  <c r="BD30" i="2" s="1"/>
  <c r="BE30" i="2" s="1"/>
  <c r="BF30" i="2" s="1"/>
  <c r="BG30" i="2" s="1"/>
  <c r="BH30" i="2" s="1"/>
  <c r="BI30" i="2" s="1"/>
  <c r="AJ31" i="2"/>
  <c r="AK31" i="2"/>
  <c r="AL31" i="2" s="1"/>
  <c r="AM31" i="2" s="1"/>
  <c r="AN31" i="2" s="1"/>
  <c r="AO31" i="2" s="1"/>
  <c r="AP31" i="2" s="1"/>
  <c r="AQ31" i="2" s="1"/>
  <c r="AR31" i="2" s="1"/>
  <c r="AS31" i="2" s="1"/>
  <c r="AT31" i="2" s="1"/>
  <c r="AU31" i="2" s="1"/>
  <c r="AV31" i="2" s="1"/>
  <c r="AW31" i="2" s="1"/>
  <c r="AX31" i="2" s="1"/>
  <c r="AY31" i="2" s="1"/>
  <c r="AZ31" i="2" s="1"/>
  <c r="BA31" i="2" s="1"/>
  <c r="BB31" i="2" s="1"/>
  <c r="BC31" i="2" s="1"/>
  <c r="BD31" i="2" s="1"/>
  <c r="BE31" i="2" s="1"/>
  <c r="BF31" i="2" s="1"/>
  <c r="BG31" i="2" s="1"/>
  <c r="BH31" i="2" s="1"/>
  <c r="BI31" i="2" s="1"/>
  <c r="AJ32" i="2"/>
  <c r="AK32" i="2" s="1"/>
  <c r="AL32" i="2" s="1"/>
  <c r="AM32" i="2" s="1"/>
  <c r="AN32" i="2" s="1"/>
  <c r="AO32" i="2"/>
  <c r="AP32" i="2" s="1"/>
  <c r="AQ32" i="2" s="1"/>
  <c r="AR32" i="2" s="1"/>
  <c r="AS32" i="2" s="1"/>
  <c r="AT32" i="2" s="1"/>
  <c r="AU32" i="2" s="1"/>
  <c r="AV32" i="2" s="1"/>
  <c r="AW32" i="2" s="1"/>
  <c r="AX32" i="2" s="1"/>
  <c r="AY32" i="2" s="1"/>
  <c r="AZ32" i="2" s="1"/>
  <c r="BA32" i="2" s="1"/>
  <c r="BB32" i="2" s="1"/>
  <c r="BC32" i="2" s="1"/>
  <c r="BD32" i="2" s="1"/>
  <c r="BE32" i="2" s="1"/>
  <c r="BF32" i="2" s="1"/>
  <c r="BG32" i="2" s="1"/>
  <c r="BH32" i="2" s="1"/>
  <c r="BI32" i="2" s="1"/>
  <c r="AJ33" i="2"/>
  <c r="AK33" i="2" s="1"/>
  <c r="AL33" i="2" s="1"/>
  <c r="AM33" i="2" s="1"/>
  <c r="AN33" i="2" s="1"/>
  <c r="AO33" i="2"/>
  <c r="AP33" i="2" s="1"/>
  <c r="AQ33" i="2" s="1"/>
  <c r="AR33" i="2" s="1"/>
  <c r="AS33" i="2" s="1"/>
  <c r="AT33" i="2" s="1"/>
  <c r="AU33" i="2" s="1"/>
  <c r="AV33" i="2" s="1"/>
  <c r="AW33" i="2" s="1"/>
  <c r="AX33" i="2" s="1"/>
  <c r="AY33" i="2" s="1"/>
  <c r="AZ33" i="2" s="1"/>
  <c r="BA33" i="2" s="1"/>
  <c r="BB33" i="2" s="1"/>
  <c r="BC33" i="2" s="1"/>
  <c r="BD33" i="2" s="1"/>
  <c r="BE33" i="2" s="1"/>
  <c r="BF33" i="2" s="1"/>
  <c r="BG33" i="2" s="1"/>
  <c r="BH33" i="2" s="1"/>
  <c r="BI33" i="2" s="1"/>
  <c r="AJ34" i="2"/>
  <c r="AK34" i="2"/>
  <c r="AL34" i="2" s="1"/>
  <c r="AM34" i="2" s="1"/>
  <c r="AN34" i="2" s="1"/>
  <c r="AO34" i="2" s="1"/>
  <c r="AP34" i="2" s="1"/>
  <c r="AQ34" i="2" s="1"/>
  <c r="AR34" i="2" s="1"/>
  <c r="AS34" i="2"/>
  <c r="AT34" i="2" s="1"/>
  <c r="AU34" i="2" s="1"/>
  <c r="AV34" i="2" s="1"/>
  <c r="AW34" i="2" s="1"/>
  <c r="AX34" i="2" s="1"/>
  <c r="AY34" i="2" s="1"/>
  <c r="AZ34" i="2" s="1"/>
  <c r="BA34" i="2" s="1"/>
  <c r="BB34" i="2" s="1"/>
  <c r="BC34" i="2" s="1"/>
  <c r="BD34" i="2" s="1"/>
  <c r="BE34" i="2" s="1"/>
  <c r="BF34" i="2" s="1"/>
  <c r="BG34" i="2" s="1"/>
  <c r="BH34" i="2" s="1"/>
  <c r="BI34" i="2" s="1"/>
  <c r="AJ35" i="2"/>
  <c r="AK35" i="2"/>
  <c r="AL35" i="2" s="1"/>
  <c r="AM35" i="2" s="1"/>
  <c r="AN35" i="2" s="1"/>
  <c r="AO35" i="2" s="1"/>
  <c r="AP35" i="2" s="1"/>
  <c r="AQ35" i="2" s="1"/>
  <c r="AR35" i="2" s="1"/>
  <c r="AS35" i="2" s="1"/>
  <c r="AT35" i="2" s="1"/>
  <c r="AU35" i="2" s="1"/>
  <c r="AV35" i="2" s="1"/>
  <c r="AW35" i="2" s="1"/>
  <c r="AX35" i="2" s="1"/>
  <c r="AY35" i="2" s="1"/>
  <c r="AZ35" i="2" s="1"/>
  <c r="BA35" i="2" s="1"/>
  <c r="BB35" i="2" s="1"/>
  <c r="BC35" i="2" s="1"/>
  <c r="BD35" i="2" s="1"/>
  <c r="BE35" i="2" s="1"/>
  <c r="BF35" i="2" s="1"/>
  <c r="BG35" i="2" s="1"/>
  <c r="BH35" i="2" s="1"/>
  <c r="BI35" i="2" s="1"/>
  <c r="AJ36" i="2"/>
  <c r="AK36" i="2" s="1"/>
  <c r="AL36" i="2" s="1"/>
  <c r="AM36" i="2" s="1"/>
  <c r="AN36" i="2" s="1"/>
  <c r="AO36" i="2"/>
  <c r="AP36" i="2" s="1"/>
  <c r="AQ36" i="2" s="1"/>
  <c r="AR36" i="2" s="1"/>
  <c r="AS36" i="2" s="1"/>
  <c r="AT36" i="2" s="1"/>
  <c r="AU36" i="2" s="1"/>
  <c r="AV36" i="2" s="1"/>
  <c r="AW36" i="2" s="1"/>
  <c r="AX36" i="2" s="1"/>
  <c r="AY36" i="2" s="1"/>
  <c r="AZ36" i="2" s="1"/>
  <c r="BA36" i="2" s="1"/>
  <c r="BB36" i="2" s="1"/>
  <c r="BC36" i="2" s="1"/>
  <c r="BD36" i="2" s="1"/>
  <c r="BE36" i="2" s="1"/>
  <c r="BF36" i="2" s="1"/>
  <c r="BG36" i="2" s="1"/>
  <c r="BH36" i="2" s="1"/>
  <c r="BI36" i="2" s="1"/>
  <c r="AJ37" i="2"/>
  <c r="AK37" i="2" s="1"/>
  <c r="AL37" i="2" s="1"/>
  <c r="AM37" i="2" s="1"/>
  <c r="AN37" i="2" s="1"/>
  <c r="AO37" i="2" s="1"/>
  <c r="AP37" i="2" s="1"/>
  <c r="AQ37" i="2" s="1"/>
  <c r="AR37" i="2" s="1"/>
  <c r="AS37" i="2" s="1"/>
  <c r="AT37" i="2" s="1"/>
  <c r="AU37" i="2" s="1"/>
  <c r="AV37" i="2" s="1"/>
  <c r="AW37" i="2"/>
  <c r="AX37" i="2" s="1"/>
  <c r="AY37" i="2" s="1"/>
  <c r="AZ37" i="2" s="1"/>
  <c r="BA37" i="2" s="1"/>
  <c r="BB37" i="2" s="1"/>
  <c r="BC37" i="2" s="1"/>
  <c r="BD37" i="2" s="1"/>
  <c r="BE37" i="2" s="1"/>
  <c r="BF37" i="2" s="1"/>
  <c r="BG37" i="2" s="1"/>
  <c r="BH37" i="2" s="1"/>
  <c r="BI37" i="2" s="1"/>
  <c r="AJ38" i="2"/>
  <c r="AK38" i="2"/>
  <c r="AL38" i="2" s="1"/>
  <c r="AM38" i="2" s="1"/>
  <c r="AN38" i="2" s="1"/>
  <c r="AO38" i="2" s="1"/>
  <c r="AP38" i="2" s="1"/>
  <c r="AQ38" i="2" s="1"/>
  <c r="AR38" i="2" s="1"/>
  <c r="AS38" i="2" s="1"/>
  <c r="AT38" i="2" s="1"/>
  <c r="AU38" i="2" s="1"/>
  <c r="AV38" i="2" s="1"/>
  <c r="AW38" i="2" s="1"/>
  <c r="AX38" i="2" s="1"/>
  <c r="AY38" i="2" s="1"/>
  <c r="AZ38" i="2" s="1"/>
  <c r="BA38" i="2" s="1"/>
  <c r="BB38" i="2" s="1"/>
  <c r="BC38" i="2" s="1"/>
  <c r="BD38" i="2" s="1"/>
  <c r="BE38" i="2" s="1"/>
  <c r="BF38" i="2" s="1"/>
  <c r="BG38" i="2" s="1"/>
  <c r="BH38" i="2" s="1"/>
  <c r="BI38" i="2" s="1"/>
  <c r="AJ39" i="2"/>
  <c r="AK39" i="2"/>
  <c r="AL39" i="2" s="1"/>
  <c r="AM39" i="2" s="1"/>
  <c r="AN39" i="2" s="1"/>
  <c r="AO39" i="2" s="1"/>
  <c r="AP39" i="2" s="1"/>
  <c r="AQ39" i="2" s="1"/>
  <c r="AR39" i="2" s="1"/>
  <c r="AS39" i="2" s="1"/>
  <c r="AT39" i="2" s="1"/>
  <c r="AU39" i="2" s="1"/>
  <c r="AV39" i="2" s="1"/>
  <c r="AW39" i="2" s="1"/>
  <c r="AX39" i="2" s="1"/>
  <c r="AY39" i="2" s="1"/>
  <c r="AZ39" i="2" s="1"/>
  <c r="BA39" i="2" s="1"/>
  <c r="BB39" i="2" s="1"/>
  <c r="BC39" i="2" s="1"/>
  <c r="BD39" i="2" s="1"/>
  <c r="BE39" i="2" s="1"/>
  <c r="BF39" i="2" s="1"/>
  <c r="BG39" i="2" s="1"/>
  <c r="BH39" i="2" s="1"/>
  <c r="BI39" i="2" s="1"/>
  <c r="AJ40" i="2"/>
  <c r="AK40" i="2"/>
  <c r="AL40" i="2"/>
  <c r="AM40" i="2" s="1"/>
  <c r="AN40" i="2" s="1"/>
  <c r="AO40" i="2"/>
  <c r="AP40" i="2" s="1"/>
  <c r="AQ40" i="2" s="1"/>
  <c r="AR40" i="2" s="1"/>
  <c r="AS40" i="2" s="1"/>
  <c r="AT40" i="2" s="1"/>
  <c r="AU40" i="2" s="1"/>
  <c r="AV40" i="2" s="1"/>
  <c r="AW40" i="2" s="1"/>
  <c r="AX40" i="2" s="1"/>
  <c r="AY40" i="2" s="1"/>
  <c r="AZ40" i="2" s="1"/>
  <c r="BA40" i="2" s="1"/>
  <c r="BB40" i="2" s="1"/>
  <c r="BC40" i="2" s="1"/>
  <c r="BD40" i="2" s="1"/>
  <c r="BE40" i="2" s="1"/>
  <c r="BF40" i="2" s="1"/>
  <c r="BG40" i="2" s="1"/>
  <c r="BH40" i="2" s="1"/>
  <c r="BI40" i="2" s="1"/>
  <c r="AJ41" i="2"/>
  <c r="AK41" i="2" s="1"/>
  <c r="AL41" i="2" s="1"/>
  <c r="AM41" i="2" s="1"/>
  <c r="AN41" i="2" s="1"/>
  <c r="AO41" i="2" s="1"/>
  <c r="AP41" i="2" s="1"/>
  <c r="AQ41" i="2" s="1"/>
  <c r="AR41" i="2"/>
  <c r="AS41" i="2" s="1"/>
  <c r="AT41" i="2" s="1"/>
  <c r="AU41" i="2" s="1"/>
  <c r="AV41" i="2" s="1"/>
  <c r="AW41" i="2" s="1"/>
  <c r="AX41" i="2" s="1"/>
  <c r="AY41" i="2" s="1"/>
  <c r="AZ41" i="2" s="1"/>
  <c r="BA41" i="2" s="1"/>
  <c r="BB41" i="2" s="1"/>
  <c r="BC41" i="2" s="1"/>
  <c r="BD41" i="2" s="1"/>
  <c r="BE41" i="2" s="1"/>
  <c r="BF41" i="2" s="1"/>
  <c r="BG41" i="2" s="1"/>
  <c r="BH41" i="2" s="1"/>
  <c r="BI41" i="2" s="1"/>
  <c r="AJ42" i="2"/>
  <c r="AK42" i="2" s="1"/>
  <c r="AL42" i="2" s="1"/>
  <c r="AM42" i="2" s="1"/>
  <c r="AN42" i="2" s="1"/>
  <c r="AO42" i="2" s="1"/>
  <c r="AP42" i="2" s="1"/>
  <c r="AQ42" i="2" s="1"/>
  <c r="AR42" i="2" s="1"/>
  <c r="AS42" i="2"/>
  <c r="AT42" i="2" s="1"/>
  <c r="AU42" i="2" s="1"/>
  <c r="AV42" i="2" s="1"/>
  <c r="AW42" i="2" s="1"/>
  <c r="AX42" i="2" s="1"/>
  <c r="AY42" i="2" s="1"/>
  <c r="AZ42" i="2" s="1"/>
  <c r="BA42" i="2"/>
  <c r="BB42" i="2" s="1"/>
  <c r="BC42" i="2" s="1"/>
  <c r="BD42" i="2" s="1"/>
  <c r="BE42" i="2" s="1"/>
  <c r="BF42" i="2" s="1"/>
  <c r="BG42" i="2" s="1"/>
  <c r="BH42" i="2" s="1"/>
  <c r="BI42" i="2"/>
  <c r="AJ43" i="2"/>
  <c r="AK43" i="2"/>
  <c r="AL43" i="2"/>
  <c r="AM43" i="2" s="1"/>
  <c r="AN43" i="2" s="1"/>
  <c r="AO43" i="2" s="1"/>
  <c r="AP43" i="2" s="1"/>
  <c r="AQ43" i="2" s="1"/>
  <c r="AR43" i="2" s="1"/>
  <c r="AS43" i="2" s="1"/>
  <c r="AT43" i="2" s="1"/>
  <c r="AU43" i="2" s="1"/>
  <c r="AV43" i="2" s="1"/>
  <c r="AW43" i="2" s="1"/>
  <c r="AX43" i="2" s="1"/>
  <c r="AY43" i="2" s="1"/>
  <c r="AZ43" i="2" s="1"/>
  <c r="BA43" i="2" s="1"/>
  <c r="BB43" i="2" s="1"/>
  <c r="BC43" i="2" s="1"/>
  <c r="BD43" i="2" s="1"/>
  <c r="BE43" i="2" s="1"/>
  <c r="BF43" i="2" s="1"/>
  <c r="BG43" i="2" s="1"/>
  <c r="BH43" i="2" s="1"/>
  <c r="BI43" i="2" s="1"/>
  <c r="AJ44" i="2"/>
  <c r="AK44" i="2" s="1"/>
  <c r="AL44" i="2" s="1"/>
  <c r="AM44" i="2" s="1"/>
  <c r="AN44" i="2" s="1"/>
  <c r="AO44" i="2"/>
  <c r="AP44" i="2" s="1"/>
  <c r="AQ44" i="2" s="1"/>
  <c r="AR44" i="2" s="1"/>
  <c r="AS44" i="2" s="1"/>
  <c r="AT44" i="2" s="1"/>
  <c r="AU44" i="2" s="1"/>
  <c r="AV44" i="2" s="1"/>
  <c r="AW44" i="2" s="1"/>
  <c r="AX44" i="2" s="1"/>
  <c r="AY44" i="2" s="1"/>
  <c r="AZ44" i="2" s="1"/>
  <c r="BA44" i="2" s="1"/>
  <c r="BB44" i="2" s="1"/>
  <c r="BC44" i="2" s="1"/>
  <c r="BD44" i="2" s="1"/>
  <c r="BE44" i="2" s="1"/>
  <c r="BF44" i="2" s="1"/>
  <c r="BG44" i="2" s="1"/>
  <c r="BH44" i="2" s="1"/>
  <c r="BI44" i="2" s="1"/>
  <c r="AJ45" i="2"/>
  <c r="AK45" i="2"/>
  <c r="AL45" i="2" s="1"/>
  <c r="AM45" i="2"/>
  <c r="AN45" i="2" s="1"/>
  <c r="AO45" i="2" s="1"/>
  <c r="AP45" i="2" s="1"/>
  <c r="AQ45" i="2" s="1"/>
  <c r="AR45" i="2" s="1"/>
  <c r="AS45" i="2" s="1"/>
  <c r="AT45" i="2" s="1"/>
  <c r="AU45" i="2"/>
  <c r="AV45" i="2" s="1"/>
  <c r="AW45" i="2" s="1"/>
  <c r="AX45" i="2" s="1"/>
  <c r="AY45" i="2" s="1"/>
  <c r="AZ45" i="2" s="1"/>
  <c r="BA45" i="2" s="1"/>
  <c r="BB45" i="2" s="1"/>
  <c r="BC45" i="2"/>
  <c r="BD45" i="2" s="1"/>
  <c r="BE45" i="2" s="1"/>
  <c r="BF45" i="2" s="1"/>
  <c r="BG45" i="2" s="1"/>
  <c r="BH45" i="2" s="1"/>
  <c r="BI45" i="2" s="1"/>
  <c r="AJ46" i="2"/>
  <c r="AK46" i="2"/>
  <c r="AL46" i="2" s="1"/>
  <c r="AM46" i="2" s="1"/>
  <c r="AN46" i="2" s="1"/>
  <c r="AO46" i="2" s="1"/>
  <c r="AP46" i="2" s="1"/>
  <c r="AQ46" i="2" s="1"/>
  <c r="AR46" i="2" s="1"/>
  <c r="AS46" i="2" s="1"/>
  <c r="AT46" i="2" s="1"/>
  <c r="AU46" i="2" s="1"/>
  <c r="AV46" i="2" s="1"/>
  <c r="AW46" i="2" s="1"/>
  <c r="AX46" i="2" s="1"/>
  <c r="AY46" i="2" s="1"/>
  <c r="AZ46" i="2" s="1"/>
  <c r="BA46" i="2" s="1"/>
  <c r="BB46" i="2" s="1"/>
  <c r="BC46" i="2" s="1"/>
  <c r="BD46" i="2" s="1"/>
  <c r="BE46" i="2" s="1"/>
  <c r="BF46" i="2" s="1"/>
  <c r="BG46" i="2" s="1"/>
  <c r="BH46" i="2" s="1"/>
  <c r="BI46" i="2" s="1"/>
  <c r="AJ47" i="2"/>
  <c r="AK47" i="2"/>
  <c r="AL47" i="2"/>
  <c r="AM47" i="2" s="1"/>
  <c r="AN47" i="2" s="1"/>
  <c r="AJ48" i="2"/>
  <c r="AK48" i="2" s="1"/>
  <c r="AL48" i="2" s="1"/>
  <c r="AM48" i="2" s="1"/>
  <c r="AN48" i="2" s="1"/>
  <c r="AO48" i="2" s="1"/>
  <c r="AP48" i="2" s="1"/>
  <c r="AQ48" i="2" s="1"/>
  <c r="AR48" i="2" s="1"/>
  <c r="AS48" i="2" s="1"/>
  <c r="AT48" i="2" s="1"/>
  <c r="AU48" i="2" s="1"/>
  <c r="AV48" i="2" s="1"/>
  <c r="AW48" i="2" s="1"/>
  <c r="AX48" i="2" s="1"/>
  <c r="AY48" i="2" s="1"/>
  <c r="AZ48" i="2" s="1"/>
  <c r="BA48" i="2" s="1"/>
  <c r="BB48" i="2" s="1"/>
  <c r="BC48" i="2" s="1"/>
  <c r="BD48" i="2" s="1"/>
  <c r="BE48" i="2" s="1"/>
  <c r="BF48" i="2" s="1"/>
  <c r="BG48" i="2" s="1"/>
  <c r="BH48" i="2" s="1"/>
  <c r="BI48" i="2" s="1"/>
  <c r="AJ49" i="2"/>
  <c r="AK49" i="2"/>
  <c r="AL49" i="2" s="1"/>
  <c r="AM49" i="2" s="1"/>
  <c r="AN49" i="2" s="1"/>
  <c r="AO49" i="2" s="1"/>
  <c r="AP49" i="2" s="1"/>
  <c r="AQ49" i="2" s="1"/>
  <c r="AR49" i="2" s="1"/>
  <c r="AS49" i="2" s="1"/>
  <c r="AT49" i="2" s="1"/>
  <c r="AU49" i="2" s="1"/>
  <c r="AV49" i="2" s="1"/>
  <c r="AW49" i="2" s="1"/>
  <c r="AX49" i="2" s="1"/>
  <c r="AY49" i="2" s="1"/>
  <c r="AZ49" i="2" s="1"/>
  <c r="BA49" i="2" s="1"/>
  <c r="BB49" i="2" s="1"/>
  <c r="BC49" i="2" s="1"/>
  <c r="BD49" i="2" s="1"/>
  <c r="BE49" i="2" s="1"/>
  <c r="BF49" i="2" s="1"/>
  <c r="BG49" i="2" s="1"/>
  <c r="BH49" i="2" s="1"/>
  <c r="BI49" i="2" s="1"/>
  <c r="AJ50" i="2"/>
  <c r="AK50" i="2"/>
  <c r="AL50" i="2" s="1"/>
  <c r="AM50" i="2" s="1"/>
  <c r="AN50" i="2" s="1"/>
  <c r="AO50" i="2" s="1"/>
  <c r="AP50" i="2" s="1"/>
  <c r="AQ50" i="2" s="1"/>
  <c r="AR50" i="2" s="1"/>
  <c r="AS50" i="2"/>
  <c r="AT50" i="2" s="1"/>
  <c r="AU50" i="2" s="1"/>
  <c r="AV50" i="2" s="1"/>
  <c r="AW50" i="2" s="1"/>
  <c r="AX50" i="2" s="1"/>
  <c r="AY50" i="2" s="1"/>
  <c r="AZ50" i="2" s="1"/>
  <c r="BA50" i="2"/>
  <c r="BB50" i="2" s="1"/>
  <c r="BC50" i="2" s="1"/>
  <c r="BD50" i="2" s="1"/>
  <c r="BE50" i="2" s="1"/>
  <c r="BF50" i="2" s="1"/>
  <c r="BG50" i="2" s="1"/>
  <c r="BH50" i="2" s="1"/>
  <c r="BI50" i="2" s="1"/>
  <c r="AJ51" i="2"/>
  <c r="AK51" i="2" s="1"/>
  <c r="AL51" i="2" s="1"/>
  <c r="AM51" i="2" s="1"/>
  <c r="AN51" i="2" s="1"/>
  <c r="AO51" i="2" s="1"/>
  <c r="AP51" i="2" s="1"/>
  <c r="AQ51" i="2" s="1"/>
  <c r="AR51" i="2" s="1"/>
  <c r="AS51" i="2" s="1"/>
  <c r="AT51" i="2" s="1"/>
  <c r="AU51" i="2" s="1"/>
  <c r="AV51" i="2" s="1"/>
  <c r="AW51" i="2" s="1"/>
  <c r="AX51" i="2" s="1"/>
  <c r="AY51" i="2" s="1"/>
  <c r="AZ51" i="2" s="1"/>
  <c r="BA51" i="2" s="1"/>
  <c r="BB51" i="2" s="1"/>
  <c r="BC51" i="2" s="1"/>
  <c r="BD51" i="2" s="1"/>
  <c r="BE51" i="2" s="1"/>
  <c r="BF51" i="2" s="1"/>
  <c r="BG51" i="2" s="1"/>
  <c r="BH51" i="2" s="1"/>
  <c r="BI51" i="2" s="1"/>
  <c r="AJ52" i="2"/>
  <c r="AK52" i="2" s="1"/>
  <c r="AL52" i="2" s="1"/>
  <c r="AM52" i="2" s="1"/>
  <c r="AN52" i="2" s="1"/>
  <c r="AO52" i="2"/>
  <c r="AP52" i="2" s="1"/>
  <c r="AQ52" i="2" s="1"/>
  <c r="AR52" i="2" s="1"/>
  <c r="AS52" i="2" s="1"/>
  <c r="AT52" i="2" s="1"/>
  <c r="AU52" i="2" s="1"/>
  <c r="AV52" i="2" s="1"/>
  <c r="AW52" i="2"/>
  <c r="AX52" i="2" s="1"/>
  <c r="AY52" i="2" s="1"/>
  <c r="AZ52" i="2" s="1"/>
  <c r="BA52" i="2" s="1"/>
  <c r="BB52" i="2" s="1"/>
  <c r="BC52" i="2" s="1"/>
  <c r="BD52" i="2" s="1"/>
  <c r="BE52" i="2" s="1"/>
  <c r="BF52" i="2" s="1"/>
  <c r="BG52" i="2" s="1"/>
  <c r="BH52" i="2" s="1"/>
  <c r="BI52" i="2" s="1"/>
  <c r="AJ53" i="2"/>
  <c r="AK53" i="2"/>
  <c r="AL53" i="2" s="1"/>
  <c r="AM53" i="2"/>
  <c r="AN53" i="2" s="1"/>
  <c r="AO53" i="2" s="1"/>
  <c r="AP53" i="2" s="1"/>
  <c r="AQ53" i="2" s="1"/>
  <c r="AR53" i="2" s="1"/>
  <c r="AS53" i="2" s="1"/>
  <c r="AT53" i="2" s="1"/>
  <c r="AU53" i="2" s="1"/>
  <c r="AV53" i="2" s="1"/>
  <c r="AW53" i="2" s="1"/>
  <c r="AX53" i="2" s="1"/>
  <c r="AY53" i="2" s="1"/>
  <c r="AZ53" i="2" s="1"/>
  <c r="BA53" i="2" s="1"/>
  <c r="BB53" i="2" s="1"/>
  <c r="BC53" i="2" s="1"/>
  <c r="BD53" i="2" s="1"/>
  <c r="BE53" i="2" s="1"/>
  <c r="BF53" i="2" s="1"/>
  <c r="BG53" i="2" s="1"/>
  <c r="BH53" i="2" s="1"/>
  <c r="BI53" i="2" s="1"/>
  <c r="AJ54" i="2"/>
  <c r="AK54" i="2"/>
  <c r="AL54" i="2" s="1"/>
  <c r="AM54" i="2" s="1"/>
  <c r="AN54" i="2" s="1"/>
  <c r="AO54" i="2" s="1"/>
  <c r="AP54" i="2" s="1"/>
  <c r="AQ54" i="2" s="1"/>
  <c r="AR54" i="2" s="1"/>
  <c r="AS54" i="2"/>
  <c r="AT54" i="2" s="1"/>
  <c r="AU54" i="2" s="1"/>
  <c r="AV54" i="2" s="1"/>
  <c r="AW54" i="2" s="1"/>
  <c r="AX54" i="2" s="1"/>
  <c r="AY54" i="2" s="1"/>
  <c r="AZ54" i="2" s="1"/>
  <c r="BA54" i="2" s="1"/>
  <c r="BB54" i="2" s="1"/>
  <c r="BC54" i="2" s="1"/>
  <c r="BD54" i="2" s="1"/>
  <c r="BE54" i="2" s="1"/>
  <c r="BF54" i="2" s="1"/>
  <c r="BG54" i="2" s="1"/>
  <c r="BH54" i="2" s="1"/>
  <c r="BI54" i="2" s="1"/>
  <c r="AJ55" i="2"/>
  <c r="AK55" i="2" s="1"/>
  <c r="AL55" i="2" s="1"/>
  <c r="AM55" i="2" s="1"/>
  <c r="AN55" i="2" s="1"/>
  <c r="AO55" i="2" s="1"/>
  <c r="AP55" i="2" s="1"/>
  <c r="AQ55" i="2" s="1"/>
  <c r="AR55" i="2" s="1"/>
  <c r="AS55" i="2" s="1"/>
  <c r="AT55" i="2" s="1"/>
  <c r="AU55" i="2" s="1"/>
  <c r="AV55" i="2" s="1"/>
  <c r="AW55" i="2" s="1"/>
  <c r="AX55" i="2" s="1"/>
  <c r="AY55" i="2" s="1"/>
  <c r="AZ55" i="2" s="1"/>
  <c r="BA55" i="2" s="1"/>
  <c r="BB55" i="2" s="1"/>
  <c r="BC55" i="2" s="1"/>
  <c r="BD55" i="2" s="1"/>
  <c r="BE55" i="2" s="1"/>
  <c r="BF55" i="2" s="1"/>
  <c r="BG55" i="2" s="1"/>
  <c r="BH55" i="2" s="1"/>
  <c r="BI55" i="2" s="1"/>
  <c r="AJ56" i="2"/>
  <c r="AK56" i="2" s="1"/>
  <c r="AL56" i="2" s="1"/>
  <c r="AM56" i="2" s="1"/>
  <c r="AN56" i="2" s="1"/>
  <c r="AO56" i="2"/>
  <c r="AP56" i="2" s="1"/>
  <c r="AQ56" i="2" s="1"/>
  <c r="AR56" i="2" s="1"/>
  <c r="AS56" i="2" s="1"/>
  <c r="AT56" i="2" s="1"/>
  <c r="AU56" i="2" s="1"/>
  <c r="AV56" i="2" s="1"/>
  <c r="AW56" i="2" s="1"/>
  <c r="AX56" i="2" s="1"/>
  <c r="AY56" i="2" s="1"/>
  <c r="AZ56" i="2" s="1"/>
  <c r="BA56" i="2" s="1"/>
  <c r="BB56" i="2" s="1"/>
  <c r="BC56" i="2" s="1"/>
  <c r="BD56" i="2" s="1"/>
  <c r="BE56" i="2" s="1"/>
  <c r="BF56" i="2" s="1"/>
  <c r="BG56" i="2" s="1"/>
  <c r="BH56" i="2" s="1"/>
  <c r="BI56" i="2" s="1"/>
  <c r="AJ57" i="2"/>
  <c r="AK57" i="2"/>
  <c r="AL57" i="2" s="1"/>
  <c r="AM57" i="2"/>
  <c r="AN57" i="2" s="1"/>
  <c r="AO57" i="2" s="1"/>
  <c r="AP57" i="2" s="1"/>
  <c r="AQ57" i="2" s="1"/>
  <c r="AR57" i="2" s="1"/>
  <c r="AS57" i="2" s="1"/>
  <c r="AT57" i="2" s="1"/>
  <c r="AU57" i="2"/>
  <c r="AV57" i="2" s="1"/>
  <c r="AW57" i="2" s="1"/>
  <c r="AX57" i="2" s="1"/>
  <c r="AY57" i="2" s="1"/>
  <c r="AZ57" i="2" s="1"/>
  <c r="BA57" i="2" s="1"/>
  <c r="BB57" i="2" s="1"/>
  <c r="BC57" i="2"/>
  <c r="BD57" i="2" s="1"/>
  <c r="BE57" i="2" s="1"/>
  <c r="BF57" i="2" s="1"/>
  <c r="BG57" i="2" s="1"/>
  <c r="BH57" i="2" s="1"/>
  <c r="BI57" i="2" s="1"/>
  <c r="AJ58" i="2"/>
  <c r="AK58" i="2"/>
  <c r="AL58" i="2" s="1"/>
  <c r="AM58" i="2" s="1"/>
  <c r="AN58" i="2" s="1"/>
  <c r="AO58" i="2" s="1"/>
  <c r="AP58" i="2" s="1"/>
  <c r="AQ58" i="2" s="1"/>
  <c r="AR58" i="2" s="1"/>
  <c r="AS58" i="2" s="1"/>
  <c r="AT58" i="2" s="1"/>
  <c r="AU58" i="2" s="1"/>
  <c r="AV58" i="2" s="1"/>
  <c r="AW58" i="2" s="1"/>
  <c r="AX58" i="2" s="1"/>
  <c r="AY58" i="2" s="1"/>
  <c r="AZ58" i="2" s="1"/>
  <c r="BA58" i="2" s="1"/>
  <c r="BB58" i="2" s="1"/>
  <c r="BC58" i="2" s="1"/>
  <c r="BD58" i="2" s="1"/>
  <c r="BE58" i="2" s="1"/>
  <c r="BF58" i="2" s="1"/>
  <c r="BG58" i="2" s="1"/>
  <c r="BH58" i="2" s="1"/>
  <c r="BI58" i="2" s="1"/>
  <c r="AJ59" i="2"/>
  <c r="AK59" i="2" s="1"/>
  <c r="AL59" i="2" s="1"/>
  <c r="AM59" i="2" s="1"/>
  <c r="AN59" i="2" s="1"/>
  <c r="AO59" i="2" s="1"/>
  <c r="AP59" i="2" s="1"/>
  <c r="AQ59" i="2"/>
  <c r="AR59" i="2" s="1"/>
  <c r="AS59" i="2" s="1"/>
  <c r="AT59" i="2" s="1"/>
  <c r="AU59" i="2" s="1"/>
  <c r="AV59" i="2" s="1"/>
  <c r="AW59" i="2" s="1"/>
  <c r="AX59" i="2" s="1"/>
  <c r="AY59" i="2"/>
  <c r="AZ59" i="2" s="1"/>
  <c r="BA59" i="2" s="1"/>
  <c r="BB59" i="2" s="1"/>
  <c r="BC59" i="2" s="1"/>
  <c r="BD59" i="2" s="1"/>
  <c r="BE59" i="2" s="1"/>
  <c r="BF59" i="2" s="1"/>
  <c r="BG59" i="2"/>
  <c r="BH59" i="2" s="1"/>
  <c r="BI59" i="2" s="1"/>
  <c r="AJ60" i="2"/>
  <c r="AK60" i="2" s="1"/>
  <c r="AL60" i="2" s="1"/>
  <c r="AM60" i="2" s="1"/>
  <c r="AN60" i="2" s="1"/>
  <c r="AO60" i="2" s="1"/>
  <c r="AP60" i="2" s="1"/>
  <c r="AQ60" i="2" s="1"/>
  <c r="AR60" i="2" s="1"/>
  <c r="AS60" i="2" s="1"/>
  <c r="AT60" i="2" s="1"/>
  <c r="AU60" i="2" s="1"/>
  <c r="AV60" i="2" s="1"/>
  <c r="AW60" i="2" s="1"/>
  <c r="AX60" i="2" s="1"/>
  <c r="AY60" i="2" s="1"/>
  <c r="AZ60" i="2" s="1"/>
  <c r="BA60" i="2" s="1"/>
  <c r="BB60" i="2" s="1"/>
  <c r="BC60" i="2" s="1"/>
  <c r="BD60" i="2" s="1"/>
  <c r="BE60" i="2" s="1"/>
  <c r="BF60" i="2" s="1"/>
  <c r="BG60" i="2" s="1"/>
  <c r="BH60" i="2" s="1"/>
  <c r="BI60" i="2" s="1"/>
  <c r="AJ61" i="2"/>
  <c r="AK61" i="2"/>
  <c r="AL61" i="2" s="1"/>
  <c r="AM61" i="2"/>
  <c r="AN61" i="2" s="1"/>
  <c r="AO61" i="2" s="1"/>
  <c r="AP61" i="2" s="1"/>
  <c r="AQ61" i="2" s="1"/>
  <c r="AR61" i="2" s="1"/>
  <c r="AS61" i="2" s="1"/>
  <c r="AT61" i="2" s="1"/>
  <c r="AU61" i="2"/>
  <c r="AV61" i="2" s="1"/>
  <c r="AW61" i="2" s="1"/>
  <c r="AX61" i="2" s="1"/>
  <c r="AY61" i="2" s="1"/>
  <c r="AZ61" i="2" s="1"/>
  <c r="BA61" i="2" s="1"/>
  <c r="BB61" i="2" s="1"/>
  <c r="BC61" i="2" s="1"/>
  <c r="BD61" i="2" s="1"/>
  <c r="BE61" i="2" s="1"/>
  <c r="BF61" i="2" s="1"/>
  <c r="BG61" i="2" s="1"/>
  <c r="BH61" i="2" s="1"/>
  <c r="BI61" i="2" s="1"/>
  <c r="AJ62" i="2"/>
  <c r="AK62" i="2"/>
  <c r="AL62" i="2" s="1"/>
  <c r="AM62" i="2" s="1"/>
  <c r="AN62" i="2" s="1"/>
  <c r="AO62" i="2" s="1"/>
  <c r="AP62" i="2" s="1"/>
  <c r="AQ62" i="2" s="1"/>
  <c r="AR62" i="2" s="1"/>
  <c r="AS62" i="2" s="1"/>
  <c r="AT62" i="2" s="1"/>
  <c r="AU62" i="2" s="1"/>
  <c r="AV62" i="2" s="1"/>
  <c r="AW62" i="2" s="1"/>
  <c r="AX62" i="2" s="1"/>
  <c r="AY62" i="2" s="1"/>
  <c r="AZ62" i="2" s="1"/>
  <c r="BA62" i="2" s="1"/>
  <c r="BB62" i="2" s="1"/>
  <c r="BC62" i="2" s="1"/>
  <c r="BD62" i="2"/>
  <c r="BE62" i="2" s="1"/>
  <c r="BF62" i="2" s="1"/>
  <c r="BG62" i="2" s="1"/>
  <c r="BH62" i="2" s="1"/>
  <c r="BI62" i="2" s="1"/>
  <c r="AJ63" i="2"/>
  <c r="AK63" i="2"/>
  <c r="AL63" i="2" s="1"/>
  <c r="AM63" i="2" s="1"/>
  <c r="AN63" i="2" s="1"/>
  <c r="AO63" i="2" s="1"/>
  <c r="AP63" i="2" s="1"/>
  <c r="AQ63" i="2" s="1"/>
  <c r="AR63" i="2" s="1"/>
  <c r="AS63" i="2" s="1"/>
  <c r="AT63" i="2" s="1"/>
  <c r="AU63" i="2" s="1"/>
  <c r="AV63" i="2" s="1"/>
  <c r="AW63" i="2" s="1"/>
  <c r="AX63" i="2" s="1"/>
  <c r="AY63" i="2" s="1"/>
  <c r="AZ63" i="2" s="1"/>
  <c r="BA63" i="2" s="1"/>
  <c r="BB63" i="2" s="1"/>
  <c r="BC63" i="2" s="1"/>
  <c r="BD63" i="2"/>
  <c r="AJ64" i="2"/>
  <c r="AK64" i="2" s="1"/>
  <c r="AL64" i="2"/>
  <c r="AM64" i="2"/>
  <c r="AN64" i="2" s="1"/>
  <c r="AO64" i="2" s="1"/>
  <c r="AP64" i="2" s="1"/>
  <c r="AQ64" i="2" s="1"/>
  <c r="AR64" i="2" s="1"/>
  <c r="AS64" i="2" s="1"/>
  <c r="AT64" i="2" s="1"/>
  <c r="AU64" i="2" s="1"/>
  <c r="AV64" i="2" s="1"/>
  <c r="AW64" i="2" s="1"/>
  <c r="AX64" i="2" s="1"/>
  <c r="AY64" i="2" s="1"/>
  <c r="AZ64" i="2" s="1"/>
  <c r="BA64" i="2" s="1"/>
  <c r="BB64" i="2" s="1"/>
  <c r="BC64" i="2" s="1"/>
  <c r="BD64" i="2" s="1"/>
  <c r="BE64" i="2" s="1"/>
  <c r="BF64" i="2" s="1"/>
  <c r="BG64" i="2" s="1"/>
  <c r="BH64" i="2" s="1"/>
  <c r="BI64" i="2" s="1"/>
  <c r="AJ65" i="2"/>
  <c r="AK65" i="2"/>
  <c r="AL65" i="2"/>
  <c r="AM65" i="2" s="1"/>
  <c r="AN65" i="2" s="1"/>
  <c r="AO65" i="2" s="1"/>
  <c r="AP65" i="2" s="1"/>
  <c r="AQ65" i="2" s="1"/>
  <c r="AR65" i="2" s="1"/>
  <c r="AS65" i="2" s="1"/>
  <c r="AT65" i="2" s="1"/>
  <c r="AU65" i="2" s="1"/>
  <c r="AV65" i="2" s="1"/>
  <c r="AW65" i="2" s="1"/>
  <c r="AX65" i="2" s="1"/>
  <c r="AY65" i="2" s="1"/>
  <c r="AZ65" i="2" s="1"/>
  <c r="BA65" i="2" s="1"/>
  <c r="BB65" i="2"/>
  <c r="BC65" i="2" s="1"/>
  <c r="BD65" i="2" s="1"/>
  <c r="BE65" i="2" s="1"/>
  <c r="BF65" i="2" s="1"/>
  <c r="BG65" i="2" s="1"/>
  <c r="BH65" i="2" s="1"/>
  <c r="BI65" i="2" s="1"/>
  <c r="AJ66" i="2"/>
  <c r="AK66" i="2" s="1"/>
  <c r="AL66" i="2" s="1"/>
  <c r="AM66" i="2" s="1"/>
  <c r="AN66" i="2" s="1"/>
  <c r="AO66" i="2" s="1"/>
  <c r="AP66" i="2" s="1"/>
  <c r="AQ66" i="2" s="1"/>
  <c r="AR66" i="2" s="1"/>
  <c r="AS66" i="2" s="1"/>
  <c r="AT66" i="2" s="1"/>
  <c r="AU66" i="2" s="1"/>
  <c r="AV66" i="2" s="1"/>
  <c r="AW66" i="2" s="1"/>
  <c r="AX66" i="2" s="1"/>
  <c r="AY66" i="2" s="1"/>
  <c r="AZ66" i="2" s="1"/>
  <c r="BA66" i="2" s="1"/>
  <c r="BB66" i="2" s="1"/>
  <c r="BC66" i="2" s="1"/>
  <c r="BD66" i="2" s="1"/>
  <c r="BE66" i="2" s="1"/>
  <c r="BF66" i="2" s="1"/>
  <c r="BG66" i="2" s="1"/>
  <c r="BH66" i="2" s="1"/>
  <c r="AJ67" i="2"/>
  <c r="AK67" i="2"/>
  <c r="AL67" i="2" s="1"/>
  <c r="AM67" i="2" s="1"/>
  <c r="AN67" i="2" s="1"/>
  <c r="AO67" i="2" s="1"/>
  <c r="AP67" i="2" s="1"/>
  <c r="AQ67" i="2" s="1"/>
  <c r="AR67" i="2" s="1"/>
  <c r="AS67" i="2" s="1"/>
  <c r="AT67" i="2" s="1"/>
  <c r="AU67" i="2" s="1"/>
  <c r="AV67" i="2" s="1"/>
  <c r="AW67" i="2" s="1"/>
  <c r="AX67" i="2" s="1"/>
  <c r="AY67" i="2" s="1"/>
  <c r="AZ67" i="2" s="1"/>
  <c r="BA67" i="2" s="1"/>
  <c r="BB67" i="2" s="1"/>
  <c r="BC67" i="2" s="1"/>
  <c r="BD67" i="2" s="1"/>
  <c r="BE67" i="2" s="1"/>
  <c r="BF67" i="2" s="1"/>
  <c r="BG67" i="2" s="1"/>
  <c r="BH67" i="2" s="1"/>
  <c r="BI67" i="2" s="1"/>
  <c r="AJ68" i="2"/>
  <c r="AK68" i="2"/>
  <c r="AL68" i="2"/>
  <c r="AM68" i="2"/>
  <c r="AN68" i="2" s="1"/>
  <c r="AO68" i="2" s="1"/>
  <c r="AP68" i="2" s="1"/>
  <c r="AQ68" i="2" s="1"/>
  <c r="AR68" i="2" s="1"/>
  <c r="AS68" i="2" s="1"/>
  <c r="AT68" i="2" s="1"/>
  <c r="AU68" i="2" s="1"/>
  <c r="AV68" i="2" s="1"/>
  <c r="AW68" i="2" s="1"/>
  <c r="AX68" i="2" s="1"/>
  <c r="AY68" i="2" s="1"/>
  <c r="AZ68" i="2" s="1"/>
  <c r="BA68" i="2" s="1"/>
  <c r="BB68" i="2" s="1"/>
  <c r="BC68" i="2" s="1"/>
  <c r="BD68" i="2" s="1"/>
  <c r="BE68" i="2" s="1"/>
  <c r="BF68" i="2" s="1"/>
  <c r="BG68" i="2" s="1"/>
  <c r="BH68" i="2" s="1"/>
  <c r="BI68" i="2" s="1"/>
  <c r="AJ69" i="2"/>
  <c r="AK69" i="2"/>
  <c r="AL69" i="2"/>
  <c r="AM69" i="2" s="1"/>
  <c r="AN69" i="2" s="1"/>
  <c r="AO69" i="2" s="1"/>
  <c r="AP69" i="2" s="1"/>
  <c r="AQ69" i="2" s="1"/>
  <c r="AR69" i="2" s="1"/>
  <c r="AS69" i="2" s="1"/>
  <c r="AT69" i="2" s="1"/>
  <c r="AU69" i="2" s="1"/>
  <c r="AV69" i="2" s="1"/>
  <c r="AW69" i="2" s="1"/>
  <c r="AX69" i="2" s="1"/>
  <c r="AY69" i="2" s="1"/>
  <c r="AZ69" i="2" s="1"/>
  <c r="BA69" i="2" s="1"/>
  <c r="BB69" i="2"/>
  <c r="BC69" i="2" s="1"/>
  <c r="BD69" i="2" s="1"/>
  <c r="BE69" i="2" s="1"/>
  <c r="BF69" i="2" s="1"/>
  <c r="BG69" i="2" s="1"/>
  <c r="BH69" i="2" s="1"/>
  <c r="BI69" i="2" s="1"/>
  <c r="AJ70" i="2"/>
  <c r="AK70" i="2" s="1"/>
  <c r="AL70" i="2" s="1"/>
  <c r="AM70" i="2" s="1"/>
  <c r="AN70" i="2" s="1"/>
  <c r="AO70" i="2" s="1"/>
  <c r="AP70" i="2" s="1"/>
  <c r="AQ70" i="2" s="1"/>
  <c r="AR70" i="2" s="1"/>
  <c r="AS70" i="2" s="1"/>
  <c r="AT70" i="2" s="1"/>
  <c r="AU70" i="2" s="1"/>
  <c r="AV70" i="2" s="1"/>
  <c r="AW70" i="2" s="1"/>
  <c r="AX70" i="2" s="1"/>
  <c r="AY70" i="2" s="1"/>
  <c r="AZ70" i="2" s="1"/>
  <c r="BA70" i="2" s="1"/>
  <c r="BB70" i="2" s="1"/>
  <c r="BC70" i="2" s="1"/>
  <c r="BD70" i="2" s="1"/>
  <c r="BE70" i="2" s="1"/>
  <c r="BF70" i="2" s="1"/>
  <c r="BG70" i="2" s="1"/>
  <c r="BH70" i="2"/>
  <c r="BI70" i="2" s="1"/>
  <c r="AJ71" i="2"/>
  <c r="AK71" i="2"/>
  <c r="AL71" i="2" s="1"/>
  <c r="AM71" i="2" s="1"/>
  <c r="AN71" i="2" s="1"/>
  <c r="AO71" i="2" s="1"/>
  <c r="AP71" i="2" s="1"/>
  <c r="AQ71" i="2" s="1"/>
  <c r="AR71" i="2" s="1"/>
  <c r="AS71" i="2" s="1"/>
  <c r="AT71" i="2" s="1"/>
  <c r="AU71" i="2" s="1"/>
  <c r="AV71" i="2" s="1"/>
  <c r="AW71" i="2" s="1"/>
  <c r="AX71" i="2" s="1"/>
  <c r="AY71" i="2" s="1"/>
  <c r="AZ71" i="2" s="1"/>
  <c r="BA71" i="2" s="1"/>
  <c r="BB71" i="2" s="1"/>
  <c r="BC71" i="2" s="1"/>
  <c r="BD71" i="2" s="1"/>
  <c r="BE71" i="2" s="1"/>
  <c r="BF71" i="2" s="1"/>
  <c r="BG71" i="2" s="1"/>
  <c r="BH71" i="2" s="1"/>
  <c r="BI71" i="2" s="1"/>
  <c r="AJ72" i="2"/>
  <c r="AK72" i="2"/>
  <c r="AL72" i="2"/>
  <c r="AM72" i="2"/>
  <c r="AN72" i="2" s="1"/>
  <c r="AO72" i="2" s="1"/>
  <c r="AP72" i="2" s="1"/>
  <c r="AQ72" i="2" s="1"/>
  <c r="AR72" i="2" s="1"/>
  <c r="AS72" i="2" s="1"/>
  <c r="AT72" i="2" s="1"/>
  <c r="AU72" i="2" s="1"/>
  <c r="AV72" i="2" s="1"/>
  <c r="AW72" i="2" s="1"/>
  <c r="AX72" i="2" s="1"/>
  <c r="AY72" i="2" s="1"/>
  <c r="AZ72" i="2" s="1"/>
  <c r="BA72" i="2" s="1"/>
  <c r="BB72" i="2" s="1"/>
  <c r="BC72" i="2"/>
  <c r="BD72" i="2" s="1"/>
  <c r="BE72" i="2" s="1"/>
  <c r="BF72" i="2" s="1"/>
  <c r="BG72" i="2" s="1"/>
  <c r="BH72" i="2" s="1"/>
  <c r="BI72" i="2" s="1"/>
  <c r="AJ73" i="2"/>
  <c r="AK73" i="2"/>
  <c r="AL73" i="2"/>
  <c r="AM73" i="2" s="1"/>
  <c r="AN73" i="2" s="1"/>
  <c r="AO73" i="2" s="1"/>
  <c r="AP73" i="2" s="1"/>
  <c r="AQ73" i="2" s="1"/>
  <c r="AR73" i="2" s="1"/>
  <c r="AS73" i="2" s="1"/>
  <c r="AT73" i="2" s="1"/>
  <c r="AU73" i="2" s="1"/>
  <c r="AV73" i="2" s="1"/>
  <c r="AW73" i="2" s="1"/>
  <c r="AX73" i="2" s="1"/>
  <c r="AY73" i="2" s="1"/>
  <c r="AZ73" i="2" s="1"/>
  <c r="BA73" i="2" s="1"/>
  <c r="BB73" i="2" s="1"/>
  <c r="BC73" i="2" s="1"/>
  <c r="BD73" i="2" s="1"/>
  <c r="BE73" i="2" s="1"/>
  <c r="BF73" i="2" s="1"/>
  <c r="BG73" i="2" s="1"/>
  <c r="BH73" i="2" s="1"/>
  <c r="BI73" i="2" s="1"/>
  <c r="AJ74" i="2"/>
  <c r="AK74" i="2" s="1"/>
  <c r="AL74" i="2" s="1"/>
  <c r="AM74" i="2" s="1"/>
  <c r="AN74" i="2" s="1"/>
  <c r="AO74" i="2" s="1"/>
  <c r="AP74" i="2" s="1"/>
  <c r="AQ74" i="2" s="1"/>
  <c r="AR74" i="2" s="1"/>
  <c r="AS74" i="2" s="1"/>
  <c r="AT74" i="2" s="1"/>
  <c r="AU74" i="2" s="1"/>
  <c r="AV74" i="2" s="1"/>
  <c r="AW74" i="2" s="1"/>
  <c r="AX74" i="2" s="1"/>
  <c r="AY74" i="2" s="1"/>
  <c r="AZ74" i="2" s="1"/>
  <c r="BA74" i="2" s="1"/>
  <c r="BB74" i="2" s="1"/>
  <c r="BC74" i="2" s="1"/>
  <c r="BD74" i="2" s="1"/>
  <c r="BE74" i="2" s="1"/>
  <c r="BF74" i="2" s="1"/>
  <c r="BG74" i="2" s="1"/>
  <c r="BH74" i="2"/>
  <c r="AJ75" i="2"/>
  <c r="AK75" i="2"/>
  <c r="AL75" i="2" s="1"/>
  <c r="AJ76" i="2"/>
  <c r="AK76" i="2"/>
  <c r="AL76" i="2"/>
  <c r="AM76" i="2"/>
  <c r="AN76" i="2" s="1"/>
  <c r="AO76" i="2" s="1"/>
  <c r="AP76" i="2" s="1"/>
  <c r="AQ76" i="2" s="1"/>
  <c r="AR76" i="2" s="1"/>
  <c r="AS76" i="2" s="1"/>
  <c r="AT76" i="2" s="1"/>
  <c r="AU76" i="2" s="1"/>
  <c r="AV76" i="2" s="1"/>
  <c r="AW76" i="2" s="1"/>
  <c r="AX76" i="2" s="1"/>
  <c r="AY76" i="2" s="1"/>
  <c r="AZ76" i="2" s="1"/>
  <c r="BA76" i="2" s="1"/>
  <c r="BB76" i="2" s="1"/>
  <c r="BC76" i="2"/>
  <c r="BD76" i="2" s="1"/>
  <c r="BE76" i="2" s="1"/>
  <c r="BF76" i="2" s="1"/>
  <c r="BG76" i="2" s="1"/>
  <c r="BH76" i="2" s="1"/>
  <c r="BI76" i="2" s="1"/>
  <c r="AJ77" i="2"/>
  <c r="AK77" i="2"/>
  <c r="AL77" i="2"/>
  <c r="AM77" i="2" s="1"/>
  <c r="AN77" i="2" s="1"/>
  <c r="AO77" i="2" s="1"/>
  <c r="AP77" i="2" s="1"/>
  <c r="AQ77" i="2" s="1"/>
  <c r="AR77" i="2" s="1"/>
  <c r="AS77" i="2" s="1"/>
  <c r="AT77" i="2" s="1"/>
  <c r="AU77" i="2" s="1"/>
  <c r="AV77" i="2" s="1"/>
  <c r="AW77" i="2" s="1"/>
  <c r="AX77" i="2" s="1"/>
  <c r="AY77" i="2" s="1"/>
  <c r="AZ77" i="2" s="1"/>
  <c r="BA77" i="2" s="1"/>
  <c r="BB77" i="2" s="1"/>
  <c r="BC77" i="2" s="1"/>
  <c r="BD77" i="2" s="1"/>
  <c r="BE77" i="2" s="1"/>
  <c r="BF77" i="2" s="1"/>
  <c r="BG77" i="2" s="1"/>
  <c r="BH77" i="2" s="1"/>
  <c r="BI77" i="2" s="1"/>
  <c r="AJ78" i="2"/>
  <c r="AK78" i="2" s="1"/>
  <c r="AL78" i="2" s="1"/>
  <c r="AM78" i="2" s="1"/>
  <c r="AN78" i="2" s="1"/>
  <c r="AO78" i="2" s="1"/>
  <c r="AP78" i="2" s="1"/>
  <c r="AQ78" i="2" s="1"/>
  <c r="AR78" i="2" s="1"/>
  <c r="AS78" i="2" s="1"/>
  <c r="AT78" i="2" s="1"/>
  <c r="AU78" i="2" s="1"/>
  <c r="AV78" i="2" s="1"/>
  <c r="AW78" i="2" s="1"/>
  <c r="AX78" i="2" s="1"/>
  <c r="AY78" i="2" s="1"/>
  <c r="AZ78" i="2" s="1"/>
  <c r="BA78" i="2" s="1"/>
  <c r="BB78" i="2" s="1"/>
  <c r="BC78" i="2" s="1"/>
  <c r="BD78" i="2" s="1"/>
  <c r="BE78" i="2" s="1"/>
  <c r="BF78" i="2" s="1"/>
  <c r="BG78" i="2" s="1"/>
  <c r="BH78" i="2" s="1"/>
  <c r="BI78" i="2" s="1"/>
  <c r="AJ79" i="2"/>
  <c r="AK79" i="2"/>
  <c r="AL79" i="2" s="1"/>
  <c r="AM79" i="2" s="1"/>
  <c r="AN79" i="2" s="1"/>
  <c r="AO79" i="2" s="1"/>
  <c r="AP79" i="2" s="1"/>
  <c r="AQ79" i="2" s="1"/>
  <c r="AR79" i="2" s="1"/>
  <c r="AS79" i="2" s="1"/>
  <c r="AT79" i="2" s="1"/>
  <c r="AU79" i="2" s="1"/>
  <c r="AV79" i="2" s="1"/>
  <c r="AW79" i="2" s="1"/>
  <c r="AX79" i="2" s="1"/>
  <c r="AY79" i="2" s="1"/>
  <c r="AZ79" i="2" s="1"/>
  <c r="BA79" i="2" s="1"/>
  <c r="BB79" i="2" s="1"/>
  <c r="BC79" i="2" s="1"/>
  <c r="BD79" i="2" s="1"/>
  <c r="BE79" i="2" s="1"/>
  <c r="BF79" i="2" s="1"/>
  <c r="BG79" i="2" s="1"/>
  <c r="BH79" i="2" s="1"/>
  <c r="BI79" i="2" s="1"/>
  <c r="AJ80" i="2"/>
  <c r="AK80" i="2"/>
  <c r="AL80" i="2"/>
  <c r="AM80" i="2" s="1"/>
  <c r="AN80" i="2" s="1"/>
  <c r="AO80" i="2" s="1"/>
  <c r="AP80" i="2" s="1"/>
  <c r="AQ80" i="2" s="1"/>
  <c r="AR80" i="2" s="1"/>
  <c r="AS80" i="2" s="1"/>
  <c r="AT80" i="2" s="1"/>
  <c r="AU80" i="2" s="1"/>
  <c r="AJ81" i="2"/>
  <c r="AK81" i="2" s="1"/>
  <c r="AL81" i="2" s="1"/>
  <c r="AM81" i="2" s="1"/>
  <c r="AN81" i="2" s="1"/>
  <c r="AO81" i="2" s="1"/>
  <c r="AP81" i="2" s="1"/>
  <c r="AQ81" i="2" s="1"/>
  <c r="AR81" i="2"/>
  <c r="AS81" i="2" s="1"/>
  <c r="AT81" i="2" s="1"/>
  <c r="AU81" i="2" s="1"/>
  <c r="AV81" i="2" s="1"/>
  <c r="AW81" i="2" s="1"/>
  <c r="AX81" i="2" s="1"/>
  <c r="AY81" i="2" s="1"/>
  <c r="AZ81" i="2" s="1"/>
  <c r="BA81" i="2" s="1"/>
  <c r="BB81" i="2" s="1"/>
  <c r="BC81" i="2" s="1"/>
  <c r="BD81" i="2" s="1"/>
  <c r="BE81" i="2" s="1"/>
  <c r="BF81" i="2" s="1"/>
  <c r="BG81" i="2" s="1"/>
  <c r="BH81" i="2" s="1"/>
  <c r="BI81" i="2" s="1"/>
  <c r="AJ82" i="2"/>
  <c r="AJ83" i="2"/>
  <c r="AK83" i="2"/>
  <c r="AL83" i="2" s="1"/>
  <c r="AM83" i="2" s="1"/>
  <c r="AN83" i="2"/>
  <c r="AO83" i="2" s="1"/>
  <c r="AP83" i="2" s="1"/>
  <c r="AQ83" i="2" s="1"/>
  <c r="AR83" i="2" s="1"/>
  <c r="AS83" i="2" s="1"/>
  <c r="AT83" i="2" s="1"/>
  <c r="AU83" i="2" s="1"/>
  <c r="AV83" i="2" s="1"/>
  <c r="AW83" i="2"/>
  <c r="AX83" i="2" s="1"/>
  <c r="AY83" i="2" s="1"/>
  <c r="AZ83" i="2" s="1"/>
  <c r="BA83" i="2" s="1"/>
  <c r="BB83" i="2" s="1"/>
  <c r="BC83" i="2" s="1"/>
  <c r="BD83" i="2" s="1"/>
  <c r="BE83" i="2" s="1"/>
  <c r="BF83" i="2" s="1"/>
  <c r="BG83" i="2" s="1"/>
  <c r="BH83" i="2" s="1"/>
  <c r="BI83" i="2" s="1"/>
  <c r="AJ84" i="2"/>
  <c r="AK84" i="2"/>
  <c r="AL84" i="2"/>
  <c r="AM84" i="2"/>
  <c r="AN84" i="2" s="1"/>
  <c r="AO84" i="2" s="1"/>
  <c r="AP84" i="2" s="1"/>
  <c r="AQ84" i="2" s="1"/>
  <c r="AR84" i="2" s="1"/>
  <c r="AS84" i="2" s="1"/>
  <c r="AT84" i="2" s="1"/>
  <c r="AU84" i="2" s="1"/>
  <c r="AV84" i="2" s="1"/>
  <c r="AW84" i="2" s="1"/>
  <c r="AX84" i="2" s="1"/>
  <c r="AY84" i="2" s="1"/>
  <c r="AZ84" i="2" s="1"/>
  <c r="BA84" i="2" s="1"/>
  <c r="BB84" i="2" s="1"/>
  <c r="BC84" i="2" s="1"/>
  <c r="BD84" i="2" s="1"/>
  <c r="BE84" i="2" s="1"/>
  <c r="BF84" i="2" s="1"/>
  <c r="BG84" i="2" s="1"/>
  <c r="BH84" i="2" s="1"/>
  <c r="BI84" i="2" s="1"/>
  <c r="AJ85" i="2"/>
  <c r="AK85" i="2" s="1"/>
  <c r="AL85" i="2"/>
  <c r="AM85" i="2" s="1"/>
  <c r="AN85" i="2" s="1"/>
  <c r="AO85" i="2" s="1"/>
  <c r="AP85" i="2" s="1"/>
  <c r="AQ85" i="2" s="1"/>
  <c r="AR85" i="2" s="1"/>
  <c r="AS85" i="2" s="1"/>
  <c r="AT85" i="2" s="1"/>
  <c r="AU85" i="2" s="1"/>
  <c r="AV85" i="2" s="1"/>
  <c r="AW85" i="2" s="1"/>
  <c r="AX85" i="2" s="1"/>
  <c r="AY85" i="2" s="1"/>
  <c r="AZ85" i="2" s="1"/>
  <c r="BA85" i="2" s="1"/>
  <c r="BB85" i="2" s="1"/>
  <c r="BC85" i="2" s="1"/>
  <c r="BD85" i="2" s="1"/>
  <c r="BE85" i="2" s="1"/>
  <c r="BF85" i="2" s="1"/>
  <c r="BG85" i="2" s="1"/>
  <c r="BH85" i="2" s="1"/>
  <c r="BI85" i="2"/>
  <c r="AJ86" i="2"/>
  <c r="AK86" i="2" s="1"/>
  <c r="AL86" i="2" s="1"/>
  <c r="AM86" i="2" s="1"/>
  <c r="AN86" i="2" s="1"/>
  <c r="AO86" i="2" s="1"/>
  <c r="AP86" i="2"/>
  <c r="AQ86" i="2" s="1"/>
  <c r="AR86" i="2" s="1"/>
  <c r="AS86" i="2" s="1"/>
  <c r="AT86" i="2" s="1"/>
  <c r="AU86" i="2" s="1"/>
  <c r="AV86" i="2" s="1"/>
  <c r="AW86" i="2" s="1"/>
  <c r="AX86" i="2" s="1"/>
  <c r="AY86" i="2" s="1"/>
  <c r="AJ87" i="2"/>
  <c r="AK87" i="2"/>
  <c r="AL87" i="2" s="1"/>
  <c r="AM87" i="2" s="1"/>
  <c r="AN87" i="2"/>
  <c r="AO87" i="2" s="1"/>
  <c r="AP87" i="2" s="1"/>
  <c r="AQ87" i="2" s="1"/>
  <c r="AR87" i="2" s="1"/>
  <c r="AS87" i="2" s="1"/>
  <c r="AT87" i="2" s="1"/>
  <c r="AU87" i="2" s="1"/>
  <c r="AV87" i="2" s="1"/>
  <c r="AW87" i="2"/>
  <c r="AX87" i="2" s="1"/>
  <c r="AY87" i="2" s="1"/>
  <c r="AZ87" i="2" s="1"/>
  <c r="BA87" i="2" s="1"/>
  <c r="BB87" i="2" s="1"/>
  <c r="BC87" i="2" s="1"/>
  <c r="BD87" i="2" s="1"/>
  <c r="BE87" i="2" s="1"/>
  <c r="BF87" i="2" s="1"/>
  <c r="BG87" i="2" s="1"/>
  <c r="BH87" i="2" s="1"/>
  <c r="BI87" i="2" s="1"/>
  <c r="AJ88" i="2"/>
  <c r="AK88" i="2"/>
  <c r="AL88" i="2"/>
  <c r="AM88" i="2" s="1"/>
  <c r="AN88" i="2" s="1"/>
  <c r="AO88" i="2" s="1"/>
  <c r="AP88" i="2" s="1"/>
  <c r="AQ88" i="2"/>
  <c r="AJ89" i="2"/>
  <c r="AK89" i="2"/>
  <c r="AL89" i="2"/>
  <c r="AM89" i="2" s="1"/>
  <c r="AN89" i="2" s="1"/>
  <c r="AO89" i="2"/>
  <c r="AP89" i="2" s="1"/>
  <c r="AQ89" i="2" s="1"/>
  <c r="AR89" i="2" s="1"/>
  <c r="AS89" i="2" s="1"/>
  <c r="AT89" i="2" s="1"/>
  <c r="AU89" i="2" s="1"/>
  <c r="AV89" i="2" s="1"/>
  <c r="AW89" i="2"/>
  <c r="AX89" i="2" s="1"/>
  <c r="AY89" i="2" s="1"/>
  <c r="AZ89" i="2" s="1"/>
  <c r="BA89" i="2" s="1"/>
  <c r="BB89" i="2" s="1"/>
  <c r="BC89" i="2" s="1"/>
  <c r="BD89" i="2" s="1"/>
  <c r="BE89" i="2" s="1"/>
  <c r="BF89" i="2" s="1"/>
  <c r="BG89" i="2" s="1"/>
  <c r="BH89" i="2" s="1"/>
  <c r="BI89" i="2" s="1"/>
  <c r="AJ90" i="2"/>
  <c r="AK90" i="2" s="1"/>
  <c r="AL90" i="2" s="1"/>
  <c r="AM90" i="2" s="1"/>
  <c r="AN90" i="2" s="1"/>
  <c r="AO90" i="2" s="1"/>
  <c r="AP90" i="2" s="1"/>
  <c r="AQ90" i="2" s="1"/>
  <c r="AR90" i="2" s="1"/>
  <c r="AS90" i="2" s="1"/>
  <c r="AT90" i="2" s="1"/>
  <c r="AU90" i="2" s="1"/>
  <c r="AV90" i="2" s="1"/>
  <c r="AW90" i="2" s="1"/>
  <c r="AX90" i="2" s="1"/>
  <c r="AY90" i="2" s="1"/>
  <c r="AZ90" i="2" s="1"/>
  <c r="BA90" i="2" s="1"/>
  <c r="BB90" i="2" s="1"/>
  <c r="BC90" i="2" s="1"/>
  <c r="BD90" i="2" s="1"/>
  <c r="BE90" i="2" s="1"/>
  <c r="BF90" i="2" s="1"/>
  <c r="BG90" i="2" s="1"/>
  <c r="BH90" i="2" s="1"/>
  <c r="BI90" i="2" s="1"/>
  <c r="AJ91" i="2"/>
  <c r="AK91" i="2"/>
  <c r="AL91" i="2" s="1"/>
  <c r="AM91" i="2"/>
  <c r="AN91" i="2" s="1"/>
  <c r="AO91" i="2" s="1"/>
  <c r="AP91" i="2" s="1"/>
  <c r="AQ91" i="2" s="1"/>
  <c r="AR91" i="2" s="1"/>
  <c r="AS91" i="2" s="1"/>
  <c r="AT91" i="2" s="1"/>
  <c r="AU91" i="2" s="1"/>
  <c r="AV91" i="2" s="1"/>
  <c r="AW91" i="2" s="1"/>
  <c r="AX91" i="2" s="1"/>
  <c r="AY91" i="2" s="1"/>
  <c r="AZ91" i="2" s="1"/>
  <c r="BA91" i="2" s="1"/>
  <c r="BB91" i="2" s="1"/>
  <c r="BC91" i="2" s="1"/>
  <c r="BD91" i="2" s="1"/>
  <c r="BE91" i="2" s="1"/>
  <c r="BF91" i="2" s="1"/>
  <c r="BG91" i="2" s="1"/>
  <c r="BH91" i="2" s="1"/>
  <c r="BI91" i="2" s="1"/>
  <c r="AJ92" i="2"/>
  <c r="AK92" i="2"/>
  <c r="AL92" i="2"/>
  <c r="AM92" i="2" s="1"/>
  <c r="AN92" i="2" s="1"/>
  <c r="AO92" i="2" s="1"/>
  <c r="AP92" i="2" s="1"/>
  <c r="AQ92" i="2"/>
  <c r="AR92" i="2" s="1"/>
  <c r="AS92" i="2" s="1"/>
  <c r="AT92" i="2" s="1"/>
  <c r="AU92" i="2" s="1"/>
  <c r="AV92" i="2" s="1"/>
  <c r="AW92" i="2" s="1"/>
  <c r="AX92" i="2" s="1"/>
  <c r="AY92" i="2" s="1"/>
  <c r="AZ92" i="2" s="1"/>
  <c r="BA92" i="2" s="1"/>
  <c r="BB92" i="2" s="1"/>
  <c r="BC92" i="2" s="1"/>
  <c r="BD92" i="2" s="1"/>
  <c r="BE92" i="2" s="1"/>
  <c r="BF92" i="2" s="1"/>
  <c r="BG92" i="2" s="1"/>
  <c r="BH92" i="2" s="1"/>
  <c r="BI92" i="2" s="1"/>
  <c r="AJ93" i="2"/>
  <c r="AK93" i="2"/>
  <c r="AL93" i="2"/>
  <c r="AM93" i="2" s="1"/>
  <c r="AN93" i="2" s="1"/>
  <c r="AO93" i="2" s="1"/>
  <c r="AP93" i="2" s="1"/>
  <c r="AQ93" i="2" s="1"/>
  <c r="AR93" i="2" s="1"/>
  <c r="AS93" i="2" s="1"/>
  <c r="AT93" i="2" s="1"/>
  <c r="AU93" i="2" s="1"/>
  <c r="AV93" i="2" s="1"/>
  <c r="AW93" i="2"/>
  <c r="AX93" i="2" s="1"/>
  <c r="AY93" i="2" s="1"/>
  <c r="AZ93" i="2" s="1"/>
  <c r="BA93" i="2" s="1"/>
  <c r="BB93" i="2" s="1"/>
  <c r="BC93" i="2" s="1"/>
  <c r="BD93" i="2" s="1"/>
  <c r="BE93" i="2" s="1"/>
  <c r="BF93" i="2" s="1"/>
  <c r="BG93" i="2" s="1"/>
  <c r="BH93" i="2" s="1"/>
  <c r="BI93" i="2" s="1"/>
  <c r="AJ94" i="2"/>
  <c r="AK94" i="2"/>
  <c r="AL94" i="2" s="1"/>
  <c r="AM94" i="2" s="1"/>
  <c r="AN94" i="2" s="1"/>
  <c r="AO94" i="2" s="1"/>
  <c r="AP94" i="2"/>
  <c r="AQ94" i="2" s="1"/>
  <c r="AR94" i="2" s="1"/>
  <c r="AS94" i="2" s="1"/>
  <c r="AT94" i="2" s="1"/>
  <c r="AU94" i="2" s="1"/>
  <c r="AV94" i="2" s="1"/>
  <c r="AW94" i="2" s="1"/>
  <c r="AX94" i="2" s="1"/>
  <c r="AY94" i="2" s="1"/>
  <c r="AZ94" i="2" s="1"/>
  <c r="BA94" i="2" s="1"/>
  <c r="BB94" i="2" s="1"/>
  <c r="BC94" i="2" s="1"/>
  <c r="BD94" i="2" s="1"/>
  <c r="BE94" i="2" s="1"/>
  <c r="BF94" i="2" s="1"/>
  <c r="BG94" i="2" s="1"/>
  <c r="BH94" i="2" s="1"/>
  <c r="BI94" i="2" s="1"/>
  <c r="AJ95" i="2"/>
  <c r="AK95" i="2" s="1"/>
  <c r="AL95" i="2" s="1"/>
  <c r="AM95" i="2" s="1"/>
  <c r="AN95" i="2"/>
  <c r="AO95" i="2" s="1"/>
  <c r="AP95" i="2"/>
  <c r="AQ95" i="2" s="1"/>
  <c r="AR95" i="2" s="1"/>
  <c r="AS95" i="2" s="1"/>
  <c r="AT95" i="2" s="1"/>
  <c r="AU95" i="2" s="1"/>
  <c r="AV95" i="2" s="1"/>
  <c r="AW95" i="2" s="1"/>
  <c r="AX95" i="2"/>
  <c r="AY95" i="2" s="1"/>
  <c r="AZ95" i="2" s="1"/>
  <c r="BA95" i="2" s="1"/>
  <c r="BB95" i="2" s="1"/>
  <c r="BC95" i="2" s="1"/>
  <c r="BD95" i="2" s="1"/>
  <c r="BE95" i="2" s="1"/>
  <c r="BF95" i="2" s="1"/>
  <c r="BG95" i="2" s="1"/>
  <c r="BH95" i="2" s="1"/>
  <c r="BI95" i="2" s="1"/>
  <c r="AJ96" i="2"/>
  <c r="AK96" i="2"/>
  <c r="AL96" i="2"/>
  <c r="AM96" i="2" s="1"/>
  <c r="AN96" i="2"/>
  <c r="AO96" i="2" s="1"/>
  <c r="AP96" i="2" s="1"/>
  <c r="AQ96" i="2" s="1"/>
  <c r="AR96" i="2" s="1"/>
  <c r="AS96" i="2" s="1"/>
  <c r="AT96" i="2" s="1"/>
  <c r="AU96" i="2" s="1"/>
  <c r="AV96" i="2"/>
  <c r="AW96" i="2" s="1"/>
  <c r="AX96" i="2" s="1"/>
  <c r="AY96" i="2" s="1"/>
  <c r="AZ96" i="2" s="1"/>
  <c r="BA96" i="2" s="1"/>
  <c r="BB96" i="2" s="1"/>
  <c r="BC96" i="2" s="1"/>
  <c r="BD96" i="2" s="1"/>
  <c r="BE96" i="2" s="1"/>
  <c r="BF96" i="2" s="1"/>
  <c r="BG96" i="2" s="1"/>
  <c r="BH96" i="2" s="1"/>
  <c r="BI96" i="2" s="1"/>
  <c r="AJ97" i="2"/>
  <c r="AK97" i="2" s="1"/>
  <c r="AL97" i="2" s="1"/>
  <c r="AM97" i="2" s="1"/>
  <c r="AN97" i="2" s="1"/>
  <c r="AO97" i="2" s="1"/>
  <c r="AP97" i="2" s="1"/>
  <c r="AQ97" i="2" s="1"/>
  <c r="AR97" i="2" s="1"/>
  <c r="AS97" i="2" s="1"/>
  <c r="AT97" i="2"/>
  <c r="AU97" i="2" s="1"/>
  <c r="AV97" i="2" s="1"/>
  <c r="AW97" i="2" s="1"/>
  <c r="AX97" i="2" s="1"/>
  <c r="AY97" i="2" s="1"/>
  <c r="AZ97" i="2" s="1"/>
  <c r="BA97" i="2" s="1"/>
  <c r="BB97" i="2"/>
  <c r="BC97" i="2" s="1"/>
  <c r="BD97" i="2" s="1"/>
  <c r="BE97" i="2" s="1"/>
  <c r="BF97" i="2" s="1"/>
  <c r="BG97" i="2" s="1"/>
  <c r="BH97" i="2" s="1"/>
  <c r="BI97" i="2" s="1"/>
  <c r="AJ98" i="2"/>
  <c r="AK98" i="2" s="1"/>
  <c r="AL98" i="2" s="1"/>
  <c r="AM98" i="2" s="1"/>
  <c r="AN98" i="2" s="1"/>
  <c r="AO98" i="2" s="1"/>
  <c r="AP98" i="2" s="1"/>
  <c r="AQ98" i="2" s="1"/>
  <c r="AR98" i="2" s="1"/>
  <c r="AS98" i="2" s="1"/>
  <c r="AT98" i="2" s="1"/>
  <c r="AU98" i="2" s="1"/>
  <c r="AV98" i="2" s="1"/>
  <c r="AW98" i="2"/>
  <c r="AX98" i="2" s="1"/>
  <c r="AY98" i="2" s="1"/>
  <c r="AZ98" i="2"/>
  <c r="BA98" i="2" s="1"/>
  <c r="BB98" i="2" s="1"/>
  <c r="BC98" i="2" s="1"/>
  <c r="BD98" i="2" s="1"/>
  <c r="BE98" i="2" s="1"/>
  <c r="BF98" i="2" s="1"/>
  <c r="BG98" i="2" s="1"/>
  <c r="BH98" i="2" s="1"/>
  <c r="BI98" i="2" s="1"/>
  <c r="AJ99" i="2"/>
  <c r="AK99" i="2" s="1"/>
  <c r="AL99" i="2" s="1"/>
  <c r="AM99" i="2"/>
  <c r="AN99" i="2" s="1"/>
  <c r="AO99" i="2" s="1"/>
  <c r="AP99" i="2" s="1"/>
  <c r="AQ99" i="2" s="1"/>
  <c r="AR99" i="2" s="1"/>
  <c r="AS99" i="2" s="1"/>
  <c r="AT99" i="2" s="1"/>
  <c r="AU99" i="2" s="1"/>
  <c r="AV99" i="2" s="1"/>
  <c r="AW99" i="2" s="1"/>
  <c r="AX99" i="2" s="1"/>
  <c r="AY99" i="2" s="1"/>
  <c r="AZ99" i="2" s="1"/>
  <c r="BA99" i="2" s="1"/>
  <c r="BB99" i="2" s="1"/>
  <c r="BC99" i="2" s="1"/>
  <c r="BD99" i="2" s="1"/>
  <c r="BE99" i="2" s="1"/>
  <c r="BF99" i="2" s="1"/>
  <c r="BG99" i="2" s="1"/>
  <c r="BH99" i="2" s="1"/>
  <c r="BI99" i="2" s="1"/>
  <c r="AJ100" i="2"/>
  <c r="AK100" i="2"/>
  <c r="AL100" i="2" s="1"/>
  <c r="AM100" i="2" s="1"/>
  <c r="AN100" i="2" s="1"/>
  <c r="AO100" i="2" s="1"/>
  <c r="AP100" i="2"/>
  <c r="AQ100" i="2" s="1"/>
  <c r="AJ101" i="2"/>
  <c r="AK101" i="2" s="1"/>
  <c r="AL101" i="2" s="1"/>
  <c r="AM101" i="2" s="1"/>
  <c r="AN101" i="2" s="1"/>
  <c r="AO101" i="2" s="1"/>
  <c r="AP101" i="2" s="1"/>
  <c r="AQ101" i="2" s="1"/>
  <c r="AR101" i="2" s="1"/>
  <c r="AS101" i="2" s="1"/>
  <c r="AT101" i="2" s="1"/>
  <c r="AU101" i="2" s="1"/>
  <c r="AV101" i="2"/>
  <c r="AW101" i="2" s="1"/>
  <c r="AX101" i="2" s="1"/>
  <c r="AY101" i="2" s="1"/>
  <c r="AZ101" i="2"/>
  <c r="BA101" i="2" s="1"/>
  <c r="BB101" i="2" s="1"/>
  <c r="BC101" i="2" s="1"/>
  <c r="BD101" i="2" s="1"/>
  <c r="BE101" i="2" s="1"/>
  <c r="BF101" i="2" s="1"/>
  <c r="BG101" i="2" s="1"/>
  <c r="BH101" i="2" s="1"/>
  <c r="BI101" i="2" s="1"/>
  <c r="AJ102" i="2"/>
  <c r="AK102" i="2" s="1"/>
  <c r="AL102" i="2"/>
  <c r="AM102" i="2" s="1"/>
  <c r="AN102" i="2" s="1"/>
  <c r="AO102" i="2" s="1"/>
  <c r="AP102" i="2"/>
  <c r="AQ102" i="2" s="1"/>
  <c r="AR102" i="2" s="1"/>
  <c r="AS102" i="2" s="1"/>
  <c r="AT102" i="2" s="1"/>
  <c r="AU102" i="2" s="1"/>
  <c r="AV102" i="2" s="1"/>
  <c r="AW102" i="2" s="1"/>
  <c r="AX102" i="2" s="1"/>
  <c r="AY102" i="2" s="1"/>
  <c r="AZ102" i="2" s="1"/>
  <c r="BA102" i="2" s="1"/>
  <c r="BB102" i="2" s="1"/>
  <c r="BC102" i="2" s="1"/>
  <c r="BD102" i="2" s="1"/>
  <c r="BE102" i="2" s="1"/>
  <c r="BF102" i="2"/>
  <c r="BG102" i="2" s="1"/>
  <c r="BH102" i="2" s="1"/>
  <c r="BI102" i="2" s="1"/>
  <c r="AJ103" i="2"/>
  <c r="AK103" i="2" s="1"/>
  <c r="AL103" i="2" s="1"/>
  <c r="AM103" i="2" s="1"/>
  <c r="AN103" i="2" s="1"/>
  <c r="AO103" i="2" s="1"/>
  <c r="AP103" i="2" s="1"/>
  <c r="AQ103" i="2" s="1"/>
  <c r="AR103" i="2"/>
  <c r="AS103" i="2" s="1"/>
  <c r="AT103" i="2" s="1"/>
  <c r="AU103" i="2" s="1"/>
  <c r="AV103" i="2"/>
  <c r="AW103" i="2" s="1"/>
  <c r="AX103" i="2" s="1"/>
  <c r="AY103" i="2" s="1"/>
  <c r="AZ103" i="2" s="1"/>
  <c r="BA103" i="2" s="1"/>
  <c r="BB103" i="2" s="1"/>
  <c r="BC103" i="2" s="1"/>
  <c r="BD103" i="2" s="1"/>
  <c r="BE103" i="2" s="1"/>
  <c r="BF103" i="2" s="1"/>
  <c r="BG103" i="2" s="1"/>
  <c r="BH103" i="2" s="1"/>
  <c r="BI103" i="2" s="1"/>
  <c r="AJ104" i="2"/>
  <c r="AK104" i="2"/>
  <c r="AL104" i="2" s="1"/>
  <c r="AM104" i="2" s="1"/>
  <c r="AN104" i="2" s="1"/>
  <c r="AO104" i="2" s="1"/>
  <c r="AP104" i="2" s="1"/>
  <c r="AQ104" i="2" s="1"/>
  <c r="AR104" i="2" s="1"/>
  <c r="AS104" i="2" s="1"/>
  <c r="AT104" i="2" s="1"/>
  <c r="AU104" i="2" s="1"/>
  <c r="AV104" i="2" s="1"/>
  <c r="AW104" i="2" s="1"/>
  <c r="AX104" i="2" s="1"/>
  <c r="AY104" i="2" s="1"/>
  <c r="AZ104" i="2" s="1"/>
  <c r="BA104" i="2" s="1"/>
  <c r="BB104" i="2" s="1"/>
  <c r="BC104" i="2" s="1"/>
  <c r="BD104" i="2" s="1"/>
  <c r="BE104" i="2" s="1"/>
  <c r="BF104" i="2" s="1"/>
  <c r="BG104" i="2" s="1"/>
  <c r="BH104" i="2" s="1"/>
  <c r="BI104" i="2" s="1"/>
  <c r="AJ105" i="2"/>
  <c r="AK105" i="2" s="1"/>
  <c r="AL105" i="2"/>
  <c r="AM105" i="2" s="1"/>
  <c r="AN105" i="2" s="1"/>
  <c r="AO105" i="2" s="1"/>
  <c r="AP105" i="2" s="1"/>
  <c r="AQ105" i="2"/>
  <c r="AR105" i="2" s="1"/>
  <c r="AS105" i="2" s="1"/>
  <c r="AT105" i="2" s="1"/>
  <c r="AU105" i="2" s="1"/>
  <c r="AV105" i="2" s="1"/>
  <c r="AW105" i="2" s="1"/>
  <c r="AX105" i="2" s="1"/>
  <c r="AY105" i="2" s="1"/>
  <c r="AZ105" i="2" s="1"/>
  <c r="BA105" i="2" s="1"/>
  <c r="BB105" i="2" s="1"/>
  <c r="BC105" i="2" s="1"/>
  <c r="BD105" i="2" s="1"/>
  <c r="BE105" i="2" s="1"/>
  <c r="BF105" i="2" s="1"/>
  <c r="BG105" i="2" s="1"/>
  <c r="BH105" i="2" s="1"/>
  <c r="BI105" i="2" s="1"/>
  <c r="AJ106" i="2"/>
  <c r="AK106" i="2" s="1"/>
  <c r="AL106" i="2"/>
  <c r="AM106" i="2"/>
  <c r="AN106" i="2" s="1"/>
  <c r="AO106" i="2" s="1"/>
  <c r="AP106" i="2" s="1"/>
  <c r="AQ106" i="2" s="1"/>
  <c r="AR106" i="2" s="1"/>
  <c r="AS106" i="2" s="1"/>
  <c r="AT106" i="2" s="1"/>
  <c r="AU106" i="2" s="1"/>
  <c r="AV106" i="2" s="1"/>
  <c r="AW106" i="2" s="1"/>
  <c r="AX106" i="2" s="1"/>
  <c r="AY106" i="2" s="1"/>
  <c r="AZ106" i="2" s="1"/>
  <c r="BA106" i="2" s="1"/>
  <c r="BB106" i="2" s="1"/>
  <c r="BC106" i="2" s="1"/>
  <c r="BD106" i="2" s="1"/>
  <c r="BE106" i="2" s="1"/>
  <c r="BF106" i="2" s="1"/>
  <c r="BG106" i="2" s="1"/>
  <c r="BH106" i="2" s="1"/>
  <c r="BI106" i="2" s="1"/>
  <c r="AJ107" i="2"/>
  <c r="AK107" i="2"/>
  <c r="AL107" i="2" s="1"/>
  <c r="AM107" i="2"/>
  <c r="AN107" i="2" s="1"/>
  <c r="AO107" i="2" s="1"/>
  <c r="AP107" i="2" s="1"/>
  <c r="AQ107" i="2" s="1"/>
  <c r="AR107" i="2" s="1"/>
  <c r="AS107" i="2" s="1"/>
  <c r="AT107" i="2" s="1"/>
  <c r="AU107" i="2" s="1"/>
  <c r="AV107" i="2" s="1"/>
  <c r="AW107" i="2" s="1"/>
  <c r="AX107" i="2" s="1"/>
  <c r="AY107" i="2" s="1"/>
  <c r="AZ107" i="2"/>
  <c r="BA107" i="2" s="1"/>
  <c r="BB107" i="2" s="1"/>
  <c r="BC107" i="2" s="1"/>
  <c r="BD107" i="2" s="1"/>
  <c r="BE107" i="2" s="1"/>
  <c r="BF107" i="2" s="1"/>
  <c r="BG107" i="2" s="1"/>
  <c r="BH107" i="2" s="1"/>
  <c r="BI107" i="2" s="1"/>
  <c r="AJ108" i="2"/>
  <c r="AK108" i="2"/>
  <c r="AL108" i="2" s="1"/>
  <c r="AM108" i="2" s="1"/>
  <c r="AN108" i="2" s="1"/>
  <c r="AO108" i="2" s="1"/>
  <c r="AP108" i="2" s="1"/>
  <c r="AQ108" i="2" s="1"/>
  <c r="AR108" i="2" s="1"/>
  <c r="AS108" i="2" s="1"/>
  <c r="AT108" i="2" s="1"/>
  <c r="AU108" i="2" s="1"/>
  <c r="AV108" i="2" s="1"/>
  <c r="AW108" i="2" s="1"/>
  <c r="AX108" i="2" s="1"/>
  <c r="AY108" i="2" s="1"/>
  <c r="AZ108" i="2" s="1"/>
  <c r="BA108" i="2"/>
  <c r="BB108" i="2" s="1"/>
  <c r="BC108" i="2" s="1"/>
  <c r="BD108" i="2" s="1"/>
  <c r="BE108" i="2" s="1"/>
  <c r="BF108" i="2" s="1"/>
  <c r="BG108" i="2" s="1"/>
  <c r="BH108" i="2" s="1"/>
  <c r="BI108" i="2" s="1"/>
  <c r="AJ109" i="2"/>
  <c r="AK109" i="2"/>
  <c r="AL109" i="2" s="1"/>
  <c r="AM109" i="2" s="1"/>
  <c r="AN109" i="2" s="1"/>
  <c r="AO109" i="2" s="1"/>
  <c r="AP109" i="2" s="1"/>
  <c r="AQ109" i="2"/>
  <c r="AR109" i="2" s="1"/>
  <c r="AS109" i="2"/>
  <c r="AT109" i="2" s="1"/>
  <c r="AU109" i="2" s="1"/>
  <c r="AV109" i="2" s="1"/>
  <c r="AW109" i="2" s="1"/>
  <c r="AX109" i="2" s="1"/>
  <c r="AY109" i="2" s="1"/>
  <c r="AZ109" i="2" s="1"/>
  <c r="BA109" i="2" s="1"/>
  <c r="BB109" i="2" s="1"/>
  <c r="BC109" i="2" s="1"/>
  <c r="BD109" i="2" s="1"/>
  <c r="BE109" i="2" s="1"/>
  <c r="BF109" i="2" s="1"/>
  <c r="BG109" i="2"/>
  <c r="BH109" i="2" s="1"/>
  <c r="BI109" i="2" s="1"/>
  <c r="AJ110" i="2"/>
  <c r="AK110" i="2" s="1"/>
  <c r="AL110" i="2" s="1"/>
  <c r="AM110" i="2" s="1"/>
  <c r="AN110" i="2" s="1"/>
  <c r="AO110" i="2" s="1"/>
  <c r="AP110" i="2" s="1"/>
  <c r="AQ110" i="2" s="1"/>
  <c r="AR110" i="2" s="1"/>
  <c r="AS110" i="2" s="1"/>
  <c r="AT110" i="2" s="1"/>
  <c r="AU110" i="2" s="1"/>
  <c r="AV110" i="2" s="1"/>
  <c r="AW110" i="2" s="1"/>
  <c r="AX110" i="2" s="1"/>
  <c r="AY110" i="2" s="1"/>
  <c r="AZ110" i="2" s="1"/>
  <c r="BA110" i="2" s="1"/>
  <c r="BB110" i="2" s="1"/>
  <c r="BC110" i="2" s="1"/>
  <c r="BD110" i="2" s="1"/>
  <c r="BE110" i="2" s="1"/>
  <c r="BF110" i="2" s="1"/>
  <c r="BG110" i="2" s="1"/>
  <c r="BH110" i="2" s="1"/>
  <c r="BI110" i="2" s="1"/>
  <c r="AJ115" i="2"/>
  <c r="AK115" i="2"/>
  <c r="AL115" i="2" s="1"/>
  <c r="AM115" i="2" s="1"/>
  <c r="AN115" i="2" s="1"/>
  <c r="AO115" i="2" s="1"/>
  <c r="AP115" i="2" s="1"/>
  <c r="AQ115" i="2" s="1"/>
  <c r="AR115" i="2" s="1"/>
  <c r="AS115" i="2" s="1"/>
  <c r="AT115" i="2" s="1"/>
  <c r="AU115" i="2" s="1"/>
  <c r="AV115" i="2" s="1"/>
  <c r="AW115" i="2" s="1"/>
  <c r="AX115" i="2" s="1"/>
  <c r="AY115" i="2" s="1"/>
  <c r="AZ115" i="2" s="1"/>
  <c r="BA115" i="2" s="1"/>
  <c r="BB115" i="2" s="1"/>
  <c r="BC115" i="2" s="1"/>
  <c r="BD115" i="2" s="1"/>
  <c r="BE115" i="2" s="1"/>
  <c r="BF115" i="2" s="1"/>
  <c r="BG115" i="2" s="1"/>
  <c r="BH115" i="2" s="1"/>
  <c r="BI115" i="2" s="1"/>
  <c r="AJ116" i="2"/>
  <c r="AK116" i="2"/>
  <c r="AL116" i="2" s="1"/>
  <c r="AM116" i="2" s="1"/>
  <c r="AN116" i="2" s="1"/>
  <c r="AO116" i="2" s="1"/>
  <c r="AP116" i="2" s="1"/>
  <c r="AQ116" i="2" s="1"/>
  <c r="AR116" i="2" s="1"/>
  <c r="AS116" i="2" s="1"/>
  <c r="AT116" i="2" s="1"/>
  <c r="AU116" i="2" s="1"/>
  <c r="AV116" i="2" s="1"/>
  <c r="AW116" i="2" s="1"/>
  <c r="AX116" i="2" s="1"/>
  <c r="AY116" i="2" s="1"/>
  <c r="AZ116" i="2" s="1"/>
  <c r="BA116" i="2" s="1"/>
  <c r="BB116" i="2" s="1"/>
  <c r="BC116" i="2" s="1"/>
  <c r="BD116" i="2" s="1"/>
  <c r="BE116" i="2" s="1"/>
  <c r="BF116" i="2" s="1"/>
  <c r="BG116" i="2" s="1"/>
  <c r="BH116" i="2" s="1"/>
  <c r="BI116" i="2" s="1"/>
  <c r="AJ117" i="2"/>
  <c r="AK117" i="2" s="1"/>
  <c r="AL117" i="2" s="1"/>
  <c r="AM117" i="2" s="1"/>
  <c r="AN117" i="2" s="1"/>
  <c r="AO117" i="2"/>
  <c r="AP117" i="2" s="1"/>
  <c r="AQ117" i="2" s="1"/>
  <c r="AR117" i="2" s="1"/>
  <c r="AS117" i="2" s="1"/>
  <c r="AT117" i="2" s="1"/>
  <c r="AU117" i="2" s="1"/>
  <c r="AV117" i="2" s="1"/>
  <c r="AW117" i="2" s="1"/>
  <c r="AX117" i="2" s="1"/>
  <c r="AY117" i="2" s="1"/>
  <c r="AZ117" i="2" s="1"/>
  <c r="BA117" i="2" s="1"/>
  <c r="BB117" i="2" s="1"/>
  <c r="BC117" i="2" s="1"/>
  <c r="BD117" i="2" s="1"/>
  <c r="BE117" i="2" s="1"/>
  <c r="BF117" i="2" s="1"/>
  <c r="BG117" i="2" s="1"/>
  <c r="BH117" i="2" s="1"/>
  <c r="BI117" i="2" s="1"/>
  <c r="AJ118" i="2"/>
  <c r="AK118" i="2" s="1"/>
  <c r="AL118" i="2" s="1"/>
  <c r="AM118" i="2"/>
  <c r="AN118" i="2" s="1"/>
  <c r="AO118" i="2" s="1"/>
  <c r="AP118" i="2" s="1"/>
  <c r="AQ118" i="2" s="1"/>
  <c r="AR118" i="2" s="1"/>
  <c r="AS118" i="2" s="1"/>
  <c r="AT118" i="2" s="1"/>
  <c r="AU118" i="2" s="1"/>
  <c r="AV118" i="2" s="1"/>
  <c r="AW118" i="2" s="1"/>
  <c r="AX118" i="2" s="1"/>
  <c r="AY118" i="2" s="1"/>
  <c r="AZ118" i="2" s="1"/>
  <c r="BA118" i="2" s="1"/>
  <c r="BB118" i="2" s="1"/>
  <c r="BC118" i="2"/>
  <c r="AJ119" i="2"/>
  <c r="AK119" i="2"/>
  <c r="AL119" i="2" s="1"/>
  <c r="AM119" i="2"/>
  <c r="AN119" i="2" s="1"/>
  <c r="AO119" i="2" s="1"/>
  <c r="AP119" i="2" s="1"/>
  <c r="AQ119" i="2" s="1"/>
  <c r="AR119" i="2" s="1"/>
  <c r="AS119" i="2" s="1"/>
  <c r="AT119" i="2" s="1"/>
  <c r="AU119" i="2"/>
  <c r="AV119" i="2" s="1"/>
  <c r="AW119" i="2" s="1"/>
  <c r="AX119" i="2" s="1"/>
  <c r="AY119" i="2" s="1"/>
  <c r="AZ119" i="2" s="1"/>
  <c r="BA119" i="2" s="1"/>
  <c r="BB119" i="2" s="1"/>
  <c r="BC119" i="2" s="1"/>
  <c r="BD119" i="2" s="1"/>
  <c r="BE119" i="2" s="1"/>
  <c r="BF119" i="2" s="1"/>
  <c r="BG119" i="2" s="1"/>
  <c r="BH119" i="2" s="1"/>
  <c r="BI119" i="2" s="1"/>
  <c r="AJ120" i="2"/>
  <c r="AK120" i="2"/>
  <c r="AL120" i="2"/>
  <c r="AM120" i="2" s="1"/>
  <c r="AN120" i="2" s="1"/>
  <c r="AO120" i="2" s="1"/>
  <c r="AP120" i="2" s="1"/>
  <c r="AQ120" i="2" s="1"/>
  <c r="AR120" i="2" s="1"/>
  <c r="AS120" i="2" s="1"/>
  <c r="AT120" i="2" s="1"/>
  <c r="AU120" i="2" s="1"/>
  <c r="AV120" i="2" s="1"/>
  <c r="AW120" i="2" s="1"/>
  <c r="AX120" i="2" s="1"/>
  <c r="AY120" i="2" s="1"/>
  <c r="AZ120" i="2" s="1"/>
  <c r="BA120" i="2" s="1"/>
  <c r="BB120" i="2" s="1"/>
  <c r="BC120" i="2" s="1"/>
  <c r="BD120" i="2" s="1"/>
  <c r="BE120" i="2" s="1"/>
  <c r="BF120" i="2" s="1"/>
  <c r="BG120" i="2" s="1"/>
  <c r="BH120" i="2" s="1"/>
  <c r="BI120" i="2" s="1"/>
  <c r="AJ121" i="2"/>
  <c r="AK121" i="2" s="1"/>
  <c r="AL121" i="2" s="1"/>
  <c r="AM121" i="2" s="1"/>
  <c r="AN121" i="2" s="1"/>
  <c r="AO121" i="2" s="1"/>
  <c r="AP121" i="2" s="1"/>
  <c r="AQ121" i="2" s="1"/>
  <c r="AR121" i="2" s="1"/>
  <c r="AS121" i="2" s="1"/>
  <c r="AT121" i="2" s="1"/>
  <c r="AU121" i="2" s="1"/>
  <c r="AV121" i="2" s="1"/>
  <c r="AW121" i="2"/>
  <c r="AX121" i="2" s="1"/>
  <c r="AY121" i="2" s="1"/>
  <c r="AZ121" i="2" s="1"/>
  <c r="BA121" i="2" s="1"/>
  <c r="BB121" i="2" s="1"/>
  <c r="BC121" i="2" s="1"/>
  <c r="BD121" i="2" s="1"/>
  <c r="BE121" i="2" s="1"/>
  <c r="BF121" i="2" s="1"/>
  <c r="BG121" i="2" s="1"/>
  <c r="BH121" i="2" s="1"/>
  <c r="BI121" i="2" s="1"/>
  <c r="AJ122" i="2"/>
  <c r="AK122" i="2" s="1"/>
  <c r="AL122" i="2" s="1"/>
  <c r="AM122" i="2" s="1"/>
  <c r="AN122" i="2" s="1"/>
  <c r="AO122" i="2"/>
  <c r="AP122" i="2" s="1"/>
  <c r="AQ122" i="2" s="1"/>
  <c r="AR122" i="2" s="1"/>
  <c r="AS122" i="2" s="1"/>
  <c r="AT122" i="2" s="1"/>
  <c r="AU122" i="2" s="1"/>
  <c r="AV122" i="2" s="1"/>
  <c r="AW122" i="2" s="1"/>
  <c r="AX122" i="2" s="1"/>
  <c r="AY122" i="2" s="1"/>
  <c r="AZ122" i="2" s="1"/>
  <c r="BA122" i="2" s="1"/>
  <c r="BB122" i="2" s="1"/>
  <c r="BC122" i="2" s="1"/>
  <c r="BD122" i="2" s="1"/>
  <c r="BE122" i="2" s="1"/>
  <c r="BF122" i="2" s="1"/>
  <c r="BG122" i="2" s="1"/>
  <c r="BH122" i="2" s="1"/>
  <c r="BI122" i="2" s="1"/>
  <c r="AJ123" i="2"/>
  <c r="AK123" i="2"/>
  <c r="AL123" i="2" s="1"/>
  <c r="AM123" i="2"/>
  <c r="AN123" i="2" s="1"/>
  <c r="AO123" i="2" s="1"/>
  <c r="AP123" i="2" s="1"/>
  <c r="AQ123" i="2" s="1"/>
  <c r="AR123" i="2" s="1"/>
  <c r="AS123" i="2" s="1"/>
  <c r="AT123" i="2" s="1"/>
  <c r="AU123" i="2" s="1"/>
  <c r="AV123" i="2" s="1"/>
  <c r="AW123" i="2" s="1"/>
  <c r="AX123" i="2" s="1"/>
  <c r="AY123" i="2" s="1"/>
  <c r="AZ123" i="2" s="1"/>
  <c r="BA123" i="2" s="1"/>
  <c r="BB123" i="2" s="1"/>
  <c r="BC123" i="2" s="1"/>
  <c r="BD123" i="2" s="1"/>
  <c r="BE123" i="2" s="1"/>
  <c r="BF123" i="2" s="1"/>
  <c r="BG123" i="2" s="1"/>
  <c r="BH123" i="2" s="1"/>
  <c r="BI123" i="2" s="1"/>
  <c r="AJ124" i="2"/>
  <c r="AK124" i="2" s="1"/>
  <c r="AL124" i="2" s="1"/>
  <c r="AM124" i="2" s="1"/>
  <c r="AN124" i="2" s="1"/>
  <c r="AO124" i="2" s="1"/>
  <c r="AP124" i="2" s="1"/>
  <c r="AQ124" i="2" s="1"/>
  <c r="AR124" i="2" s="1"/>
  <c r="AS124" i="2" s="1"/>
  <c r="AT124" i="2" s="1"/>
  <c r="AU124" i="2" s="1"/>
  <c r="AV124" i="2" s="1"/>
  <c r="AW124" i="2" s="1"/>
  <c r="AX124" i="2" s="1"/>
  <c r="AY124" i="2" s="1"/>
  <c r="AZ124" i="2" s="1"/>
  <c r="BA124" i="2" s="1"/>
  <c r="BB124" i="2" s="1"/>
  <c r="BC124" i="2" s="1"/>
  <c r="BD124" i="2" s="1"/>
  <c r="BE124" i="2" s="1"/>
  <c r="BF124" i="2" s="1"/>
  <c r="BG124" i="2" s="1"/>
  <c r="BH124" i="2" s="1"/>
  <c r="BI124" i="2" s="1"/>
  <c r="AJ125" i="2"/>
  <c r="AK125" i="2"/>
  <c r="AL125" i="2" s="1"/>
  <c r="AM125" i="2" s="1"/>
  <c r="AN125" i="2" s="1"/>
  <c r="AO125" i="2" s="1"/>
  <c r="AP125" i="2" s="1"/>
  <c r="AQ125" i="2" s="1"/>
  <c r="AR125" i="2" s="1"/>
  <c r="AS125" i="2" s="1"/>
  <c r="AT125" i="2" s="1"/>
  <c r="AU125" i="2" s="1"/>
  <c r="AV125" i="2" s="1"/>
  <c r="AW125" i="2" s="1"/>
  <c r="AX125" i="2" s="1"/>
  <c r="AY125" i="2"/>
  <c r="AZ125" i="2" s="1"/>
  <c r="BA125" i="2" s="1"/>
  <c r="BB125" i="2" s="1"/>
  <c r="BC125" i="2" s="1"/>
  <c r="BD125" i="2" s="1"/>
  <c r="BE125" i="2" s="1"/>
  <c r="BF125" i="2" s="1"/>
  <c r="BG125" i="2" s="1"/>
  <c r="BH125" i="2" s="1"/>
  <c r="BI125" i="2" s="1"/>
  <c r="AJ126" i="2"/>
  <c r="AK126" i="2" s="1"/>
  <c r="AL126" i="2" s="1"/>
  <c r="AM126" i="2" s="1"/>
  <c r="AN126" i="2" s="1"/>
  <c r="AO126" i="2" s="1"/>
  <c r="AP126" i="2" s="1"/>
  <c r="AQ126" i="2" s="1"/>
  <c r="AR126" i="2" s="1"/>
  <c r="AS126" i="2" s="1"/>
  <c r="AT126" i="2"/>
  <c r="AU126" i="2" s="1"/>
  <c r="AV126" i="2" s="1"/>
  <c r="AW126" i="2" s="1"/>
  <c r="AX126" i="2" s="1"/>
  <c r="AY126" i="2" s="1"/>
  <c r="AZ126" i="2" s="1"/>
  <c r="BA126" i="2" s="1"/>
  <c r="BB126" i="2" s="1"/>
  <c r="BC126" i="2" s="1"/>
  <c r="BD126" i="2" s="1"/>
  <c r="BE126" i="2" s="1"/>
  <c r="BF126" i="2" s="1"/>
  <c r="BG126" i="2" s="1"/>
  <c r="BH126" i="2" s="1"/>
  <c r="BI126" i="2" s="1"/>
  <c r="AJ127" i="2"/>
  <c r="AK127" i="2"/>
  <c r="AL127" i="2" s="1"/>
  <c r="AM127" i="2" s="1"/>
  <c r="AN127" i="2" s="1"/>
  <c r="AO127" i="2" s="1"/>
  <c r="AP127" i="2" s="1"/>
  <c r="AQ127" i="2" s="1"/>
  <c r="AR127" i="2" s="1"/>
  <c r="AS127" i="2" s="1"/>
  <c r="AT127" i="2" s="1"/>
  <c r="AU127" i="2" s="1"/>
  <c r="AV127" i="2" s="1"/>
  <c r="AW127" i="2" s="1"/>
  <c r="AX127" i="2" s="1"/>
  <c r="AY127" i="2" s="1"/>
  <c r="AZ127" i="2" s="1"/>
  <c r="BA127" i="2" s="1"/>
  <c r="BB127" i="2" s="1"/>
  <c r="BC127" i="2" s="1"/>
  <c r="BD127" i="2" s="1"/>
  <c r="BE127" i="2" s="1"/>
  <c r="BF127" i="2" s="1"/>
  <c r="BG127" i="2" s="1"/>
  <c r="BH127" i="2" s="1"/>
  <c r="BI127" i="2" s="1"/>
  <c r="AJ128" i="2"/>
  <c r="AK128" i="2" s="1"/>
  <c r="AL128" i="2" s="1"/>
  <c r="AM128" i="2" s="1"/>
  <c r="AN128" i="2" s="1"/>
  <c r="AO128" i="2" s="1"/>
  <c r="AP128" i="2" s="1"/>
  <c r="AQ128" i="2" s="1"/>
  <c r="AR128" i="2" s="1"/>
  <c r="AS128" i="2" s="1"/>
  <c r="AT128" i="2" s="1"/>
  <c r="AU128" i="2" s="1"/>
  <c r="AV128" i="2" s="1"/>
  <c r="AW128" i="2" s="1"/>
  <c r="AX128" i="2"/>
  <c r="AJ129" i="2"/>
  <c r="AK129" i="2"/>
  <c r="AL129" i="2" s="1"/>
  <c r="AM129" i="2" s="1"/>
  <c r="AN129" i="2" s="1"/>
  <c r="AO129" i="2" s="1"/>
  <c r="AP129" i="2"/>
  <c r="AQ129" i="2" s="1"/>
  <c r="AR129" i="2" s="1"/>
  <c r="AS129" i="2" s="1"/>
  <c r="AT129" i="2" s="1"/>
  <c r="AU129" i="2" s="1"/>
  <c r="AV129" i="2" s="1"/>
  <c r="AW129" i="2" s="1"/>
  <c r="AX129" i="2" s="1"/>
  <c r="AY129" i="2" s="1"/>
  <c r="AZ129" i="2" s="1"/>
  <c r="BA129" i="2" s="1"/>
  <c r="BB129" i="2" s="1"/>
  <c r="BC129" i="2" s="1"/>
  <c r="BD129" i="2" s="1"/>
  <c r="AJ130" i="2"/>
  <c r="AK130" i="2" s="1"/>
  <c r="AL130" i="2" s="1"/>
  <c r="AM130" i="2" s="1"/>
  <c r="AN130" i="2" s="1"/>
  <c r="AO130" i="2" s="1"/>
  <c r="AP130" i="2" s="1"/>
  <c r="AQ130" i="2" s="1"/>
  <c r="AR130" i="2" s="1"/>
  <c r="AS130" i="2" s="1"/>
  <c r="AT130" i="2" s="1"/>
  <c r="AU130" i="2" s="1"/>
  <c r="AV130" i="2" s="1"/>
  <c r="AW130" i="2" s="1"/>
  <c r="AX130" i="2" s="1"/>
  <c r="AY130" i="2" s="1"/>
  <c r="AZ130" i="2" s="1"/>
  <c r="BA130" i="2" s="1"/>
  <c r="BB130" i="2" s="1"/>
  <c r="BC130" i="2" s="1"/>
  <c r="BD130" i="2" s="1"/>
  <c r="BE130" i="2" s="1"/>
  <c r="BF130" i="2" s="1"/>
  <c r="BG130" i="2" s="1"/>
  <c r="BH130" i="2" s="1"/>
  <c r="BI130" i="2" s="1"/>
  <c r="AJ131" i="2"/>
  <c r="AK131" i="2"/>
  <c r="AL131" i="2"/>
  <c r="AM131" i="2" s="1"/>
  <c r="AN131" i="2" s="1"/>
  <c r="AO131" i="2" s="1"/>
  <c r="AJ132" i="2"/>
  <c r="AK132" i="2"/>
  <c r="AL132" i="2"/>
  <c r="AM132" i="2" s="1"/>
  <c r="AN132" i="2" s="1"/>
  <c r="AO132" i="2" s="1"/>
  <c r="AP132" i="2" s="1"/>
  <c r="AQ132" i="2" s="1"/>
  <c r="AR132" i="2" s="1"/>
  <c r="AS132" i="2" s="1"/>
  <c r="AT132" i="2" s="1"/>
  <c r="AU132" i="2" s="1"/>
  <c r="AV132" i="2" s="1"/>
  <c r="AW132" i="2" s="1"/>
  <c r="AX132" i="2" s="1"/>
  <c r="AY132" i="2" s="1"/>
  <c r="AZ132" i="2" s="1"/>
  <c r="BA132" i="2" s="1"/>
  <c r="BB132" i="2" s="1"/>
  <c r="BC132" i="2" s="1"/>
  <c r="BD132" i="2" s="1"/>
  <c r="BE132" i="2" s="1"/>
  <c r="BF132" i="2" s="1"/>
  <c r="AJ133" i="2"/>
  <c r="AK133" i="2" s="1"/>
  <c r="AL133" i="2" s="1"/>
  <c r="AM133" i="2" s="1"/>
  <c r="AN133" i="2" s="1"/>
  <c r="AO133" i="2" s="1"/>
  <c r="AP133" i="2" s="1"/>
  <c r="AQ133" i="2" s="1"/>
  <c r="AR133" i="2" s="1"/>
  <c r="AS133" i="2" s="1"/>
  <c r="AT133" i="2" s="1"/>
  <c r="AU133" i="2" s="1"/>
  <c r="AV133" i="2" s="1"/>
  <c r="AW133" i="2" s="1"/>
  <c r="AX133" i="2" s="1"/>
  <c r="AY133" i="2" s="1"/>
  <c r="AZ133" i="2" s="1"/>
  <c r="AJ134" i="2"/>
  <c r="AK134" i="2"/>
  <c r="AL134" i="2" s="1"/>
  <c r="AM134" i="2" s="1"/>
  <c r="AJ135" i="2"/>
  <c r="AK135" i="2"/>
  <c r="AL135" i="2" s="1"/>
  <c r="AM135" i="2" s="1"/>
  <c r="AN135" i="2" s="1"/>
  <c r="AO135" i="2" s="1"/>
  <c r="AP135" i="2" s="1"/>
  <c r="AQ135" i="2" s="1"/>
  <c r="AR135" i="2" s="1"/>
  <c r="AS135" i="2" s="1"/>
  <c r="AT135" i="2" s="1"/>
  <c r="AU135" i="2" s="1"/>
  <c r="AV135" i="2" s="1"/>
  <c r="AW135" i="2" s="1"/>
  <c r="AX135" i="2" s="1"/>
  <c r="AY135" i="2" s="1"/>
  <c r="AZ135" i="2" s="1"/>
  <c r="BA135" i="2" s="1"/>
  <c r="BB135" i="2" s="1"/>
  <c r="BC135" i="2" s="1"/>
  <c r="BD135" i="2" s="1"/>
  <c r="BE135" i="2" s="1"/>
  <c r="BF135" i="2" s="1"/>
  <c r="BG135" i="2" s="1"/>
  <c r="BH135" i="2" s="1"/>
  <c r="BI135" i="2" s="1"/>
  <c r="AJ136" i="2"/>
  <c r="AK136" i="2"/>
  <c r="AL136" i="2"/>
  <c r="AM136" i="2" s="1"/>
  <c r="AN136" i="2" s="1"/>
  <c r="AO136" i="2"/>
  <c r="AP136" i="2" s="1"/>
  <c r="AQ136" i="2" s="1"/>
  <c r="AR136" i="2" s="1"/>
  <c r="AS136" i="2" s="1"/>
  <c r="AJ137" i="2"/>
  <c r="AK137" i="2" s="1"/>
  <c r="AL137" i="2" s="1"/>
  <c r="AM137" i="2" s="1"/>
  <c r="AN137" i="2" s="1"/>
  <c r="AO137" i="2" s="1"/>
  <c r="AP137" i="2" s="1"/>
  <c r="AQ137" i="2" s="1"/>
  <c r="AR137" i="2"/>
  <c r="AS137" i="2" s="1"/>
  <c r="AT137" i="2" s="1"/>
  <c r="AU137" i="2" s="1"/>
  <c r="AV137" i="2" s="1"/>
  <c r="AW137" i="2" s="1"/>
  <c r="AX137" i="2" s="1"/>
  <c r="AY137" i="2" s="1"/>
  <c r="AZ137" i="2" s="1"/>
  <c r="BA137" i="2" s="1"/>
  <c r="BB137" i="2" s="1"/>
  <c r="BC137" i="2" s="1"/>
  <c r="BD137" i="2" s="1"/>
  <c r="BE137" i="2" s="1"/>
  <c r="BF137" i="2" s="1"/>
  <c r="BG137" i="2" s="1"/>
  <c r="BH137" i="2" s="1"/>
  <c r="BI137" i="2" s="1"/>
  <c r="AJ138" i="2"/>
  <c r="AK138" i="2"/>
  <c r="AL138" i="2" s="1"/>
  <c r="AM138" i="2" s="1"/>
  <c r="AN138" i="2" s="1"/>
  <c r="AO138" i="2" s="1"/>
  <c r="AP138" i="2" s="1"/>
  <c r="AQ138" i="2" s="1"/>
  <c r="AR138" i="2" s="1"/>
  <c r="AS138" i="2" s="1"/>
  <c r="AT138" i="2" s="1"/>
  <c r="AU138" i="2" s="1"/>
  <c r="AV138" i="2" s="1"/>
  <c r="AW138" i="2" s="1"/>
  <c r="AX138" i="2" s="1"/>
  <c r="AY138" i="2" s="1"/>
  <c r="AZ138" i="2" s="1"/>
  <c r="BA138" i="2" s="1"/>
  <c r="BB138" i="2" s="1"/>
  <c r="BC138" i="2" s="1"/>
  <c r="BD138" i="2" s="1"/>
  <c r="BE138" i="2" s="1"/>
  <c r="BF138" i="2" s="1"/>
  <c r="BG138" i="2" s="1"/>
  <c r="BH138" i="2" s="1"/>
  <c r="BI138" i="2" s="1"/>
  <c r="AJ139" i="2"/>
  <c r="AK139" i="2"/>
  <c r="AL139" i="2" s="1"/>
  <c r="AM139" i="2" s="1"/>
  <c r="AN139" i="2" s="1"/>
  <c r="AJ140" i="2"/>
  <c r="AK140" i="2"/>
  <c r="AL140" i="2"/>
  <c r="AM140" i="2" s="1"/>
  <c r="AN140" i="2" s="1"/>
  <c r="AO140" i="2"/>
  <c r="AP140" i="2" s="1"/>
  <c r="AQ140" i="2" s="1"/>
  <c r="AR140" i="2" s="1"/>
  <c r="AS140" i="2" s="1"/>
  <c r="AT140" i="2" s="1"/>
  <c r="AU140" i="2" s="1"/>
  <c r="AV140" i="2" s="1"/>
  <c r="AW140" i="2" s="1"/>
  <c r="AX140" i="2" s="1"/>
  <c r="AY140" i="2" s="1"/>
  <c r="AZ140" i="2" s="1"/>
  <c r="BA140" i="2" s="1"/>
  <c r="BB140" i="2" s="1"/>
  <c r="BC140" i="2" s="1"/>
  <c r="BD140" i="2" s="1"/>
  <c r="BE140" i="2" s="1"/>
  <c r="BF140" i="2" s="1"/>
  <c r="BG140" i="2" s="1"/>
  <c r="BH140" i="2" s="1"/>
  <c r="BI140" i="2" s="1"/>
  <c r="AJ141" i="2"/>
  <c r="AK141" i="2" s="1"/>
  <c r="AL141" i="2" s="1"/>
  <c r="AM141" i="2" s="1"/>
  <c r="AN141" i="2" s="1"/>
  <c r="AO141" i="2" s="1"/>
  <c r="AP141" i="2" s="1"/>
  <c r="AQ141" i="2" s="1"/>
  <c r="AR141" i="2" s="1"/>
  <c r="AS141" i="2" s="1"/>
  <c r="AT141" i="2" s="1"/>
  <c r="AU141" i="2" s="1"/>
  <c r="AV141" i="2" s="1"/>
  <c r="AW141" i="2" s="1"/>
  <c r="AX141" i="2" s="1"/>
  <c r="AY141" i="2" s="1"/>
  <c r="AZ141" i="2" s="1"/>
  <c r="BA141" i="2" s="1"/>
  <c r="BB141" i="2" s="1"/>
  <c r="BC141" i="2" s="1"/>
  <c r="BD141" i="2" s="1"/>
  <c r="BE141" i="2" s="1"/>
  <c r="BF141" i="2" s="1"/>
  <c r="BG141" i="2" s="1"/>
  <c r="AJ142" i="2"/>
  <c r="AK142" i="2"/>
  <c r="AL142" i="2" s="1"/>
  <c r="AM142" i="2" s="1"/>
  <c r="AN142" i="2" s="1"/>
  <c r="AO142" i="2" s="1"/>
  <c r="AP142" i="2" s="1"/>
  <c r="AQ142" i="2" s="1"/>
  <c r="AR142" i="2" s="1"/>
  <c r="AS142" i="2" s="1"/>
  <c r="AT142" i="2" s="1"/>
  <c r="AU142" i="2" s="1"/>
  <c r="AV142" i="2" s="1"/>
  <c r="AW142" i="2" s="1"/>
  <c r="AX142" i="2"/>
  <c r="AY142" i="2" s="1"/>
  <c r="AZ142" i="2" s="1"/>
  <c r="BA142" i="2" s="1"/>
  <c r="BB142" i="2" s="1"/>
  <c r="BC142" i="2" s="1"/>
  <c r="BD142" i="2" s="1"/>
  <c r="BE142" i="2" s="1"/>
  <c r="BF142" i="2" s="1"/>
  <c r="BG142" i="2" s="1"/>
  <c r="BH142" i="2" s="1"/>
  <c r="BI142" i="2" s="1"/>
  <c r="AJ143" i="2"/>
  <c r="AK143" i="2"/>
  <c r="AL143" i="2" s="1"/>
  <c r="AM143" i="2" s="1"/>
  <c r="AN143" i="2" s="1"/>
  <c r="AO143" i="2" s="1"/>
  <c r="AP143" i="2" s="1"/>
  <c r="AQ143" i="2"/>
  <c r="AR143" i="2" s="1"/>
  <c r="AS143" i="2" s="1"/>
  <c r="AT143" i="2" s="1"/>
  <c r="AU143" i="2" s="1"/>
  <c r="AV143" i="2" s="1"/>
  <c r="AW143" i="2" s="1"/>
  <c r="AX143" i="2" s="1"/>
  <c r="AY143" i="2" s="1"/>
  <c r="AZ143" i="2" s="1"/>
  <c r="BA143" i="2" s="1"/>
  <c r="BB143" i="2" s="1"/>
  <c r="BC143" i="2" s="1"/>
  <c r="BD143" i="2" s="1"/>
  <c r="BE143" i="2" s="1"/>
  <c r="BF143" i="2" s="1"/>
  <c r="BG143" i="2" s="1"/>
  <c r="BH143" i="2" s="1"/>
  <c r="BI143" i="2" s="1"/>
  <c r="AJ144" i="2"/>
  <c r="AK144" i="2"/>
  <c r="AL144" i="2"/>
  <c r="AM144" i="2" s="1"/>
  <c r="AN144" i="2" s="1"/>
  <c r="AO144" i="2"/>
  <c r="AP144" i="2" s="1"/>
  <c r="AQ144" i="2" s="1"/>
  <c r="AR144" i="2" s="1"/>
  <c r="AS144" i="2" s="1"/>
  <c r="AT144" i="2" s="1"/>
  <c r="AU144" i="2" s="1"/>
  <c r="AV144" i="2" s="1"/>
  <c r="AW144" i="2" s="1"/>
  <c r="AX144" i="2" s="1"/>
  <c r="AY144" i="2" s="1"/>
  <c r="AZ144" i="2" s="1"/>
  <c r="BA144" i="2" s="1"/>
  <c r="BB144" i="2"/>
  <c r="BC144" i="2" s="1"/>
  <c r="BD144" i="2" s="1"/>
  <c r="BE144" i="2" s="1"/>
  <c r="BF144" i="2" s="1"/>
  <c r="BG144" i="2" s="1"/>
  <c r="BH144" i="2" s="1"/>
  <c r="BI144" i="2" s="1"/>
  <c r="AJ145" i="2"/>
  <c r="AK145" i="2" s="1"/>
  <c r="AL145" i="2" s="1"/>
  <c r="AM145" i="2" s="1"/>
  <c r="AN145" i="2" s="1"/>
  <c r="AO145" i="2" s="1"/>
  <c r="AP145" i="2" s="1"/>
  <c r="AQ145" i="2" s="1"/>
  <c r="AR145" i="2" s="1"/>
  <c r="AS145" i="2" s="1"/>
  <c r="AT145" i="2" s="1"/>
  <c r="AU145" i="2" s="1"/>
  <c r="AV145" i="2" s="1"/>
  <c r="AJ146" i="2"/>
  <c r="AK146" i="2"/>
  <c r="AL146" i="2" s="1"/>
  <c r="AM146" i="2" s="1"/>
  <c r="AN146" i="2" s="1"/>
  <c r="AO146" i="2" s="1"/>
  <c r="AP146" i="2" s="1"/>
  <c r="AQ146" i="2" s="1"/>
  <c r="AR146" i="2" s="1"/>
  <c r="AS146" i="2" s="1"/>
  <c r="AT146" i="2" s="1"/>
  <c r="AU146" i="2" s="1"/>
  <c r="AV146" i="2" s="1"/>
  <c r="AW146" i="2" s="1"/>
  <c r="AX146" i="2" s="1"/>
  <c r="AY146" i="2" s="1"/>
  <c r="AZ146" i="2" s="1"/>
  <c r="BA146" i="2" s="1"/>
  <c r="BB146" i="2" s="1"/>
  <c r="BC146" i="2" s="1"/>
  <c r="BD146" i="2" s="1"/>
  <c r="BE146" i="2" s="1"/>
  <c r="BF146" i="2" s="1"/>
  <c r="BG146" i="2" s="1"/>
  <c r="BH146" i="2" s="1"/>
  <c r="BI146" i="2" s="1"/>
  <c r="AJ147" i="2"/>
  <c r="AK147" i="2"/>
  <c r="AL147" i="2" s="1"/>
  <c r="AM147" i="2" s="1"/>
  <c r="AN147" i="2" s="1"/>
  <c r="AO147" i="2" s="1"/>
  <c r="AP147" i="2" s="1"/>
  <c r="AQ147" i="2" s="1"/>
  <c r="AR147" i="2" s="1"/>
  <c r="AS147" i="2" s="1"/>
  <c r="AT147" i="2" s="1"/>
  <c r="AU147" i="2" s="1"/>
  <c r="AV147" i="2" s="1"/>
  <c r="AW147" i="2" s="1"/>
  <c r="AX147" i="2" s="1"/>
  <c r="AY147" i="2"/>
  <c r="AZ147" i="2" s="1"/>
  <c r="BA147" i="2" s="1"/>
  <c r="BB147" i="2" s="1"/>
  <c r="BC147" i="2" s="1"/>
  <c r="BD147" i="2" s="1"/>
  <c r="BE147" i="2" s="1"/>
  <c r="BF147" i="2" s="1"/>
  <c r="BG147" i="2" s="1"/>
  <c r="BH147" i="2" s="1"/>
  <c r="BI147" i="2" s="1"/>
  <c r="AJ148" i="2"/>
  <c r="AK148" i="2"/>
  <c r="AL148" i="2" s="1"/>
  <c r="AM148" i="2" s="1"/>
  <c r="AN148" i="2" s="1"/>
  <c r="AO148" i="2" s="1"/>
  <c r="AP148" i="2" s="1"/>
  <c r="AQ148" i="2" s="1"/>
  <c r="AR148" i="2" s="1"/>
  <c r="AS148" i="2" s="1"/>
  <c r="AT148" i="2" s="1"/>
  <c r="AU148" i="2" s="1"/>
  <c r="AV148" i="2" s="1"/>
  <c r="AW148" i="2"/>
  <c r="AX148" i="2" s="1"/>
  <c r="AY148" i="2" s="1"/>
  <c r="AZ148" i="2" s="1"/>
  <c r="BA148" i="2" s="1"/>
  <c r="BB148" i="2" s="1"/>
  <c r="BC148" i="2" s="1"/>
  <c r="BD148" i="2" s="1"/>
  <c r="BE148" i="2" s="1"/>
  <c r="BF148" i="2" s="1"/>
  <c r="BG148" i="2" s="1"/>
  <c r="BH148" i="2" s="1"/>
  <c r="BI148" i="2" s="1"/>
  <c r="AJ149" i="2"/>
  <c r="AK149" i="2" s="1"/>
  <c r="AL149" i="2" s="1"/>
  <c r="AM149" i="2" s="1"/>
  <c r="AN149" i="2" s="1"/>
  <c r="AO149" i="2" s="1"/>
  <c r="AP149" i="2" s="1"/>
  <c r="AQ149" i="2" s="1"/>
  <c r="AR149" i="2" s="1"/>
  <c r="AS149" i="2" s="1"/>
  <c r="AT149" i="2" s="1"/>
  <c r="AU149" i="2" s="1"/>
  <c r="AV149" i="2"/>
  <c r="AW149" i="2" s="1"/>
  <c r="AX149" i="2" s="1"/>
  <c r="AY149" i="2" s="1"/>
  <c r="AZ149" i="2" s="1"/>
  <c r="BA149" i="2" s="1"/>
  <c r="BB149" i="2" s="1"/>
  <c r="BC149" i="2" s="1"/>
  <c r="BD149" i="2" s="1"/>
  <c r="BE149" i="2" s="1"/>
  <c r="BF149" i="2" s="1"/>
  <c r="BG149" i="2" s="1"/>
  <c r="BH149" i="2" s="1"/>
  <c r="BI149" i="2" s="1"/>
  <c r="AJ150" i="2"/>
  <c r="AK150" i="2"/>
  <c r="AL150" i="2" s="1"/>
  <c r="AM150" i="2" s="1"/>
  <c r="AN150" i="2" s="1"/>
  <c r="AO150" i="2" s="1"/>
  <c r="AP150" i="2" s="1"/>
  <c r="AQ150" i="2" s="1"/>
  <c r="AR150" i="2" s="1"/>
  <c r="AJ151" i="2"/>
  <c r="AK151" i="2" s="1"/>
  <c r="AL151" i="2" s="1"/>
  <c r="AM151" i="2" s="1"/>
  <c r="AJ152" i="2"/>
  <c r="AK152" i="2"/>
  <c r="AL152" i="2" s="1"/>
  <c r="AM152" i="2" s="1"/>
  <c r="AN152" i="2" s="1"/>
  <c r="AO152" i="2" s="1"/>
  <c r="AP152" i="2" s="1"/>
  <c r="AQ152" i="2" s="1"/>
  <c r="AR152" i="2" s="1"/>
  <c r="AS152" i="2" s="1"/>
  <c r="AT152" i="2" s="1"/>
  <c r="AU152" i="2" s="1"/>
  <c r="AV152" i="2" s="1"/>
  <c r="AW152" i="2" s="1"/>
  <c r="AX152" i="2" s="1"/>
  <c r="AY152" i="2" s="1"/>
  <c r="AZ152" i="2" s="1"/>
  <c r="BA152" i="2" s="1"/>
  <c r="BB152" i="2" s="1"/>
  <c r="BC152" i="2" s="1"/>
  <c r="BD152" i="2" s="1"/>
  <c r="BE152" i="2" s="1"/>
  <c r="BF152" i="2" s="1"/>
  <c r="BG152" i="2" s="1"/>
  <c r="BH152" i="2" s="1"/>
  <c r="BI152" i="2" s="1"/>
  <c r="AJ153" i="2"/>
  <c r="AK153" i="2" s="1"/>
  <c r="AL153" i="2" s="1"/>
  <c r="AM153" i="2" s="1"/>
  <c r="AN153" i="2" s="1"/>
  <c r="AO153" i="2" s="1"/>
  <c r="AP153" i="2" s="1"/>
  <c r="AQ153" i="2" s="1"/>
  <c r="AR153" i="2" s="1"/>
  <c r="AS153" i="2" s="1"/>
  <c r="AT153" i="2" s="1"/>
  <c r="AU153" i="2" s="1"/>
  <c r="AV153" i="2" s="1"/>
  <c r="AW153" i="2" s="1"/>
  <c r="AX153" i="2" s="1"/>
  <c r="AY153" i="2" s="1"/>
  <c r="AZ153" i="2" s="1"/>
  <c r="BA153" i="2" s="1"/>
  <c r="BB153" i="2" s="1"/>
  <c r="BC153" i="2" s="1"/>
  <c r="BD153" i="2" s="1"/>
  <c r="BE153" i="2" s="1"/>
  <c r="BF153" i="2" s="1"/>
  <c r="BG153" i="2" s="1"/>
  <c r="BH153" i="2" s="1"/>
  <c r="BI153" i="2" s="1"/>
  <c r="AJ154" i="2"/>
  <c r="AK154" i="2" s="1"/>
  <c r="AL154" i="2" s="1"/>
  <c r="AM154" i="2" s="1"/>
  <c r="AN154" i="2" s="1"/>
  <c r="AO154" i="2" s="1"/>
  <c r="AP154" i="2" s="1"/>
  <c r="AQ154" i="2" s="1"/>
  <c r="AR154" i="2" s="1"/>
  <c r="AS154" i="2"/>
  <c r="AT154" i="2" s="1"/>
  <c r="AU154" i="2" s="1"/>
  <c r="AV154" i="2" s="1"/>
  <c r="AW154" i="2" s="1"/>
  <c r="AX154" i="2" s="1"/>
  <c r="AY154" i="2" s="1"/>
  <c r="AZ154" i="2" s="1"/>
  <c r="BA154" i="2" s="1"/>
  <c r="BB154" i="2" s="1"/>
  <c r="BC154" i="2" s="1"/>
  <c r="BD154" i="2" s="1"/>
  <c r="BE154" i="2" s="1"/>
  <c r="BF154" i="2" s="1"/>
  <c r="BG154" i="2" s="1"/>
  <c r="BH154" i="2" s="1"/>
  <c r="BI154" i="2" s="1"/>
  <c r="AJ155" i="2"/>
  <c r="AK155" i="2" s="1"/>
  <c r="AL155" i="2" s="1"/>
  <c r="AM155" i="2" s="1"/>
  <c r="AN155" i="2" s="1"/>
  <c r="AJ156" i="2"/>
  <c r="AK156" i="2"/>
  <c r="AL156" i="2"/>
  <c r="AM156" i="2" s="1"/>
  <c r="AN156" i="2" s="1"/>
  <c r="AO156" i="2" s="1"/>
  <c r="AP156" i="2" s="1"/>
  <c r="AQ156" i="2" s="1"/>
  <c r="AR156" i="2" s="1"/>
  <c r="AS156" i="2" s="1"/>
  <c r="AT156" i="2" s="1"/>
  <c r="AU156" i="2" s="1"/>
  <c r="AV156" i="2" s="1"/>
  <c r="AW156" i="2" s="1"/>
  <c r="AX156" i="2" s="1"/>
  <c r="AY156" i="2" s="1"/>
  <c r="AZ156" i="2" s="1"/>
  <c r="BA156" i="2" s="1"/>
  <c r="BB156" i="2" s="1"/>
  <c r="BC156" i="2" s="1"/>
  <c r="BD156" i="2" s="1"/>
  <c r="BE156" i="2" s="1"/>
  <c r="BF156" i="2" s="1"/>
  <c r="BG156" i="2" s="1"/>
  <c r="BH156" i="2" s="1"/>
  <c r="BI156" i="2" s="1"/>
  <c r="AJ157" i="2"/>
  <c r="AK157" i="2"/>
  <c r="AL157" i="2" s="1"/>
  <c r="AJ158" i="2"/>
  <c r="AK158" i="2" s="1"/>
  <c r="AL158" i="2"/>
  <c r="AM158" i="2" s="1"/>
  <c r="AN158" i="2" s="1"/>
  <c r="AO158" i="2" s="1"/>
  <c r="AP158" i="2" s="1"/>
  <c r="AQ158" i="2" s="1"/>
  <c r="AR158" i="2" s="1"/>
  <c r="AS158" i="2" s="1"/>
  <c r="AT158" i="2" s="1"/>
  <c r="AU158" i="2" s="1"/>
  <c r="AV158" i="2" s="1"/>
  <c r="AW158" i="2" s="1"/>
  <c r="AX158" i="2" s="1"/>
  <c r="AY158" i="2" s="1"/>
  <c r="AZ158" i="2" s="1"/>
  <c r="BA158" i="2" s="1"/>
  <c r="BB158" i="2" s="1"/>
  <c r="BC158" i="2" s="1"/>
  <c r="BD158" i="2" s="1"/>
  <c r="BE158" i="2" s="1"/>
  <c r="BF158" i="2" s="1"/>
  <c r="BG158" i="2" s="1"/>
  <c r="BH158" i="2" s="1"/>
  <c r="BI158" i="2" s="1"/>
  <c r="AJ159" i="2"/>
  <c r="AJ160" i="2"/>
  <c r="AK160" i="2"/>
  <c r="AL160" i="2" s="1"/>
  <c r="AM160" i="2" s="1"/>
  <c r="AN160" i="2" s="1"/>
  <c r="AO160" i="2" s="1"/>
  <c r="AP160" i="2" s="1"/>
  <c r="AQ160" i="2" s="1"/>
  <c r="AJ161" i="2"/>
  <c r="AK161" i="2"/>
  <c r="AL161" i="2" s="1"/>
  <c r="AM161" i="2" s="1"/>
  <c r="AN161" i="2"/>
  <c r="AO161" i="2" s="1"/>
  <c r="AP161" i="2" s="1"/>
  <c r="AQ161" i="2" s="1"/>
  <c r="AR161" i="2" s="1"/>
  <c r="AS161" i="2" s="1"/>
  <c r="AT161" i="2" s="1"/>
  <c r="AU161" i="2" s="1"/>
  <c r="AV161" i="2" s="1"/>
  <c r="AW161" i="2" s="1"/>
  <c r="AX161" i="2" s="1"/>
  <c r="AY161" i="2" s="1"/>
  <c r="AZ161" i="2" s="1"/>
  <c r="BA161" i="2" s="1"/>
  <c r="BB161" i="2" s="1"/>
  <c r="BC161" i="2" s="1"/>
  <c r="BD161" i="2" s="1"/>
  <c r="BE161" i="2" s="1"/>
  <c r="BF161" i="2" s="1"/>
  <c r="BG161" i="2" s="1"/>
  <c r="BH161" i="2" s="1"/>
  <c r="BI161" i="2" s="1"/>
  <c r="AJ162" i="2"/>
  <c r="AK162" i="2" s="1"/>
  <c r="AL162" i="2" s="1"/>
  <c r="AM162" i="2" s="1"/>
  <c r="AN162" i="2" s="1"/>
  <c r="AJ163" i="2"/>
  <c r="AK163" i="2" s="1"/>
  <c r="AL163" i="2" s="1"/>
  <c r="AM163" i="2" s="1"/>
  <c r="AN163" i="2" s="1"/>
  <c r="AO163" i="2" s="1"/>
  <c r="AP163" i="2" s="1"/>
  <c r="AQ163" i="2" s="1"/>
  <c r="AR163" i="2"/>
  <c r="AS163" i="2" s="1"/>
  <c r="AT163" i="2" s="1"/>
  <c r="AU163" i="2" s="1"/>
  <c r="AV163" i="2" s="1"/>
  <c r="AW163" i="2" s="1"/>
  <c r="AX163" i="2" s="1"/>
  <c r="AY163" i="2" s="1"/>
  <c r="AZ163" i="2" s="1"/>
  <c r="BA163" i="2" s="1"/>
  <c r="BB163" i="2" s="1"/>
  <c r="BC163" i="2" s="1"/>
  <c r="BD163" i="2" s="1"/>
  <c r="BE163" i="2" s="1"/>
  <c r="BF163" i="2" s="1"/>
  <c r="BG163" i="2" s="1"/>
  <c r="BH163" i="2" s="1"/>
  <c r="BI163" i="2" s="1"/>
  <c r="AJ164" i="2"/>
  <c r="AK164" i="2" s="1"/>
  <c r="AL164" i="2" s="1"/>
  <c r="AM164" i="2" s="1"/>
  <c r="AN164" i="2" s="1"/>
  <c r="AO164" i="2" s="1"/>
  <c r="AP164" i="2" s="1"/>
  <c r="AQ164" i="2" s="1"/>
  <c r="AR164" i="2" s="1"/>
  <c r="AS164" i="2" s="1"/>
  <c r="AT164" i="2" s="1"/>
  <c r="AU164" i="2" s="1"/>
  <c r="AV164" i="2" s="1"/>
  <c r="AW164" i="2" s="1"/>
  <c r="AX164" i="2" s="1"/>
  <c r="AY164" i="2" s="1"/>
  <c r="AZ164" i="2" s="1"/>
  <c r="BA164" i="2" s="1"/>
  <c r="BB164" i="2" s="1"/>
  <c r="BC164" i="2" s="1"/>
  <c r="BD164" i="2" s="1"/>
  <c r="BE164" i="2" s="1"/>
  <c r="BF164" i="2" s="1"/>
  <c r="BG164" i="2" s="1"/>
  <c r="BH164" i="2" s="1"/>
  <c r="BI164" i="2" s="1"/>
  <c r="AJ165" i="2"/>
  <c r="AK165" i="2"/>
  <c r="AL165" i="2" s="1"/>
  <c r="AM165" i="2" s="1"/>
  <c r="AN165" i="2" s="1"/>
  <c r="AO165" i="2" s="1"/>
  <c r="AJ166" i="2"/>
  <c r="AK166" i="2" s="1"/>
  <c r="AL166" i="2"/>
  <c r="AJ167" i="2"/>
  <c r="AK167" i="2" s="1"/>
  <c r="AL167" i="2" s="1"/>
  <c r="AM167" i="2" s="1"/>
  <c r="AN167" i="2" s="1"/>
  <c r="AO167" i="2" s="1"/>
  <c r="AP167" i="2" s="1"/>
  <c r="AQ167" i="2" s="1"/>
  <c r="AR167" i="2" s="1"/>
  <c r="AS167" i="2" s="1"/>
  <c r="AT167" i="2" s="1"/>
  <c r="AU167" i="2" s="1"/>
  <c r="AV167" i="2" s="1"/>
  <c r="AW167" i="2" s="1"/>
  <c r="AX167" i="2" s="1"/>
  <c r="AY167" i="2" s="1"/>
  <c r="AZ167" i="2" s="1"/>
  <c r="BA167" i="2" s="1"/>
  <c r="BB167" i="2" s="1"/>
  <c r="BC167" i="2" s="1"/>
  <c r="BD167" i="2" s="1"/>
  <c r="BE167" i="2" s="1"/>
  <c r="BF167" i="2" s="1"/>
  <c r="BG167" i="2" s="1"/>
  <c r="BH167" i="2" s="1"/>
  <c r="BI167" i="2" s="1"/>
  <c r="AJ168" i="2"/>
  <c r="AK168" i="2" s="1"/>
  <c r="AL168" i="2" s="1"/>
  <c r="AM168" i="2" s="1"/>
  <c r="AN168" i="2" s="1"/>
  <c r="AO168" i="2" s="1"/>
  <c r="AP168" i="2"/>
  <c r="AQ168" i="2" s="1"/>
  <c r="AR168" i="2" s="1"/>
  <c r="AS168" i="2" s="1"/>
  <c r="AT168" i="2" s="1"/>
  <c r="AU168" i="2" s="1"/>
  <c r="AV168" i="2" s="1"/>
  <c r="AW168" i="2" s="1"/>
  <c r="AX168" i="2" s="1"/>
  <c r="AY168" i="2" s="1"/>
  <c r="AZ168" i="2" s="1"/>
  <c r="BA168" i="2" s="1"/>
  <c r="BB168" i="2" s="1"/>
  <c r="BC168" i="2" s="1"/>
  <c r="BD168" i="2" s="1"/>
  <c r="BE168" i="2" s="1"/>
  <c r="BF168" i="2" s="1"/>
  <c r="BG168" i="2" s="1"/>
  <c r="BH168" i="2" s="1"/>
  <c r="BI168" i="2" s="1"/>
  <c r="AJ169" i="2"/>
  <c r="AK169" i="2"/>
  <c r="AL169" i="2" s="1"/>
  <c r="AM169" i="2" s="1"/>
  <c r="AN169" i="2"/>
  <c r="AO169" i="2" s="1"/>
  <c r="AP169" i="2" s="1"/>
  <c r="AQ169" i="2" s="1"/>
  <c r="AR169" i="2" s="1"/>
  <c r="AS169" i="2" s="1"/>
  <c r="AT169" i="2" s="1"/>
  <c r="AU169" i="2" s="1"/>
  <c r="AV169" i="2" s="1"/>
  <c r="AW169" i="2" s="1"/>
  <c r="AX169" i="2" s="1"/>
  <c r="AY169" i="2" s="1"/>
  <c r="AZ169" i="2" s="1"/>
  <c r="BA169" i="2" s="1"/>
  <c r="BB169" i="2" s="1"/>
  <c r="BC169" i="2" s="1"/>
  <c r="BD169" i="2" s="1"/>
  <c r="BE169" i="2" s="1"/>
  <c r="BF169" i="2" s="1"/>
  <c r="BG169" i="2" s="1"/>
  <c r="BH169" i="2" s="1"/>
  <c r="BI169" i="2" s="1"/>
  <c r="AJ170" i="2"/>
  <c r="AK170" i="2" s="1"/>
  <c r="AL170" i="2" s="1"/>
  <c r="AM170" i="2" s="1"/>
  <c r="AJ171" i="2"/>
  <c r="AK171" i="2" s="1"/>
  <c r="AL171" i="2" s="1"/>
  <c r="AM171" i="2" s="1"/>
  <c r="AN171" i="2" s="1"/>
  <c r="AO171" i="2" s="1"/>
  <c r="AP171" i="2" s="1"/>
  <c r="AQ171" i="2" s="1"/>
  <c r="AR171" i="2"/>
  <c r="AS171" i="2" s="1"/>
  <c r="AT171" i="2" s="1"/>
  <c r="AU171" i="2" s="1"/>
  <c r="AV171" i="2" s="1"/>
  <c r="AW171" i="2" s="1"/>
  <c r="AX171" i="2" s="1"/>
  <c r="AY171" i="2" s="1"/>
  <c r="AZ171" i="2" s="1"/>
  <c r="BA171" i="2" s="1"/>
  <c r="BB171" i="2" s="1"/>
  <c r="BC171" i="2" s="1"/>
  <c r="BD171" i="2" s="1"/>
  <c r="BE171" i="2" s="1"/>
  <c r="BF171" i="2" s="1"/>
  <c r="BG171" i="2" s="1"/>
  <c r="BH171" i="2" s="1"/>
  <c r="BI171" i="2" s="1"/>
  <c r="AJ172" i="2"/>
  <c r="AK172" i="2" s="1"/>
  <c r="AL172" i="2" s="1"/>
  <c r="AM172" i="2" s="1"/>
  <c r="AN172" i="2" s="1"/>
  <c r="AO172" i="2" s="1"/>
  <c r="AP172" i="2" s="1"/>
  <c r="AQ172" i="2" s="1"/>
  <c r="AR172" i="2" s="1"/>
  <c r="AS172" i="2" s="1"/>
  <c r="AT172" i="2" s="1"/>
  <c r="AU172" i="2" s="1"/>
  <c r="AV172" i="2" s="1"/>
  <c r="AW172" i="2" s="1"/>
  <c r="AX172" i="2" s="1"/>
  <c r="AY172" i="2" s="1"/>
  <c r="AZ172" i="2" s="1"/>
  <c r="BA172" i="2" s="1"/>
  <c r="BB172" i="2" s="1"/>
  <c r="BC172" i="2" s="1"/>
  <c r="BD172" i="2" s="1"/>
  <c r="BE172" i="2" s="1"/>
  <c r="BF172" i="2" s="1"/>
  <c r="BG172" i="2" s="1"/>
  <c r="BH172" i="2" s="1"/>
  <c r="BI172" i="2" s="1"/>
  <c r="AJ173" i="2"/>
  <c r="AK173" i="2"/>
  <c r="AL173" i="2" s="1"/>
  <c r="AM173" i="2" s="1"/>
  <c r="AN173" i="2" s="1"/>
  <c r="AO173" i="2" s="1"/>
  <c r="AP173" i="2" s="1"/>
  <c r="AQ173" i="2" s="1"/>
  <c r="AR173" i="2" s="1"/>
  <c r="AS173" i="2" s="1"/>
  <c r="AT173" i="2" s="1"/>
  <c r="AU173" i="2" s="1"/>
  <c r="AV173" i="2" s="1"/>
  <c r="AW173" i="2" s="1"/>
  <c r="AX173" i="2" s="1"/>
  <c r="AY173" i="2" s="1"/>
  <c r="AZ173" i="2" s="1"/>
  <c r="BA173" i="2" s="1"/>
  <c r="BB173" i="2" s="1"/>
  <c r="BC173" i="2" s="1"/>
  <c r="BD173" i="2" s="1"/>
  <c r="BE173" i="2" s="1"/>
  <c r="BF173" i="2" s="1"/>
  <c r="BG173" i="2" s="1"/>
  <c r="BH173" i="2" s="1"/>
  <c r="BI173" i="2" s="1"/>
  <c r="AJ174" i="2"/>
  <c r="AK174" i="2" s="1"/>
  <c r="AL174" i="2"/>
  <c r="AM174" i="2" s="1"/>
  <c r="AN174" i="2" s="1"/>
  <c r="AO174" i="2" s="1"/>
  <c r="AP174" i="2" s="1"/>
  <c r="AQ174" i="2"/>
  <c r="AR174" i="2" s="1"/>
  <c r="AS174" i="2" s="1"/>
  <c r="AT174" i="2" s="1"/>
  <c r="AU174" i="2" s="1"/>
  <c r="AV174" i="2" s="1"/>
  <c r="AW174" i="2" s="1"/>
  <c r="AX174" i="2" s="1"/>
  <c r="AY174" i="2" s="1"/>
  <c r="AZ174" i="2" s="1"/>
  <c r="BA174" i="2" s="1"/>
  <c r="BB174" i="2" s="1"/>
  <c r="BC174" i="2" s="1"/>
  <c r="BD174" i="2" s="1"/>
  <c r="BE174" i="2" s="1"/>
  <c r="BF174" i="2" s="1"/>
  <c r="BG174" i="2" s="1"/>
  <c r="BH174" i="2" s="1"/>
  <c r="BI174" i="2" s="1"/>
  <c r="AJ175" i="2"/>
  <c r="AK175" i="2" s="1"/>
  <c r="AL175" i="2" s="1"/>
  <c r="AM175" i="2" s="1"/>
  <c r="AJ176" i="2"/>
  <c r="AK176" i="2" s="1"/>
  <c r="AL176" i="2" s="1"/>
  <c r="AM176" i="2"/>
  <c r="AN176" i="2" s="1"/>
  <c r="AO176" i="2" s="1"/>
  <c r="AP176" i="2" s="1"/>
  <c r="AQ176" i="2" s="1"/>
  <c r="AR176" i="2" s="1"/>
  <c r="AS176" i="2" s="1"/>
  <c r="AT176" i="2" s="1"/>
  <c r="AU176" i="2" s="1"/>
  <c r="AV176" i="2" s="1"/>
  <c r="AW176" i="2" s="1"/>
  <c r="AX176" i="2" s="1"/>
  <c r="AY176" i="2" s="1"/>
  <c r="AZ176" i="2" s="1"/>
  <c r="BA176" i="2" s="1"/>
  <c r="BB176" i="2" s="1"/>
  <c r="BC176" i="2" s="1"/>
  <c r="BD176" i="2" s="1"/>
  <c r="BE176" i="2" s="1"/>
  <c r="BF176" i="2" s="1"/>
  <c r="BG176" i="2" s="1"/>
  <c r="BH176" i="2" s="1"/>
  <c r="BI176" i="2" s="1"/>
  <c r="AJ177" i="2"/>
  <c r="AK177" i="2"/>
  <c r="AL177" i="2" s="1"/>
  <c r="AM177" i="2" s="1"/>
  <c r="AN177" i="2"/>
  <c r="AO177" i="2" s="1"/>
  <c r="AP177" i="2" s="1"/>
  <c r="AQ177" i="2" s="1"/>
  <c r="AR177" i="2" s="1"/>
  <c r="AS177" i="2" s="1"/>
  <c r="AT177" i="2" s="1"/>
  <c r="AU177" i="2" s="1"/>
  <c r="AV177" i="2" s="1"/>
  <c r="AW177" i="2" s="1"/>
  <c r="AX177" i="2" s="1"/>
  <c r="AY177" i="2" s="1"/>
  <c r="AZ177" i="2" s="1"/>
  <c r="BA177" i="2" s="1"/>
  <c r="BB177" i="2" s="1"/>
  <c r="BC177" i="2" s="1"/>
  <c r="BD177" i="2" s="1"/>
  <c r="BE177" i="2" s="1"/>
  <c r="BF177" i="2" s="1"/>
  <c r="BG177" i="2" s="1"/>
  <c r="BH177" i="2" s="1"/>
  <c r="BI177" i="2" s="1"/>
  <c r="AJ178" i="2"/>
  <c r="AK178" i="2" s="1"/>
  <c r="AL178" i="2" s="1"/>
  <c r="AM178" i="2" s="1"/>
  <c r="AN178" i="2" s="1"/>
  <c r="AO178" i="2" s="1"/>
  <c r="AP178" i="2" s="1"/>
  <c r="AQ178" i="2"/>
  <c r="AR178" i="2" s="1"/>
  <c r="AS178" i="2" s="1"/>
  <c r="AT178" i="2" s="1"/>
  <c r="AU178" i="2" s="1"/>
  <c r="AV178" i="2" s="1"/>
  <c r="AW178" i="2" s="1"/>
  <c r="AX178" i="2" s="1"/>
  <c r="AY178" i="2" s="1"/>
  <c r="AZ178" i="2" s="1"/>
  <c r="BA178" i="2" s="1"/>
  <c r="BB178" i="2" s="1"/>
  <c r="BC178" i="2" s="1"/>
  <c r="BD178" i="2" s="1"/>
  <c r="BE178" i="2" s="1"/>
  <c r="BF178" i="2" s="1"/>
  <c r="BG178" i="2" s="1"/>
  <c r="BH178" i="2" s="1"/>
  <c r="BI178" i="2" s="1"/>
  <c r="AJ179" i="2"/>
  <c r="AK179" i="2" s="1"/>
  <c r="AL179" i="2" s="1"/>
  <c r="AM179" i="2" s="1"/>
  <c r="AN179" i="2" s="1"/>
  <c r="AO179" i="2" s="1"/>
  <c r="AP179" i="2" s="1"/>
  <c r="AQ179" i="2" s="1"/>
  <c r="AR179" i="2" s="1"/>
  <c r="AS179" i="2" s="1"/>
  <c r="AT179" i="2" s="1"/>
  <c r="AU179" i="2" s="1"/>
  <c r="AV179" i="2" s="1"/>
  <c r="AW179" i="2"/>
  <c r="AX179" i="2" s="1"/>
  <c r="AY179" i="2" s="1"/>
  <c r="AZ179" i="2" s="1"/>
  <c r="BA179" i="2" s="1"/>
  <c r="BB179" i="2" s="1"/>
  <c r="BC179" i="2" s="1"/>
  <c r="BD179" i="2" s="1"/>
  <c r="BE179" i="2" s="1"/>
  <c r="BF179" i="2" s="1"/>
  <c r="BG179" i="2" s="1"/>
  <c r="BH179" i="2" s="1"/>
  <c r="BI179" i="2" s="1"/>
  <c r="AJ180" i="2"/>
  <c r="AK180" i="2" s="1"/>
  <c r="AL180" i="2" s="1"/>
  <c r="AM180" i="2"/>
  <c r="AN180" i="2" s="1"/>
  <c r="AO180" i="2" s="1"/>
  <c r="AP180" i="2" s="1"/>
  <c r="AQ180" i="2" s="1"/>
  <c r="AR180" i="2" s="1"/>
  <c r="AS180" i="2" s="1"/>
  <c r="AT180" i="2" s="1"/>
  <c r="AU180" i="2" s="1"/>
  <c r="AV180" i="2" s="1"/>
  <c r="AW180" i="2" s="1"/>
  <c r="AX180" i="2" s="1"/>
  <c r="AJ181" i="2"/>
  <c r="AK181" i="2"/>
  <c r="AL181" i="2" s="1"/>
  <c r="AM181" i="2" s="1"/>
  <c r="AN181" i="2"/>
  <c r="AO181" i="2" s="1"/>
  <c r="AP181" i="2" s="1"/>
  <c r="AQ181" i="2" s="1"/>
  <c r="AR181" i="2" s="1"/>
  <c r="AS181" i="2" s="1"/>
  <c r="AT181" i="2" s="1"/>
  <c r="AU181" i="2" s="1"/>
  <c r="AV181" i="2" s="1"/>
  <c r="AW181" i="2" s="1"/>
  <c r="AX181" i="2" s="1"/>
  <c r="AY181" i="2" s="1"/>
  <c r="AZ181" i="2" s="1"/>
  <c r="BA181" i="2" s="1"/>
  <c r="BB181" i="2" s="1"/>
  <c r="BC181" i="2" s="1"/>
  <c r="BD181" i="2" s="1"/>
  <c r="BE181" i="2" s="1"/>
  <c r="BF181" i="2" s="1"/>
  <c r="BG181" i="2" s="1"/>
  <c r="BH181" i="2" s="1"/>
  <c r="BI181" i="2" s="1"/>
  <c r="AJ182" i="2"/>
  <c r="AK182" i="2" s="1"/>
  <c r="AL182" i="2" s="1"/>
  <c r="AM182" i="2" s="1"/>
  <c r="AN182" i="2" s="1"/>
  <c r="AJ183" i="2"/>
  <c r="AK183" i="2" s="1"/>
  <c r="AL183" i="2" s="1"/>
  <c r="AM183" i="2" s="1"/>
  <c r="AN183" i="2" s="1"/>
  <c r="AO183" i="2"/>
  <c r="AP183" i="2" s="1"/>
  <c r="AQ183" i="2" s="1"/>
  <c r="AR183" i="2" s="1"/>
  <c r="AS183" i="2" s="1"/>
  <c r="AT183" i="2" s="1"/>
  <c r="AU183" i="2" s="1"/>
  <c r="AV183" i="2" s="1"/>
  <c r="AW183" i="2" s="1"/>
  <c r="AX183" i="2" s="1"/>
  <c r="AY183" i="2" s="1"/>
  <c r="AZ183" i="2" s="1"/>
  <c r="BA183" i="2"/>
  <c r="BB183" i="2" s="1"/>
  <c r="BC183" i="2" s="1"/>
  <c r="BD183" i="2" s="1"/>
  <c r="BE183" i="2" s="1"/>
  <c r="BF183" i="2" s="1"/>
  <c r="BG183" i="2" s="1"/>
  <c r="BH183" i="2" s="1"/>
  <c r="BI183" i="2" s="1"/>
  <c r="AJ184" i="2"/>
  <c r="AK184" i="2" s="1"/>
  <c r="AL184" i="2" s="1"/>
  <c r="AM184" i="2"/>
  <c r="AN184" i="2" s="1"/>
  <c r="AO184" i="2" s="1"/>
  <c r="AP184" i="2" s="1"/>
  <c r="AQ184" i="2" s="1"/>
  <c r="AR184" i="2" s="1"/>
  <c r="AS184" i="2" s="1"/>
  <c r="AT184" i="2" s="1"/>
  <c r="AU184" i="2" s="1"/>
  <c r="AV184" i="2" s="1"/>
  <c r="AW184" i="2" s="1"/>
  <c r="AX184" i="2" s="1"/>
  <c r="AY184" i="2" s="1"/>
  <c r="AZ184" i="2" s="1"/>
  <c r="BA184" i="2" s="1"/>
  <c r="BB184" i="2" s="1"/>
  <c r="BC184" i="2" s="1"/>
  <c r="BD184" i="2" s="1"/>
  <c r="BE184" i="2" s="1"/>
  <c r="BF184" i="2" s="1"/>
  <c r="BG184" i="2" s="1"/>
  <c r="BH184" i="2" s="1"/>
  <c r="BI184" i="2" s="1"/>
  <c r="AJ185" i="2"/>
  <c r="AK185" i="2"/>
  <c r="AL185" i="2" s="1"/>
  <c r="AM185" i="2" s="1"/>
  <c r="AN185" i="2"/>
  <c r="AO185" i="2" s="1"/>
  <c r="AP185" i="2" s="1"/>
  <c r="AQ185" i="2" s="1"/>
  <c r="AR185" i="2" s="1"/>
  <c r="AS185" i="2" s="1"/>
  <c r="AT185" i="2" s="1"/>
  <c r="AU185" i="2" s="1"/>
  <c r="AV185" i="2" s="1"/>
  <c r="AW185" i="2" s="1"/>
  <c r="AX185" i="2" s="1"/>
  <c r="AY185" i="2" s="1"/>
  <c r="AZ185" i="2" s="1"/>
  <c r="BA185" i="2" s="1"/>
  <c r="BB185" i="2" s="1"/>
  <c r="BC185" i="2" s="1"/>
  <c r="BD185" i="2" s="1"/>
  <c r="BE185" i="2" s="1"/>
  <c r="BF185" i="2" s="1"/>
  <c r="BG185" i="2" s="1"/>
  <c r="BH185" i="2" s="1"/>
  <c r="BI185" i="2" s="1"/>
  <c r="AJ186" i="2"/>
  <c r="AK186" i="2" s="1"/>
  <c r="AL186" i="2"/>
  <c r="AM186" i="2"/>
  <c r="AN186" i="2" s="1"/>
  <c r="AO186" i="2" s="1"/>
  <c r="AP186" i="2" s="1"/>
  <c r="AQ186" i="2" s="1"/>
  <c r="AR186" i="2" s="1"/>
  <c r="AS186" i="2" s="1"/>
  <c r="AT186" i="2" s="1"/>
  <c r="AU186" i="2" s="1"/>
  <c r="AV186" i="2" s="1"/>
  <c r="AW186" i="2" s="1"/>
  <c r="AX186" i="2" s="1"/>
  <c r="AY186" i="2" s="1"/>
  <c r="AZ186" i="2" s="1"/>
  <c r="BA186" i="2" s="1"/>
  <c r="BB186" i="2" s="1"/>
  <c r="AJ187" i="2"/>
  <c r="AK187" i="2" s="1"/>
  <c r="AJ188" i="2"/>
  <c r="AK188" i="2" s="1"/>
  <c r="AL188" i="2" s="1"/>
  <c r="AM188" i="2"/>
  <c r="AN188" i="2" s="1"/>
  <c r="AO188" i="2" s="1"/>
  <c r="AP188" i="2"/>
  <c r="AQ188" i="2" s="1"/>
  <c r="AR188" i="2" s="1"/>
  <c r="AS188" i="2" s="1"/>
  <c r="AT188" i="2" s="1"/>
  <c r="AU188" i="2" s="1"/>
  <c r="AV188" i="2" s="1"/>
  <c r="AW188" i="2" s="1"/>
  <c r="AX188" i="2" s="1"/>
  <c r="AY188" i="2" s="1"/>
  <c r="AZ188" i="2" s="1"/>
  <c r="BA188" i="2" s="1"/>
  <c r="BB188" i="2" s="1"/>
  <c r="BC188" i="2" s="1"/>
  <c r="BD188" i="2" s="1"/>
  <c r="BE188" i="2" s="1"/>
  <c r="BF188" i="2" s="1"/>
  <c r="BG188" i="2" s="1"/>
  <c r="BH188" i="2" s="1"/>
  <c r="BI188" i="2" s="1"/>
  <c r="AJ189" i="2"/>
  <c r="AK189" i="2"/>
  <c r="AL189" i="2" s="1"/>
  <c r="AM189" i="2" s="1"/>
  <c r="AN189" i="2"/>
  <c r="AO189" i="2"/>
  <c r="AP189" i="2" s="1"/>
  <c r="AQ189" i="2" s="1"/>
  <c r="AR189" i="2" s="1"/>
  <c r="AS189" i="2" s="1"/>
  <c r="AT189" i="2" s="1"/>
  <c r="AU189" i="2" s="1"/>
  <c r="AV189" i="2" s="1"/>
  <c r="AW189" i="2" s="1"/>
  <c r="AX189" i="2" s="1"/>
  <c r="AY189" i="2" s="1"/>
  <c r="AZ189" i="2" s="1"/>
  <c r="BA189" i="2" s="1"/>
  <c r="BB189" i="2" s="1"/>
  <c r="BC189" i="2" s="1"/>
  <c r="BD189" i="2"/>
  <c r="BE189" i="2" s="1"/>
  <c r="BF189" i="2" s="1"/>
  <c r="BG189" i="2" s="1"/>
  <c r="BH189" i="2" s="1"/>
  <c r="BI189" i="2" s="1"/>
  <c r="AJ190" i="2"/>
  <c r="AK190" i="2" s="1"/>
  <c r="AL190" i="2" s="1"/>
  <c r="AM190" i="2" s="1"/>
  <c r="AN190" i="2" s="1"/>
  <c r="AO190" i="2" s="1"/>
  <c r="AP190" i="2" s="1"/>
  <c r="AQ190" i="2" s="1"/>
  <c r="AR190" i="2" s="1"/>
  <c r="AS190" i="2" s="1"/>
  <c r="AT190" i="2" s="1"/>
  <c r="AU190" i="2" s="1"/>
  <c r="AJ191" i="2"/>
  <c r="AK191" i="2" s="1"/>
  <c r="AL191" i="2" s="1"/>
  <c r="AM191" i="2" s="1"/>
  <c r="AN191" i="2" s="1"/>
  <c r="AO191" i="2" s="1"/>
  <c r="AP191" i="2" s="1"/>
  <c r="AQ191" i="2" s="1"/>
  <c r="AR191" i="2" s="1"/>
  <c r="AJ192" i="2"/>
  <c r="AK192" i="2" s="1"/>
  <c r="AL192" i="2" s="1"/>
  <c r="AM192" i="2" s="1"/>
  <c r="AN192" i="2" s="1"/>
  <c r="AO192" i="2" s="1"/>
  <c r="AP192" i="2" s="1"/>
  <c r="AQ192" i="2" s="1"/>
  <c r="AR192" i="2" s="1"/>
  <c r="AS192" i="2" s="1"/>
  <c r="AT192" i="2" s="1"/>
  <c r="AU192" i="2" s="1"/>
  <c r="AV192" i="2" s="1"/>
  <c r="AW192" i="2" s="1"/>
  <c r="AX192" i="2" s="1"/>
  <c r="AY192" i="2" s="1"/>
  <c r="AZ192" i="2" s="1"/>
  <c r="BA192" i="2" s="1"/>
  <c r="BB192" i="2" s="1"/>
  <c r="BC192" i="2" s="1"/>
  <c r="BD192" i="2" s="1"/>
  <c r="BE192" i="2" s="1"/>
  <c r="BF192" i="2" s="1"/>
  <c r="BG192" i="2" s="1"/>
  <c r="BH192" i="2" s="1"/>
  <c r="BI192" i="2" s="1"/>
  <c r="AJ193" i="2"/>
  <c r="AK193" i="2"/>
  <c r="AL193" i="2" s="1"/>
  <c r="AM193" i="2" s="1"/>
  <c r="AN193" i="2"/>
  <c r="AO193" i="2" s="1"/>
  <c r="AP193" i="2" s="1"/>
  <c r="AQ193" i="2" s="1"/>
  <c r="AR193" i="2" s="1"/>
  <c r="AS193" i="2" s="1"/>
  <c r="AT193" i="2" s="1"/>
  <c r="AU193" i="2" s="1"/>
  <c r="AV193" i="2" s="1"/>
  <c r="AW193" i="2" s="1"/>
  <c r="AX193" i="2" s="1"/>
  <c r="AY193" i="2" s="1"/>
  <c r="AZ193" i="2" s="1"/>
  <c r="BA193" i="2" s="1"/>
  <c r="BB193" i="2" s="1"/>
  <c r="BC193" i="2" s="1"/>
  <c r="BD193" i="2" s="1"/>
  <c r="BE193" i="2" s="1"/>
  <c r="BF193" i="2" s="1"/>
  <c r="BG193" i="2" s="1"/>
  <c r="BH193" i="2" s="1"/>
  <c r="BI193" i="2" s="1"/>
  <c r="AJ194" i="2"/>
  <c r="AK194" i="2" s="1"/>
  <c r="AL194" i="2"/>
  <c r="AM194" i="2"/>
  <c r="AN194" i="2" s="1"/>
  <c r="AO194" i="2" s="1"/>
  <c r="AP194" i="2" s="1"/>
  <c r="AQ194" i="2" s="1"/>
  <c r="AR194" i="2" s="1"/>
  <c r="AS194" i="2" s="1"/>
  <c r="AT194" i="2"/>
  <c r="AU194" i="2" s="1"/>
  <c r="AV194" i="2" s="1"/>
  <c r="AW194" i="2" s="1"/>
  <c r="AX194" i="2" s="1"/>
  <c r="AY194" i="2" s="1"/>
  <c r="AZ194" i="2" s="1"/>
  <c r="BA194" i="2" s="1"/>
  <c r="BB194" i="2" s="1"/>
  <c r="BC194" i="2" s="1"/>
  <c r="BD194" i="2"/>
  <c r="BE194" i="2" s="1"/>
  <c r="BF194" i="2" s="1"/>
  <c r="BG194" i="2" s="1"/>
  <c r="BH194" i="2" s="1"/>
  <c r="BI194" i="2" s="1"/>
  <c r="AJ195" i="2"/>
  <c r="AK195" i="2" s="1"/>
  <c r="AL195" i="2" s="1"/>
  <c r="AM195" i="2" s="1"/>
  <c r="AJ196" i="2"/>
  <c r="AK196" i="2"/>
  <c r="AL196" i="2" s="1"/>
  <c r="AM196" i="2" s="1"/>
  <c r="AN196" i="2" s="1"/>
  <c r="AO196" i="2" s="1"/>
  <c r="AP196" i="2" s="1"/>
  <c r="AQ196" i="2" s="1"/>
  <c r="AR196" i="2" s="1"/>
  <c r="AS196" i="2"/>
  <c r="AT196" i="2" s="1"/>
  <c r="AU196" i="2" s="1"/>
  <c r="AV196" i="2" s="1"/>
  <c r="AW196" i="2" s="1"/>
  <c r="AX196" i="2" s="1"/>
  <c r="AY196" i="2" s="1"/>
  <c r="AZ196" i="2" s="1"/>
  <c r="BA196" i="2" s="1"/>
  <c r="BB196" i="2" s="1"/>
  <c r="BC196" i="2" s="1"/>
  <c r="BD196" i="2" s="1"/>
  <c r="BE196" i="2" s="1"/>
  <c r="BF196" i="2" s="1"/>
  <c r="BG196" i="2" s="1"/>
  <c r="BH196" i="2" s="1"/>
  <c r="BI196" i="2" s="1"/>
  <c r="AJ197" i="2"/>
  <c r="AK197" i="2"/>
  <c r="AL197" i="2"/>
  <c r="AM197" i="2" s="1"/>
  <c r="AN197" i="2" s="1"/>
  <c r="AO197" i="2" s="1"/>
  <c r="AP197" i="2" s="1"/>
  <c r="AQ197" i="2"/>
  <c r="AR197" i="2" s="1"/>
  <c r="AS197" i="2" s="1"/>
  <c r="AT197" i="2" s="1"/>
  <c r="AU197" i="2" s="1"/>
  <c r="AV197" i="2" s="1"/>
  <c r="AW197" i="2" s="1"/>
  <c r="AX197" i="2" s="1"/>
  <c r="AY197" i="2" s="1"/>
  <c r="AZ197" i="2" s="1"/>
  <c r="BA197" i="2" s="1"/>
  <c r="BB197" i="2" s="1"/>
  <c r="BC197" i="2" s="1"/>
  <c r="BD197" i="2" s="1"/>
  <c r="BE197" i="2" s="1"/>
  <c r="BF197" i="2" s="1"/>
  <c r="BG197" i="2" s="1"/>
  <c r="BH197" i="2" s="1"/>
  <c r="BI197" i="2" s="1"/>
  <c r="AJ198" i="2"/>
  <c r="AK198" i="2" s="1"/>
  <c r="AL198" i="2" s="1"/>
  <c r="AM198" i="2" s="1"/>
  <c r="AN198" i="2" s="1"/>
  <c r="AO198" i="2" s="1"/>
  <c r="AP198" i="2" s="1"/>
  <c r="AQ198" i="2" s="1"/>
  <c r="AR198" i="2" s="1"/>
  <c r="AS198" i="2" s="1"/>
  <c r="AT198" i="2" s="1"/>
  <c r="AU198" i="2" s="1"/>
  <c r="AV198" i="2" s="1"/>
  <c r="AW198" i="2" s="1"/>
  <c r="AX198" i="2" s="1"/>
  <c r="AY198" i="2" s="1"/>
  <c r="AZ198" i="2" s="1"/>
  <c r="BA198" i="2" s="1"/>
  <c r="BB198" i="2" s="1"/>
  <c r="BC198" i="2" s="1"/>
  <c r="BD198" i="2" s="1"/>
  <c r="BE198" i="2" s="1"/>
  <c r="BF198" i="2" s="1"/>
  <c r="BG198" i="2" s="1"/>
  <c r="BH198" i="2" s="1"/>
  <c r="BI198" i="2" s="1"/>
  <c r="AJ199" i="2"/>
  <c r="AK199" i="2" s="1"/>
  <c r="AL199" i="2" s="1"/>
  <c r="AM199" i="2"/>
  <c r="AN199" i="2" s="1"/>
  <c r="AO199" i="2" s="1"/>
  <c r="AP199" i="2" s="1"/>
  <c r="AQ199" i="2" s="1"/>
  <c r="AR199" i="2" s="1"/>
  <c r="AS199" i="2" s="1"/>
  <c r="AT199" i="2" s="1"/>
  <c r="AU199" i="2" s="1"/>
  <c r="AV199" i="2" s="1"/>
  <c r="AW199" i="2" s="1"/>
  <c r="AX199" i="2" s="1"/>
  <c r="AY199" i="2" s="1"/>
  <c r="AZ199" i="2" s="1"/>
  <c r="BA199" i="2" s="1"/>
  <c r="BB199" i="2" s="1"/>
  <c r="BC199" i="2" s="1"/>
  <c r="BD199" i="2" s="1"/>
  <c r="BE199" i="2" s="1"/>
  <c r="BF199" i="2" s="1"/>
  <c r="BG199" i="2" s="1"/>
  <c r="BH199" i="2" s="1"/>
  <c r="BI199" i="2" s="1"/>
  <c r="AJ200" i="2"/>
  <c r="AK200" i="2"/>
  <c r="AL200" i="2" s="1"/>
  <c r="AM200" i="2" s="1"/>
  <c r="AN200" i="2" s="1"/>
  <c r="AO200" i="2" s="1"/>
  <c r="AP200" i="2" s="1"/>
  <c r="AQ200" i="2" s="1"/>
  <c r="AR200" i="2" s="1"/>
  <c r="AS200" i="2" s="1"/>
  <c r="AJ201" i="2"/>
  <c r="AK201" i="2"/>
  <c r="AL201" i="2"/>
  <c r="AM201" i="2" s="1"/>
  <c r="AN201" i="2" s="1"/>
  <c r="AO201" i="2" s="1"/>
  <c r="AP201" i="2" s="1"/>
  <c r="AQ201" i="2" s="1"/>
  <c r="AJ202" i="2"/>
  <c r="AK202" i="2" s="1"/>
  <c r="AL202" i="2" s="1"/>
  <c r="AM202" i="2" s="1"/>
  <c r="AN202" i="2" s="1"/>
  <c r="AO202" i="2" s="1"/>
  <c r="AJ203" i="2"/>
  <c r="AK203" i="2" s="1"/>
  <c r="AL203" i="2" s="1"/>
  <c r="AM203" i="2" s="1"/>
  <c r="AJ204" i="2"/>
  <c r="AK204" i="2"/>
  <c r="AL204" i="2" s="1"/>
  <c r="AM204" i="2" s="1"/>
  <c r="AN204" i="2" s="1"/>
  <c r="AO204" i="2" s="1"/>
  <c r="AP204" i="2" s="1"/>
  <c r="AQ204" i="2" s="1"/>
  <c r="AR204" i="2" s="1"/>
  <c r="AS204" i="2"/>
  <c r="AT204" i="2" s="1"/>
  <c r="AU204" i="2" s="1"/>
  <c r="AV204" i="2" s="1"/>
  <c r="AW204" i="2" s="1"/>
  <c r="AX204" i="2" s="1"/>
  <c r="AY204" i="2" s="1"/>
  <c r="AZ204" i="2" s="1"/>
  <c r="BA204" i="2" s="1"/>
  <c r="BB204" i="2" s="1"/>
  <c r="BC204" i="2" s="1"/>
  <c r="BD204" i="2" s="1"/>
  <c r="BE204" i="2" s="1"/>
  <c r="BF204" i="2" s="1"/>
  <c r="BG204" i="2" s="1"/>
  <c r="BH204" i="2" s="1"/>
  <c r="BI204" i="2" s="1"/>
  <c r="AJ205" i="2"/>
  <c r="AK205" i="2"/>
  <c r="AL205" i="2"/>
  <c r="AM205" i="2" s="1"/>
  <c r="AN205" i="2" s="1"/>
  <c r="AO205" i="2" s="1"/>
  <c r="AP205" i="2" s="1"/>
  <c r="AQ205" i="2"/>
  <c r="AR205" i="2" s="1"/>
  <c r="AS205" i="2" s="1"/>
  <c r="AT205" i="2" s="1"/>
  <c r="AU205" i="2" s="1"/>
  <c r="AV205" i="2" s="1"/>
  <c r="AW205" i="2" s="1"/>
  <c r="AX205" i="2" s="1"/>
  <c r="AY205" i="2" s="1"/>
  <c r="AJ206" i="2"/>
  <c r="AK206" i="2" s="1"/>
  <c r="AL206" i="2" s="1"/>
  <c r="AM206" i="2" s="1"/>
  <c r="AN206" i="2" s="1"/>
  <c r="AO206" i="2"/>
  <c r="AP206" i="2" s="1"/>
  <c r="AQ206" i="2" s="1"/>
  <c r="AR206" i="2" s="1"/>
  <c r="AS206" i="2" s="1"/>
  <c r="AT206" i="2" s="1"/>
  <c r="AU206" i="2" s="1"/>
  <c r="AV206" i="2" s="1"/>
  <c r="AW206" i="2" s="1"/>
  <c r="AJ207" i="2"/>
  <c r="AK207" i="2" s="1"/>
  <c r="AL207" i="2" s="1"/>
  <c r="AM207" i="2"/>
  <c r="AN207" i="2" s="1"/>
  <c r="AO207" i="2" s="1"/>
  <c r="AP207" i="2" s="1"/>
  <c r="AQ207" i="2" s="1"/>
  <c r="AR207" i="2" s="1"/>
  <c r="AS207" i="2" s="1"/>
  <c r="AT207" i="2" s="1"/>
  <c r="AU207" i="2" s="1"/>
  <c r="AJ208" i="2"/>
  <c r="AK208" i="2"/>
  <c r="AL208" i="2" s="1"/>
  <c r="AM208" i="2" s="1"/>
  <c r="AN208" i="2" s="1"/>
  <c r="AO208" i="2" s="1"/>
  <c r="AP208" i="2" s="1"/>
  <c r="AQ208" i="2" s="1"/>
  <c r="AR208" i="2" s="1"/>
  <c r="AS208" i="2" s="1"/>
  <c r="AJ209" i="2"/>
  <c r="AK209" i="2"/>
  <c r="AL209" i="2" s="1"/>
  <c r="AM209" i="2" s="1"/>
  <c r="AN209" i="2" s="1"/>
  <c r="AO209" i="2" s="1"/>
  <c r="AP209" i="2" s="1"/>
  <c r="AQ209" i="2"/>
  <c r="AR209" i="2" s="1"/>
  <c r="AS209" i="2" s="1"/>
  <c r="AT209" i="2" s="1"/>
  <c r="AU209" i="2" s="1"/>
  <c r="AV209" i="2" s="1"/>
  <c r="AW209" i="2" s="1"/>
  <c r="AX209" i="2" s="1"/>
  <c r="AY209" i="2" s="1"/>
  <c r="AZ209" i="2" s="1"/>
  <c r="BA209" i="2" s="1"/>
  <c r="BB209" i="2" s="1"/>
  <c r="BC209" i="2" s="1"/>
  <c r="BD209" i="2" s="1"/>
  <c r="BE209" i="2" s="1"/>
  <c r="BF209" i="2" s="1"/>
  <c r="BG209" i="2" s="1"/>
  <c r="BH209" i="2" s="1"/>
  <c r="BI209" i="2" s="1"/>
  <c r="AJ210" i="2"/>
  <c r="AK210" i="2" s="1"/>
  <c r="AL210" i="2" s="1"/>
  <c r="AM210" i="2" s="1"/>
  <c r="AN210" i="2" s="1"/>
  <c r="AO210" i="2" s="1"/>
  <c r="AJ8" i="2"/>
  <c r="AK8" i="2" s="1"/>
  <c r="AL8" i="2" s="1"/>
  <c r="AM8" i="2" s="1"/>
  <c r="AN8" i="2" s="1"/>
  <c r="AO8" i="2" s="1"/>
  <c r="AP8" i="2" s="1"/>
  <c r="AQ8" i="2" s="1"/>
  <c r="AR8" i="2" s="1"/>
  <c r="AS8" i="2" s="1"/>
  <c r="AT8" i="2" s="1"/>
  <c r="AU8" i="2" s="1"/>
  <c r="AV8" i="2" s="1"/>
  <c r="AW8" i="2" s="1"/>
  <c r="AX8" i="2" s="1"/>
  <c r="AY8" i="2" s="1"/>
  <c r="AZ8" i="2" s="1"/>
  <c r="BA8" i="2" s="1"/>
  <c r="BB8" i="2" s="1"/>
  <c r="BC8" i="2" s="1"/>
  <c r="BD8" i="2" s="1"/>
  <c r="BE8" i="2" s="1"/>
  <c r="BF8" i="2" s="1"/>
  <c r="BG8" i="2" s="1"/>
  <c r="BH8" i="2" s="1"/>
  <c r="BI8" i="2" s="1"/>
  <c r="AA8" i="2"/>
  <c r="AB8" i="2" s="1"/>
  <c r="AC8" i="2" s="1"/>
  <c r="AD8" i="2" s="1"/>
  <c r="AE8" i="2" s="1"/>
  <c r="AF8" i="2" s="1"/>
  <c r="AG8" i="2" s="1"/>
  <c r="AH8" i="2" s="1"/>
  <c r="AI8" i="2" s="1"/>
  <c r="Z8" i="2"/>
  <c r="G52" i="19" l="1"/>
  <c r="N479" i="39"/>
  <c r="L477" i="39"/>
  <c r="E52" i="19"/>
  <c r="AT208" i="2"/>
  <c r="AU208" i="2" s="1"/>
  <c r="AV208" i="2" s="1"/>
  <c r="AW208" i="2" s="1"/>
  <c r="AX208" i="2" s="1"/>
  <c r="AY208" i="2" s="1"/>
  <c r="AZ208" i="2" s="1"/>
  <c r="BA208" i="2" s="1"/>
  <c r="BB208" i="2" s="1"/>
  <c r="BC208" i="2" s="1"/>
  <c r="BD208" i="2" s="1"/>
  <c r="BE208" i="2" s="1"/>
  <c r="BF208" i="2" s="1"/>
  <c r="BG208" i="2" s="1"/>
  <c r="BH208" i="2" s="1"/>
  <c r="BI208" i="2" s="1"/>
  <c r="AS191" i="2"/>
  <c r="AR201" i="2"/>
  <c r="AV207" i="2"/>
  <c r="AT200" i="2"/>
  <c r="AY180" i="2"/>
  <c r="AV190" i="2"/>
  <c r="BC186" i="2"/>
  <c r="AP210" i="2"/>
  <c r="AX206" i="2"/>
  <c r="AN203" i="2"/>
  <c r="AZ205" i="2"/>
  <c r="AP202" i="2"/>
  <c r="AN195" i="2"/>
  <c r="AR100" i="2"/>
  <c r="BI74" i="2"/>
  <c r="BE63" i="2"/>
  <c r="AN170" i="2"/>
  <c r="AO162" i="2"/>
  <c r="AO155" i="2"/>
  <c r="AN151" i="2"/>
  <c r="AP131" i="2"/>
  <c r="AM166" i="2"/>
  <c r="BD118" i="2"/>
  <c r="AR88" i="2"/>
  <c r="AZ86" i="2"/>
  <c r="BI66" i="2"/>
  <c r="AP165" i="2"/>
  <c r="AS150" i="2"/>
  <c r="BH141" i="2"/>
  <c r="AK159" i="2"/>
  <c r="AJ211" i="2"/>
  <c r="AY128" i="2"/>
  <c r="AV80" i="2"/>
  <c r="BB23" i="2"/>
  <c r="AM157" i="2"/>
  <c r="AN134" i="2"/>
  <c r="AT136" i="2"/>
  <c r="BA133" i="2"/>
  <c r="BE129" i="2"/>
  <c r="AL187" i="2"/>
  <c r="AO182" i="2"/>
  <c r="AR160" i="2"/>
  <c r="AW145" i="2"/>
  <c r="BG132" i="2"/>
  <c r="AN175" i="2"/>
  <c r="AO139" i="2"/>
  <c r="AO47" i="2"/>
  <c r="AK82" i="2"/>
  <c r="AJ111" i="2"/>
  <c r="AM75" i="2"/>
  <c r="AU136" i="2" l="1"/>
  <c r="AQ165" i="2"/>
  <c r="BH132" i="2"/>
  <c r="AL159" i="2"/>
  <c r="AK211" i="2"/>
  <c r="AL82" i="2"/>
  <c r="AK111" i="2"/>
  <c r="AX145" i="2"/>
  <c r="BF129" i="2"/>
  <c r="AW80" i="2"/>
  <c r="BD186" i="2"/>
  <c r="AO134" i="2"/>
  <c r="BI141" i="2"/>
  <c r="AN166" i="2"/>
  <c r="AS100" i="2"/>
  <c r="AW207" i="2"/>
  <c r="AS88" i="2"/>
  <c r="AM187" i="2"/>
  <c r="BC23" i="2"/>
  <c r="AP162" i="2"/>
  <c r="AQ202" i="2"/>
  <c r="AO175" i="2"/>
  <c r="BE118" i="2"/>
  <c r="AU200" i="2"/>
  <c r="AO170" i="2"/>
  <c r="BA205" i="2"/>
  <c r="AP47" i="2"/>
  <c r="AS160" i="2"/>
  <c r="BB133" i="2"/>
  <c r="AO151" i="2"/>
  <c r="AO203" i="2"/>
  <c r="AW190" i="2"/>
  <c r="AP139" i="2"/>
  <c r="AZ128" i="2"/>
  <c r="AT150" i="2"/>
  <c r="BA86" i="2"/>
  <c r="AS201" i="2"/>
  <c r="AP182" i="2"/>
  <c r="AN157" i="2"/>
  <c r="AP155" i="2"/>
  <c r="AO195" i="2"/>
  <c r="AY206" i="2"/>
  <c r="BF63" i="2"/>
  <c r="AZ180" i="2"/>
  <c r="AT191" i="2"/>
  <c r="AN75" i="2"/>
  <c r="AQ131" i="2"/>
  <c r="AQ210" i="2"/>
  <c r="BB86" i="2" l="1"/>
  <c r="AP195" i="2"/>
  <c r="AM159" i="2"/>
  <c r="AL211" i="2"/>
  <c r="AR131" i="2"/>
  <c r="BA180" i="2"/>
  <c r="AU150" i="2"/>
  <c r="AQ47" i="2"/>
  <c r="AN187" i="2"/>
  <c r="AO166" i="2"/>
  <c r="AX80" i="2"/>
  <c r="BA128" i="2"/>
  <c r="AR202" i="2"/>
  <c r="AQ182" i="2"/>
  <c r="AX190" i="2"/>
  <c r="BC133" i="2"/>
  <c r="AQ162" i="2"/>
  <c r="BI132" i="2"/>
  <c r="AQ139" i="2"/>
  <c r="AV200" i="2"/>
  <c r="AQ155" i="2"/>
  <c r="AT88" i="2"/>
  <c r="AP134" i="2"/>
  <c r="AU191" i="2"/>
  <c r="AR210" i="2"/>
  <c r="AO75" i="2"/>
  <c r="BG63" i="2"/>
  <c r="AT201" i="2"/>
  <c r="AP203" i="2"/>
  <c r="AT160" i="2"/>
  <c r="BB205" i="2"/>
  <c r="BF118" i="2"/>
  <c r="BG129" i="2"/>
  <c r="AM82" i="2"/>
  <c r="AL111" i="2"/>
  <c r="AR165" i="2"/>
  <c r="AX207" i="2"/>
  <c r="BE186" i="2"/>
  <c r="AZ206" i="2"/>
  <c r="AP170" i="2"/>
  <c r="BD23" i="2"/>
  <c r="AP175" i="2"/>
  <c r="AO157" i="2"/>
  <c r="AP151" i="2"/>
  <c r="AT100" i="2"/>
  <c r="AY145" i="2"/>
  <c r="AV136" i="2"/>
  <c r="AW200" i="2" l="1"/>
  <c r="AW136" i="2"/>
  <c r="AS210" i="2"/>
  <c r="AY80" i="2"/>
  <c r="AN159" i="2"/>
  <c r="AM211" i="2"/>
  <c r="BH129" i="2"/>
  <c r="BC205" i="2"/>
  <c r="AV191" i="2"/>
  <c r="AU88" i="2"/>
  <c r="AR139" i="2"/>
  <c r="AP166" i="2"/>
  <c r="AR47" i="2"/>
  <c r="AQ151" i="2"/>
  <c r="AN82" i="2"/>
  <c r="AM111" i="2"/>
  <c r="BD133" i="2"/>
  <c r="AZ145" i="2"/>
  <c r="AP157" i="2"/>
  <c r="AQ170" i="2"/>
  <c r="AS165" i="2"/>
  <c r="BH63" i="2"/>
  <c r="AY190" i="2"/>
  <c r="AQ195" i="2"/>
  <c r="AU201" i="2"/>
  <c r="AY207" i="2"/>
  <c r="BB128" i="2"/>
  <c r="BF186" i="2"/>
  <c r="BG118" i="2"/>
  <c r="BB180" i="2"/>
  <c r="BE23" i="2"/>
  <c r="AU160" i="2"/>
  <c r="AQ175" i="2"/>
  <c r="BA206" i="2"/>
  <c r="AR155" i="2"/>
  <c r="AO187" i="2"/>
  <c r="AV150" i="2"/>
  <c r="AS131" i="2"/>
  <c r="BC86" i="2"/>
  <c r="AQ134" i="2"/>
  <c r="AS202" i="2"/>
  <c r="AU100" i="2"/>
  <c r="AQ203" i="2"/>
  <c r="AP75" i="2"/>
  <c r="AR162" i="2"/>
  <c r="AR182" i="2"/>
  <c r="BF23" i="2" l="1"/>
  <c r="AQ75" i="2"/>
  <c r="BG186" i="2"/>
  <c r="AV201" i="2"/>
  <c r="AV88" i="2"/>
  <c r="AT210" i="2"/>
  <c r="AT202" i="2"/>
  <c r="AZ207" i="2"/>
  <c r="AZ80" i="2"/>
  <c r="BB206" i="2"/>
  <c r="AP187" i="2"/>
  <c r="AR175" i="2"/>
  <c r="AT165" i="2"/>
  <c r="BA145" i="2"/>
  <c r="AO82" i="2"/>
  <c r="AN111" i="2"/>
  <c r="AS47" i="2"/>
  <c r="AR203" i="2"/>
  <c r="BC180" i="2"/>
  <c r="AR195" i="2"/>
  <c r="AW191" i="2"/>
  <c r="AO159" i="2"/>
  <c r="AN211" i="2"/>
  <c r="AQ157" i="2"/>
  <c r="BI129" i="2"/>
  <c r="AS182" i="2"/>
  <c r="AT131" i="2"/>
  <c r="AV160" i="2"/>
  <c r="AR170" i="2"/>
  <c r="AQ166" i="2"/>
  <c r="AX136" i="2"/>
  <c r="BD86" i="2"/>
  <c r="BH118" i="2"/>
  <c r="AV100" i="2"/>
  <c r="AR134" i="2"/>
  <c r="AS155" i="2"/>
  <c r="BC128" i="2"/>
  <c r="AZ190" i="2"/>
  <c r="BE133" i="2"/>
  <c r="AR151" i="2"/>
  <c r="BD205" i="2"/>
  <c r="AW150" i="2"/>
  <c r="AS139" i="2"/>
  <c r="BI63" i="2"/>
  <c r="AS162" i="2"/>
  <c r="AX200" i="2"/>
  <c r="AW100" i="2" l="1"/>
  <c r="AX191" i="2"/>
  <c r="AS175" i="2"/>
  <c r="AR75" i="2"/>
  <c r="AP159" i="2"/>
  <c r="AO211" i="2"/>
  <c r="BA190" i="2"/>
  <c r="AY200" i="2"/>
  <c r="AR166" i="2"/>
  <c r="AP82" i="2"/>
  <c r="AO111" i="2"/>
  <c r="BA80" i="2"/>
  <c r="AW88" i="2"/>
  <c r="AU165" i="2"/>
  <c r="AT139" i="2"/>
  <c r="AS151" i="2"/>
  <c r="BI118" i="2"/>
  <c r="AU131" i="2"/>
  <c r="AR157" i="2"/>
  <c r="AS195" i="2"/>
  <c r="AU210" i="2"/>
  <c r="BD128" i="2"/>
  <c r="AS170" i="2"/>
  <c r="AQ187" i="2"/>
  <c r="BA207" i="2"/>
  <c r="AW201" i="2"/>
  <c r="AT155" i="2"/>
  <c r="BE205" i="2"/>
  <c r="AY136" i="2"/>
  <c r="AT162" i="2"/>
  <c r="AS134" i="2"/>
  <c r="BE86" i="2"/>
  <c r="AT47" i="2"/>
  <c r="BB145" i="2"/>
  <c r="BG23" i="2"/>
  <c r="AS203" i="2"/>
  <c r="AX150" i="2"/>
  <c r="BF133" i="2"/>
  <c r="AW160" i="2"/>
  <c r="AT182" i="2"/>
  <c r="BD180" i="2"/>
  <c r="BC206" i="2"/>
  <c r="AU202" i="2"/>
  <c r="BH186" i="2"/>
  <c r="BI186" i="2" l="1"/>
  <c r="BB207" i="2"/>
  <c r="AS157" i="2"/>
  <c r="AZ200" i="2"/>
  <c r="BF205" i="2"/>
  <c r="BE128" i="2"/>
  <c r="AV165" i="2"/>
  <c r="AS75" i="2"/>
  <c r="AV202" i="2"/>
  <c r="AY150" i="2"/>
  <c r="BH23" i="2"/>
  <c r="AU47" i="2"/>
  <c r="AT134" i="2"/>
  <c r="AR187" i="2"/>
  <c r="AV210" i="2"/>
  <c r="AX88" i="2"/>
  <c r="AT175" i="2"/>
  <c r="BD206" i="2"/>
  <c r="AX160" i="2"/>
  <c r="AT203" i="2"/>
  <c r="BF86" i="2"/>
  <c r="AU162" i="2"/>
  <c r="AU155" i="2"/>
  <c r="AT151" i="2"/>
  <c r="AQ82" i="2"/>
  <c r="AP111" i="2"/>
  <c r="BB190" i="2"/>
  <c r="BC145" i="2"/>
  <c r="AT170" i="2"/>
  <c r="AT195" i="2"/>
  <c r="AV131" i="2"/>
  <c r="AY191" i="2"/>
  <c r="AX201" i="2"/>
  <c r="AS166" i="2"/>
  <c r="AQ159" i="2"/>
  <c r="AP211" i="2"/>
  <c r="AU182" i="2"/>
  <c r="BE180" i="2"/>
  <c r="BG133" i="2"/>
  <c r="AZ136" i="2"/>
  <c r="AU139" i="2"/>
  <c r="BB80" i="2"/>
  <c r="AX100" i="2"/>
  <c r="AV139" i="2" l="1"/>
  <c r="AR159" i="2"/>
  <c r="AQ211" i="2"/>
  <c r="AU170" i="2"/>
  <c r="AW202" i="2"/>
  <c r="BA200" i="2"/>
  <c r="AY100" i="2"/>
  <c r="BF180" i="2"/>
  <c r="AV155" i="2"/>
  <c r="AY160" i="2"/>
  <c r="AW210" i="2"/>
  <c r="AT166" i="2"/>
  <c r="AU134" i="2"/>
  <c r="BA136" i="2"/>
  <c r="AR82" i="2"/>
  <c r="AQ111" i="2"/>
  <c r="AV162" i="2"/>
  <c r="BE206" i="2"/>
  <c r="BI23" i="2"/>
  <c r="AT75" i="2"/>
  <c r="AT157" i="2"/>
  <c r="AV182" i="2"/>
  <c r="AY201" i="2"/>
  <c r="AW131" i="2"/>
  <c r="BD145" i="2"/>
  <c r="AS187" i="2"/>
  <c r="BF128" i="2"/>
  <c r="BC80" i="2"/>
  <c r="BG86" i="2"/>
  <c r="AU175" i="2"/>
  <c r="AW165" i="2"/>
  <c r="BC207" i="2"/>
  <c r="BH133" i="2"/>
  <c r="AU195" i="2"/>
  <c r="BC190" i="2"/>
  <c r="AU151" i="2"/>
  <c r="AZ150" i="2"/>
  <c r="BG205" i="2"/>
  <c r="AZ191" i="2"/>
  <c r="AU203" i="2"/>
  <c r="AY88" i="2"/>
  <c r="AV47" i="2"/>
  <c r="AV151" i="2" l="1"/>
  <c r="AV170" i="2"/>
  <c r="BH205" i="2"/>
  <c r="BD207" i="2"/>
  <c r="BA191" i="2"/>
  <c r="BG180" i="2"/>
  <c r="AW47" i="2"/>
  <c r="BD190" i="2"/>
  <c r="AT187" i="2"/>
  <c r="AX131" i="2"/>
  <c r="AU157" i="2"/>
  <c r="AZ160" i="2"/>
  <c r="AZ100" i="2"/>
  <c r="AV195" i="2"/>
  <c r="AX165" i="2"/>
  <c r="BD80" i="2"/>
  <c r="AS82" i="2"/>
  <c r="AR111" i="2"/>
  <c r="BB200" i="2"/>
  <c r="AX210" i="2"/>
  <c r="AZ88" i="2"/>
  <c r="AZ201" i="2"/>
  <c r="BF206" i="2"/>
  <c r="AV134" i="2"/>
  <c r="AS159" i="2"/>
  <c r="AR211" i="2"/>
  <c r="BA150" i="2"/>
  <c r="AV175" i="2"/>
  <c r="BE145" i="2"/>
  <c r="AU75" i="2"/>
  <c r="AW155" i="2"/>
  <c r="AV203" i="2"/>
  <c r="AW162" i="2"/>
  <c r="BB136" i="2"/>
  <c r="AU166" i="2"/>
  <c r="AX202" i="2"/>
  <c r="BI133" i="2"/>
  <c r="BH86" i="2"/>
  <c r="BG128" i="2"/>
  <c r="AW182" i="2"/>
  <c r="AW139" i="2"/>
  <c r="AX47" i="2" l="1"/>
  <c r="AX139" i="2"/>
  <c r="AV166" i="2"/>
  <c r="AW134" i="2"/>
  <c r="AY210" i="2"/>
  <c r="BE190" i="2"/>
  <c r="BH180" i="2"/>
  <c r="BC136" i="2"/>
  <c r="BA201" i="2"/>
  <c r="AY202" i="2"/>
  <c r="BB150" i="2"/>
  <c r="BA88" i="2"/>
  <c r="AV157" i="2"/>
  <c r="AW151" i="2"/>
  <c r="AW195" i="2"/>
  <c r="BE207" i="2"/>
  <c r="BI86" i="2"/>
  <c r="BF145" i="2"/>
  <c r="BA100" i="2"/>
  <c r="BI205" i="2"/>
  <c r="AX162" i="2"/>
  <c r="AY165" i="2"/>
  <c r="AV75" i="2"/>
  <c r="AU187" i="2"/>
  <c r="BH128" i="2"/>
  <c r="AW203" i="2"/>
  <c r="AT82" i="2"/>
  <c r="AS111" i="2"/>
  <c r="AT159" i="2"/>
  <c r="AS211" i="2"/>
  <c r="BG206" i="2"/>
  <c r="BC200" i="2"/>
  <c r="BB191" i="2"/>
  <c r="AX182" i="2"/>
  <c r="AW175" i="2"/>
  <c r="BE80" i="2"/>
  <c r="BA160" i="2"/>
  <c r="AY131" i="2"/>
  <c r="AW170" i="2"/>
  <c r="AX155" i="2"/>
  <c r="BF190" i="2" l="1"/>
  <c r="BI128" i="2"/>
  <c r="AU82" i="2"/>
  <c r="AT111" i="2"/>
  <c r="AY162" i="2"/>
  <c r="AX170" i="2"/>
  <c r="AY182" i="2"/>
  <c r="AV187" i="2"/>
  <c r="AX151" i="2"/>
  <c r="BC150" i="2"/>
  <c r="BB100" i="2"/>
  <c r="BB201" i="2"/>
  <c r="BB160" i="2"/>
  <c r="BD136" i="2"/>
  <c r="AX203" i="2"/>
  <c r="AY139" i="2"/>
  <c r="AX134" i="2"/>
  <c r="AZ131" i="2"/>
  <c r="BG145" i="2"/>
  <c r="BC191" i="2"/>
  <c r="AU159" i="2"/>
  <c r="AT211" i="2"/>
  <c r="AZ202" i="2"/>
  <c r="BI180" i="2"/>
  <c r="BD200" i="2"/>
  <c r="AX175" i="2"/>
  <c r="BF80" i="2"/>
  <c r="AW75" i="2"/>
  <c r="BF207" i="2"/>
  <c r="AW157" i="2"/>
  <c r="AY155" i="2"/>
  <c r="AZ165" i="2"/>
  <c r="AX195" i="2"/>
  <c r="BB88" i="2"/>
  <c r="BH206" i="2"/>
  <c r="AZ210" i="2"/>
  <c r="AW166" i="2"/>
  <c r="AY47" i="2"/>
  <c r="AY195" i="2" l="1"/>
  <c r="AZ182" i="2"/>
  <c r="BI206" i="2"/>
  <c r="AY175" i="2"/>
  <c r="BH145" i="2"/>
  <c r="AV82" i="2"/>
  <c r="AU111" i="2"/>
  <c r="AX166" i="2"/>
  <c r="BG207" i="2"/>
  <c r="BC160" i="2"/>
  <c r="AZ155" i="2"/>
  <c r="BC201" i="2"/>
  <c r="AY151" i="2"/>
  <c r="AY170" i="2"/>
  <c r="BA202" i="2"/>
  <c r="AZ47" i="2"/>
  <c r="BC88" i="2"/>
  <c r="AX75" i="2"/>
  <c r="BE200" i="2"/>
  <c r="AY203" i="2"/>
  <c r="AW187" i="2"/>
  <c r="AV159" i="2"/>
  <c r="AU211" i="2"/>
  <c r="AY134" i="2"/>
  <c r="BC100" i="2"/>
  <c r="AZ162" i="2"/>
  <c r="AX157" i="2"/>
  <c r="BD191" i="2"/>
  <c r="BA131" i="2"/>
  <c r="BE136" i="2"/>
  <c r="BA210" i="2"/>
  <c r="BA165" i="2"/>
  <c r="BG80" i="2"/>
  <c r="AZ139" i="2"/>
  <c r="BD150" i="2"/>
  <c r="BG190" i="2"/>
  <c r="BA139" i="2" l="1"/>
  <c r="AY75" i="2"/>
  <c r="BD201" i="2"/>
  <c r="BA182" i="2"/>
  <c r="BB131" i="2"/>
  <c r="AX187" i="2"/>
  <c r="BB202" i="2"/>
  <c r="AY166" i="2"/>
  <c r="BI145" i="2"/>
  <c r="BA47" i="2"/>
  <c r="BB210" i="2"/>
  <c r="BH190" i="2"/>
  <c r="BA162" i="2"/>
  <c r="AZ134" i="2"/>
  <c r="BD88" i="2"/>
  <c r="BE191" i="2"/>
  <c r="AZ203" i="2"/>
  <c r="AZ170" i="2"/>
  <c r="BA155" i="2"/>
  <c r="AZ175" i="2"/>
  <c r="BH80" i="2"/>
  <c r="BF136" i="2"/>
  <c r="BD100" i="2"/>
  <c r="BH207" i="2"/>
  <c r="BE150" i="2"/>
  <c r="BF200" i="2"/>
  <c r="BD160" i="2"/>
  <c r="AZ195" i="2"/>
  <c r="AY157" i="2"/>
  <c r="BB165" i="2"/>
  <c r="AW159" i="2"/>
  <c r="AV211" i="2"/>
  <c r="AZ151" i="2"/>
  <c r="AW82" i="2"/>
  <c r="AV111" i="2"/>
  <c r="BI80" i="2" l="1"/>
  <c r="BB182" i="2"/>
  <c r="BC210" i="2"/>
  <c r="BA151" i="2"/>
  <c r="AZ157" i="2"/>
  <c r="BF191" i="2"/>
  <c r="BA134" i="2"/>
  <c r="AZ166" i="2"/>
  <c r="BA170" i="2"/>
  <c r="BE160" i="2"/>
  <c r="BE100" i="2"/>
  <c r="BA203" i="2"/>
  <c r="BA175" i="2"/>
  <c r="BE201" i="2"/>
  <c r="BG136" i="2"/>
  <c r="BI207" i="2"/>
  <c r="BB139" i="2"/>
  <c r="BG200" i="2"/>
  <c r="BA195" i="2"/>
  <c r="BF150" i="2"/>
  <c r="BB155" i="2"/>
  <c r="BE88" i="2"/>
  <c r="BB162" i="2"/>
  <c r="BC202" i="2"/>
  <c r="BC131" i="2"/>
  <c r="AZ75" i="2"/>
  <c r="AX82" i="2"/>
  <c r="AW111" i="2"/>
  <c r="BC165" i="2"/>
  <c r="AY187" i="2"/>
  <c r="AX159" i="2"/>
  <c r="AW211" i="2"/>
  <c r="BB47" i="2"/>
  <c r="BI190" i="2"/>
  <c r="BB203" i="2" l="1"/>
  <c r="AZ187" i="2"/>
  <c r="BC155" i="2"/>
  <c r="BH136" i="2"/>
  <c r="BC47" i="2"/>
  <c r="BD202" i="2"/>
  <c r="BF201" i="2"/>
  <c r="BF100" i="2"/>
  <c r="AY82" i="2"/>
  <c r="AX111" i="2"/>
  <c r="BD131" i="2"/>
  <c r="BD210" i="2"/>
  <c r="BD165" i="2"/>
  <c r="BA75" i="2"/>
  <c r="BC139" i="2"/>
  <c r="BA157" i="2"/>
  <c r="BC182" i="2"/>
  <c r="BC162" i="2"/>
  <c r="BG150" i="2"/>
  <c r="BB175" i="2"/>
  <c r="BF160" i="2"/>
  <c r="BA166" i="2"/>
  <c r="BG191" i="2"/>
  <c r="AY159" i="2"/>
  <c r="AX211" i="2"/>
  <c r="BF88" i="2"/>
  <c r="BB195" i="2"/>
  <c r="BB170" i="2"/>
  <c r="BB134" i="2"/>
  <c r="BB151" i="2"/>
  <c r="BH200" i="2"/>
  <c r="BD139" i="2" l="1"/>
  <c r="AZ82" i="2"/>
  <c r="AY111" i="2"/>
  <c r="BC195" i="2"/>
  <c r="BH191" i="2"/>
  <c r="BC175" i="2"/>
  <c r="BD182" i="2"/>
  <c r="BD155" i="2"/>
  <c r="BC151" i="2"/>
  <c r="BB75" i="2"/>
  <c r="BG100" i="2"/>
  <c r="BG160" i="2"/>
  <c r="BG88" i="2"/>
  <c r="BE131" i="2"/>
  <c r="BD47" i="2"/>
  <c r="BI200" i="2"/>
  <c r="BH150" i="2"/>
  <c r="BB157" i="2"/>
  <c r="BE165" i="2"/>
  <c r="BG201" i="2"/>
  <c r="BA187" i="2"/>
  <c r="AZ159" i="2"/>
  <c r="AY211" i="2"/>
  <c r="BC134" i="2"/>
  <c r="BB166" i="2"/>
  <c r="BC170" i="2"/>
  <c r="BD162" i="2"/>
  <c r="BE210" i="2"/>
  <c r="BE202" i="2"/>
  <c r="BI136" i="2"/>
  <c r="BC203" i="2"/>
  <c r="BB187" i="2" l="1"/>
  <c r="BH88" i="2"/>
  <c r="BE182" i="2"/>
  <c r="BC75" i="2"/>
  <c r="BD170" i="2"/>
  <c r="BD134" i="2"/>
  <c r="BE47" i="2"/>
  <c r="BC157" i="2"/>
  <c r="BH201" i="2"/>
  <c r="BI150" i="2"/>
  <c r="BH160" i="2"/>
  <c r="BD151" i="2"/>
  <c r="BD175" i="2"/>
  <c r="BF202" i="2"/>
  <c r="BC166" i="2"/>
  <c r="BA82" i="2"/>
  <c r="AZ111" i="2"/>
  <c r="BF165" i="2"/>
  <c r="BH100" i="2"/>
  <c r="BI191" i="2"/>
  <c r="BE155" i="2"/>
  <c r="BD195" i="2"/>
  <c r="BE162" i="2"/>
  <c r="BF210" i="2"/>
  <c r="BA159" i="2"/>
  <c r="AZ211" i="2"/>
  <c r="BD203" i="2"/>
  <c r="BF131" i="2"/>
  <c r="BE139" i="2"/>
  <c r="BE134" i="2" l="1"/>
  <c r="BF139" i="2"/>
  <c r="BI100" i="2"/>
  <c r="BB82" i="2"/>
  <c r="BA111" i="2"/>
  <c r="BF162" i="2"/>
  <c r="BE195" i="2"/>
  <c r="BI201" i="2"/>
  <c r="BF47" i="2"/>
  <c r="BE170" i="2"/>
  <c r="BF182" i="2"/>
  <c r="BE203" i="2"/>
  <c r="BG165" i="2"/>
  <c r="BE151" i="2"/>
  <c r="BB159" i="2"/>
  <c r="BA211" i="2"/>
  <c r="BD166" i="2"/>
  <c r="BI88" i="2"/>
  <c r="BF155" i="2"/>
  <c r="BI160" i="2"/>
  <c r="BD157" i="2"/>
  <c r="BE175" i="2"/>
  <c r="BG131" i="2"/>
  <c r="BG210" i="2"/>
  <c r="BG202" i="2"/>
  <c r="BD75" i="2"/>
  <c r="BC187" i="2"/>
  <c r="BC159" i="2" l="1"/>
  <c r="BB211" i="2"/>
  <c r="BE75" i="2"/>
  <c r="BG47" i="2"/>
  <c r="BG139" i="2"/>
  <c r="BH210" i="2"/>
  <c r="BG182" i="2"/>
  <c r="BG155" i="2"/>
  <c r="BE157" i="2"/>
  <c r="BF151" i="2"/>
  <c r="BE166" i="2"/>
  <c r="BF170" i="2"/>
  <c r="BC82" i="2"/>
  <c r="BB111" i="2"/>
  <c r="BH131" i="2"/>
  <c r="BH165" i="2"/>
  <c r="BF195" i="2"/>
  <c r="BD187" i="2"/>
  <c r="BH202" i="2"/>
  <c r="BF175" i="2"/>
  <c r="BF203" i="2"/>
  <c r="BG162" i="2"/>
  <c r="BF134" i="2"/>
  <c r="BG175" i="2" l="1"/>
  <c r="BG134" i="2"/>
  <c r="BI165" i="2"/>
  <c r="BI202" i="2"/>
  <c r="BH139" i="2"/>
  <c r="BF75" i="2"/>
  <c r="BH162" i="2"/>
  <c r="BD82" i="2"/>
  <c r="BC111" i="2"/>
  <c r="BG151" i="2"/>
  <c r="BE187" i="2"/>
  <c r="BH182" i="2"/>
  <c r="BH155" i="2"/>
  <c r="BG203" i="2"/>
  <c r="BG170" i="2"/>
  <c r="BD159" i="2"/>
  <c r="BC211" i="2"/>
  <c r="BF166" i="2"/>
  <c r="BG195" i="2"/>
  <c r="BI131" i="2"/>
  <c r="BF157" i="2"/>
  <c r="BI210" i="2"/>
  <c r="BH47" i="2"/>
  <c r="BD211" i="2"/>
  <c r="BG166" i="2" l="1"/>
  <c r="BH203" i="2"/>
  <c r="BF187" i="2"/>
  <c r="BG75" i="2"/>
  <c r="BI47" i="2"/>
  <c r="BE82" i="2"/>
  <c r="BD111" i="2"/>
  <c r="BI139" i="2"/>
  <c r="BG157" i="2"/>
  <c r="BI155" i="2"/>
  <c r="BE159" i="2"/>
  <c r="BI162" i="2"/>
  <c r="BH134" i="2"/>
  <c r="BH151" i="2"/>
  <c r="BH195" i="2"/>
  <c r="BH170" i="2"/>
  <c r="BI182" i="2"/>
  <c r="BH175" i="2"/>
  <c r="BI151" i="2" l="1"/>
  <c r="BG187" i="2"/>
  <c r="BI203" i="2"/>
  <c r="BF159" i="2"/>
  <c r="BE211" i="2"/>
  <c r="BI170" i="2"/>
  <c r="BI175" i="2"/>
  <c r="BI195" i="2"/>
  <c r="BH166" i="2"/>
  <c r="BI134" i="2"/>
  <c r="BH157" i="2"/>
  <c r="BF82" i="2"/>
  <c r="BE111" i="2"/>
  <c r="BH75" i="2"/>
  <c r="BI75" i="2" l="1"/>
  <c r="BI157" i="2"/>
  <c r="BI166" i="2"/>
  <c r="BG159" i="2"/>
  <c r="BF211" i="2"/>
  <c r="BG82" i="2"/>
  <c r="BF111" i="2"/>
  <c r="BH187" i="2"/>
  <c r="BI187" i="2" l="1"/>
  <c r="BH82" i="2"/>
  <c r="BG111" i="2"/>
  <c r="BH159" i="2"/>
  <c r="BG211" i="2"/>
  <c r="BH211" i="2"/>
  <c r="BI82" i="2" l="1"/>
  <c r="BH111" i="2"/>
  <c r="BI159" i="2"/>
  <c r="BI211" i="2" l="1"/>
  <c r="BI111" i="2"/>
  <c r="AJ4" i="2" l="1"/>
  <c r="AK4" i="2"/>
  <c r="AL4" i="2"/>
  <c r="AM4" i="2"/>
  <c r="AN4" i="2"/>
  <c r="AO4" i="2"/>
  <c r="AP4" i="2"/>
  <c r="AP5" i="2" s="1"/>
  <c r="AQ4" i="2"/>
  <c r="AR4" i="2"/>
  <c r="AR5" i="2" s="1"/>
  <c r="AS4" i="2"/>
  <c r="AT4" i="2"/>
  <c r="AU4" i="2"/>
  <c r="AV4" i="2"/>
  <c r="AW4" i="2"/>
  <c r="AX4" i="2"/>
  <c r="AX5" i="2" s="1"/>
  <c r="AY4" i="2"/>
  <c r="AZ4" i="2"/>
  <c r="AZ5" i="2" s="1"/>
  <c r="BA4" i="2"/>
  <c r="BB4" i="2"/>
  <c r="BC4" i="2"/>
  <c r="BD4" i="2"/>
  <c r="BE4" i="2"/>
  <c r="BF4" i="2"/>
  <c r="BF5" i="2" s="1"/>
  <c r="BG4" i="2"/>
  <c r="BH4" i="2"/>
  <c r="BH5" i="2" s="1"/>
  <c r="BI4" i="2"/>
  <c r="AL5" i="2"/>
  <c r="AM5" i="2"/>
  <c r="AN5" i="2"/>
  <c r="AO5" i="2"/>
  <c r="AT5" i="2"/>
  <c r="AU5" i="2"/>
  <c r="AV5" i="2"/>
  <c r="AW5" i="2"/>
  <c r="BB5" i="2"/>
  <c r="BC5" i="2"/>
  <c r="BD5" i="2"/>
  <c r="BE5" i="2"/>
  <c r="AJ6" i="2"/>
  <c r="AK6" i="2"/>
  <c r="AL6" i="2"/>
  <c r="AM6" i="2"/>
  <c r="AN6" i="2"/>
  <c r="AO6" i="2"/>
  <c r="AP6" i="2"/>
  <c r="AQ6" i="2"/>
  <c r="AR6" i="2"/>
  <c r="AS6" i="2"/>
  <c r="AT6" i="2"/>
  <c r="AU6" i="2"/>
  <c r="AV6" i="2"/>
  <c r="AW6" i="2"/>
  <c r="AX6" i="2"/>
  <c r="AY6" i="2"/>
  <c r="AZ6" i="2"/>
  <c r="BA6" i="2"/>
  <c r="BB6" i="2"/>
  <c r="BC6" i="2"/>
  <c r="BD6" i="2"/>
  <c r="BE6" i="2"/>
  <c r="BF6" i="2"/>
  <c r="BG6" i="2"/>
  <c r="BH6" i="2"/>
  <c r="BI6" i="2"/>
  <c r="AJ7" i="2"/>
  <c r="AK7" i="2"/>
  <c r="AL7" i="2"/>
  <c r="AM7" i="2"/>
  <c r="AN7" i="2"/>
  <c r="AO7" i="2"/>
  <c r="AP7" i="2"/>
  <c r="AQ7" i="2"/>
  <c r="AR7" i="2"/>
  <c r="AS7" i="2"/>
  <c r="AT7" i="2"/>
  <c r="AU7" i="2"/>
  <c r="AV7" i="2"/>
  <c r="AW7" i="2"/>
  <c r="AX7" i="2"/>
  <c r="AY7" i="2"/>
  <c r="AZ7" i="2"/>
  <c r="BA7" i="2"/>
  <c r="BB7" i="2"/>
  <c r="BC7" i="2"/>
  <c r="BD7" i="2"/>
  <c r="BE7" i="2"/>
  <c r="BF7" i="2"/>
  <c r="BG7" i="2"/>
  <c r="BH7" i="2"/>
  <c r="BI7" i="2"/>
  <c r="BB9" i="2"/>
  <c r="BC9" i="2" s="1"/>
  <c r="BD9" i="2" s="1"/>
  <c r="BE9" i="2" s="1"/>
  <c r="BF9" i="2" s="1"/>
  <c r="BG9" i="2" s="1"/>
  <c r="BH9" i="2" s="1"/>
  <c r="BI9" i="2" s="1"/>
  <c r="AT9" i="2"/>
  <c r="AU9" i="2" s="1"/>
  <c r="AV9" i="2" s="1"/>
  <c r="AW9" i="2" s="1"/>
  <c r="AX9" i="2" s="1"/>
  <c r="AY9" i="2" s="1"/>
  <c r="AZ9" i="2" s="1"/>
  <c r="BA9" i="2" s="1"/>
  <c r="AP9" i="2"/>
  <c r="AQ9" i="2" s="1"/>
  <c r="AR9" i="2" s="1"/>
  <c r="AS9" i="2" s="1"/>
  <c r="AL9" i="2"/>
  <c r="AM9" i="2" s="1"/>
  <c r="AN9" i="2" s="1"/>
  <c r="AO9" i="2" s="1"/>
  <c r="AH9" i="2"/>
  <c r="AI9" i="2" s="1"/>
  <c r="AJ9" i="2" s="1"/>
  <c r="AK9" i="2" s="1"/>
  <c r="AE9" i="2"/>
  <c r="AD9" i="2"/>
  <c r="AC9" i="2"/>
  <c r="AB9" i="2"/>
  <c r="AA9" i="2"/>
  <c r="S15" i="2"/>
  <c r="T15" i="2"/>
  <c r="S16" i="2"/>
  <c r="T16" i="2"/>
  <c r="S17" i="2"/>
  <c r="T17" i="2"/>
  <c r="S18" i="2"/>
  <c r="T18" i="2"/>
  <c r="T111" i="2" s="1"/>
  <c r="S19" i="2"/>
  <c r="T19" i="2"/>
  <c r="S20" i="2"/>
  <c r="T20" i="2"/>
  <c r="S21" i="2"/>
  <c r="T21" i="2"/>
  <c r="S22" i="2"/>
  <c r="T22" i="2"/>
  <c r="S23" i="2"/>
  <c r="T23" i="2"/>
  <c r="S24" i="2"/>
  <c r="T24" i="2"/>
  <c r="S25" i="2"/>
  <c r="T25" i="2"/>
  <c r="S26" i="2"/>
  <c r="T26" i="2"/>
  <c r="S27" i="2"/>
  <c r="T27" i="2"/>
  <c r="S28" i="2"/>
  <c r="T28" i="2"/>
  <c r="S29" i="2"/>
  <c r="T29" i="2"/>
  <c r="S30" i="2"/>
  <c r="T30" i="2"/>
  <c r="S31" i="2"/>
  <c r="T31" i="2"/>
  <c r="S32" i="2"/>
  <c r="T32" i="2"/>
  <c r="S33" i="2"/>
  <c r="T33" i="2"/>
  <c r="S34" i="2"/>
  <c r="T34" i="2"/>
  <c r="S35" i="2"/>
  <c r="T35" i="2"/>
  <c r="S36" i="2"/>
  <c r="T36" i="2"/>
  <c r="S37" i="2"/>
  <c r="T37" i="2"/>
  <c r="S38" i="2"/>
  <c r="T38" i="2"/>
  <c r="S39" i="2"/>
  <c r="T39" i="2"/>
  <c r="S40" i="2"/>
  <c r="T40" i="2"/>
  <c r="S41" i="2"/>
  <c r="T41" i="2"/>
  <c r="S42" i="2"/>
  <c r="T42" i="2"/>
  <c r="S43" i="2"/>
  <c r="T43" i="2"/>
  <c r="S44" i="2"/>
  <c r="T44" i="2"/>
  <c r="S45" i="2"/>
  <c r="T45" i="2"/>
  <c r="S46" i="2"/>
  <c r="T46" i="2"/>
  <c r="S47" i="2"/>
  <c r="T47" i="2"/>
  <c r="S48" i="2"/>
  <c r="T48" i="2"/>
  <c r="S49" i="2"/>
  <c r="T49" i="2"/>
  <c r="S50" i="2"/>
  <c r="T50" i="2"/>
  <c r="S51" i="2"/>
  <c r="T51" i="2"/>
  <c r="S52" i="2"/>
  <c r="T52" i="2"/>
  <c r="S53" i="2"/>
  <c r="T53" i="2"/>
  <c r="S54" i="2"/>
  <c r="T54" i="2"/>
  <c r="S55" i="2"/>
  <c r="T55" i="2"/>
  <c r="S56" i="2"/>
  <c r="T56" i="2"/>
  <c r="S57" i="2"/>
  <c r="T57" i="2"/>
  <c r="S58" i="2"/>
  <c r="T58" i="2"/>
  <c r="S59" i="2"/>
  <c r="T59" i="2"/>
  <c r="S60" i="2"/>
  <c r="T60" i="2"/>
  <c r="S61" i="2"/>
  <c r="T61" i="2"/>
  <c r="S62" i="2"/>
  <c r="T62" i="2"/>
  <c r="S63" i="2"/>
  <c r="T63" i="2"/>
  <c r="S64" i="2"/>
  <c r="T64" i="2"/>
  <c r="S65" i="2"/>
  <c r="T65" i="2"/>
  <c r="S66" i="2"/>
  <c r="T66" i="2"/>
  <c r="S67" i="2"/>
  <c r="T67" i="2"/>
  <c r="S68" i="2"/>
  <c r="T68" i="2"/>
  <c r="S69" i="2"/>
  <c r="T69" i="2"/>
  <c r="S70" i="2"/>
  <c r="T70" i="2"/>
  <c r="S71" i="2"/>
  <c r="T71" i="2"/>
  <c r="S72" i="2"/>
  <c r="T72" i="2"/>
  <c r="S73" i="2"/>
  <c r="T73" i="2"/>
  <c r="S74" i="2"/>
  <c r="T74" i="2"/>
  <c r="S75" i="2"/>
  <c r="T75" i="2"/>
  <c r="S76" i="2"/>
  <c r="T76" i="2"/>
  <c r="S77" i="2"/>
  <c r="T77" i="2"/>
  <c r="S78" i="2"/>
  <c r="T78" i="2"/>
  <c r="S79" i="2"/>
  <c r="T79" i="2"/>
  <c r="S80" i="2"/>
  <c r="T80" i="2"/>
  <c r="S81" i="2"/>
  <c r="T81" i="2"/>
  <c r="S82" i="2"/>
  <c r="T82" i="2"/>
  <c r="S83" i="2"/>
  <c r="T83" i="2"/>
  <c r="S84" i="2"/>
  <c r="T84" i="2"/>
  <c r="S85" i="2"/>
  <c r="T85" i="2"/>
  <c r="S86" i="2"/>
  <c r="T86" i="2"/>
  <c r="S87" i="2"/>
  <c r="T87" i="2"/>
  <c r="S88" i="2"/>
  <c r="T88" i="2"/>
  <c r="S89" i="2"/>
  <c r="T89" i="2"/>
  <c r="S90" i="2"/>
  <c r="T90" i="2"/>
  <c r="S91" i="2"/>
  <c r="T91" i="2"/>
  <c r="S92" i="2"/>
  <c r="T92" i="2"/>
  <c r="S93" i="2"/>
  <c r="T93" i="2"/>
  <c r="S94" i="2"/>
  <c r="T94" i="2"/>
  <c r="S95" i="2"/>
  <c r="T95" i="2"/>
  <c r="S96" i="2"/>
  <c r="T96" i="2"/>
  <c r="S97" i="2"/>
  <c r="T97" i="2"/>
  <c r="S98" i="2"/>
  <c r="T98" i="2"/>
  <c r="S99" i="2"/>
  <c r="T99" i="2"/>
  <c r="S100" i="2"/>
  <c r="T100" i="2"/>
  <c r="S101" i="2"/>
  <c r="T101" i="2"/>
  <c r="S102" i="2"/>
  <c r="T102" i="2"/>
  <c r="S103" i="2"/>
  <c r="T103" i="2"/>
  <c r="S104" i="2"/>
  <c r="T104" i="2"/>
  <c r="S105" i="2"/>
  <c r="T105" i="2"/>
  <c r="S106" i="2"/>
  <c r="T106" i="2"/>
  <c r="S107" i="2"/>
  <c r="T107" i="2"/>
  <c r="S108" i="2"/>
  <c r="T108" i="2"/>
  <c r="S109" i="2"/>
  <c r="T109" i="2"/>
  <c r="S110" i="2"/>
  <c r="T110" i="2"/>
  <c r="S111" i="2"/>
  <c r="S115" i="2"/>
  <c r="T115" i="2"/>
  <c r="S116" i="2"/>
  <c r="T116" i="2"/>
  <c r="S117" i="2"/>
  <c r="T117" i="2"/>
  <c r="T211" i="2" s="1"/>
  <c r="S118" i="2"/>
  <c r="T118" i="2"/>
  <c r="S119" i="2"/>
  <c r="T119" i="2"/>
  <c r="S120" i="2"/>
  <c r="T120" i="2"/>
  <c r="S121" i="2"/>
  <c r="T121" i="2"/>
  <c r="S122" i="2"/>
  <c r="T122" i="2"/>
  <c r="S123" i="2"/>
  <c r="T123" i="2"/>
  <c r="S124" i="2"/>
  <c r="T124" i="2"/>
  <c r="S125" i="2"/>
  <c r="T125" i="2"/>
  <c r="S126" i="2"/>
  <c r="T126" i="2"/>
  <c r="S127" i="2"/>
  <c r="T127" i="2"/>
  <c r="S128" i="2"/>
  <c r="T128" i="2"/>
  <c r="S129" i="2"/>
  <c r="T129" i="2"/>
  <c r="S130" i="2"/>
  <c r="T130" i="2"/>
  <c r="S131" i="2"/>
  <c r="T131" i="2"/>
  <c r="S132" i="2"/>
  <c r="T132" i="2"/>
  <c r="S133" i="2"/>
  <c r="T133" i="2"/>
  <c r="S134" i="2"/>
  <c r="T134" i="2"/>
  <c r="S135" i="2"/>
  <c r="T135" i="2"/>
  <c r="S136" i="2"/>
  <c r="T136" i="2"/>
  <c r="S137" i="2"/>
  <c r="T137" i="2"/>
  <c r="S138" i="2"/>
  <c r="T138" i="2"/>
  <c r="S139" i="2"/>
  <c r="T139" i="2"/>
  <c r="S140" i="2"/>
  <c r="T140" i="2"/>
  <c r="S141" i="2"/>
  <c r="T141" i="2"/>
  <c r="S142" i="2"/>
  <c r="T142" i="2"/>
  <c r="S143" i="2"/>
  <c r="T143" i="2"/>
  <c r="S144" i="2"/>
  <c r="T144" i="2"/>
  <c r="S145" i="2"/>
  <c r="T145" i="2"/>
  <c r="S146" i="2"/>
  <c r="T146" i="2"/>
  <c r="S147" i="2"/>
  <c r="T147" i="2"/>
  <c r="S148" i="2"/>
  <c r="T148" i="2"/>
  <c r="S149" i="2"/>
  <c r="T149" i="2"/>
  <c r="S150" i="2"/>
  <c r="T150" i="2"/>
  <c r="S151" i="2"/>
  <c r="T151" i="2"/>
  <c r="S152" i="2"/>
  <c r="T152" i="2"/>
  <c r="S153" i="2"/>
  <c r="T153" i="2"/>
  <c r="S154" i="2"/>
  <c r="T154" i="2"/>
  <c r="S155" i="2"/>
  <c r="T155" i="2"/>
  <c r="S156" i="2"/>
  <c r="T156" i="2"/>
  <c r="S157" i="2"/>
  <c r="T157" i="2"/>
  <c r="S158" i="2"/>
  <c r="T158" i="2"/>
  <c r="S159" i="2"/>
  <c r="T159" i="2"/>
  <c r="S160" i="2"/>
  <c r="T160" i="2"/>
  <c r="S161" i="2"/>
  <c r="T161" i="2"/>
  <c r="S162" i="2"/>
  <c r="T162" i="2"/>
  <c r="S163" i="2"/>
  <c r="T163" i="2"/>
  <c r="S164" i="2"/>
  <c r="T164" i="2"/>
  <c r="S165" i="2"/>
  <c r="T165" i="2"/>
  <c r="S166" i="2"/>
  <c r="T166" i="2"/>
  <c r="S167" i="2"/>
  <c r="T167" i="2"/>
  <c r="S168" i="2"/>
  <c r="T168" i="2"/>
  <c r="S169" i="2"/>
  <c r="T169" i="2"/>
  <c r="S170" i="2"/>
  <c r="T170" i="2"/>
  <c r="S171" i="2"/>
  <c r="T171" i="2"/>
  <c r="S172" i="2"/>
  <c r="T172" i="2"/>
  <c r="S173" i="2"/>
  <c r="T173" i="2"/>
  <c r="S174" i="2"/>
  <c r="T174" i="2"/>
  <c r="S175" i="2"/>
  <c r="T175" i="2"/>
  <c r="S176" i="2"/>
  <c r="T176" i="2"/>
  <c r="S177" i="2"/>
  <c r="T177" i="2"/>
  <c r="S178" i="2"/>
  <c r="T178" i="2"/>
  <c r="S179" i="2"/>
  <c r="T179" i="2"/>
  <c r="S180" i="2"/>
  <c r="T180" i="2"/>
  <c r="S181" i="2"/>
  <c r="T181" i="2"/>
  <c r="S182" i="2"/>
  <c r="T182" i="2"/>
  <c r="S183" i="2"/>
  <c r="T183" i="2"/>
  <c r="S184" i="2"/>
  <c r="T184" i="2"/>
  <c r="S185" i="2"/>
  <c r="T185" i="2"/>
  <c r="S186" i="2"/>
  <c r="T186" i="2"/>
  <c r="S187" i="2"/>
  <c r="T187" i="2"/>
  <c r="S188" i="2"/>
  <c r="T188" i="2"/>
  <c r="S189" i="2"/>
  <c r="T189" i="2"/>
  <c r="S190" i="2"/>
  <c r="T190" i="2"/>
  <c r="S191" i="2"/>
  <c r="T191" i="2"/>
  <c r="S192" i="2"/>
  <c r="T192" i="2"/>
  <c r="S193" i="2"/>
  <c r="T193" i="2"/>
  <c r="S194" i="2"/>
  <c r="T194" i="2"/>
  <c r="S195" i="2"/>
  <c r="T195" i="2"/>
  <c r="S196" i="2"/>
  <c r="T196" i="2"/>
  <c r="S197" i="2"/>
  <c r="T197" i="2"/>
  <c r="S198" i="2"/>
  <c r="T198" i="2"/>
  <c r="S199" i="2"/>
  <c r="T199" i="2"/>
  <c r="S200" i="2"/>
  <c r="T200" i="2"/>
  <c r="S201" i="2"/>
  <c r="T201" i="2"/>
  <c r="S202" i="2"/>
  <c r="T202" i="2"/>
  <c r="S203" i="2"/>
  <c r="T203" i="2"/>
  <c r="S204" i="2"/>
  <c r="T204" i="2"/>
  <c r="S205" i="2"/>
  <c r="T205" i="2"/>
  <c r="S206" i="2"/>
  <c r="T206" i="2"/>
  <c r="S207" i="2"/>
  <c r="T207" i="2"/>
  <c r="S208" i="2"/>
  <c r="T208" i="2"/>
  <c r="S209" i="2"/>
  <c r="T209" i="2"/>
  <c r="S210" i="2"/>
  <c r="S211" i="2" s="1"/>
  <c r="T210" i="2"/>
  <c r="S4" i="2"/>
  <c r="S5" i="2" s="1"/>
  <c r="S6" i="2"/>
  <c r="T6" i="2"/>
  <c r="S7" i="2"/>
  <c r="BG5" i="2" l="1"/>
  <c r="AY5" i="2"/>
  <c r="AQ5" i="2"/>
  <c r="BI5" i="2"/>
  <c r="BA5" i="2"/>
  <c r="AS5" i="2"/>
  <c r="AK5" i="2"/>
  <c r="AF9" i="2"/>
  <c r="AG9" i="2" s="1"/>
  <c r="T4" i="2"/>
  <c r="T5" i="2" s="1"/>
  <c r="T7" i="2"/>
  <c r="U355" i="1" l="1"/>
  <c r="V355" i="1"/>
  <c r="W355" i="1"/>
  <c r="X355" i="1"/>
  <c r="Y355" i="1"/>
  <c r="Z355" i="1"/>
  <c r="AA355" i="1"/>
  <c r="AB355" i="1"/>
  <c r="AC355" i="1"/>
  <c r="AD355" i="1"/>
  <c r="AE355" i="1"/>
  <c r="AF355" i="1"/>
  <c r="AG355" i="1"/>
  <c r="AH355" i="1"/>
  <c r="AI355" i="1"/>
  <c r="AJ355" i="1"/>
  <c r="AK355" i="1"/>
  <c r="AL355" i="1"/>
  <c r="AM355" i="1"/>
  <c r="AN355" i="1"/>
  <c r="AO355" i="1"/>
  <c r="AP355" i="1"/>
  <c r="AQ355" i="1"/>
  <c r="AR355" i="1"/>
  <c r="AS355" i="1"/>
  <c r="AT355" i="1"/>
  <c r="AU355" i="1"/>
  <c r="AV355" i="1"/>
  <c r="AW355" i="1"/>
  <c r="AX355" i="1"/>
  <c r="AY355" i="1"/>
  <c r="AZ355" i="1"/>
  <c r="BA355" i="1"/>
  <c r="BB355" i="1"/>
  <c r="BC355" i="1"/>
  <c r="BD355" i="1"/>
  <c r="BE355" i="1"/>
  <c r="BF355" i="1"/>
  <c r="BG355" i="1"/>
  <c r="BH355" i="1"/>
  <c r="BI355" i="1"/>
  <c r="U356" i="1"/>
  <c r="V356" i="1"/>
  <c r="W356" i="1"/>
  <c r="X356" i="1"/>
  <c r="Y356" i="1"/>
  <c r="Z356" i="1"/>
  <c r="AA356" i="1"/>
  <c r="AB356" i="1"/>
  <c r="AC356" i="1"/>
  <c r="AD356" i="1"/>
  <c r="AE356" i="1"/>
  <c r="AF356" i="1"/>
  <c r="AG356" i="1"/>
  <c r="AH356" i="1"/>
  <c r="AI356" i="1"/>
  <c r="AJ356" i="1"/>
  <c r="AK356" i="1"/>
  <c r="AL356" i="1"/>
  <c r="AM356" i="1"/>
  <c r="AN356" i="1"/>
  <c r="AO356" i="1"/>
  <c r="AP356" i="1"/>
  <c r="AQ356" i="1"/>
  <c r="AR356" i="1"/>
  <c r="AS356" i="1"/>
  <c r="AT356" i="1"/>
  <c r="AU356" i="1"/>
  <c r="AV356" i="1"/>
  <c r="AW356" i="1"/>
  <c r="AX356" i="1"/>
  <c r="AY356" i="1"/>
  <c r="AZ356" i="1"/>
  <c r="BA356" i="1"/>
  <c r="BB356" i="1"/>
  <c r="BC356" i="1"/>
  <c r="BD356" i="1"/>
  <c r="BE356" i="1"/>
  <c r="BF356" i="1"/>
  <c r="BG356" i="1"/>
  <c r="BH356" i="1"/>
  <c r="BI356" i="1"/>
  <c r="U357" i="1"/>
  <c r="V357" i="1"/>
  <c r="W357" i="1"/>
  <c r="X357" i="1"/>
  <c r="Y357" i="1"/>
  <c r="Z357" i="1"/>
  <c r="AA357" i="1"/>
  <c r="AB357" i="1"/>
  <c r="AC357" i="1"/>
  <c r="AD357" i="1"/>
  <c r="AE357" i="1"/>
  <c r="AF357" i="1"/>
  <c r="AG357" i="1"/>
  <c r="AH357" i="1"/>
  <c r="AI357" i="1"/>
  <c r="AJ357" i="1"/>
  <c r="AK357" i="1"/>
  <c r="AL357" i="1"/>
  <c r="AM357" i="1"/>
  <c r="AN357" i="1"/>
  <c r="AO357" i="1"/>
  <c r="AP357" i="1"/>
  <c r="AQ357" i="1"/>
  <c r="AR357" i="1"/>
  <c r="AS357" i="1"/>
  <c r="AT357" i="1"/>
  <c r="AU357" i="1"/>
  <c r="AV357" i="1"/>
  <c r="AW357" i="1"/>
  <c r="AX357" i="1"/>
  <c r="AY357" i="1"/>
  <c r="AZ357" i="1"/>
  <c r="BA357" i="1"/>
  <c r="BB357" i="1"/>
  <c r="BC357" i="1"/>
  <c r="BD357" i="1"/>
  <c r="BE357" i="1"/>
  <c r="BF357" i="1"/>
  <c r="BG357" i="1"/>
  <c r="BH357" i="1"/>
  <c r="BI357" i="1"/>
  <c r="U358" i="1"/>
  <c r="V358" i="1"/>
  <c r="W358" i="1"/>
  <c r="X358" i="1"/>
  <c r="Y358" i="1"/>
  <c r="Z358" i="1"/>
  <c r="AA358" i="1"/>
  <c r="AB358" i="1"/>
  <c r="AC358" i="1"/>
  <c r="AD358" i="1"/>
  <c r="AE358" i="1"/>
  <c r="AF358" i="1"/>
  <c r="AG358" i="1"/>
  <c r="AH358" i="1"/>
  <c r="AI358" i="1"/>
  <c r="AJ358" i="1"/>
  <c r="AK358" i="1"/>
  <c r="AL358" i="1"/>
  <c r="AM358" i="1"/>
  <c r="AN358" i="1"/>
  <c r="AO358" i="1"/>
  <c r="AP358" i="1"/>
  <c r="AQ358" i="1"/>
  <c r="AR358" i="1"/>
  <c r="AS358" i="1"/>
  <c r="AT358" i="1"/>
  <c r="AU358" i="1"/>
  <c r="AV358" i="1"/>
  <c r="AW358" i="1"/>
  <c r="AX358" i="1"/>
  <c r="AY358" i="1"/>
  <c r="AZ358" i="1"/>
  <c r="BA358" i="1"/>
  <c r="BB358" i="1"/>
  <c r="BC358" i="1"/>
  <c r="BD358" i="1"/>
  <c r="BE358" i="1"/>
  <c r="BF358" i="1"/>
  <c r="BG358" i="1"/>
  <c r="BH358" i="1"/>
  <c r="BI358" i="1"/>
  <c r="U359" i="1"/>
  <c r="V359" i="1"/>
  <c r="W359" i="1"/>
  <c r="X359" i="1"/>
  <c r="Y359" i="1"/>
  <c r="Z359" i="1"/>
  <c r="AA359" i="1"/>
  <c r="AB359" i="1"/>
  <c r="AC359" i="1"/>
  <c r="AD359" i="1"/>
  <c r="AE359" i="1"/>
  <c r="AF359" i="1"/>
  <c r="AG359" i="1"/>
  <c r="AH359" i="1"/>
  <c r="AI359" i="1"/>
  <c r="AJ359" i="1"/>
  <c r="AK359" i="1"/>
  <c r="AL359" i="1"/>
  <c r="AM359" i="1"/>
  <c r="AN359" i="1"/>
  <c r="AO359" i="1"/>
  <c r="AP359" i="1"/>
  <c r="AQ359" i="1"/>
  <c r="AR359" i="1"/>
  <c r="AS359" i="1"/>
  <c r="AT359" i="1"/>
  <c r="AU359" i="1"/>
  <c r="AV359" i="1"/>
  <c r="AW359" i="1"/>
  <c r="AX359" i="1"/>
  <c r="AY359" i="1"/>
  <c r="AZ359" i="1"/>
  <c r="BA359" i="1"/>
  <c r="BB359" i="1"/>
  <c r="BC359" i="1"/>
  <c r="BD359" i="1"/>
  <c r="BE359" i="1"/>
  <c r="BF359" i="1"/>
  <c r="BG359" i="1"/>
  <c r="BH359" i="1"/>
  <c r="BI359" i="1"/>
  <c r="U360" i="1"/>
  <c r="V360" i="1"/>
  <c r="W360" i="1"/>
  <c r="X360" i="1"/>
  <c r="Y360" i="1"/>
  <c r="Z360" i="1"/>
  <c r="AA360" i="1"/>
  <c r="AB360" i="1"/>
  <c r="AC360" i="1"/>
  <c r="AD360" i="1"/>
  <c r="AE360" i="1"/>
  <c r="AF360" i="1"/>
  <c r="AG360" i="1"/>
  <c r="AH360" i="1"/>
  <c r="AI360" i="1"/>
  <c r="AJ360" i="1"/>
  <c r="AK360" i="1"/>
  <c r="AL360" i="1"/>
  <c r="AM360" i="1"/>
  <c r="AN360" i="1"/>
  <c r="AO360" i="1"/>
  <c r="AP360" i="1"/>
  <c r="AQ360" i="1"/>
  <c r="AR360" i="1"/>
  <c r="AS360" i="1"/>
  <c r="AT360" i="1"/>
  <c r="AU360" i="1"/>
  <c r="AV360" i="1"/>
  <c r="AW360" i="1"/>
  <c r="AX360" i="1"/>
  <c r="AY360" i="1"/>
  <c r="AZ360" i="1"/>
  <c r="BA360" i="1"/>
  <c r="BB360" i="1"/>
  <c r="BC360" i="1"/>
  <c r="BD360" i="1"/>
  <c r="BE360" i="1"/>
  <c r="BF360" i="1"/>
  <c r="BG360" i="1"/>
  <c r="BH360" i="1"/>
  <c r="BI360" i="1"/>
  <c r="U361" i="1"/>
  <c r="V361" i="1"/>
  <c r="W361" i="1"/>
  <c r="X361" i="1"/>
  <c r="Y361" i="1"/>
  <c r="Z361" i="1"/>
  <c r="AA361" i="1"/>
  <c r="AB361" i="1"/>
  <c r="AC361" i="1"/>
  <c r="AD361" i="1"/>
  <c r="AE361" i="1"/>
  <c r="AF361" i="1"/>
  <c r="AG361" i="1"/>
  <c r="AH361" i="1"/>
  <c r="AI361" i="1"/>
  <c r="AJ361" i="1"/>
  <c r="AK361" i="1"/>
  <c r="AL361" i="1"/>
  <c r="AM361" i="1"/>
  <c r="AN361" i="1"/>
  <c r="AO361" i="1"/>
  <c r="AP361" i="1"/>
  <c r="AQ361" i="1"/>
  <c r="AR361" i="1"/>
  <c r="AS361" i="1"/>
  <c r="AT361" i="1"/>
  <c r="AU361" i="1"/>
  <c r="AV361" i="1"/>
  <c r="AW361" i="1"/>
  <c r="AX361" i="1"/>
  <c r="AY361" i="1"/>
  <c r="AZ361" i="1"/>
  <c r="BA361" i="1"/>
  <c r="BB361" i="1"/>
  <c r="BC361" i="1"/>
  <c r="BD361" i="1"/>
  <c r="BE361" i="1"/>
  <c r="BF361" i="1"/>
  <c r="BG361" i="1"/>
  <c r="BH361" i="1"/>
  <c r="BI361" i="1"/>
  <c r="U362" i="1"/>
  <c r="V362" i="1"/>
  <c r="W362" i="1"/>
  <c r="X362" i="1"/>
  <c r="Y362" i="1"/>
  <c r="Z362" i="1"/>
  <c r="AA362" i="1"/>
  <c r="AB362" i="1"/>
  <c r="AC362" i="1"/>
  <c r="AD362" i="1"/>
  <c r="AE362" i="1"/>
  <c r="AF362" i="1"/>
  <c r="AG362" i="1"/>
  <c r="AH362" i="1"/>
  <c r="AI362" i="1"/>
  <c r="AJ362" i="1"/>
  <c r="AK362" i="1"/>
  <c r="AL362" i="1"/>
  <c r="AM362" i="1"/>
  <c r="AN362" i="1"/>
  <c r="AO362" i="1"/>
  <c r="AP362" i="1"/>
  <c r="AQ362" i="1"/>
  <c r="AR362" i="1"/>
  <c r="AS362" i="1"/>
  <c r="AT362" i="1"/>
  <c r="AU362" i="1"/>
  <c r="AV362" i="1"/>
  <c r="AW362" i="1"/>
  <c r="AX362" i="1"/>
  <c r="AY362" i="1"/>
  <c r="AZ362" i="1"/>
  <c r="BA362" i="1"/>
  <c r="BB362" i="1"/>
  <c r="BC362" i="1"/>
  <c r="BD362" i="1"/>
  <c r="BE362" i="1"/>
  <c r="BF362" i="1"/>
  <c r="BG362" i="1"/>
  <c r="BH362" i="1"/>
  <c r="BI362" i="1"/>
  <c r="U363" i="1"/>
  <c r="V363" i="1"/>
  <c r="W363" i="1"/>
  <c r="X363" i="1"/>
  <c r="Y363" i="1"/>
  <c r="Z363" i="1"/>
  <c r="AA363" i="1"/>
  <c r="AB363" i="1"/>
  <c r="AC363" i="1"/>
  <c r="AD363" i="1"/>
  <c r="AE363" i="1"/>
  <c r="AF363" i="1"/>
  <c r="AG363" i="1"/>
  <c r="AH363" i="1"/>
  <c r="AI363" i="1"/>
  <c r="AJ363" i="1"/>
  <c r="AK363" i="1"/>
  <c r="AL363" i="1"/>
  <c r="AM363" i="1"/>
  <c r="AN363" i="1"/>
  <c r="AO363" i="1"/>
  <c r="AP363" i="1"/>
  <c r="AQ363" i="1"/>
  <c r="AR363" i="1"/>
  <c r="AS363" i="1"/>
  <c r="AT363" i="1"/>
  <c r="AU363" i="1"/>
  <c r="AV363" i="1"/>
  <c r="AW363" i="1"/>
  <c r="AX363" i="1"/>
  <c r="AY363" i="1"/>
  <c r="AZ363" i="1"/>
  <c r="BA363" i="1"/>
  <c r="BB363" i="1"/>
  <c r="BC363" i="1"/>
  <c r="BD363" i="1"/>
  <c r="BE363" i="1"/>
  <c r="BF363" i="1"/>
  <c r="BG363" i="1"/>
  <c r="BH363" i="1"/>
  <c r="BI363" i="1"/>
  <c r="U364" i="1"/>
  <c r="V364" i="1"/>
  <c r="W364" i="1"/>
  <c r="X364" i="1"/>
  <c r="Y364" i="1"/>
  <c r="Z364" i="1"/>
  <c r="AA364" i="1"/>
  <c r="AB364" i="1"/>
  <c r="AC364" i="1"/>
  <c r="AD364" i="1"/>
  <c r="AE364" i="1"/>
  <c r="AF364" i="1"/>
  <c r="AG364" i="1"/>
  <c r="AH364" i="1"/>
  <c r="AI364" i="1"/>
  <c r="AJ364" i="1"/>
  <c r="AK364" i="1"/>
  <c r="AL364" i="1"/>
  <c r="AM364" i="1"/>
  <c r="AN364" i="1"/>
  <c r="AO364" i="1"/>
  <c r="AP364" i="1"/>
  <c r="AQ364" i="1"/>
  <c r="AR364" i="1"/>
  <c r="AS364" i="1"/>
  <c r="AT364" i="1"/>
  <c r="AU364" i="1"/>
  <c r="AV364" i="1"/>
  <c r="AW364" i="1"/>
  <c r="AX364" i="1"/>
  <c r="AY364" i="1"/>
  <c r="AZ364" i="1"/>
  <c r="BA364" i="1"/>
  <c r="BB364" i="1"/>
  <c r="BC364" i="1"/>
  <c r="BD364" i="1"/>
  <c r="BE364" i="1"/>
  <c r="BF364" i="1"/>
  <c r="BG364" i="1"/>
  <c r="BH364" i="1"/>
  <c r="BI364" i="1"/>
  <c r="U365" i="1"/>
  <c r="V365" i="1"/>
  <c r="W365" i="1"/>
  <c r="X365" i="1"/>
  <c r="Y365" i="1"/>
  <c r="Z365" i="1"/>
  <c r="AA365" i="1"/>
  <c r="AB365" i="1"/>
  <c r="AC365" i="1"/>
  <c r="AD365" i="1"/>
  <c r="AE365" i="1"/>
  <c r="AF365" i="1"/>
  <c r="AG365" i="1"/>
  <c r="AH365" i="1"/>
  <c r="AI365" i="1"/>
  <c r="AJ365" i="1"/>
  <c r="AK365" i="1"/>
  <c r="AL365" i="1"/>
  <c r="AM365" i="1"/>
  <c r="AN365" i="1"/>
  <c r="AO365" i="1"/>
  <c r="AP365" i="1"/>
  <c r="AQ365" i="1"/>
  <c r="AR365" i="1"/>
  <c r="AS365" i="1"/>
  <c r="AT365" i="1"/>
  <c r="AU365" i="1"/>
  <c r="AV365" i="1"/>
  <c r="AW365" i="1"/>
  <c r="AX365" i="1"/>
  <c r="AY365" i="1"/>
  <c r="AZ365" i="1"/>
  <c r="BA365" i="1"/>
  <c r="BB365" i="1"/>
  <c r="BC365" i="1"/>
  <c r="BD365" i="1"/>
  <c r="BE365" i="1"/>
  <c r="BF365" i="1"/>
  <c r="BG365" i="1"/>
  <c r="BH365" i="1"/>
  <c r="BI365" i="1"/>
  <c r="U366" i="1"/>
  <c r="V366" i="1"/>
  <c r="W366" i="1"/>
  <c r="X366" i="1"/>
  <c r="Y366" i="1"/>
  <c r="Z366" i="1"/>
  <c r="AA366" i="1"/>
  <c r="AB366" i="1"/>
  <c r="AC366" i="1"/>
  <c r="AD366" i="1"/>
  <c r="AE366" i="1"/>
  <c r="AF366" i="1"/>
  <c r="AG366" i="1"/>
  <c r="AH366" i="1"/>
  <c r="AI366" i="1"/>
  <c r="AJ366" i="1"/>
  <c r="AK366" i="1"/>
  <c r="AL366" i="1"/>
  <c r="AM366" i="1"/>
  <c r="AN366" i="1"/>
  <c r="AO366" i="1"/>
  <c r="AP366" i="1"/>
  <c r="AQ366" i="1"/>
  <c r="AR366" i="1"/>
  <c r="AS366" i="1"/>
  <c r="AT366" i="1"/>
  <c r="AU366" i="1"/>
  <c r="AV366" i="1"/>
  <c r="AW366" i="1"/>
  <c r="AX366" i="1"/>
  <c r="AY366" i="1"/>
  <c r="AZ366" i="1"/>
  <c r="BA366" i="1"/>
  <c r="BB366" i="1"/>
  <c r="BC366" i="1"/>
  <c r="BD366" i="1"/>
  <c r="BE366" i="1"/>
  <c r="BF366" i="1"/>
  <c r="BG366" i="1"/>
  <c r="BH366" i="1"/>
  <c r="BI366" i="1"/>
  <c r="U367" i="1"/>
  <c r="V367" i="1"/>
  <c r="W367" i="1"/>
  <c r="X367" i="1"/>
  <c r="Y367" i="1"/>
  <c r="Z367" i="1"/>
  <c r="AA367" i="1"/>
  <c r="AB367" i="1"/>
  <c r="AC367" i="1"/>
  <c r="AD367" i="1"/>
  <c r="AE367" i="1"/>
  <c r="AF367" i="1"/>
  <c r="AG367" i="1"/>
  <c r="AH367" i="1"/>
  <c r="AI367" i="1"/>
  <c r="AJ367" i="1"/>
  <c r="AK367" i="1"/>
  <c r="AL367" i="1"/>
  <c r="AM367" i="1"/>
  <c r="AN367" i="1"/>
  <c r="AO367" i="1"/>
  <c r="AP367" i="1"/>
  <c r="AQ367" i="1"/>
  <c r="AR367" i="1"/>
  <c r="AS367" i="1"/>
  <c r="AT367" i="1"/>
  <c r="AU367" i="1"/>
  <c r="AV367" i="1"/>
  <c r="AW367" i="1"/>
  <c r="AX367" i="1"/>
  <c r="AY367" i="1"/>
  <c r="AZ367" i="1"/>
  <c r="BA367" i="1"/>
  <c r="BB367" i="1"/>
  <c r="BC367" i="1"/>
  <c r="BD367" i="1"/>
  <c r="BE367" i="1"/>
  <c r="BF367" i="1"/>
  <c r="BG367" i="1"/>
  <c r="BH367" i="1"/>
  <c r="BI367" i="1"/>
  <c r="U368" i="1"/>
  <c r="V368" i="1"/>
  <c r="W368" i="1"/>
  <c r="X368" i="1"/>
  <c r="Y368" i="1"/>
  <c r="Z368" i="1"/>
  <c r="AA368" i="1"/>
  <c r="AB368" i="1"/>
  <c r="AC368" i="1"/>
  <c r="AD368" i="1"/>
  <c r="AE368" i="1"/>
  <c r="AF368" i="1"/>
  <c r="AG368" i="1"/>
  <c r="AH368" i="1"/>
  <c r="AI368" i="1"/>
  <c r="AJ368" i="1"/>
  <c r="AK368" i="1"/>
  <c r="AL368" i="1"/>
  <c r="AM368" i="1"/>
  <c r="AN368" i="1"/>
  <c r="AO368" i="1"/>
  <c r="AP368" i="1"/>
  <c r="AQ368" i="1"/>
  <c r="AR368" i="1"/>
  <c r="AS368" i="1"/>
  <c r="AT368" i="1"/>
  <c r="AU368" i="1"/>
  <c r="AV368" i="1"/>
  <c r="AW368" i="1"/>
  <c r="AX368" i="1"/>
  <c r="AY368" i="1"/>
  <c r="AZ368" i="1"/>
  <c r="BA368" i="1"/>
  <c r="BB368" i="1"/>
  <c r="BC368" i="1"/>
  <c r="BD368" i="1"/>
  <c r="BE368" i="1"/>
  <c r="BF368" i="1"/>
  <c r="BG368" i="1"/>
  <c r="BH368" i="1"/>
  <c r="BI368" i="1"/>
  <c r="U369" i="1"/>
  <c r="V369" i="1"/>
  <c r="W369" i="1"/>
  <c r="X369" i="1"/>
  <c r="Y369" i="1"/>
  <c r="Z369" i="1"/>
  <c r="AA369" i="1"/>
  <c r="AB369" i="1"/>
  <c r="AC369" i="1"/>
  <c r="AD369" i="1"/>
  <c r="AE369" i="1"/>
  <c r="AF369" i="1"/>
  <c r="AG369" i="1"/>
  <c r="AH369" i="1"/>
  <c r="AI369" i="1"/>
  <c r="AJ369" i="1"/>
  <c r="AK369" i="1"/>
  <c r="AL369" i="1"/>
  <c r="AM369" i="1"/>
  <c r="AN369" i="1"/>
  <c r="AO369" i="1"/>
  <c r="AP369" i="1"/>
  <c r="AQ369" i="1"/>
  <c r="AR369" i="1"/>
  <c r="AS369" i="1"/>
  <c r="AT369" i="1"/>
  <c r="AU369" i="1"/>
  <c r="AV369" i="1"/>
  <c r="AW369" i="1"/>
  <c r="AX369" i="1"/>
  <c r="AY369" i="1"/>
  <c r="AZ369" i="1"/>
  <c r="BA369" i="1"/>
  <c r="BB369" i="1"/>
  <c r="BC369" i="1"/>
  <c r="BD369" i="1"/>
  <c r="BE369" i="1"/>
  <c r="BF369" i="1"/>
  <c r="BG369" i="1"/>
  <c r="BH369" i="1"/>
  <c r="BI369" i="1"/>
  <c r="U370" i="1"/>
  <c r="V370" i="1"/>
  <c r="W370" i="1"/>
  <c r="X370" i="1"/>
  <c r="Y370" i="1"/>
  <c r="Z370" i="1"/>
  <c r="AA370" i="1"/>
  <c r="AB370" i="1"/>
  <c r="AC370" i="1"/>
  <c r="AD370" i="1"/>
  <c r="AE370" i="1"/>
  <c r="AF370" i="1"/>
  <c r="AG370" i="1"/>
  <c r="AH370" i="1"/>
  <c r="AI370" i="1"/>
  <c r="AJ370" i="1"/>
  <c r="AK370" i="1"/>
  <c r="AL370" i="1"/>
  <c r="AM370" i="1"/>
  <c r="AN370" i="1"/>
  <c r="AO370" i="1"/>
  <c r="AP370" i="1"/>
  <c r="AQ370" i="1"/>
  <c r="AR370" i="1"/>
  <c r="AS370" i="1"/>
  <c r="AT370" i="1"/>
  <c r="AU370" i="1"/>
  <c r="AV370" i="1"/>
  <c r="AW370" i="1"/>
  <c r="AX370" i="1"/>
  <c r="AY370" i="1"/>
  <c r="AZ370" i="1"/>
  <c r="BA370" i="1"/>
  <c r="BB370" i="1"/>
  <c r="BC370" i="1"/>
  <c r="BD370" i="1"/>
  <c r="BE370" i="1"/>
  <c r="BF370" i="1"/>
  <c r="BG370" i="1"/>
  <c r="BH370" i="1"/>
  <c r="BI370" i="1"/>
  <c r="U371" i="1"/>
  <c r="V371" i="1"/>
  <c r="W371" i="1"/>
  <c r="X371" i="1"/>
  <c r="Y371" i="1"/>
  <c r="Z371" i="1"/>
  <c r="AA371" i="1"/>
  <c r="AB371" i="1"/>
  <c r="AC371" i="1"/>
  <c r="AD371" i="1"/>
  <c r="AE371" i="1"/>
  <c r="AF371" i="1"/>
  <c r="AG371" i="1"/>
  <c r="AH371" i="1"/>
  <c r="AI371" i="1"/>
  <c r="AJ371" i="1"/>
  <c r="AK371" i="1"/>
  <c r="AL371" i="1"/>
  <c r="AM371" i="1"/>
  <c r="AN371" i="1"/>
  <c r="AO371" i="1"/>
  <c r="AP371" i="1"/>
  <c r="AQ371" i="1"/>
  <c r="AR371" i="1"/>
  <c r="AS371" i="1"/>
  <c r="AT371" i="1"/>
  <c r="AU371" i="1"/>
  <c r="AV371" i="1"/>
  <c r="AW371" i="1"/>
  <c r="AX371" i="1"/>
  <c r="AY371" i="1"/>
  <c r="AZ371" i="1"/>
  <c r="BA371" i="1"/>
  <c r="BB371" i="1"/>
  <c r="BC371" i="1"/>
  <c r="BD371" i="1"/>
  <c r="BE371" i="1"/>
  <c r="BF371" i="1"/>
  <c r="BG371" i="1"/>
  <c r="BH371" i="1"/>
  <c r="BI371" i="1"/>
  <c r="U372" i="1"/>
  <c r="V372" i="1"/>
  <c r="W372" i="1"/>
  <c r="X372" i="1"/>
  <c r="Y372" i="1"/>
  <c r="Z372" i="1"/>
  <c r="AA372" i="1"/>
  <c r="AB372" i="1"/>
  <c r="AC372" i="1"/>
  <c r="AD372" i="1"/>
  <c r="AE372" i="1"/>
  <c r="AF372" i="1"/>
  <c r="AG372" i="1"/>
  <c r="AH372" i="1"/>
  <c r="AI372" i="1"/>
  <c r="AJ372" i="1"/>
  <c r="AK372" i="1"/>
  <c r="AL372" i="1"/>
  <c r="AM372" i="1"/>
  <c r="AN372" i="1"/>
  <c r="AO372" i="1"/>
  <c r="AP372" i="1"/>
  <c r="AQ372" i="1"/>
  <c r="AR372" i="1"/>
  <c r="AS372" i="1"/>
  <c r="AT372" i="1"/>
  <c r="AU372" i="1"/>
  <c r="AV372" i="1"/>
  <c r="AW372" i="1"/>
  <c r="AX372" i="1"/>
  <c r="AY372" i="1"/>
  <c r="AZ372" i="1"/>
  <c r="BA372" i="1"/>
  <c r="BB372" i="1"/>
  <c r="BC372" i="1"/>
  <c r="BD372" i="1"/>
  <c r="BE372" i="1"/>
  <c r="BF372" i="1"/>
  <c r="BG372" i="1"/>
  <c r="BH372" i="1"/>
  <c r="BI372" i="1"/>
  <c r="U373" i="1"/>
  <c r="V373" i="1"/>
  <c r="W373" i="1"/>
  <c r="X373" i="1"/>
  <c r="Y373" i="1"/>
  <c r="Z373" i="1"/>
  <c r="AA373" i="1"/>
  <c r="AB373" i="1"/>
  <c r="AC373" i="1"/>
  <c r="AD373" i="1"/>
  <c r="AE373" i="1"/>
  <c r="AF373" i="1"/>
  <c r="AG373" i="1"/>
  <c r="AH373" i="1"/>
  <c r="AI373" i="1"/>
  <c r="AJ373" i="1"/>
  <c r="AK373" i="1"/>
  <c r="AL373" i="1"/>
  <c r="AM373" i="1"/>
  <c r="AN373" i="1"/>
  <c r="AO373" i="1"/>
  <c r="AP373" i="1"/>
  <c r="AQ373" i="1"/>
  <c r="AR373" i="1"/>
  <c r="AS373" i="1"/>
  <c r="AT373" i="1"/>
  <c r="AU373" i="1"/>
  <c r="AV373" i="1"/>
  <c r="AW373" i="1"/>
  <c r="AX373" i="1"/>
  <c r="AY373" i="1"/>
  <c r="AZ373" i="1"/>
  <c r="BA373" i="1"/>
  <c r="BB373" i="1"/>
  <c r="BC373" i="1"/>
  <c r="BD373" i="1"/>
  <c r="BE373" i="1"/>
  <c r="BF373" i="1"/>
  <c r="BG373" i="1"/>
  <c r="BH373" i="1"/>
  <c r="BI373" i="1"/>
  <c r="U374" i="1"/>
  <c r="V374" i="1"/>
  <c r="W374" i="1"/>
  <c r="X374" i="1"/>
  <c r="Y374" i="1"/>
  <c r="Z374" i="1"/>
  <c r="AA374" i="1"/>
  <c r="AB374" i="1"/>
  <c r="AC374" i="1"/>
  <c r="AD374" i="1"/>
  <c r="AE374" i="1"/>
  <c r="AF374" i="1"/>
  <c r="AG374" i="1"/>
  <c r="AH374" i="1"/>
  <c r="AI374" i="1"/>
  <c r="AJ374" i="1"/>
  <c r="AK374" i="1"/>
  <c r="AL374" i="1"/>
  <c r="AM374" i="1"/>
  <c r="AN374" i="1"/>
  <c r="AO374" i="1"/>
  <c r="AP374" i="1"/>
  <c r="AQ374" i="1"/>
  <c r="AR374" i="1"/>
  <c r="AS374" i="1"/>
  <c r="AT374" i="1"/>
  <c r="AU374" i="1"/>
  <c r="AV374" i="1"/>
  <c r="AW374" i="1"/>
  <c r="AX374" i="1"/>
  <c r="AY374" i="1"/>
  <c r="AZ374" i="1"/>
  <c r="BA374" i="1"/>
  <c r="BB374" i="1"/>
  <c r="BC374" i="1"/>
  <c r="BD374" i="1"/>
  <c r="BE374" i="1"/>
  <c r="BF374" i="1"/>
  <c r="BG374" i="1"/>
  <c r="BH374" i="1"/>
  <c r="BI374" i="1"/>
  <c r="U375" i="1"/>
  <c r="V375" i="1"/>
  <c r="W375" i="1"/>
  <c r="X375" i="1"/>
  <c r="Y375" i="1"/>
  <c r="Z375" i="1"/>
  <c r="AA375" i="1"/>
  <c r="AB375" i="1"/>
  <c r="AC375" i="1"/>
  <c r="AD375" i="1"/>
  <c r="AE375" i="1"/>
  <c r="AF375" i="1"/>
  <c r="AG375" i="1"/>
  <c r="AH375" i="1"/>
  <c r="AI375" i="1"/>
  <c r="AJ375" i="1"/>
  <c r="AK375" i="1"/>
  <c r="AL375" i="1"/>
  <c r="AM375" i="1"/>
  <c r="AN375" i="1"/>
  <c r="AO375" i="1"/>
  <c r="AP375" i="1"/>
  <c r="AQ375" i="1"/>
  <c r="AR375" i="1"/>
  <c r="AS375" i="1"/>
  <c r="AT375" i="1"/>
  <c r="AU375" i="1"/>
  <c r="AV375" i="1"/>
  <c r="AW375" i="1"/>
  <c r="AX375" i="1"/>
  <c r="AY375" i="1"/>
  <c r="AZ375" i="1"/>
  <c r="BA375" i="1"/>
  <c r="BB375" i="1"/>
  <c r="BC375" i="1"/>
  <c r="BD375" i="1"/>
  <c r="BE375" i="1"/>
  <c r="BF375" i="1"/>
  <c r="BG375" i="1"/>
  <c r="BH375" i="1"/>
  <c r="BI375" i="1"/>
  <c r="U376" i="1"/>
  <c r="V376" i="1"/>
  <c r="W376" i="1"/>
  <c r="X376" i="1"/>
  <c r="Y376" i="1"/>
  <c r="Z376" i="1"/>
  <c r="AA376" i="1"/>
  <c r="AB376" i="1"/>
  <c r="AC376" i="1"/>
  <c r="AD376" i="1"/>
  <c r="AE376" i="1"/>
  <c r="AF376" i="1"/>
  <c r="AG376" i="1"/>
  <c r="AH376" i="1"/>
  <c r="AI376" i="1"/>
  <c r="AJ376" i="1"/>
  <c r="AK376" i="1"/>
  <c r="AL376" i="1"/>
  <c r="AM376" i="1"/>
  <c r="AN376" i="1"/>
  <c r="AO376" i="1"/>
  <c r="AP376" i="1"/>
  <c r="AQ376" i="1"/>
  <c r="AR376" i="1"/>
  <c r="AS376" i="1"/>
  <c r="AT376" i="1"/>
  <c r="AU376" i="1"/>
  <c r="AV376" i="1"/>
  <c r="AW376" i="1"/>
  <c r="AX376" i="1"/>
  <c r="AY376" i="1"/>
  <c r="AZ376" i="1"/>
  <c r="BA376" i="1"/>
  <c r="BB376" i="1"/>
  <c r="BC376" i="1"/>
  <c r="BD376" i="1"/>
  <c r="BE376" i="1"/>
  <c r="BF376" i="1"/>
  <c r="BG376" i="1"/>
  <c r="BH376" i="1"/>
  <c r="BI376" i="1"/>
  <c r="U377" i="1"/>
  <c r="V377" i="1"/>
  <c r="W377" i="1"/>
  <c r="X377" i="1"/>
  <c r="Y377" i="1"/>
  <c r="Z377" i="1"/>
  <c r="AA377" i="1"/>
  <c r="AB377" i="1"/>
  <c r="AC377" i="1"/>
  <c r="AD377" i="1"/>
  <c r="AE377" i="1"/>
  <c r="AF377" i="1"/>
  <c r="AG377" i="1"/>
  <c r="AH377" i="1"/>
  <c r="AI377" i="1"/>
  <c r="AJ377" i="1"/>
  <c r="AK377" i="1"/>
  <c r="AL377" i="1"/>
  <c r="AM377" i="1"/>
  <c r="AN377" i="1"/>
  <c r="AO377" i="1"/>
  <c r="AP377" i="1"/>
  <c r="AQ377" i="1"/>
  <c r="AR377" i="1"/>
  <c r="AS377" i="1"/>
  <c r="AT377" i="1"/>
  <c r="AU377" i="1"/>
  <c r="AV377" i="1"/>
  <c r="AW377" i="1"/>
  <c r="AX377" i="1"/>
  <c r="AY377" i="1"/>
  <c r="AZ377" i="1"/>
  <c r="BA377" i="1"/>
  <c r="BB377" i="1"/>
  <c r="BC377" i="1"/>
  <c r="BD377" i="1"/>
  <c r="BE377" i="1"/>
  <c r="BF377" i="1"/>
  <c r="BG377" i="1"/>
  <c r="BH377" i="1"/>
  <c r="BI377" i="1"/>
  <c r="U378" i="1"/>
  <c r="V378" i="1"/>
  <c r="W378" i="1"/>
  <c r="X378" i="1"/>
  <c r="Y378" i="1"/>
  <c r="Z378" i="1"/>
  <c r="AA378" i="1"/>
  <c r="AB378" i="1"/>
  <c r="AC378" i="1"/>
  <c r="AD378" i="1"/>
  <c r="AE378" i="1"/>
  <c r="AF378" i="1"/>
  <c r="AG378" i="1"/>
  <c r="AH378" i="1"/>
  <c r="AI378" i="1"/>
  <c r="AJ378" i="1"/>
  <c r="AK378" i="1"/>
  <c r="AL378" i="1"/>
  <c r="AM378" i="1"/>
  <c r="AN378" i="1"/>
  <c r="AO378" i="1"/>
  <c r="AP378" i="1"/>
  <c r="AQ378" i="1"/>
  <c r="AR378" i="1"/>
  <c r="AS378" i="1"/>
  <c r="AT378" i="1"/>
  <c r="AU378" i="1"/>
  <c r="AV378" i="1"/>
  <c r="AW378" i="1"/>
  <c r="AX378" i="1"/>
  <c r="AY378" i="1"/>
  <c r="AZ378" i="1"/>
  <c r="BA378" i="1"/>
  <c r="BB378" i="1"/>
  <c r="BC378" i="1"/>
  <c r="BD378" i="1"/>
  <c r="BE378" i="1"/>
  <c r="BF378" i="1"/>
  <c r="BG378" i="1"/>
  <c r="BH378" i="1"/>
  <c r="BI378" i="1"/>
  <c r="U379" i="1"/>
  <c r="V379" i="1"/>
  <c r="W379" i="1"/>
  <c r="X379" i="1"/>
  <c r="Y379" i="1"/>
  <c r="Z379" i="1"/>
  <c r="AA379" i="1"/>
  <c r="AB379" i="1"/>
  <c r="AC379" i="1"/>
  <c r="AD379" i="1"/>
  <c r="AE379" i="1"/>
  <c r="AF379" i="1"/>
  <c r="AG379" i="1"/>
  <c r="AH379" i="1"/>
  <c r="AI379" i="1"/>
  <c r="AJ379" i="1"/>
  <c r="AK379" i="1"/>
  <c r="AL379" i="1"/>
  <c r="AM379" i="1"/>
  <c r="AN379" i="1"/>
  <c r="AO379" i="1"/>
  <c r="AP379" i="1"/>
  <c r="AQ379" i="1"/>
  <c r="AR379" i="1"/>
  <c r="AS379" i="1"/>
  <c r="AT379" i="1"/>
  <c r="AU379" i="1"/>
  <c r="AV379" i="1"/>
  <c r="AW379" i="1"/>
  <c r="AX379" i="1"/>
  <c r="AY379" i="1"/>
  <c r="AZ379" i="1"/>
  <c r="BA379" i="1"/>
  <c r="BB379" i="1"/>
  <c r="BC379" i="1"/>
  <c r="BD379" i="1"/>
  <c r="BE379" i="1"/>
  <c r="BF379" i="1"/>
  <c r="BG379" i="1"/>
  <c r="BH379" i="1"/>
  <c r="BI379" i="1"/>
  <c r="U380" i="1"/>
  <c r="V380" i="1"/>
  <c r="W380" i="1"/>
  <c r="X380" i="1"/>
  <c r="Y380" i="1"/>
  <c r="Z380" i="1"/>
  <c r="AA380" i="1"/>
  <c r="AB380" i="1"/>
  <c r="AC380" i="1"/>
  <c r="AD380" i="1"/>
  <c r="AE380" i="1"/>
  <c r="AF380" i="1"/>
  <c r="AG380" i="1"/>
  <c r="AH380" i="1"/>
  <c r="AI380" i="1"/>
  <c r="AJ380" i="1"/>
  <c r="AK380" i="1"/>
  <c r="AL380" i="1"/>
  <c r="AM380" i="1"/>
  <c r="AN380" i="1"/>
  <c r="AO380" i="1"/>
  <c r="AP380" i="1"/>
  <c r="AQ380" i="1"/>
  <c r="AR380" i="1"/>
  <c r="AS380" i="1"/>
  <c r="AT380" i="1"/>
  <c r="AU380" i="1"/>
  <c r="AV380" i="1"/>
  <c r="AW380" i="1"/>
  <c r="AX380" i="1"/>
  <c r="AY380" i="1"/>
  <c r="AZ380" i="1"/>
  <c r="BA380" i="1"/>
  <c r="BB380" i="1"/>
  <c r="BC380" i="1"/>
  <c r="BD380" i="1"/>
  <c r="BE380" i="1"/>
  <c r="BF380" i="1"/>
  <c r="BG380" i="1"/>
  <c r="BH380" i="1"/>
  <c r="BI380" i="1"/>
  <c r="U381" i="1"/>
  <c r="V381" i="1"/>
  <c r="W381" i="1"/>
  <c r="X381" i="1"/>
  <c r="Y381" i="1"/>
  <c r="Z381" i="1"/>
  <c r="AA381" i="1"/>
  <c r="AB381" i="1"/>
  <c r="AC381" i="1"/>
  <c r="AD381" i="1"/>
  <c r="AE381" i="1"/>
  <c r="AF381" i="1"/>
  <c r="AG381" i="1"/>
  <c r="AH381" i="1"/>
  <c r="AI381" i="1"/>
  <c r="AJ381" i="1"/>
  <c r="AK381" i="1"/>
  <c r="AL381" i="1"/>
  <c r="AM381" i="1"/>
  <c r="AN381" i="1"/>
  <c r="AO381" i="1"/>
  <c r="AP381" i="1"/>
  <c r="AQ381" i="1"/>
  <c r="AR381" i="1"/>
  <c r="AS381" i="1"/>
  <c r="AT381" i="1"/>
  <c r="AU381" i="1"/>
  <c r="AV381" i="1"/>
  <c r="AW381" i="1"/>
  <c r="AX381" i="1"/>
  <c r="AY381" i="1"/>
  <c r="AZ381" i="1"/>
  <c r="BA381" i="1"/>
  <c r="BB381" i="1"/>
  <c r="BC381" i="1"/>
  <c r="BD381" i="1"/>
  <c r="BE381" i="1"/>
  <c r="BF381" i="1"/>
  <c r="BG381" i="1"/>
  <c r="BH381" i="1"/>
  <c r="BI381" i="1"/>
  <c r="U382" i="1"/>
  <c r="V382" i="1"/>
  <c r="W382" i="1"/>
  <c r="X382" i="1"/>
  <c r="Y382" i="1"/>
  <c r="Z382" i="1"/>
  <c r="AA382" i="1"/>
  <c r="AB382" i="1"/>
  <c r="AC382" i="1"/>
  <c r="AD382" i="1"/>
  <c r="AE382" i="1"/>
  <c r="AF382" i="1"/>
  <c r="AG382" i="1"/>
  <c r="AH382" i="1"/>
  <c r="AI382" i="1"/>
  <c r="AJ382" i="1"/>
  <c r="AK382" i="1"/>
  <c r="AL382" i="1"/>
  <c r="AM382" i="1"/>
  <c r="AN382" i="1"/>
  <c r="AO382" i="1"/>
  <c r="AP382" i="1"/>
  <c r="AQ382" i="1"/>
  <c r="AR382" i="1"/>
  <c r="AS382" i="1"/>
  <c r="AT382" i="1"/>
  <c r="AU382" i="1"/>
  <c r="AV382" i="1"/>
  <c r="AW382" i="1"/>
  <c r="AX382" i="1"/>
  <c r="AY382" i="1"/>
  <c r="AZ382" i="1"/>
  <c r="BA382" i="1"/>
  <c r="BB382" i="1"/>
  <c r="BC382" i="1"/>
  <c r="BD382" i="1"/>
  <c r="BE382" i="1"/>
  <c r="BF382" i="1"/>
  <c r="BG382" i="1"/>
  <c r="BH382" i="1"/>
  <c r="BI382" i="1"/>
  <c r="U383" i="1"/>
  <c r="V383" i="1"/>
  <c r="W383" i="1"/>
  <c r="X383" i="1"/>
  <c r="Y383" i="1"/>
  <c r="Z383" i="1"/>
  <c r="AA383" i="1"/>
  <c r="AB383" i="1"/>
  <c r="AC383" i="1"/>
  <c r="AD383" i="1"/>
  <c r="AE383" i="1"/>
  <c r="AF383" i="1"/>
  <c r="AG383" i="1"/>
  <c r="AH383" i="1"/>
  <c r="AI383" i="1"/>
  <c r="AJ383" i="1"/>
  <c r="AK383" i="1"/>
  <c r="AL383" i="1"/>
  <c r="AM383" i="1"/>
  <c r="AN383" i="1"/>
  <c r="AO383" i="1"/>
  <c r="AP383" i="1"/>
  <c r="AQ383" i="1"/>
  <c r="AR383" i="1"/>
  <c r="AS383" i="1"/>
  <c r="AT383" i="1"/>
  <c r="AU383" i="1"/>
  <c r="AV383" i="1"/>
  <c r="AW383" i="1"/>
  <c r="AX383" i="1"/>
  <c r="AY383" i="1"/>
  <c r="AZ383" i="1"/>
  <c r="BA383" i="1"/>
  <c r="BB383" i="1"/>
  <c r="BC383" i="1"/>
  <c r="BD383" i="1"/>
  <c r="BE383" i="1"/>
  <c r="BF383" i="1"/>
  <c r="BG383" i="1"/>
  <c r="BH383" i="1"/>
  <c r="BI383" i="1"/>
  <c r="U384" i="1"/>
  <c r="V384" i="1"/>
  <c r="W384" i="1"/>
  <c r="X384" i="1"/>
  <c r="Y384" i="1"/>
  <c r="Z384" i="1"/>
  <c r="AA384" i="1"/>
  <c r="AB384" i="1"/>
  <c r="AC384" i="1"/>
  <c r="AD384" i="1"/>
  <c r="AE384" i="1"/>
  <c r="AF384" i="1"/>
  <c r="AG384" i="1"/>
  <c r="AH384" i="1"/>
  <c r="AI384" i="1"/>
  <c r="AJ384" i="1"/>
  <c r="AK384" i="1"/>
  <c r="AL384" i="1"/>
  <c r="AM384" i="1"/>
  <c r="AN384" i="1"/>
  <c r="AO384" i="1"/>
  <c r="AP384" i="1"/>
  <c r="AQ384" i="1"/>
  <c r="AR384" i="1"/>
  <c r="AS384" i="1"/>
  <c r="AT384" i="1"/>
  <c r="AU384" i="1"/>
  <c r="AV384" i="1"/>
  <c r="AW384" i="1"/>
  <c r="AX384" i="1"/>
  <c r="AY384" i="1"/>
  <c r="AZ384" i="1"/>
  <c r="BA384" i="1"/>
  <c r="BB384" i="1"/>
  <c r="BC384" i="1"/>
  <c r="BD384" i="1"/>
  <c r="BE384" i="1"/>
  <c r="BF384" i="1"/>
  <c r="BG384" i="1"/>
  <c r="BH384" i="1"/>
  <c r="BI384" i="1"/>
  <c r="U385" i="1"/>
  <c r="V385" i="1"/>
  <c r="W385" i="1"/>
  <c r="X385" i="1"/>
  <c r="Y385" i="1"/>
  <c r="Z385" i="1"/>
  <c r="AA385" i="1"/>
  <c r="AB385" i="1"/>
  <c r="AC385" i="1"/>
  <c r="AD385" i="1"/>
  <c r="AE385" i="1"/>
  <c r="AF385" i="1"/>
  <c r="AG385" i="1"/>
  <c r="AH385" i="1"/>
  <c r="AI385" i="1"/>
  <c r="AJ385" i="1"/>
  <c r="AK385" i="1"/>
  <c r="AL385" i="1"/>
  <c r="AM385" i="1"/>
  <c r="AN385" i="1"/>
  <c r="AO385" i="1"/>
  <c r="AP385" i="1"/>
  <c r="AQ385" i="1"/>
  <c r="AR385" i="1"/>
  <c r="AS385" i="1"/>
  <c r="AT385" i="1"/>
  <c r="AU385" i="1"/>
  <c r="AV385" i="1"/>
  <c r="AW385" i="1"/>
  <c r="AX385" i="1"/>
  <c r="AY385" i="1"/>
  <c r="AZ385" i="1"/>
  <c r="BA385" i="1"/>
  <c r="BB385" i="1"/>
  <c r="BC385" i="1"/>
  <c r="BD385" i="1"/>
  <c r="BE385" i="1"/>
  <c r="BF385" i="1"/>
  <c r="BG385" i="1"/>
  <c r="BH385" i="1"/>
  <c r="BI385" i="1"/>
  <c r="U386" i="1"/>
  <c r="V386" i="1"/>
  <c r="W386" i="1"/>
  <c r="X386" i="1"/>
  <c r="Y386" i="1"/>
  <c r="Z386" i="1"/>
  <c r="AA386" i="1"/>
  <c r="AB386" i="1"/>
  <c r="AC386" i="1"/>
  <c r="AD386" i="1"/>
  <c r="AE386" i="1"/>
  <c r="AF386" i="1"/>
  <c r="AG386" i="1"/>
  <c r="AH386" i="1"/>
  <c r="AI386" i="1"/>
  <c r="AJ386" i="1"/>
  <c r="AK386" i="1"/>
  <c r="AL386" i="1"/>
  <c r="AM386" i="1"/>
  <c r="AN386" i="1"/>
  <c r="AO386" i="1"/>
  <c r="AP386" i="1"/>
  <c r="AQ386" i="1"/>
  <c r="AR386" i="1"/>
  <c r="AS386" i="1"/>
  <c r="AT386" i="1"/>
  <c r="AU386" i="1"/>
  <c r="AV386" i="1"/>
  <c r="AW386" i="1"/>
  <c r="AX386" i="1"/>
  <c r="AY386" i="1"/>
  <c r="AZ386" i="1"/>
  <c r="BA386" i="1"/>
  <c r="BB386" i="1"/>
  <c r="BC386" i="1"/>
  <c r="BD386" i="1"/>
  <c r="BE386" i="1"/>
  <c r="BF386" i="1"/>
  <c r="BG386" i="1"/>
  <c r="BH386" i="1"/>
  <c r="BI386" i="1"/>
  <c r="U387" i="1"/>
  <c r="V387" i="1"/>
  <c r="W387" i="1"/>
  <c r="X387" i="1"/>
  <c r="Y387" i="1"/>
  <c r="Z387" i="1"/>
  <c r="AA387" i="1"/>
  <c r="AB387" i="1"/>
  <c r="AC387" i="1"/>
  <c r="AD387" i="1"/>
  <c r="AE387" i="1"/>
  <c r="AF387" i="1"/>
  <c r="AG387" i="1"/>
  <c r="AH387" i="1"/>
  <c r="AI387" i="1"/>
  <c r="AJ387" i="1"/>
  <c r="AK387" i="1"/>
  <c r="AL387" i="1"/>
  <c r="AM387" i="1"/>
  <c r="AN387" i="1"/>
  <c r="AO387" i="1"/>
  <c r="AP387" i="1"/>
  <c r="AQ387" i="1"/>
  <c r="AR387" i="1"/>
  <c r="AS387" i="1"/>
  <c r="AT387" i="1"/>
  <c r="AU387" i="1"/>
  <c r="AV387" i="1"/>
  <c r="AW387" i="1"/>
  <c r="AX387" i="1"/>
  <c r="AY387" i="1"/>
  <c r="AZ387" i="1"/>
  <c r="BA387" i="1"/>
  <c r="BB387" i="1"/>
  <c r="BC387" i="1"/>
  <c r="BD387" i="1"/>
  <c r="BE387" i="1"/>
  <c r="BF387" i="1"/>
  <c r="BG387" i="1"/>
  <c r="BH387" i="1"/>
  <c r="BI387" i="1"/>
  <c r="U388" i="1"/>
  <c r="V388" i="1"/>
  <c r="W388" i="1"/>
  <c r="X388" i="1"/>
  <c r="Y388" i="1"/>
  <c r="Z388" i="1"/>
  <c r="AA388" i="1"/>
  <c r="AB388" i="1"/>
  <c r="AC388" i="1"/>
  <c r="AD388" i="1"/>
  <c r="AE388" i="1"/>
  <c r="AF388" i="1"/>
  <c r="AG388" i="1"/>
  <c r="AH388" i="1"/>
  <c r="AI388" i="1"/>
  <c r="AJ388" i="1"/>
  <c r="AK388" i="1"/>
  <c r="AL388" i="1"/>
  <c r="AM388" i="1"/>
  <c r="AN388" i="1"/>
  <c r="AO388" i="1"/>
  <c r="AP388" i="1"/>
  <c r="AQ388" i="1"/>
  <c r="AR388" i="1"/>
  <c r="AS388" i="1"/>
  <c r="AT388" i="1"/>
  <c r="AU388" i="1"/>
  <c r="AV388" i="1"/>
  <c r="AW388" i="1"/>
  <c r="AX388" i="1"/>
  <c r="AY388" i="1"/>
  <c r="AZ388" i="1"/>
  <c r="BA388" i="1"/>
  <c r="BB388" i="1"/>
  <c r="BC388" i="1"/>
  <c r="BD388" i="1"/>
  <c r="BE388" i="1"/>
  <c r="BF388" i="1"/>
  <c r="BG388" i="1"/>
  <c r="BH388" i="1"/>
  <c r="BI388" i="1"/>
  <c r="U389" i="1"/>
  <c r="V389" i="1"/>
  <c r="W389" i="1"/>
  <c r="X389" i="1"/>
  <c r="Y389" i="1"/>
  <c r="Z389" i="1"/>
  <c r="AA389" i="1"/>
  <c r="AB389" i="1"/>
  <c r="AC389" i="1"/>
  <c r="AD389" i="1"/>
  <c r="AE389" i="1"/>
  <c r="AF389" i="1"/>
  <c r="AG389" i="1"/>
  <c r="AH389" i="1"/>
  <c r="AI389" i="1"/>
  <c r="AJ389" i="1"/>
  <c r="AK389" i="1"/>
  <c r="AL389" i="1"/>
  <c r="AM389" i="1"/>
  <c r="AN389" i="1"/>
  <c r="AO389" i="1"/>
  <c r="AP389" i="1"/>
  <c r="AQ389" i="1"/>
  <c r="AR389" i="1"/>
  <c r="AS389" i="1"/>
  <c r="AT389" i="1"/>
  <c r="AU389" i="1"/>
  <c r="AV389" i="1"/>
  <c r="AW389" i="1"/>
  <c r="AX389" i="1"/>
  <c r="AY389" i="1"/>
  <c r="AZ389" i="1"/>
  <c r="BA389" i="1"/>
  <c r="BB389" i="1"/>
  <c r="BC389" i="1"/>
  <c r="BD389" i="1"/>
  <c r="BE389" i="1"/>
  <c r="BF389" i="1"/>
  <c r="BG389" i="1"/>
  <c r="BH389" i="1"/>
  <c r="BI389" i="1"/>
  <c r="U390" i="1"/>
  <c r="V390" i="1"/>
  <c r="W390" i="1"/>
  <c r="X390" i="1"/>
  <c r="Y390" i="1"/>
  <c r="Z390" i="1"/>
  <c r="AA390" i="1"/>
  <c r="AB390" i="1"/>
  <c r="AC390" i="1"/>
  <c r="AD390" i="1"/>
  <c r="AE390" i="1"/>
  <c r="AF390" i="1"/>
  <c r="AG390" i="1"/>
  <c r="AH390" i="1"/>
  <c r="AI390" i="1"/>
  <c r="AJ390" i="1"/>
  <c r="AK390" i="1"/>
  <c r="AL390" i="1"/>
  <c r="AM390" i="1"/>
  <c r="AN390" i="1"/>
  <c r="AO390" i="1"/>
  <c r="AP390" i="1"/>
  <c r="AQ390" i="1"/>
  <c r="AR390" i="1"/>
  <c r="AS390" i="1"/>
  <c r="AT390" i="1"/>
  <c r="AU390" i="1"/>
  <c r="AV390" i="1"/>
  <c r="AW390" i="1"/>
  <c r="AX390" i="1"/>
  <c r="AY390" i="1"/>
  <c r="AZ390" i="1"/>
  <c r="BA390" i="1"/>
  <c r="BB390" i="1"/>
  <c r="BC390" i="1"/>
  <c r="BD390" i="1"/>
  <c r="BE390" i="1"/>
  <c r="BF390" i="1"/>
  <c r="BG390" i="1"/>
  <c r="BH390" i="1"/>
  <c r="BI390" i="1"/>
  <c r="U391" i="1"/>
  <c r="V391" i="1"/>
  <c r="W391" i="1"/>
  <c r="X391" i="1"/>
  <c r="Y391" i="1"/>
  <c r="Z391" i="1"/>
  <c r="AA391" i="1"/>
  <c r="AB391" i="1"/>
  <c r="AC391" i="1"/>
  <c r="AD391" i="1"/>
  <c r="AE391" i="1"/>
  <c r="AF391" i="1"/>
  <c r="AG391" i="1"/>
  <c r="AH391" i="1"/>
  <c r="AI391" i="1"/>
  <c r="AJ391" i="1"/>
  <c r="AK391" i="1"/>
  <c r="AL391" i="1"/>
  <c r="AM391" i="1"/>
  <c r="AN391" i="1"/>
  <c r="AO391" i="1"/>
  <c r="AP391" i="1"/>
  <c r="AQ391" i="1"/>
  <c r="AR391" i="1"/>
  <c r="AS391" i="1"/>
  <c r="AT391" i="1"/>
  <c r="AU391" i="1"/>
  <c r="AV391" i="1"/>
  <c r="AW391" i="1"/>
  <c r="AX391" i="1"/>
  <c r="AY391" i="1"/>
  <c r="AZ391" i="1"/>
  <c r="BA391" i="1"/>
  <c r="BB391" i="1"/>
  <c r="BC391" i="1"/>
  <c r="BD391" i="1"/>
  <c r="BE391" i="1"/>
  <c r="BF391" i="1"/>
  <c r="BG391" i="1"/>
  <c r="BH391" i="1"/>
  <c r="BI391" i="1"/>
  <c r="U392" i="1"/>
  <c r="V392" i="1"/>
  <c r="W392" i="1"/>
  <c r="X392" i="1"/>
  <c r="Y392" i="1"/>
  <c r="Z392" i="1"/>
  <c r="AA392" i="1"/>
  <c r="AB392" i="1"/>
  <c r="AC392" i="1"/>
  <c r="AD392" i="1"/>
  <c r="AE392" i="1"/>
  <c r="AF392" i="1"/>
  <c r="AG392" i="1"/>
  <c r="AH392" i="1"/>
  <c r="AI392" i="1"/>
  <c r="AJ392" i="1"/>
  <c r="AK392" i="1"/>
  <c r="AL392" i="1"/>
  <c r="AM392" i="1"/>
  <c r="AN392" i="1"/>
  <c r="AO392" i="1"/>
  <c r="AP392" i="1"/>
  <c r="AQ392" i="1"/>
  <c r="AR392" i="1"/>
  <c r="AS392" i="1"/>
  <c r="AT392" i="1"/>
  <c r="AU392" i="1"/>
  <c r="AV392" i="1"/>
  <c r="AW392" i="1"/>
  <c r="AX392" i="1"/>
  <c r="AY392" i="1"/>
  <c r="AZ392" i="1"/>
  <c r="BA392" i="1"/>
  <c r="BB392" i="1"/>
  <c r="BC392" i="1"/>
  <c r="BD392" i="1"/>
  <c r="BE392" i="1"/>
  <c r="BF392" i="1"/>
  <c r="BG392" i="1"/>
  <c r="BH392" i="1"/>
  <c r="BI392" i="1"/>
  <c r="U393" i="1"/>
  <c r="V393" i="1"/>
  <c r="W393" i="1"/>
  <c r="X393" i="1"/>
  <c r="Y393" i="1"/>
  <c r="Z393" i="1"/>
  <c r="AA393" i="1"/>
  <c r="AB393" i="1"/>
  <c r="AC393" i="1"/>
  <c r="AD393" i="1"/>
  <c r="AE393" i="1"/>
  <c r="AF393" i="1"/>
  <c r="AG393" i="1"/>
  <c r="AH393" i="1"/>
  <c r="AI393" i="1"/>
  <c r="AJ393" i="1"/>
  <c r="AK393" i="1"/>
  <c r="AL393" i="1"/>
  <c r="AM393" i="1"/>
  <c r="AN393" i="1"/>
  <c r="AO393" i="1"/>
  <c r="AP393" i="1"/>
  <c r="AQ393" i="1"/>
  <c r="AR393" i="1"/>
  <c r="AS393" i="1"/>
  <c r="AT393" i="1"/>
  <c r="AU393" i="1"/>
  <c r="AV393" i="1"/>
  <c r="AW393" i="1"/>
  <c r="AX393" i="1"/>
  <c r="AY393" i="1"/>
  <c r="AZ393" i="1"/>
  <c r="BA393" i="1"/>
  <c r="BB393" i="1"/>
  <c r="BC393" i="1"/>
  <c r="BD393" i="1"/>
  <c r="BE393" i="1"/>
  <c r="BF393" i="1"/>
  <c r="BG393" i="1"/>
  <c r="BH393" i="1"/>
  <c r="BI393" i="1"/>
  <c r="U394" i="1"/>
  <c r="V394" i="1"/>
  <c r="W394" i="1"/>
  <c r="X394" i="1"/>
  <c r="Y394" i="1"/>
  <c r="Z394" i="1"/>
  <c r="AA394" i="1"/>
  <c r="AB394" i="1"/>
  <c r="AC394" i="1"/>
  <c r="AD394" i="1"/>
  <c r="AE394" i="1"/>
  <c r="AF394" i="1"/>
  <c r="AG394" i="1"/>
  <c r="AH394" i="1"/>
  <c r="AI394" i="1"/>
  <c r="AJ394" i="1"/>
  <c r="AK394" i="1"/>
  <c r="AL394" i="1"/>
  <c r="AM394" i="1"/>
  <c r="AN394" i="1"/>
  <c r="AO394" i="1"/>
  <c r="AP394" i="1"/>
  <c r="AQ394" i="1"/>
  <c r="AR394" i="1"/>
  <c r="AS394" i="1"/>
  <c r="AT394" i="1"/>
  <c r="AU394" i="1"/>
  <c r="AV394" i="1"/>
  <c r="AW394" i="1"/>
  <c r="AX394" i="1"/>
  <c r="AY394" i="1"/>
  <c r="AZ394" i="1"/>
  <c r="BA394" i="1"/>
  <c r="BB394" i="1"/>
  <c r="BC394" i="1"/>
  <c r="BD394" i="1"/>
  <c r="BE394" i="1"/>
  <c r="BF394" i="1"/>
  <c r="BG394" i="1"/>
  <c r="BH394" i="1"/>
  <c r="BI394" i="1"/>
  <c r="U395" i="1"/>
  <c r="V395" i="1"/>
  <c r="W395" i="1"/>
  <c r="X395" i="1"/>
  <c r="Y395" i="1"/>
  <c r="Z395" i="1"/>
  <c r="AA395" i="1"/>
  <c r="AB395" i="1"/>
  <c r="AC395" i="1"/>
  <c r="AD395" i="1"/>
  <c r="AE395" i="1"/>
  <c r="AF395" i="1"/>
  <c r="AG395" i="1"/>
  <c r="AH395" i="1"/>
  <c r="AI395" i="1"/>
  <c r="AJ395" i="1"/>
  <c r="AK395" i="1"/>
  <c r="AL395" i="1"/>
  <c r="AM395" i="1"/>
  <c r="AN395" i="1"/>
  <c r="AO395" i="1"/>
  <c r="AP395" i="1"/>
  <c r="AQ395" i="1"/>
  <c r="AR395" i="1"/>
  <c r="AS395" i="1"/>
  <c r="AT395" i="1"/>
  <c r="AU395" i="1"/>
  <c r="AV395" i="1"/>
  <c r="AW395" i="1"/>
  <c r="AX395" i="1"/>
  <c r="AY395" i="1"/>
  <c r="AZ395" i="1"/>
  <c r="BA395" i="1"/>
  <c r="BB395" i="1"/>
  <c r="BC395" i="1"/>
  <c r="BD395" i="1"/>
  <c r="BE395" i="1"/>
  <c r="BF395" i="1"/>
  <c r="BG395" i="1"/>
  <c r="BH395" i="1"/>
  <c r="BI395" i="1"/>
  <c r="U396" i="1"/>
  <c r="V396" i="1"/>
  <c r="W396" i="1"/>
  <c r="X396" i="1"/>
  <c r="Y396" i="1"/>
  <c r="Z396" i="1"/>
  <c r="AA396" i="1"/>
  <c r="AB396" i="1"/>
  <c r="AC396" i="1"/>
  <c r="AD396" i="1"/>
  <c r="AE396" i="1"/>
  <c r="AF396" i="1"/>
  <c r="AG396" i="1"/>
  <c r="AH396" i="1"/>
  <c r="AI396" i="1"/>
  <c r="AJ396" i="1"/>
  <c r="AK396" i="1"/>
  <c r="AL396" i="1"/>
  <c r="AM396" i="1"/>
  <c r="AN396" i="1"/>
  <c r="AO396" i="1"/>
  <c r="AP396" i="1"/>
  <c r="AQ396" i="1"/>
  <c r="AR396" i="1"/>
  <c r="AS396" i="1"/>
  <c r="AT396" i="1"/>
  <c r="AU396" i="1"/>
  <c r="AV396" i="1"/>
  <c r="AW396" i="1"/>
  <c r="AX396" i="1"/>
  <c r="AY396" i="1"/>
  <c r="AZ396" i="1"/>
  <c r="BA396" i="1"/>
  <c r="BB396" i="1"/>
  <c r="BC396" i="1"/>
  <c r="BD396" i="1"/>
  <c r="BE396" i="1"/>
  <c r="BF396" i="1"/>
  <c r="BG396" i="1"/>
  <c r="BH396" i="1"/>
  <c r="BI396" i="1"/>
  <c r="U397" i="1"/>
  <c r="V397" i="1"/>
  <c r="W397" i="1"/>
  <c r="X397" i="1"/>
  <c r="Y397" i="1"/>
  <c r="Z397" i="1"/>
  <c r="AA397" i="1"/>
  <c r="AB397" i="1"/>
  <c r="AC397" i="1"/>
  <c r="AD397" i="1"/>
  <c r="AE397" i="1"/>
  <c r="AF397" i="1"/>
  <c r="AG397" i="1"/>
  <c r="AH397" i="1"/>
  <c r="AI397" i="1"/>
  <c r="AJ397" i="1"/>
  <c r="AK397" i="1"/>
  <c r="AL397" i="1"/>
  <c r="AM397" i="1"/>
  <c r="AN397" i="1"/>
  <c r="AO397" i="1"/>
  <c r="AP397" i="1"/>
  <c r="AQ397" i="1"/>
  <c r="AR397" i="1"/>
  <c r="AS397" i="1"/>
  <c r="AT397" i="1"/>
  <c r="AU397" i="1"/>
  <c r="AV397" i="1"/>
  <c r="AW397" i="1"/>
  <c r="AX397" i="1"/>
  <c r="AY397" i="1"/>
  <c r="AZ397" i="1"/>
  <c r="BA397" i="1"/>
  <c r="BB397" i="1"/>
  <c r="BC397" i="1"/>
  <c r="BD397" i="1"/>
  <c r="BE397" i="1"/>
  <c r="BF397" i="1"/>
  <c r="BG397" i="1"/>
  <c r="BH397" i="1"/>
  <c r="BI397" i="1"/>
  <c r="U398" i="1"/>
  <c r="V398" i="1"/>
  <c r="W398" i="1"/>
  <c r="X398" i="1"/>
  <c r="Y398" i="1"/>
  <c r="Z398" i="1"/>
  <c r="AA398" i="1"/>
  <c r="AB398" i="1"/>
  <c r="AC398" i="1"/>
  <c r="AD398" i="1"/>
  <c r="AE398" i="1"/>
  <c r="AF398" i="1"/>
  <c r="AG398" i="1"/>
  <c r="AH398" i="1"/>
  <c r="AI398" i="1"/>
  <c r="AJ398" i="1"/>
  <c r="AK398" i="1"/>
  <c r="AL398" i="1"/>
  <c r="AM398" i="1"/>
  <c r="AN398" i="1"/>
  <c r="AO398" i="1"/>
  <c r="AP398" i="1"/>
  <c r="AQ398" i="1"/>
  <c r="AR398" i="1"/>
  <c r="AS398" i="1"/>
  <c r="AT398" i="1"/>
  <c r="AU398" i="1"/>
  <c r="AV398" i="1"/>
  <c r="AW398" i="1"/>
  <c r="AX398" i="1"/>
  <c r="AY398" i="1"/>
  <c r="AZ398" i="1"/>
  <c r="BA398" i="1"/>
  <c r="BB398" i="1"/>
  <c r="BC398" i="1"/>
  <c r="BD398" i="1"/>
  <c r="BE398" i="1"/>
  <c r="BF398" i="1"/>
  <c r="BG398" i="1"/>
  <c r="BH398" i="1"/>
  <c r="BI398" i="1"/>
  <c r="U399" i="1"/>
  <c r="V399" i="1"/>
  <c r="W399" i="1"/>
  <c r="X399" i="1"/>
  <c r="Y399" i="1"/>
  <c r="Z399" i="1"/>
  <c r="AA399" i="1"/>
  <c r="AB399" i="1"/>
  <c r="AC399" i="1"/>
  <c r="AD399" i="1"/>
  <c r="AE399" i="1"/>
  <c r="AF399" i="1"/>
  <c r="AG399" i="1"/>
  <c r="AH399" i="1"/>
  <c r="AI399" i="1"/>
  <c r="AJ399" i="1"/>
  <c r="AK399" i="1"/>
  <c r="AL399" i="1"/>
  <c r="AM399" i="1"/>
  <c r="AN399" i="1"/>
  <c r="AO399" i="1"/>
  <c r="AP399" i="1"/>
  <c r="AQ399" i="1"/>
  <c r="AR399" i="1"/>
  <c r="AS399" i="1"/>
  <c r="AT399" i="1"/>
  <c r="AU399" i="1"/>
  <c r="AV399" i="1"/>
  <c r="AW399" i="1"/>
  <c r="AX399" i="1"/>
  <c r="AY399" i="1"/>
  <c r="AZ399" i="1"/>
  <c r="BA399" i="1"/>
  <c r="BB399" i="1"/>
  <c r="BC399" i="1"/>
  <c r="BD399" i="1"/>
  <c r="BE399" i="1"/>
  <c r="BF399" i="1"/>
  <c r="BG399" i="1"/>
  <c r="BH399" i="1"/>
  <c r="BI399" i="1"/>
  <c r="U400" i="1"/>
  <c r="V400" i="1"/>
  <c r="W400" i="1"/>
  <c r="X400" i="1"/>
  <c r="Y400" i="1"/>
  <c r="Z400" i="1"/>
  <c r="AA400" i="1"/>
  <c r="AB400" i="1"/>
  <c r="AC400" i="1"/>
  <c r="AD400" i="1"/>
  <c r="AE400" i="1"/>
  <c r="AF400" i="1"/>
  <c r="AG400" i="1"/>
  <c r="AH400" i="1"/>
  <c r="AI400" i="1"/>
  <c r="AJ400" i="1"/>
  <c r="AK400" i="1"/>
  <c r="AL400" i="1"/>
  <c r="AM400" i="1"/>
  <c r="AN400" i="1"/>
  <c r="AO400" i="1"/>
  <c r="AP400" i="1"/>
  <c r="AQ400" i="1"/>
  <c r="AR400" i="1"/>
  <c r="AS400" i="1"/>
  <c r="AT400" i="1"/>
  <c r="AU400" i="1"/>
  <c r="AV400" i="1"/>
  <c r="AW400" i="1"/>
  <c r="AX400" i="1"/>
  <c r="AY400" i="1"/>
  <c r="AZ400" i="1"/>
  <c r="BA400" i="1"/>
  <c r="BB400" i="1"/>
  <c r="BC400" i="1"/>
  <c r="BD400" i="1"/>
  <c r="BE400" i="1"/>
  <c r="BF400" i="1"/>
  <c r="BG400" i="1"/>
  <c r="BH400" i="1"/>
  <c r="BI400" i="1"/>
  <c r="U401" i="1"/>
  <c r="V401" i="1"/>
  <c r="W401" i="1"/>
  <c r="X401" i="1"/>
  <c r="Y401" i="1"/>
  <c r="Z401" i="1"/>
  <c r="AA401" i="1"/>
  <c r="AB401" i="1"/>
  <c r="AC401" i="1"/>
  <c r="AD401" i="1"/>
  <c r="AE401" i="1"/>
  <c r="AF401" i="1"/>
  <c r="AG401" i="1"/>
  <c r="AH401" i="1"/>
  <c r="AI401" i="1"/>
  <c r="AJ401" i="1"/>
  <c r="AK401" i="1"/>
  <c r="AL401" i="1"/>
  <c r="AM401" i="1"/>
  <c r="AN401" i="1"/>
  <c r="AO401" i="1"/>
  <c r="AP401" i="1"/>
  <c r="AQ401" i="1"/>
  <c r="AR401" i="1"/>
  <c r="AS401" i="1"/>
  <c r="AT401" i="1"/>
  <c r="AU401" i="1"/>
  <c r="AV401" i="1"/>
  <c r="AW401" i="1"/>
  <c r="AX401" i="1"/>
  <c r="AY401" i="1"/>
  <c r="AZ401" i="1"/>
  <c r="BA401" i="1"/>
  <c r="BB401" i="1"/>
  <c r="BC401" i="1"/>
  <c r="BD401" i="1"/>
  <c r="BE401" i="1"/>
  <c r="BF401" i="1"/>
  <c r="BG401" i="1"/>
  <c r="BH401" i="1"/>
  <c r="BI401" i="1"/>
  <c r="U402" i="1"/>
  <c r="V402" i="1"/>
  <c r="W402" i="1"/>
  <c r="X402" i="1"/>
  <c r="Y402" i="1"/>
  <c r="Z402" i="1"/>
  <c r="AA402" i="1"/>
  <c r="AB402" i="1"/>
  <c r="AC402" i="1"/>
  <c r="AD402" i="1"/>
  <c r="AE402" i="1"/>
  <c r="AF402" i="1"/>
  <c r="AG402" i="1"/>
  <c r="AH402" i="1"/>
  <c r="AI402" i="1"/>
  <c r="AJ402" i="1"/>
  <c r="AK402" i="1"/>
  <c r="AL402" i="1"/>
  <c r="AM402" i="1"/>
  <c r="AN402" i="1"/>
  <c r="AO402" i="1"/>
  <c r="AP402" i="1"/>
  <c r="AQ402" i="1"/>
  <c r="AR402" i="1"/>
  <c r="AS402" i="1"/>
  <c r="AT402" i="1"/>
  <c r="AU402" i="1"/>
  <c r="AV402" i="1"/>
  <c r="AW402" i="1"/>
  <c r="AX402" i="1"/>
  <c r="AY402" i="1"/>
  <c r="AZ402" i="1"/>
  <c r="BA402" i="1"/>
  <c r="BB402" i="1"/>
  <c r="BC402" i="1"/>
  <c r="BD402" i="1"/>
  <c r="BE402" i="1"/>
  <c r="BF402" i="1"/>
  <c r="BG402" i="1"/>
  <c r="BH402" i="1"/>
  <c r="BI402" i="1"/>
  <c r="U403" i="1"/>
  <c r="V403" i="1"/>
  <c r="W403" i="1"/>
  <c r="X403" i="1"/>
  <c r="Y403" i="1"/>
  <c r="Z403" i="1"/>
  <c r="AA403" i="1"/>
  <c r="AB403" i="1"/>
  <c r="AC403" i="1"/>
  <c r="AD403" i="1"/>
  <c r="AE403" i="1"/>
  <c r="AF403" i="1"/>
  <c r="AG403" i="1"/>
  <c r="AH403" i="1"/>
  <c r="AI403" i="1"/>
  <c r="AJ403" i="1"/>
  <c r="AK403" i="1"/>
  <c r="AL403" i="1"/>
  <c r="AM403" i="1"/>
  <c r="AN403" i="1"/>
  <c r="AO403" i="1"/>
  <c r="AP403" i="1"/>
  <c r="AQ403" i="1"/>
  <c r="AR403" i="1"/>
  <c r="AS403" i="1"/>
  <c r="AT403" i="1"/>
  <c r="AU403" i="1"/>
  <c r="AV403" i="1"/>
  <c r="AW403" i="1"/>
  <c r="AX403" i="1"/>
  <c r="AY403" i="1"/>
  <c r="AZ403" i="1"/>
  <c r="BA403" i="1"/>
  <c r="BB403" i="1"/>
  <c r="BC403" i="1"/>
  <c r="BD403" i="1"/>
  <c r="BE403" i="1"/>
  <c r="BF403" i="1"/>
  <c r="BG403" i="1"/>
  <c r="BH403" i="1"/>
  <c r="BI403" i="1"/>
  <c r="U404" i="1"/>
  <c r="V404" i="1"/>
  <c r="W404" i="1"/>
  <c r="X404" i="1"/>
  <c r="Y404" i="1"/>
  <c r="Z404" i="1"/>
  <c r="AA404" i="1"/>
  <c r="AB404" i="1"/>
  <c r="AC404" i="1"/>
  <c r="AD404" i="1"/>
  <c r="AE404" i="1"/>
  <c r="AF404" i="1"/>
  <c r="AG404" i="1"/>
  <c r="AH404" i="1"/>
  <c r="AI404" i="1"/>
  <c r="AJ404" i="1"/>
  <c r="AK404" i="1"/>
  <c r="AL404" i="1"/>
  <c r="AM404" i="1"/>
  <c r="AN404" i="1"/>
  <c r="AO404" i="1"/>
  <c r="AP404" i="1"/>
  <c r="AQ404" i="1"/>
  <c r="AR404" i="1"/>
  <c r="AS404" i="1"/>
  <c r="AT404" i="1"/>
  <c r="AU404" i="1"/>
  <c r="AV404" i="1"/>
  <c r="AW404" i="1"/>
  <c r="AX404" i="1"/>
  <c r="AY404" i="1"/>
  <c r="AZ404" i="1"/>
  <c r="BA404" i="1"/>
  <c r="BB404" i="1"/>
  <c r="BC404" i="1"/>
  <c r="BD404" i="1"/>
  <c r="BE404" i="1"/>
  <c r="BF404" i="1"/>
  <c r="BG404" i="1"/>
  <c r="BH404" i="1"/>
  <c r="BI404" i="1"/>
  <c r="U405" i="1"/>
  <c r="V405" i="1"/>
  <c r="W405" i="1"/>
  <c r="X405" i="1"/>
  <c r="Y405" i="1"/>
  <c r="Z405" i="1"/>
  <c r="AA405" i="1"/>
  <c r="AB405" i="1"/>
  <c r="AC405" i="1"/>
  <c r="AD405" i="1"/>
  <c r="AE405" i="1"/>
  <c r="AF405" i="1"/>
  <c r="AG405" i="1"/>
  <c r="AH405" i="1"/>
  <c r="AI405" i="1"/>
  <c r="AJ405" i="1"/>
  <c r="AK405" i="1"/>
  <c r="AL405" i="1"/>
  <c r="AM405" i="1"/>
  <c r="AN405" i="1"/>
  <c r="AO405" i="1"/>
  <c r="AP405" i="1"/>
  <c r="AQ405" i="1"/>
  <c r="AR405" i="1"/>
  <c r="AS405" i="1"/>
  <c r="AT405" i="1"/>
  <c r="AU405" i="1"/>
  <c r="AV405" i="1"/>
  <c r="AW405" i="1"/>
  <c r="AX405" i="1"/>
  <c r="AY405" i="1"/>
  <c r="AZ405" i="1"/>
  <c r="BA405" i="1"/>
  <c r="BB405" i="1"/>
  <c r="BC405" i="1"/>
  <c r="BD405" i="1"/>
  <c r="BE405" i="1"/>
  <c r="BF405" i="1"/>
  <c r="BG405" i="1"/>
  <c r="BH405" i="1"/>
  <c r="BI405" i="1"/>
  <c r="U406" i="1"/>
  <c r="V406" i="1"/>
  <c r="W406" i="1"/>
  <c r="X406" i="1"/>
  <c r="Y406" i="1"/>
  <c r="Z406" i="1"/>
  <c r="AA406" i="1"/>
  <c r="AB406" i="1"/>
  <c r="AC406" i="1"/>
  <c r="AD406" i="1"/>
  <c r="AE406" i="1"/>
  <c r="AF406" i="1"/>
  <c r="AG406" i="1"/>
  <c r="AH406" i="1"/>
  <c r="AI406" i="1"/>
  <c r="AJ406" i="1"/>
  <c r="AK406" i="1"/>
  <c r="AL406" i="1"/>
  <c r="AM406" i="1"/>
  <c r="AN406" i="1"/>
  <c r="AO406" i="1"/>
  <c r="AP406" i="1"/>
  <c r="AQ406" i="1"/>
  <c r="AR406" i="1"/>
  <c r="AS406" i="1"/>
  <c r="AT406" i="1"/>
  <c r="AU406" i="1"/>
  <c r="AV406" i="1"/>
  <c r="AW406" i="1"/>
  <c r="AX406" i="1"/>
  <c r="AY406" i="1"/>
  <c r="AZ406" i="1"/>
  <c r="BA406" i="1"/>
  <c r="BB406" i="1"/>
  <c r="BC406" i="1"/>
  <c r="BD406" i="1"/>
  <c r="BE406" i="1"/>
  <c r="BF406" i="1"/>
  <c r="BG406" i="1"/>
  <c r="BH406" i="1"/>
  <c r="BI406" i="1"/>
  <c r="U407" i="1"/>
  <c r="V407" i="1"/>
  <c r="W407" i="1"/>
  <c r="X407" i="1"/>
  <c r="Y407" i="1"/>
  <c r="Z407" i="1"/>
  <c r="AA407" i="1"/>
  <c r="AB407" i="1"/>
  <c r="AC407" i="1"/>
  <c r="AD407" i="1"/>
  <c r="AE407" i="1"/>
  <c r="AF407" i="1"/>
  <c r="AG407" i="1"/>
  <c r="AH407" i="1"/>
  <c r="AI407" i="1"/>
  <c r="AJ407" i="1"/>
  <c r="AK407" i="1"/>
  <c r="AL407" i="1"/>
  <c r="AM407" i="1"/>
  <c r="AN407" i="1"/>
  <c r="AO407" i="1"/>
  <c r="AP407" i="1"/>
  <c r="AQ407" i="1"/>
  <c r="AR407" i="1"/>
  <c r="AS407" i="1"/>
  <c r="AT407" i="1"/>
  <c r="AU407" i="1"/>
  <c r="AV407" i="1"/>
  <c r="AW407" i="1"/>
  <c r="AX407" i="1"/>
  <c r="AY407" i="1"/>
  <c r="AZ407" i="1"/>
  <c r="BA407" i="1"/>
  <c r="BB407" i="1"/>
  <c r="BC407" i="1"/>
  <c r="BD407" i="1"/>
  <c r="BE407" i="1"/>
  <c r="BF407" i="1"/>
  <c r="BG407" i="1"/>
  <c r="BH407" i="1"/>
  <c r="BI407" i="1"/>
  <c r="U408" i="1"/>
  <c r="V408" i="1"/>
  <c r="W408" i="1"/>
  <c r="X408" i="1"/>
  <c r="Y408" i="1"/>
  <c r="Z408" i="1"/>
  <c r="AA408" i="1"/>
  <c r="AB408" i="1"/>
  <c r="AC408" i="1"/>
  <c r="AD408" i="1"/>
  <c r="AE408" i="1"/>
  <c r="AF408" i="1"/>
  <c r="AG408" i="1"/>
  <c r="AH408" i="1"/>
  <c r="AI408" i="1"/>
  <c r="AJ408" i="1"/>
  <c r="AK408" i="1"/>
  <c r="AL408" i="1"/>
  <c r="AM408" i="1"/>
  <c r="AN408" i="1"/>
  <c r="AO408" i="1"/>
  <c r="AP408" i="1"/>
  <c r="AQ408" i="1"/>
  <c r="AR408" i="1"/>
  <c r="AS408" i="1"/>
  <c r="AT408" i="1"/>
  <c r="AU408" i="1"/>
  <c r="AV408" i="1"/>
  <c r="AW408" i="1"/>
  <c r="AX408" i="1"/>
  <c r="AY408" i="1"/>
  <c r="AZ408" i="1"/>
  <c r="BA408" i="1"/>
  <c r="BB408" i="1"/>
  <c r="BC408" i="1"/>
  <c r="BD408" i="1"/>
  <c r="BE408" i="1"/>
  <c r="BF408" i="1"/>
  <c r="BG408" i="1"/>
  <c r="BH408" i="1"/>
  <c r="BI408" i="1"/>
  <c r="U409" i="1"/>
  <c r="V409" i="1"/>
  <c r="W409" i="1"/>
  <c r="X409" i="1"/>
  <c r="Y409" i="1"/>
  <c r="Z409" i="1"/>
  <c r="AA409" i="1"/>
  <c r="AB409" i="1"/>
  <c r="AC409" i="1"/>
  <c r="AD409" i="1"/>
  <c r="AE409" i="1"/>
  <c r="AF409" i="1"/>
  <c r="AG409" i="1"/>
  <c r="AH409" i="1"/>
  <c r="AI409" i="1"/>
  <c r="AJ409" i="1"/>
  <c r="AK409" i="1"/>
  <c r="AL409" i="1"/>
  <c r="AM409" i="1"/>
  <c r="AN409" i="1"/>
  <c r="AO409" i="1"/>
  <c r="AP409" i="1"/>
  <c r="AQ409" i="1"/>
  <c r="AR409" i="1"/>
  <c r="AS409" i="1"/>
  <c r="AT409" i="1"/>
  <c r="AU409" i="1"/>
  <c r="AV409" i="1"/>
  <c r="AW409" i="1"/>
  <c r="AX409" i="1"/>
  <c r="AY409" i="1"/>
  <c r="AZ409" i="1"/>
  <c r="BA409" i="1"/>
  <c r="BB409" i="1"/>
  <c r="BC409" i="1"/>
  <c r="BD409" i="1"/>
  <c r="BE409" i="1"/>
  <c r="BF409" i="1"/>
  <c r="BG409" i="1"/>
  <c r="BH409" i="1"/>
  <c r="BI409" i="1"/>
  <c r="U410" i="1"/>
  <c r="V410" i="1"/>
  <c r="W410" i="1"/>
  <c r="X410" i="1"/>
  <c r="Y410" i="1"/>
  <c r="Z410" i="1"/>
  <c r="AA410" i="1"/>
  <c r="AB410" i="1"/>
  <c r="AC410" i="1"/>
  <c r="AD410" i="1"/>
  <c r="AE410" i="1"/>
  <c r="AF410" i="1"/>
  <c r="AG410" i="1"/>
  <c r="AH410" i="1"/>
  <c r="AI410" i="1"/>
  <c r="AJ410" i="1"/>
  <c r="AK410" i="1"/>
  <c r="AL410" i="1"/>
  <c r="AM410" i="1"/>
  <c r="AN410" i="1"/>
  <c r="AO410" i="1"/>
  <c r="AP410" i="1"/>
  <c r="AQ410" i="1"/>
  <c r="AR410" i="1"/>
  <c r="AS410" i="1"/>
  <c r="AT410" i="1"/>
  <c r="AU410" i="1"/>
  <c r="AV410" i="1"/>
  <c r="AW410" i="1"/>
  <c r="AX410" i="1"/>
  <c r="AY410" i="1"/>
  <c r="AZ410" i="1"/>
  <c r="BA410" i="1"/>
  <c r="BB410" i="1"/>
  <c r="BC410" i="1"/>
  <c r="BD410" i="1"/>
  <c r="BE410" i="1"/>
  <c r="BF410" i="1"/>
  <c r="BG410" i="1"/>
  <c r="BH410" i="1"/>
  <c r="BI410" i="1"/>
  <c r="U411" i="1"/>
  <c r="V411" i="1"/>
  <c r="W411" i="1"/>
  <c r="X411" i="1"/>
  <c r="Y411" i="1"/>
  <c r="Z411" i="1"/>
  <c r="AA411" i="1"/>
  <c r="AB411" i="1"/>
  <c r="AC411" i="1"/>
  <c r="AD411" i="1"/>
  <c r="AE411" i="1"/>
  <c r="AF411" i="1"/>
  <c r="AG411" i="1"/>
  <c r="AH411" i="1"/>
  <c r="AI411" i="1"/>
  <c r="AJ411" i="1"/>
  <c r="AK411" i="1"/>
  <c r="AL411" i="1"/>
  <c r="AM411" i="1"/>
  <c r="AN411" i="1"/>
  <c r="AO411" i="1"/>
  <c r="AP411" i="1"/>
  <c r="AQ411" i="1"/>
  <c r="AR411" i="1"/>
  <c r="AS411" i="1"/>
  <c r="AT411" i="1"/>
  <c r="AU411" i="1"/>
  <c r="AV411" i="1"/>
  <c r="AW411" i="1"/>
  <c r="AX411" i="1"/>
  <c r="AY411" i="1"/>
  <c r="AZ411" i="1"/>
  <c r="BA411" i="1"/>
  <c r="BB411" i="1"/>
  <c r="BC411" i="1"/>
  <c r="BD411" i="1"/>
  <c r="BE411" i="1"/>
  <c r="BF411" i="1"/>
  <c r="BG411" i="1"/>
  <c r="BH411" i="1"/>
  <c r="BI411" i="1"/>
  <c r="U412" i="1"/>
  <c r="V412" i="1"/>
  <c r="W412" i="1"/>
  <c r="X412" i="1"/>
  <c r="Y412" i="1"/>
  <c r="Z412" i="1"/>
  <c r="AA412" i="1"/>
  <c r="AB412" i="1"/>
  <c r="AC412" i="1"/>
  <c r="AD412" i="1"/>
  <c r="AE412" i="1"/>
  <c r="AF412" i="1"/>
  <c r="AG412" i="1"/>
  <c r="AH412" i="1"/>
  <c r="AI412" i="1"/>
  <c r="AJ412" i="1"/>
  <c r="AK412" i="1"/>
  <c r="AL412" i="1"/>
  <c r="AM412" i="1"/>
  <c r="AN412" i="1"/>
  <c r="AO412" i="1"/>
  <c r="AP412" i="1"/>
  <c r="AQ412" i="1"/>
  <c r="AR412" i="1"/>
  <c r="AS412" i="1"/>
  <c r="AT412" i="1"/>
  <c r="AU412" i="1"/>
  <c r="AV412" i="1"/>
  <c r="AW412" i="1"/>
  <c r="AX412" i="1"/>
  <c r="AY412" i="1"/>
  <c r="AZ412" i="1"/>
  <c r="BA412" i="1"/>
  <c r="BB412" i="1"/>
  <c r="BC412" i="1"/>
  <c r="BD412" i="1"/>
  <c r="BE412" i="1"/>
  <c r="BF412" i="1"/>
  <c r="BG412" i="1"/>
  <c r="BH412" i="1"/>
  <c r="BI412" i="1"/>
  <c r="U413" i="1"/>
  <c r="V413" i="1"/>
  <c r="W413" i="1"/>
  <c r="X413" i="1"/>
  <c r="Y413" i="1"/>
  <c r="Z413" i="1"/>
  <c r="AA413" i="1"/>
  <c r="AB413" i="1"/>
  <c r="AC413" i="1"/>
  <c r="AD413" i="1"/>
  <c r="AE413" i="1"/>
  <c r="AF413" i="1"/>
  <c r="AG413" i="1"/>
  <c r="AH413" i="1"/>
  <c r="AI413" i="1"/>
  <c r="AJ413" i="1"/>
  <c r="AK413" i="1"/>
  <c r="AL413" i="1"/>
  <c r="AM413" i="1"/>
  <c r="AN413" i="1"/>
  <c r="AO413" i="1"/>
  <c r="AP413" i="1"/>
  <c r="AQ413" i="1"/>
  <c r="AR413" i="1"/>
  <c r="AS413" i="1"/>
  <c r="AT413" i="1"/>
  <c r="AU413" i="1"/>
  <c r="AV413" i="1"/>
  <c r="AW413" i="1"/>
  <c r="AX413" i="1"/>
  <c r="AY413" i="1"/>
  <c r="AZ413" i="1"/>
  <c r="BA413" i="1"/>
  <c r="BB413" i="1"/>
  <c r="BC413" i="1"/>
  <c r="BD413" i="1"/>
  <c r="BE413" i="1"/>
  <c r="BF413" i="1"/>
  <c r="BG413" i="1"/>
  <c r="BH413" i="1"/>
  <c r="BI413" i="1"/>
  <c r="U414" i="1"/>
  <c r="V414" i="1"/>
  <c r="W414" i="1"/>
  <c r="X414" i="1"/>
  <c r="Y414" i="1"/>
  <c r="Z414" i="1"/>
  <c r="AA414" i="1"/>
  <c r="AB414" i="1"/>
  <c r="AC414" i="1"/>
  <c r="AD414" i="1"/>
  <c r="AE414" i="1"/>
  <c r="AF414" i="1"/>
  <c r="AG414" i="1"/>
  <c r="AH414" i="1"/>
  <c r="AI414" i="1"/>
  <c r="AJ414" i="1"/>
  <c r="AK414" i="1"/>
  <c r="AL414" i="1"/>
  <c r="AM414" i="1"/>
  <c r="AN414" i="1"/>
  <c r="AO414" i="1"/>
  <c r="AP414" i="1"/>
  <c r="AQ414" i="1"/>
  <c r="AR414" i="1"/>
  <c r="AS414" i="1"/>
  <c r="AT414" i="1"/>
  <c r="AU414" i="1"/>
  <c r="AV414" i="1"/>
  <c r="AW414" i="1"/>
  <c r="AX414" i="1"/>
  <c r="AY414" i="1"/>
  <c r="AZ414" i="1"/>
  <c r="BA414" i="1"/>
  <c r="BB414" i="1"/>
  <c r="BC414" i="1"/>
  <c r="BD414" i="1"/>
  <c r="BE414" i="1"/>
  <c r="BF414" i="1"/>
  <c r="BG414" i="1"/>
  <c r="BH414" i="1"/>
  <c r="BI414" i="1"/>
  <c r="U415" i="1"/>
  <c r="V415" i="1"/>
  <c r="W415" i="1"/>
  <c r="X415" i="1"/>
  <c r="Y415" i="1"/>
  <c r="Z415" i="1"/>
  <c r="AA415" i="1"/>
  <c r="AB415" i="1"/>
  <c r="AC415" i="1"/>
  <c r="AD415" i="1"/>
  <c r="AE415" i="1"/>
  <c r="AF415" i="1"/>
  <c r="AG415" i="1"/>
  <c r="AH415" i="1"/>
  <c r="AI415" i="1"/>
  <c r="AJ415" i="1"/>
  <c r="AK415" i="1"/>
  <c r="AL415" i="1"/>
  <c r="AM415" i="1"/>
  <c r="AN415" i="1"/>
  <c r="AO415" i="1"/>
  <c r="AP415" i="1"/>
  <c r="AQ415" i="1"/>
  <c r="AR415" i="1"/>
  <c r="AS415" i="1"/>
  <c r="AT415" i="1"/>
  <c r="AU415" i="1"/>
  <c r="AV415" i="1"/>
  <c r="AW415" i="1"/>
  <c r="AX415" i="1"/>
  <c r="AY415" i="1"/>
  <c r="AZ415" i="1"/>
  <c r="BA415" i="1"/>
  <c r="BB415" i="1"/>
  <c r="BC415" i="1"/>
  <c r="BD415" i="1"/>
  <c r="BE415" i="1"/>
  <c r="BF415" i="1"/>
  <c r="BG415" i="1"/>
  <c r="BH415" i="1"/>
  <c r="BI415" i="1"/>
  <c r="U416" i="1"/>
  <c r="V416" i="1"/>
  <c r="W416" i="1"/>
  <c r="X416" i="1"/>
  <c r="Y416" i="1"/>
  <c r="Z416" i="1"/>
  <c r="AA416" i="1"/>
  <c r="AB416" i="1"/>
  <c r="AC416" i="1"/>
  <c r="AD416" i="1"/>
  <c r="AE416" i="1"/>
  <c r="AF416" i="1"/>
  <c r="AG416" i="1"/>
  <c r="AH416" i="1"/>
  <c r="AI416" i="1"/>
  <c r="AJ416" i="1"/>
  <c r="AK416" i="1"/>
  <c r="AL416" i="1"/>
  <c r="AM416" i="1"/>
  <c r="AN416" i="1"/>
  <c r="AO416" i="1"/>
  <c r="AP416" i="1"/>
  <c r="AQ416" i="1"/>
  <c r="AR416" i="1"/>
  <c r="AS416" i="1"/>
  <c r="AT416" i="1"/>
  <c r="AU416" i="1"/>
  <c r="AV416" i="1"/>
  <c r="AW416" i="1"/>
  <c r="AX416" i="1"/>
  <c r="AY416" i="1"/>
  <c r="AZ416" i="1"/>
  <c r="BA416" i="1"/>
  <c r="BB416" i="1"/>
  <c r="BC416" i="1"/>
  <c r="BD416" i="1"/>
  <c r="BE416" i="1"/>
  <c r="BF416" i="1"/>
  <c r="BG416" i="1"/>
  <c r="BH416" i="1"/>
  <c r="BI416" i="1"/>
  <c r="U417" i="1"/>
  <c r="V417" i="1"/>
  <c r="W417" i="1"/>
  <c r="X417" i="1"/>
  <c r="Y417" i="1"/>
  <c r="Z417" i="1"/>
  <c r="AA417" i="1"/>
  <c r="AB417" i="1"/>
  <c r="AC417" i="1"/>
  <c r="AD417" i="1"/>
  <c r="AE417" i="1"/>
  <c r="AF417" i="1"/>
  <c r="AG417" i="1"/>
  <c r="AH417" i="1"/>
  <c r="AI417" i="1"/>
  <c r="AJ417" i="1"/>
  <c r="AK417" i="1"/>
  <c r="AL417" i="1"/>
  <c r="AM417" i="1"/>
  <c r="AN417" i="1"/>
  <c r="AO417" i="1"/>
  <c r="AP417" i="1"/>
  <c r="AQ417" i="1"/>
  <c r="AR417" i="1"/>
  <c r="AS417" i="1"/>
  <c r="AT417" i="1"/>
  <c r="AU417" i="1"/>
  <c r="AV417" i="1"/>
  <c r="AW417" i="1"/>
  <c r="AX417" i="1"/>
  <c r="AY417" i="1"/>
  <c r="AZ417" i="1"/>
  <c r="BA417" i="1"/>
  <c r="BB417" i="1"/>
  <c r="BC417" i="1"/>
  <c r="BD417" i="1"/>
  <c r="BE417" i="1"/>
  <c r="BF417" i="1"/>
  <c r="BG417" i="1"/>
  <c r="BH417" i="1"/>
  <c r="BI417" i="1"/>
  <c r="U418" i="1"/>
  <c r="V418" i="1"/>
  <c r="W418" i="1"/>
  <c r="X418" i="1"/>
  <c r="Y418" i="1"/>
  <c r="Z418" i="1"/>
  <c r="AA418" i="1"/>
  <c r="AB418" i="1"/>
  <c r="AC418" i="1"/>
  <c r="AD418" i="1"/>
  <c r="AE418" i="1"/>
  <c r="AF418" i="1"/>
  <c r="AG418" i="1"/>
  <c r="AH418" i="1"/>
  <c r="AI418" i="1"/>
  <c r="AJ418" i="1"/>
  <c r="AK418" i="1"/>
  <c r="AL418" i="1"/>
  <c r="AM418" i="1"/>
  <c r="AN418" i="1"/>
  <c r="AO418" i="1"/>
  <c r="AP418" i="1"/>
  <c r="AQ418" i="1"/>
  <c r="AR418" i="1"/>
  <c r="AS418" i="1"/>
  <c r="AT418" i="1"/>
  <c r="AU418" i="1"/>
  <c r="AV418" i="1"/>
  <c r="AW418" i="1"/>
  <c r="AX418" i="1"/>
  <c r="AY418" i="1"/>
  <c r="AZ418" i="1"/>
  <c r="BA418" i="1"/>
  <c r="BB418" i="1"/>
  <c r="BC418" i="1"/>
  <c r="BD418" i="1"/>
  <c r="BE418" i="1"/>
  <c r="BF418" i="1"/>
  <c r="BG418" i="1"/>
  <c r="BH418" i="1"/>
  <c r="BI418" i="1"/>
  <c r="U419" i="1"/>
  <c r="V419" i="1"/>
  <c r="W419" i="1"/>
  <c r="X419" i="1"/>
  <c r="Y419" i="1"/>
  <c r="Z419" i="1"/>
  <c r="AA419" i="1"/>
  <c r="AB419" i="1"/>
  <c r="AC419" i="1"/>
  <c r="AD419" i="1"/>
  <c r="AE419" i="1"/>
  <c r="AF419" i="1"/>
  <c r="AG419" i="1"/>
  <c r="AH419" i="1"/>
  <c r="AI419" i="1"/>
  <c r="AJ419" i="1"/>
  <c r="AK419" i="1"/>
  <c r="AL419" i="1"/>
  <c r="AM419" i="1"/>
  <c r="AN419" i="1"/>
  <c r="AO419" i="1"/>
  <c r="AP419" i="1"/>
  <c r="AQ419" i="1"/>
  <c r="AR419" i="1"/>
  <c r="AS419" i="1"/>
  <c r="AT419" i="1"/>
  <c r="AU419" i="1"/>
  <c r="AV419" i="1"/>
  <c r="AW419" i="1"/>
  <c r="AX419" i="1"/>
  <c r="AY419" i="1"/>
  <c r="AZ419" i="1"/>
  <c r="BA419" i="1"/>
  <c r="BB419" i="1"/>
  <c r="BC419" i="1"/>
  <c r="BD419" i="1"/>
  <c r="BE419" i="1"/>
  <c r="BF419" i="1"/>
  <c r="BG419" i="1"/>
  <c r="BH419" i="1"/>
  <c r="BI419" i="1"/>
  <c r="U420" i="1"/>
  <c r="V420" i="1"/>
  <c r="W420" i="1"/>
  <c r="X420" i="1"/>
  <c r="Y420" i="1"/>
  <c r="Z420" i="1"/>
  <c r="AA420" i="1"/>
  <c r="AB420" i="1"/>
  <c r="AC420" i="1"/>
  <c r="AD420" i="1"/>
  <c r="AE420" i="1"/>
  <c r="AF420" i="1"/>
  <c r="AG420" i="1"/>
  <c r="AH420" i="1"/>
  <c r="AI420" i="1"/>
  <c r="AJ420" i="1"/>
  <c r="AK420" i="1"/>
  <c r="AL420" i="1"/>
  <c r="AM420" i="1"/>
  <c r="AN420" i="1"/>
  <c r="AO420" i="1"/>
  <c r="AP420" i="1"/>
  <c r="AQ420" i="1"/>
  <c r="AR420" i="1"/>
  <c r="AS420" i="1"/>
  <c r="AT420" i="1"/>
  <c r="AU420" i="1"/>
  <c r="AV420" i="1"/>
  <c r="AW420" i="1"/>
  <c r="AX420" i="1"/>
  <c r="AY420" i="1"/>
  <c r="AZ420" i="1"/>
  <c r="BA420" i="1"/>
  <c r="BB420" i="1"/>
  <c r="BC420" i="1"/>
  <c r="BD420" i="1"/>
  <c r="BE420" i="1"/>
  <c r="BF420" i="1"/>
  <c r="BG420" i="1"/>
  <c r="BH420" i="1"/>
  <c r="BI420" i="1"/>
  <c r="U421" i="1"/>
  <c r="V421" i="1"/>
  <c r="W421" i="1"/>
  <c r="X421" i="1"/>
  <c r="Y421" i="1"/>
  <c r="Z421" i="1"/>
  <c r="AA421" i="1"/>
  <c r="AB421" i="1"/>
  <c r="AC421" i="1"/>
  <c r="AD421" i="1"/>
  <c r="AE421" i="1"/>
  <c r="AF421" i="1"/>
  <c r="AG421" i="1"/>
  <c r="AH421" i="1"/>
  <c r="AI421" i="1"/>
  <c r="AJ421" i="1"/>
  <c r="AK421" i="1"/>
  <c r="AL421" i="1"/>
  <c r="AM421" i="1"/>
  <c r="AN421" i="1"/>
  <c r="AO421" i="1"/>
  <c r="AP421" i="1"/>
  <c r="AQ421" i="1"/>
  <c r="AR421" i="1"/>
  <c r="AS421" i="1"/>
  <c r="AT421" i="1"/>
  <c r="AU421" i="1"/>
  <c r="AV421" i="1"/>
  <c r="AW421" i="1"/>
  <c r="AX421" i="1"/>
  <c r="AY421" i="1"/>
  <c r="AZ421" i="1"/>
  <c r="BA421" i="1"/>
  <c r="BB421" i="1"/>
  <c r="BC421" i="1"/>
  <c r="BD421" i="1"/>
  <c r="BE421" i="1"/>
  <c r="BF421" i="1"/>
  <c r="BG421" i="1"/>
  <c r="BH421" i="1"/>
  <c r="BI421" i="1"/>
  <c r="U425" i="1"/>
  <c r="V425" i="1"/>
  <c r="W425" i="1"/>
  <c r="X425" i="1"/>
  <c r="Y425" i="1"/>
  <c r="Z425" i="1"/>
  <c r="AA425" i="1"/>
  <c r="AB425" i="1"/>
  <c r="AC425" i="1"/>
  <c r="AD425" i="1"/>
  <c r="AE425" i="1"/>
  <c r="AF425" i="1"/>
  <c r="AG425" i="1"/>
  <c r="AH425" i="1"/>
  <c r="AI425" i="1"/>
  <c r="AJ425" i="1"/>
  <c r="AK425" i="1"/>
  <c r="AL425" i="1"/>
  <c r="AM425" i="1"/>
  <c r="AN425" i="1"/>
  <c r="AO425" i="1"/>
  <c r="AP425" i="1"/>
  <c r="AQ425" i="1"/>
  <c r="AR425" i="1"/>
  <c r="AS425" i="1"/>
  <c r="AT425" i="1"/>
  <c r="AU425" i="1"/>
  <c r="AV425" i="1"/>
  <c r="AW425" i="1"/>
  <c r="AX425" i="1"/>
  <c r="AY425" i="1"/>
  <c r="AZ425" i="1"/>
  <c r="BA425" i="1"/>
  <c r="BB425" i="1"/>
  <c r="BC425" i="1"/>
  <c r="BD425" i="1"/>
  <c r="BE425" i="1"/>
  <c r="BF425" i="1"/>
  <c r="BG425" i="1"/>
  <c r="BH425" i="1"/>
  <c r="BI425" i="1"/>
  <c r="U426" i="1"/>
  <c r="V426" i="1"/>
  <c r="W426" i="1"/>
  <c r="X426" i="1"/>
  <c r="Y426" i="1"/>
  <c r="Z426" i="1"/>
  <c r="AA426" i="1"/>
  <c r="AB426" i="1"/>
  <c r="AC426" i="1"/>
  <c r="AD426" i="1"/>
  <c r="AE426" i="1"/>
  <c r="AF426" i="1"/>
  <c r="AG426" i="1"/>
  <c r="AH426" i="1"/>
  <c r="AI426" i="1"/>
  <c r="AJ426" i="1"/>
  <c r="AK426" i="1"/>
  <c r="AL426" i="1"/>
  <c r="AM426" i="1"/>
  <c r="AN426" i="1"/>
  <c r="AO426" i="1"/>
  <c r="AP426" i="1"/>
  <c r="AQ426" i="1"/>
  <c r="AR426" i="1"/>
  <c r="AS426" i="1"/>
  <c r="AT426" i="1"/>
  <c r="AU426" i="1"/>
  <c r="AV426" i="1"/>
  <c r="AW426" i="1"/>
  <c r="AX426" i="1"/>
  <c r="AY426" i="1"/>
  <c r="AZ426" i="1"/>
  <c r="BA426" i="1"/>
  <c r="BB426" i="1"/>
  <c r="BC426" i="1"/>
  <c r="BD426" i="1"/>
  <c r="BE426" i="1"/>
  <c r="BF426" i="1"/>
  <c r="BG426" i="1"/>
  <c r="BH426" i="1"/>
  <c r="BI426" i="1"/>
  <c r="U427" i="1"/>
  <c r="V427" i="1"/>
  <c r="W427" i="1"/>
  <c r="X427" i="1"/>
  <c r="Y427" i="1"/>
  <c r="Z427" i="1"/>
  <c r="AA427" i="1"/>
  <c r="AB427" i="1"/>
  <c r="AC427" i="1"/>
  <c r="AD427" i="1"/>
  <c r="AE427" i="1"/>
  <c r="AF427" i="1"/>
  <c r="AG427" i="1"/>
  <c r="AH427" i="1"/>
  <c r="AI427" i="1"/>
  <c r="AJ427" i="1"/>
  <c r="AK427" i="1"/>
  <c r="AL427" i="1"/>
  <c r="AM427" i="1"/>
  <c r="AN427" i="1"/>
  <c r="AO427" i="1"/>
  <c r="AP427" i="1"/>
  <c r="AQ427" i="1"/>
  <c r="AR427" i="1"/>
  <c r="AS427" i="1"/>
  <c r="AT427" i="1"/>
  <c r="AU427" i="1"/>
  <c r="AV427" i="1"/>
  <c r="AW427" i="1"/>
  <c r="AX427" i="1"/>
  <c r="AY427" i="1"/>
  <c r="AZ427" i="1"/>
  <c r="BA427" i="1"/>
  <c r="BB427" i="1"/>
  <c r="BC427" i="1"/>
  <c r="BD427" i="1"/>
  <c r="BE427" i="1"/>
  <c r="BF427" i="1"/>
  <c r="BG427" i="1"/>
  <c r="BH427" i="1"/>
  <c r="BI427" i="1"/>
  <c r="U428" i="1"/>
  <c r="V428" i="1"/>
  <c r="W428" i="1"/>
  <c r="X428" i="1"/>
  <c r="Y428" i="1"/>
  <c r="Z428" i="1"/>
  <c r="AA428" i="1"/>
  <c r="AB428" i="1"/>
  <c r="AC428" i="1"/>
  <c r="AD428" i="1"/>
  <c r="AE428" i="1"/>
  <c r="AF428" i="1"/>
  <c r="AG428" i="1"/>
  <c r="AH428" i="1"/>
  <c r="AI428" i="1"/>
  <c r="AJ428" i="1"/>
  <c r="AK428" i="1"/>
  <c r="AL428" i="1"/>
  <c r="AM428" i="1"/>
  <c r="AN428" i="1"/>
  <c r="AO428" i="1"/>
  <c r="AP428" i="1"/>
  <c r="AQ428" i="1"/>
  <c r="AR428" i="1"/>
  <c r="AS428" i="1"/>
  <c r="AT428" i="1"/>
  <c r="AU428" i="1"/>
  <c r="AV428" i="1"/>
  <c r="AW428" i="1"/>
  <c r="AX428" i="1"/>
  <c r="AY428" i="1"/>
  <c r="AZ428" i="1"/>
  <c r="BA428" i="1"/>
  <c r="BB428" i="1"/>
  <c r="BC428" i="1"/>
  <c r="BD428" i="1"/>
  <c r="BE428" i="1"/>
  <c r="BF428" i="1"/>
  <c r="BG428" i="1"/>
  <c r="BH428" i="1"/>
  <c r="BI428" i="1"/>
  <c r="U429" i="1"/>
  <c r="V429" i="1"/>
  <c r="W429" i="1"/>
  <c r="X429" i="1"/>
  <c r="Y429" i="1"/>
  <c r="Z429" i="1"/>
  <c r="AA429" i="1"/>
  <c r="AB429" i="1"/>
  <c r="AC429" i="1"/>
  <c r="AD429" i="1"/>
  <c r="AE429" i="1"/>
  <c r="AF429" i="1"/>
  <c r="AG429" i="1"/>
  <c r="AH429" i="1"/>
  <c r="AI429" i="1"/>
  <c r="AJ429" i="1"/>
  <c r="AK429" i="1"/>
  <c r="AL429" i="1"/>
  <c r="AM429" i="1"/>
  <c r="AN429" i="1"/>
  <c r="AO429" i="1"/>
  <c r="AP429" i="1"/>
  <c r="AQ429" i="1"/>
  <c r="AR429" i="1"/>
  <c r="AS429" i="1"/>
  <c r="AT429" i="1"/>
  <c r="AU429" i="1"/>
  <c r="AV429" i="1"/>
  <c r="AW429" i="1"/>
  <c r="AX429" i="1"/>
  <c r="AY429" i="1"/>
  <c r="AZ429" i="1"/>
  <c r="BA429" i="1"/>
  <c r="BB429" i="1"/>
  <c r="BC429" i="1"/>
  <c r="BD429" i="1"/>
  <c r="BE429" i="1"/>
  <c r="BF429" i="1"/>
  <c r="BG429" i="1"/>
  <c r="BH429" i="1"/>
  <c r="BI429" i="1"/>
  <c r="U430" i="1"/>
  <c r="V430" i="1"/>
  <c r="W430" i="1"/>
  <c r="X430" i="1"/>
  <c r="Y430" i="1"/>
  <c r="Z430" i="1"/>
  <c r="AA430" i="1"/>
  <c r="AB430" i="1"/>
  <c r="AC430" i="1"/>
  <c r="AD430" i="1"/>
  <c r="AE430" i="1"/>
  <c r="AF430" i="1"/>
  <c r="AG430" i="1"/>
  <c r="AH430" i="1"/>
  <c r="AI430" i="1"/>
  <c r="AJ430" i="1"/>
  <c r="AK430" i="1"/>
  <c r="AL430" i="1"/>
  <c r="AM430" i="1"/>
  <c r="AN430" i="1"/>
  <c r="AO430" i="1"/>
  <c r="AP430" i="1"/>
  <c r="AQ430" i="1"/>
  <c r="AR430" i="1"/>
  <c r="AS430" i="1"/>
  <c r="AT430" i="1"/>
  <c r="AU430" i="1"/>
  <c r="AV430" i="1"/>
  <c r="AW430" i="1"/>
  <c r="AX430" i="1"/>
  <c r="AY430" i="1"/>
  <c r="AZ430" i="1"/>
  <c r="BA430" i="1"/>
  <c r="BB430" i="1"/>
  <c r="BC430" i="1"/>
  <c r="BD430" i="1"/>
  <c r="BE430" i="1"/>
  <c r="BF430" i="1"/>
  <c r="BG430" i="1"/>
  <c r="BH430" i="1"/>
  <c r="BI430" i="1"/>
  <c r="U431" i="1"/>
  <c r="V431" i="1"/>
  <c r="W431" i="1"/>
  <c r="X431" i="1"/>
  <c r="Y431" i="1"/>
  <c r="Z431" i="1"/>
  <c r="AA431" i="1"/>
  <c r="AB431" i="1"/>
  <c r="AC431" i="1"/>
  <c r="AD431" i="1"/>
  <c r="AE431" i="1"/>
  <c r="AF431" i="1"/>
  <c r="AG431" i="1"/>
  <c r="AH431" i="1"/>
  <c r="AI431" i="1"/>
  <c r="AJ431" i="1"/>
  <c r="AK431" i="1"/>
  <c r="AL431" i="1"/>
  <c r="AM431" i="1"/>
  <c r="AN431" i="1"/>
  <c r="AO431" i="1"/>
  <c r="AP431" i="1"/>
  <c r="AQ431" i="1"/>
  <c r="AR431" i="1"/>
  <c r="AS431" i="1"/>
  <c r="AT431" i="1"/>
  <c r="AU431" i="1"/>
  <c r="AV431" i="1"/>
  <c r="AW431" i="1"/>
  <c r="AX431" i="1"/>
  <c r="AY431" i="1"/>
  <c r="AZ431" i="1"/>
  <c r="BA431" i="1"/>
  <c r="BB431" i="1"/>
  <c r="BC431" i="1"/>
  <c r="BD431" i="1"/>
  <c r="BE431" i="1"/>
  <c r="BF431" i="1"/>
  <c r="BG431" i="1"/>
  <c r="BH431" i="1"/>
  <c r="BI431" i="1"/>
  <c r="U432" i="1"/>
  <c r="V432" i="1"/>
  <c r="W432" i="1"/>
  <c r="X432" i="1"/>
  <c r="Y432" i="1"/>
  <c r="Z432" i="1"/>
  <c r="AA432" i="1"/>
  <c r="AB432" i="1"/>
  <c r="AC432" i="1"/>
  <c r="AD432" i="1"/>
  <c r="AE432" i="1"/>
  <c r="AF432" i="1"/>
  <c r="AG432" i="1"/>
  <c r="AH432" i="1"/>
  <c r="AI432" i="1"/>
  <c r="AJ432" i="1"/>
  <c r="AK432" i="1"/>
  <c r="AL432" i="1"/>
  <c r="AM432" i="1"/>
  <c r="AN432" i="1"/>
  <c r="AO432" i="1"/>
  <c r="AP432" i="1"/>
  <c r="AQ432" i="1"/>
  <c r="AR432" i="1"/>
  <c r="AS432" i="1"/>
  <c r="AT432" i="1"/>
  <c r="AU432" i="1"/>
  <c r="AV432" i="1"/>
  <c r="AW432" i="1"/>
  <c r="AX432" i="1"/>
  <c r="AY432" i="1"/>
  <c r="AZ432" i="1"/>
  <c r="BA432" i="1"/>
  <c r="BB432" i="1"/>
  <c r="BC432" i="1"/>
  <c r="BD432" i="1"/>
  <c r="BE432" i="1"/>
  <c r="BF432" i="1"/>
  <c r="BG432" i="1"/>
  <c r="BH432" i="1"/>
  <c r="BI432" i="1"/>
  <c r="U433" i="1"/>
  <c r="V433" i="1"/>
  <c r="W433" i="1"/>
  <c r="X433" i="1"/>
  <c r="Y433" i="1"/>
  <c r="Z433" i="1"/>
  <c r="AA433" i="1"/>
  <c r="AB433" i="1"/>
  <c r="AC433" i="1"/>
  <c r="AD433" i="1"/>
  <c r="AE433" i="1"/>
  <c r="AF433" i="1"/>
  <c r="AG433" i="1"/>
  <c r="AH433" i="1"/>
  <c r="AI433" i="1"/>
  <c r="AJ433" i="1"/>
  <c r="AK433" i="1"/>
  <c r="AL433" i="1"/>
  <c r="AM433" i="1"/>
  <c r="AN433" i="1"/>
  <c r="AO433" i="1"/>
  <c r="AP433" i="1"/>
  <c r="AQ433" i="1"/>
  <c r="AR433" i="1"/>
  <c r="AS433" i="1"/>
  <c r="AT433" i="1"/>
  <c r="AU433" i="1"/>
  <c r="AV433" i="1"/>
  <c r="AW433" i="1"/>
  <c r="AX433" i="1"/>
  <c r="AY433" i="1"/>
  <c r="AZ433" i="1"/>
  <c r="BA433" i="1"/>
  <c r="BB433" i="1"/>
  <c r="BC433" i="1"/>
  <c r="BD433" i="1"/>
  <c r="BE433" i="1"/>
  <c r="BF433" i="1"/>
  <c r="BG433" i="1"/>
  <c r="BH433" i="1"/>
  <c r="BI433" i="1"/>
  <c r="U434" i="1"/>
  <c r="V434" i="1"/>
  <c r="W434" i="1"/>
  <c r="X434" i="1"/>
  <c r="Y434" i="1"/>
  <c r="Z434" i="1"/>
  <c r="AA434" i="1"/>
  <c r="AB434" i="1"/>
  <c r="AC434" i="1"/>
  <c r="AD434" i="1"/>
  <c r="AE434" i="1"/>
  <c r="AF434" i="1"/>
  <c r="AG434" i="1"/>
  <c r="AH434" i="1"/>
  <c r="AI434" i="1"/>
  <c r="AJ434" i="1"/>
  <c r="AK434" i="1"/>
  <c r="AL434" i="1"/>
  <c r="AM434" i="1"/>
  <c r="AN434" i="1"/>
  <c r="AO434" i="1"/>
  <c r="AP434" i="1"/>
  <c r="AQ434" i="1"/>
  <c r="AR434" i="1"/>
  <c r="AS434" i="1"/>
  <c r="AT434" i="1"/>
  <c r="AU434" i="1"/>
  <c r="AV434" i="1"/>
  <c r="AW434" i="1"/>
  <c r="AX434" i="1"/>
  <c r="AY434" i="1"/>
  <c r="AZ434" i="1"/>
  <c r="BA434" i="1"/>
  <c r="BB434" i="1"/>
  <c r="BC434" i="1"/>
  <c r="BD434" i="1"/>
  <c r="BE434" i="1"/>
  <c r="BF434" i="1"/>
  <c r="BG434" i="1"/>
  <c r="BH434" i="1"/>
  <c r="BI434" i="1"/>
  <c r="U435" i="1"/>
  <c r="V435" i="1"/>
  <c r="W435" i="1"/>
  <c r="X435" i="1"/>
  <c r="Y435" i="1"/>
  <c r="Z435" i="1"/>
  <c r="AA435" i="1"/>
  <c r="AB435" i="1"/>
  <c r="AC435" i="1"/>
  <c r="AD435" i="1"/>
  <c r="AE435" i="1"/>
  <c r="AF435" i="1"/>
  <c r="AG435" i="1"/>
  <c r="AH435" i="1"/>
  <c r="AI435" i="1"/>
  <c r="AJ435" i="1"/>
  <c r="AK435" i="1"/>
  <c r="AL435" i="1"/>
  <c r="AM435" i="1"/>
  <c r="AN435" i="1"/>
  <c r="AO435" i="1"/>
  <c r="AP435" i="1"/>
  <c r="AQ435" i="1"/>
  <c r="AR435" i="1"/>
  <c r="AS435" i="1"/>
  <c r="AT435" i="1"/>
  <c r="AU435" i="1"/>
  <c r="AV435" i="1"/>
  <c r="AW435" i="1"/>
  <c r="AX435" i="1"/>
  <c r="AY435" i="1"/>
  <c r="AZ435" i="1"/>
  <c r="BA435" i="1"/>
  <c r="BB435" i="1"/>
  <c r="BC435" i="1"/>
  <c r="BD435" i="1"/>
  <c r="BE435" i="1"/>
  <c r="BF435" i="1"/>
  <c r="BG435" i="1"/>
  <c r="BH435" i="1"/>
  <c r="BI435" i="1"/>
  <c r="U436" i="1"/>
  <c r="V436" i="1"/>
  <c r="W436" i="1"/>
  <c r="X436" i="1"/>
  <c r="Y436" i="1"/>
  <c r="Z436" i="1"/>
  <c r="AA436" i="1"/>
  <c r="AB436" i="1"/>
  <c r="AC436" i="1"/>
  <c r="AD436" i="1"/>
  <c r="AE436" i="1"/>
  <c r="AF436" i="1"/>
  <c r="AG436" i="1"/>
  <c r="AH436" i="1"/>
  <c r="AI436" i="1"/>
  <c r="AJ436" i="1"/>
  <c r="AK436" i="1"/>
  <c r="AL436" i="1"/>
  <c r="AM436" i="1"/>
  <c r="AN436" i="1"/>
  <c r="AO436" i="1"/>
  <c r="AP436" i="1"/>
  <c r="AQ436" i="1"/>
  <c r="AR436" i="1"/>
  <c r="AS436" i="1"/>
  <c r="AT436" i="1"/>
  <c r="AU436" i="1"/>
  <c r="AV436" i="1"/>
  <c r="AW436" i="1"/>
  <c r="AX436" i="1"/>
  <c r="AY436" i="1"/>
  <c r="AZ436" i="1"/>
  <c r="BA436" i="1"/>
  <c r="BB436" i="1"/>
  <c r="BC436" i="1"/>
  <c r="BD436" i="1"/>
  <c r="BE436" i="1"/>
  <c r="BF436" i="1"/>
  <c r="BG436" i="1"/>
  <c r="BH436" i="1"/>
  <c r="BI436" i="1"/>
  <c r="U437" i="1"/>
  <c r="V437" i="1"/>
  <c r="W437" i="1"/>
  <c r="X437" i="1"/>
  <c r="Y437" i="1"/>
  <c r="Z437" i="1"/>
  <c r="AA437" i="1"/>
  <c r="AB437" i="1"/>
  <c r="AC437" i="1"/>
  <c r="AD437" i="1"/>
  <c r="AE437" i="1"/>
  <c r="AF437" i="1"/>
  <c r="AG437" i="1"/>
  <c r="AH437" i="1"/>
  <c r="AI437" i="1"/>
  <c r="AJ437" i="1"/>
  <c r="AK437" i="1"/>
  <c r="AL437" i="1"/>
  <c r="AM437" i="1"/>
  <c r="AN437" i="1"/>
  <c r="AO437" i="1"/>
  <c r="AP437" i="1"/>
  <c r="AQ437" i="1"/>
  <c r="AR437" i="1"/>
  <c r="AS437" i="1"/>
  <c r="AT437" i="1"/>
  <c r="AU437" i="1"/>
  <c r="AV437" i="1"/>
  <c r="AW437" i="1"/>
  <c r="AX437" i="1"/>
  <c r="AY437" i="1"/>
  <c r="AZ437" i="1"/>
  <c r="BA437" i="1"/>
  <c r="BB437" i="1"/>
  <c r="BC437" i="1"/>
  <c r="BD437" i="1"/>
  <c r="BE437" i="1"/>
  <c r="BF437" i="1"/>
  <c r="BG437" i="1"/>
  <c r="BH437" i="1"/>
  <c r="BI437" i="1"/>
  <c r="U438" i="1"/>
  <c r="V438" i="1"/>
  <c r="W438" i="1"/>
  <c r="X438" i="1"/>
  <c r="Y438" i="1"/>
  <c r="Z438" i="1"/>
  <c r="AA438" i="1"/>
  <c r="AB438" i="1"/>
  <c r="AC438" i="1"/>
  <c r="AD438" i="1"/>
  <c r="AE438" i="1"/>
  <c r="AF438" i="1"/>
  <c r="AG438" i="1"/>
  <c r="AH438" i="1"/>
  <c r="AI438" i="1"/>
  <c r="AJ438" i="1"/>
  <c r="AK438" i="1"/>
  <c r="AL438" i="1"/>
  <c r="AM438" i="1"/>
  <c r="AN438" i="1"/>
  <c r="AO438" i="1"/>
  <c r="AP438" i="1"/>
  <c r="AQ438" i="1"/>
  <c r="AR438" i="1"/>
  <c r="AS438" i="1"/>
  <c r="AT438" i="1"/>
  <c r="AU438" i="1"/>
  <c r="AV438" i="1"/>
  <c r="AW438" i="1"/>
  <c r="AX438" i="1"/>
  <c r="AY438" i="1"/>
  <c r="AZ438" i="1"/>
  <c r="BA438" i="1"/>
  <c r="BB438" i="1"/>
  <c r="BC438" i="1"/>
  <c r="BD438" i="1"/>
  <c r="BE438" i="1"/>
  <c r="BF438" i="1"/>
  <c r="BG438" i="1"/>
  <c r="BH438" i="1"/>
  <c r="BI438" i="1"/>
  <c r="U439" i="1"/>
  <c r="V439" i="1"/>
  <c r="W439" i="1"/>
  <c r="X439" i="1"/>
  <c r="Y439" i="1"/>
  <c r="Z439" i="1"/>
  <c r="AA439" i="1"/>
  <c r="AB439" i="1"/>
  <c r="AC439" i="1"/>
  <c r="AD439" i="1"/>
  <c r="AE439" i="1"/>
  <c r="AF439" i="1"/>
  <c r="AG439" i="1"/>
  <c r="AH439" i="1"/>
  <c r="AI439" i="1"/>
  <c r="AJ439" i="1"/>
  <c r="AK439" i="1"/>
  <c r="AL439" i="1"/>
  <c r="AM439" i="1"/>
  <c r="AN439" i="1"/>
  <c r="AO439" i="1"/>
  <c r="AP439" i="1"/>
  <c r="AQ439" i="1"/>
  <c r="AR439" i="1"/>
  <c r="AS439" i="1"/>
  <c r="AT439" i="1"/>
  <c r="AU439" i="1"/>
  <c r="AV439" i="1"/>
  <c r="AW439" i="1"/>
  <c r="AX439" i="1"/>
  <c r="AY439" i="1"/>
  <c r="AZ439" i="1"/>
  <c r="BA439" i="1"/>
  <c r="BB439" i="1"/>
  <c r="BC439" i="1"/>
  <c r="BD439" i="1"/>
  <c r="BE439" i="1"/>
  <c r="BF439" i="1"/>
  <c r="BG439" i="1"/>
  <c r="BH439" i="1"/>
  <c r="BI439" i="1"/>
  <c r="U440" i="1"/>
  <c r="V440" i="1"/>
  <c r="W440" i="1"/>
  <c r="X440" i="1"/>
  <c r="Y440" i="1"/>
  <c r="Z440" i="1"/>
  <c r="AA440" i="1"/>
  <c r="AB440" i="1"/>
  <c r="AC440" i="1"/>
  <c r="AD440" i="1"/>
  <c r="AE440" i="1"/>
  <c r="AF440" i="1"/>
  <c r="AG440" i="1"/>
  <c r="AH440" i="1"/>
  <c r="AI440" i="1"/>
  <c r="AJ440" i="1"/>
  <c r="AK440" i="1"/>
  <c r="AL440" i="1"/>
  <c r="AM440" i="1"/>
  <c r="AN440" i="1"/>
  <c r="AO440" i="1"/>
  <c r="AP440" i="1"/>
  <c r="AQ440" i="1"/>
  <c r="AR440" i="1"/>
  <c r="AS440" i="1"/>
  <c r="AT440" i="1"/>
  <c r="AU440" i="1"/>
  <c r="AV440" i="1"/>
  <c r="AW440" i="1"/>
  <c r="AX440" i="1"/>
  <c r="AY440" i="1"/>
  <c r="AZ440" i="1"/>
  <c r="BA440" i="1"/>
  <c r="BB440" i="1"/>
  <c r="BC440" i="1"/>
  <c r="BD440" i="1"/>
  <c r="BE440" i="1"/>
  <c r="BF440" i="1"/>
  <c r="BG440" i="1"/>
  <c r="BH440" i="1"/>
  <c r="BI440" i="1"/>
  <c r="U441" i="1"/>
  <c r="V441" i="1"/>
  <c r="W441" i="1"/>
  <c r="X441" i="1"/>
  <c r="Y441" i="1"/>
  <c r="Z441" i="1"/>
  <c r="AA441" i="1"/>
  <c r="AB441" i="1"/>
  <c r="AC441" i="1"/>
  <c r="AD441" i="1"/>
  <c r="AE441" i="1"/>
  <c r="AF441" i="1"/>
  <c r="AG441" i="1"/>
  <c r="AH441" i="1"/>
  <c r="AI441" i="1"/>
  <c r="AJ441" i="1"/>
  <c r="AK441" i="1"/>
  <c r="AL441" i="1"/>
  <c r="AM441" i="1"/>
  <c r="AN441" i="1"/>
  <c r="AO441" i="1"/>
  <c r="AP441" i="1"/>
  <c r="AQ441" i="1"/>
  <c r="AR441" i="1"/>
  <c r="AS441" i="1"/>
  <c r="AT441" i="1"/>
  <c r="AU441" i="1"/>
  <c r="AV441" i="1"/>
  <c r="AW441" i="1"/>
  <c r="AX441" i="1"/>
  <c r="AY441" i="1"/>
  <c r="AZ441" i="1"/>
  <c r="BA441" i="1"/>
  <c r="BB441" i="1"/>
  <c r="BC441" i="1"/>
  <c r="BD441" i="1"/>
  <c r="BE441" i="1"/>
  <c r="BF441" i="1"/>
  <c r="BG441" i="1"/>
  <c r="BH441" i="1"/>
  <c r="BI441" i="1"/>
  <c r="U442" i="1"/>
  <c r="V442" i="1"/>
  <c r="W442" i="1"/>
  <c r="X442" i="1"/>
  <c r="Y442" i="1"/>
  <c r="Z442" i="1"/>
  <c r="AA442" i="1"/>
  <c r="AB442" i="1"/>
  <c r="AC442" i="1"/>
  <c r="AD442" i="1"/>
  <c r="AE442" i="1"/>
  <c r="AF442" i="1"/>
  <c r="AG442" i="1"/>
  <c r="AH442" i="1"/>
  <c r="AI442" i="1"/>
  <c r="AJ442" i="1"/>
  <c r="AK442" i="1"/>
  <c r="AL442" i="1"/>
  <c r="AM442" i="1"/>
  <c r="AN442" i="1"/>
  <c r="AO442" i="1"/>
  <c r="AP442" i="1"/>
  <c r="AQ442" i="1"/>
  <c r="AR442" i="1"/>
  <c r="AS442" i="1"/>
  <c r="AT442" i="1"/>
  <c r="AU442" i="1"/>
  <c r="AV442" i="1"/>
  <c r="AW442" i="1"/>
  <c r="AX442" i="1"/>
  <c r="AY442" i="1"/>
  <c r="AZ442" i="1"/>
  <c r="BA442" i="1"/>
  <c r="BB442" i="1"/>
  <c r="BC442" i="1"/>
  <c r="BD442" i="1"/>
  <c r="BE442" i="1"/>
  <c r="BF442" i="1"/>
  <c r="BG442" i="1"/>
  <c r="BH442" i="1"/>
  <c r="BI442" i="1"/>
  <c r="U443" i="1"/>
  <c r="V443" i="1"/>
  <c r="W443" i="1"/>
  <c r="X443" i="1"/>
  <c r="Y443" i="1"/>
  <c r="Z443" i="1"/>
  <c r="AA443" i="1"/>
  <c r="AB443" i="1"/>
  <c r="AC443" i="1"/>
  <c r="AD443" i="1"/>
  <c r="AE443" i="1"/>
  <c r="AF443" i="1"/>
  <c r="AG443" i="1"/>
  <c r="AH443" i="1"/>
  <c r="AI443" i="1"/>
  <c r="AJ443" i="1"/>
  <c r="AK443" i="1"/>
  <c r="AL443" i="1"/>
  <c r="AM443" i="1"/>
  <c r="AN443" i="1"/>
  <c r="AO443" i="1"/>
  <c r="AP443" i="1"/>
  <c r="AQ443" i="1"/>
  <c r="AR443" i="1"/>
  <c r="AS443" i="1"/>
  <c r="AT443" i="1"/>
  <c r="AU443" i="1"/>
  <c r="AV443" i="1"/>
  <c r="AW443" i="1"/>
  <c r="AX443" i="1"/>
  <c r="AY443" i="1"/>
  <c r="AZ443" i="1"/>
  <c r="BA443" i="1"/>
  <c r="BB443" i="1"/>
  <c r="BC443" i="1"/>
  <c r="BD443" i="1"/>
  <c r="BE443" i="1"/>
  <c r="BF443" i="1"/>
  <c r="BG443" i="1"/>
  <c r="BH443" i="1"/>
  <c r="BI443" i="1"/>
  <c r="U444" i="1"/>
  <c r="V444" i="1"/>
  <c r="W444" i="1"/>
  <c r="X444" i="1"/>
  <c r="Y444" i="1"/>
  <c r="Z444" i="1"/>
  <c r="AA444" i="1"/>
  <c r="AB444" i="1"/>
  <c r="AC444" i="1"/>
  <c r="AD444" i="1"/>
  <c r="AE444" i="1"/>
  <c r="AF444" i="1"/>
  <c r="AG444" i="1"/>
  <c r="AH444" i="1"/>
  <c r="AI444" i="1"/>
  <c r="AJ444" i="1"/>
  <c r="AK444" i="1"/>
  <c r="AL444" i="1"/>
  <c r="AM444" i="1"/>
  <c r="AN444" i="1"/>
  <c r="AO444" i="1"/>
  <c r="AP444" i="1"/>
  <c r="AQ444" i="1"/>
  <c r="AR444" i="1"/>
  <c r="AS444" i="1"/>
  <c r="AT444" i="1"/>
  <c r="AU444" i="1"/>
  <c r="AV444" i="1"/>
  <c r="AW444" i="1"/>
  <c r="AX444" i="1"/>
  <c r="AY444" i="1"/>
  <c r="AZ444" i="1"/>
  <c r="BA444" i="1"/>
  <c r="BB444" i="1"/>
  <c r="BC444" i="1"/>
  <c r="BD444" i="1"/>
  <c r="BE444" i="1"/>
  <c r="BF444" i="1"/>
  <c r="BG444" i="1"/>
  <c r="BH444" i="1"/>
  <c r="BI444" i="1"/>
  <c r="U445" i="1"/>
  <c r="V445" i="1"/>
  <c r="W445" i="1"/>
  <c r="X445" i="1"/>
  <c r="Y445" i="1"/>
  <c r="Z445" i="1"/>
  <c r="AA445" i="1"/>
  <c r="AB445" i="1"/>
  <c r="AC445" i="1"/>
  <c r="AD445" i="1"/>
  <c r="AE445" i="1"/>
  <c r="AF445" i="1"/>
  <c r="AG445" i="1"/>
  <c r="AH445" i="1"/>
  <c r="AI445" i="1"/>
  <c r="AJ445" i="1"/>
  <c r="AK445" i="1"/>
  <c r="AL445" i="1"/>
  <c r="AM445" i="1"/>
  <c r="AN445" i="1"/>
  <c r="AO445" i="1"/>
  <c r="AP445" i="1"/>
  <c r="AQ445" i="1"/>
  <c r="AR445" i="1"/>
  <c r="AS445" i="1"/>
  <c r="AT445" i="1"/>
  <c r="AU445" i="1"/>
  <c r="AV445" i="1"/>
  <c r="AW445" i="1"/>
  <c r="AX445" i="1"/>
  <c r="AY445" i="1"/>
  <c r="AZ445" i="1"/>
  <c r="BA445" i="1"/>
  <c r="BB445" i="1"/>
  <c r="BC445" i="1"/>
  <c r="BD445" i="1"/>
  <c r="BE445" i="1"/>
  <c r="BF445" i="1"/>
  <c r="BG445" i="1"/>
  <c r="BH445" i="1"/>
  <c r="BI445" i="1"/>
  <c r="U446" i="1"/>
  <c r="V446" i="1"/>
  <c r="W446" i="1"/>
  <c r="X446" i="1"/>
  <c r="Y446" i="1"/>
  <c r="Z446" i="1"/>
  <c r="AA446" i="1"/>
  <c r="AB446" i="1"/>
  <c r="AC446" i="1"/>
  <c r="AD446" i="1"/>
  <c r="AE446" i="1"/>
  <c r="AF446" i="1"/>
  <c r="AG446" i="1"/>
  <c r="AH446" i="1"/>
  <c r="AI446" i="1"/>
  <c r="AJ446" i="1"/>
  <c r="AK446" i="1"/>
  <c r="AL446" i="1"/>
  <c r="AM446" i="1"/>
  <c r="AN446" i="1"/>
  <c r="AO446" i="1"/>
  <c r="AP446" i="1"/>
  <c r="AQ446" i="1"/>
  <c r="AR446" i="1"/>
  <c r="AS446" i="1"/>
  <c r="AT446" i="1"/>
  <c r="AU446" i="1"/>
  <c r="AV446" i="1"/>
  <c r="AW446" i="1"/>
  <c r="AX446" i="1"/>
  <c r="AY446" i="1"/>
  <c r="AZ446" i="1"/>
  <c r="BA446" i="1"/>
  <c r="BB446" i="1"/>
  <c r="BC446" i="1"/>
  <c r="BD446" i="1"/>
  <c r="BE446" i="1"/>
  <c r="BF446" i="1"/>
  <c r="BG446" i="1"/>
  <c r="BH446" i="1"/>
  <c r="BI446" i="1"/>
  <c r="U447" i="1"/>
  <c r="V447" i="1"/>
  <c r="W447" i="1"/>
  <c r="X447" i="1"/>
  <c r="Y447" i="1"/>
  <c r="Z447" i="1"/>
  <c r="AA447" i="1"/>
  <c r="AB447" i="1"/>
  <c r="AC447" i="1"/>
  <c r="AD447" i="1"/>
  <c r="AE447" i="1"/>
  <c r="AF447" i="1"/>
  <c r="AG447" i="1"/>
  <c r="AH447" i="1"/>
  <c r="AI447" i="1"/>
  <c r="AJ447" i="1"/>
  <c r="AK447" i="1"/>
  <c r="AL447" i="1"/>
  <c r="AM447" i="1"/>
  <c r="AN447" i="1"/>
  <c r="AO447" i="1"/>
  <c r="AP447" i="1"/>
  <c r="AQ447" i="1"/>
  <c r="AR447" i="1"/>
  <c r="AS447" i="1"/>
  <c r="AT447" i="1"/>
  <c r="AU447" i="1"/>
  <c r="AV447" i="1"/>
  <c r="AW447" i="1"/>
  <c r="AX447" i="1"/>
  <c r="AY447" i="1"/>
  <c r="AZ447" i="1"/>
  <c r="BA447" i="1"/>
  <c r="BB447" i="1"/>
  <c r="BC447" i="1"/>
  <c r="BD447" i="1"/>
  <c r="BE447" i="1"/>
  <c r="BF447" i="1"/>
  <c r="BG447" i="1"/>
  <c r="BH447" i="1"/>
  <c r="BI447" i="1"/>
  <c r="U448" i="1"/>
  <c r="V448" i="1"/>
  <c r="W448" i="1"/>
  <c r="X448" i="1"/>
  <c r="Y448" i="1"/>
  <c r="Z448" i="1"/>
  <c r="AA448" i="1"/>
  <c r="AB448" i="1"/>
  <c r="AC448" i="1"/>
  <c r="AD448" i="1"/>
  <c r="AE448" i="1"/>
  <c r="AF448" i="1"/>
  <c r="AG448" i="1"/>
  <c r="AH448" i="1"/>
  <c r="AI448" i="1"/>
  <c r="AJ448" i="1"/>
  <c r="AK448" i="1"/>
  <c r="AL448" i="1"/>
  <c r="AM448" i="1"/>
  <c r="AN448" i="1"/>
  <c r="AO448" i="1"/>
  <c r="AP448" i="1"/>
  <c r="AQ448" i="1"/>
  <c r="AR448" i="1"/>
  <c r="AS448" i="1"/>
  <c r="AT448" i="1"/>
  <c r="AU448" i="1"/>
  <c r="AV448" i="1"/>
  <c r="AW448" i="1"/>
  <c r="AX448" i="1"/>
  <c r="AY448" i="1"/>
  <c r="AZ448" i="1"/>
  <c r="BA448" i="1"/>
  <c r="BB448" i="1"/>
  <c r="BC448" i="1"/>
  <c r="BD448" i="1"/>
  <c r="BE448" i="1"/>
  <c r="BF448" i="1"/>
  <c r="BG448" i="1"/>
  <c r="BH448" i="1"/>
  <c r="BI448" i="1"/>
  <c r="U449" i="1"/>
  <c r="V449" i="1"/>
  <c r="W449" i="1"/>
  <c r="X449" i="1"/>
  <c r="Y449" i="1"/>
  <c r="Z449" i="1"/>
  <c r="AA449" i="1"/>
  <c r="AB449" i="1"/>
  <c r="AC449" i="1"/>
  <c r="AD449" i="1"/>
  <c r="AE449" i="1"/>
  <c r="AF449" i="1"/>
  <c r="AG449" i="1"/>
  <c r="AH449" i="1"/>
  <c r="AI449" i="1"/>
  <c r="AJ449" i="1"/>
  <c r="AK449" i="1"/>
  <c r="AL449" i="1"/>
  <c r="AM449" i="1"/>
  <c r="AN449" i="1"/>
  <c r="AO449" i="1"/>
  <c r="AP449" i="1"/>
  <c r="AQ449" i="1"/>
  <c r="AR449" i="1"/>
  <c r="AS449" i="1"/>
  <c r="AT449" i="1"/>
  <c r="AU449" i="1"/>
  <c r="AV449" i="1"/>
  <c r="AW449" i="1"/>
  <c r="AX449" i="1"/>
  <c r="AY449" i="1"/>
  <c r="AZ449" i="1"/>
  <c r="BA449" i="1"/>
  <c r="BB449" i="1"/>
  <c r="BC449" i="1"/>
  <c r="BD449" i="1"/>
  <c r="BE449" i="1"/>
  <c r="BF449" i="1"/>
  <c r="BG449" i="1"/>
  <c r="BH449" i="1"/>
  <c r="BI449" i="1"/>
  <c r="U450" i="1"/>
  <c r="V450" i="1"/>
  <c r="W450" i="1"/>
  <c r="X450" i="1"/>
  <c r="Y450" i="1"/>
  <c r="Z450" i="1"/>
  <c r="AA450" i="1"/>
  <c r="AB450" i="1"/>
  <c r="AC450" i="1"/>
  <c r="AD450" i="1"/>
  <c r="AE450" i="1"/>
  <c r="AF450" i="1"/>
  <c r="AG450" i="1"/>
  <c r="AH450" i="1"/>
  <c r="AI450" i="1"/>
  <c r="AJ450" i="1"/>
  <c r="AK450" i="1"/>
  <c r="AL450" i="1"/>
  <c r="AM450" i="1"/>
  <c r="AN450" i="1"/>
  <c r="AO450" i="1"/>
  <c r="AP450" i="1"/>
  <c r="AQ450" i="1"/>
  <c r="AR450" i="1"/>
  <c r="AS450" i="1"/>
  <c r="AT450" i="1"/>
  <c r="AU450" i="1"/>
  <c r="AV450" i="1"/>
  <c r="AW450" i="1"/>
  <c r="AX450" i="1"/>
  <c r="AY450" i="1"/>
  <c r="AZ450" i="1"/>
  <c r="BA450" i="1"/>
  <c r="BB450" i="1"/>
  <c r="BC450" i="1"/>
  <c r="BD450" i="1"/>
  <c r="BE450" i="1"/>
  <c r="BF450" i="1"/>
  <c r="BG450" i="1"/>
  <c r="BH450" i="1"/>
  <c r="BI450" i="1"/>
  <c r="U451" i="1"/>
  <c r="V451" i="1"/>
  <c r="W451" i="1"/>
  <c r="X451" i="1"/>
  <c r="Y451" i="1"/>
  <c r="Z451" i="1"/>
  <c r="AA451" i="1"/>
  <c r="AB451" i="1"/>
  <c r="AC451" i="1"/>
  <c r="AD451" i="1"/>
  <c r="AE451" i="1"/>
  <c r="AF451" i="1"/>
  <c r="AG451" i="1"/>
  <c r="AH451" i="1"/>
  <c r="AI451" i="1"/>
  <c r="AJ451" i="1"/>
  <c r="AK451" i="1"/>
  <c r="AL451" i="1"/>
  <c r="AM451" i="1"/>
  <c r="AN451" i="1"/>
  <c r="AO451" i="1"/>
  <c r="AP451" i="1"/>
  <c r="AQ451" i="1"/>
  <c r="AR451" i="1"/>
  <c r="AS451" i="1"/>
  <c r="AT451" i="1"/>
  <c r="AU451" i="1"/>
  <c r="AV451" i="1"/>
  <c r="AW451" i="1"/>
  <c r="AX451" i="1"/>
  <c r="AY451" i="1"/>
  <c r="AZ451" i="1"/>
  <c r="BA451" i="1"/>
  <c r="BB451" i="1"/>
  <c r="BC451" i="1"/>
  <c r="BD451" i="1"/>
  <c r="BE451" i="1"/>
  <c r="BF451" i="1"/>
  <c r="BG451" i="1"/>
  <c r="BH451" i="1"/>
  <c r="BI451" i="1"/>
  <c r="U452" i="1"/>
  <c r="V452" i="1"/>
  <c r="W452" i="1"/>
  <c r="X452" i="1"/>
  <c r="Y452" i="1"/>
  <c r="Z452" i="1"/>
  <c r="AA452" i="1"/>
  <c r="AB452" i="1"/>
  <c r="AC452" i="1"/>
  <c r="AD452" i="1"/>
  <c r="AE452" i="1"/>
  <c r="AF452" i="1"/>
  <c r="AG452" i="1"/>
  <c r="AH452" i="1"/>
  <c r="AI452" i="1"/>
  <c r="AJ452" i="1"/>
  <c r="AK452" i="1"/>
  <c r="AL452" i="1"/>
  <c r="AM452" i="1"/>
  <c r="AN452" i="1"/>
  <c r="AO452" i="1"/>
  <c r="AP452" i="1"/>
  <c r="AQ452" i="1"/>
  <c r="AR452" i="1"/>
  <c r="AS452" i="1"/>
  <c r="AT452" i="1"/>
  <c r="AU452" i="1"/>
  <c r="AV452" i="1"/>
  <c r="AW452" i="1"/>
  <c r="AX452" i="1"/>
  <c r="AY452" i="1"/>
  <c r="AZ452" i="1"/>
  <c r="BA452" i="1"/>
  <c r="BB452" i="1"/>
  <c r="BC452" i="1"/>
  <c r="BD452" i="1"/>
  <c r="BE452" i="1"/>
  <c r="BF452" i="1"/>
  <c r="BG452" i="1"/>
  <c r="BH452" i="1"/>
  <c r="BI452" i="1"/>
  <c r="U453" i="1"/>
  <c r="V453" i="1"/>
  <c r="W453" i="1"/>
  <c r="X453" i="1"/>
  <c r="Y453" i="1"/>
  <c r="Z453" i="1"/>
  <c r="AA453" i="1"/>
  <c r="AB453" i="1"/>
  <c r="AC453" i="1"/>
  <c r="AD453" i="1"/>
  <c r="AE453" i="1"/>
  <c r="AF453" i="1"/>
  <c r="AG453" i="1"/>
  <c r="AH453" i="1"/>
  <c r="AI453" i="1"/>
  <c r="AJ453" i="1"/>
  <c r="AK453" i="1"/>
  <c r="AL453" i="1"/>
  <c r="AM453" i="1"/>
  <c r="AN453" i="1"/>
  <c r="AO453" i="1"/>
  <c r="AP453" i="1"/>
  <c r="AQ453" i="1"/>
  <c r="AR453" i="1"/>
  <c r="AS453" i="1"/>
  <c r="AT453" i="1"/>
  <c r="AU453" i="1"/>
  <c r="AV453" i="1"/>
  <c r="AW453" i="1"/>
  <c r="AX453" i="1"/>
  <c r="AY453" i="1"/>
  <c r="AZ453" i="1"/>
  <c r="BA453" i="1"/>
  <c r="BB453" i="1"/>
  <c r="BC453" i="1"/>
  <c r="BD453" i="1"/>
  <c r="BE453" i="1"/>
  <c r="BF453" i="1"/>
  <c r="BG453" i="1"/>
  <c r="BH453" i="1"/>
  <c r="BI453" i="1"/>
  <c r="U454" i="1"/>
  <c r="V454" i="1"/>
  <c r="W454" i="1"/>
  <c r="X454" i="1"/>
  <c r="Y454" i="1"/>
  <c r="Z454" i="1"/>
  <c r="AA454" i="1"/>
  <c r="AB454" i="1"/>
  <c r="AC454" i="1"/>
  <c r="AD454" i="1"/>
  <c r="AE454" i="1"/>
  <c r="AF454" i="1"/>
  <c r="AG454" i="1"/>
  <c r="AH454" i="1"/>
  <c r="AI454" i="1"/>
  <c r="AJ454" i="1"/>
  <c r="AK454" i="1"/>
  <c r="AL454" i="1"/>
  <c r="AM454" i="1"/>
  <c r="AN454" i="1"/>
  <c r="AO454" i="1"/>
  <c r="AP454" i="1"/>
  <c r="AQ454" i="1"/>
  <c r="AR454" i="1"/>
  <c r="AS454" i="1"/>
  <c r="AT454" i="1"/>
  <c r="AU454" i="1"/>
  <c r="AV454" i="1"/>
  <c r="AW454" i="1"/>
  <c r="AX454" i="1"/>
  <c r="AY454" i="1"/>
  <c r="AZ454" i="1"/>
  <c r="BA454" i="1"/>
  <c r="BB454" i="1"/>
  <c r="BC454" i="1"/>
  <c r="BD454" i="1"/>
  <c r="BE454" i="1"/>
  <c r="BF454" i="1"/>
  <c r="BG454" i="1"/>
  <c r="BH454" i="1"/>
  <c r="BI454" i="1"/>
  <c r="U455" i="1"/>
  <c r="V455" i="1"/>
  <c r="W455" i="1"/>
  <c r="X455" i="1"/>
  <c r="Y455" i="1"/>
  <c r="Z455" i="1"/>
  <c r="AA455" i="1"/>
  <c r="AB455" i="1"/>
  <c r="AC455" i="1"/>
  <c r="AD455" i="1"/>
  <c r="AE455" i="1"/>
  <c r="AF455" i="1"/>
  <c r="AG455" i="1"/>
  <c r="AH455" i="1"/>
  <c r="AI455" i="1"/>
  <c r="AJ455" i="1"/>
  <c r="AK455" i="1"/>
  <c r="AL455" i="1"/>
  <c r="AM455" i="1"/>
  <c r="AN455" i="1"/>
  <c r="AO455" i="1"/>
  <c r="AP455" i="1"/>
  <c r="AQ455" i="1"/>
  <c r="AR455" i="1"/>
  <c r="AS455" i="1"/>
  <c r="AT455" i="1"/>
  <c r="AU455" i="1"/>
  <c r="AV455" i="1"/>
  <c r="AW455" i="1"/>
  <c r="AX455" i="1"/>
  <c r="AY455" i="1"/>
  <c r="AZ455" i="1"/>
  <c r="BA455" i="1"/>
  <c r="BB455" i="1"/>
  <c r="BC455" i="1"/>
  <c r="BD455" i="1"/>
  <c r="BE455" i="1"/>
  <c r="BF455" i="1"/>
  <c r="BG455" i="1"/>
  <c r="BH455" i="1"/>
  <c r="BI455" i="1"/>
  <c r="U456" i="1"/>
  <c r="V456" i="1"/>
  <c r="W456" i="1"/>
  <c r="X456" i="1"/>
  <c r="Y456" i="1"/>
  <c r="Z456" i="1"/>
  <c r="AA456" i="1"/>
  <c r="AB456" i="1"/>
  <c r="AC456" i="1"/>
  <c r="AD456" i="1"/>
  <c r="AE456" i="1"/>
  <c r="AF456" i="1"/>
  <c r="AG456" i="1"/>
  <c r="AH456" i="1"/>
  <c r="AI456" i="1"/>
  <c r="AJ456" i="1"/>
  <c r="AK456" i="1"/>
  <c r="AL456" i="1"/>
  <c r="AM456" i="1"/>
  <c r="AN456" i="1"/>
  <c r="AO456" i="1"/>
  <c r="AP456" i="1"/>
  <c r="AQ456" i="1"/>
  <c r="AR456" i="1"/>
  <c r="AS456" i="1"/>
  <c r="AT456" i="1"/>
  <c r="AU456" i="1"/>
  <c r="AV456" i="1"/>
  <c r="AW456" i="1"/>
  <c r="AX456" i="1"/>
  <c r="AY456" i="1"/>
  <c r="AZ456" i="1"/>
  <c r="BA456" i="1"/>
  <c r="BB456" i="1"/>
  <c r="BC456" i="1"/>
  <c r="BD456" i="1"/>
  <c r="BE456" i="1"/>
  <c r="BF456" i="1"/>
  <c r="BG456" i="1"/>
  <c r="BH456" i="1"/>
  <c r="BI456" i="1"/>
  <c r="U457" i="1"/>
  <c r="V457" i="1"/>
  <c r="W457" i="1"/>
  <c r="X457" i="1"/>
  <c r="Y457" i="1"/>
  <c r="Z457" i="1"/>
  <c r="AA457" i="1"/>
  <c r="AB457" i="1"/>
  <c r="AC457" i="1"/>
  <c r="AD457" i="1"/>
  <c r="AE457" i="1"/>
  <c r="AF457" i="1"/>
  <c r="AG457" i="1"/>
  <c r="AH457" i="1"/>
  <c r="AI457" i="1"/>
  <c r="AJ457" i="1"/>
  <c r="AK457" i="1"/>
  <c r="AL457" i="1"/>
  <c r="AM457" i="1"/>
  <c r="AN457" i="1"/>
  <c r="AO457" i="1"/>
  <c r="AP457" i="1"/>
  <c r="AQ457" i="1"/>
  <c r="AR457" i="1"/>
  <c r="AS457" i="1"/>
  <c r="AT457" i="1"/>
  <c r="AU457" i="1"/>
  <c r="AV457" i="1"/>
  <c r="AW457" i="1"/>
  <c r="AX457" i="1"/>
  <c r="AY457" i="1"/>
  <c r="AZ457" i="1"/>
  <c r="BA457" i="1"/>
  <c r="BB457" i="1"/>
  <c r="BC457" i="1"/>
  <c r="BD457" i="1"/>
  <c r="BE457" i="1"/>
  <c r="BF457" i="1"/>
  <c r="BG457" i="1"/>
  <c r="BH457" i="1"/>
  <c r="BI457" i="1"/>
  <c r="U458" i="1"/>
  <c r="V458" i="1"/>
  <c r="W458" i="1"/>
  <c r="X458" i="1"/>
  <c r="Y458" i="1"/>
  <c r="Z458" i="1"/>
  <c r="AA458" i="1"/>
  <c r="AB458" i="1"/>
  <c r="AC458" i="1"/>
  <c r="AD458" i="1"/>
  <c r="AE458" i="1"/>
  <c r="AF458" i="1"/>
  <c r="AG458" i="1"/>
  <c r="AH458" i="1"/>
  <c r="AI458" i="1"/>
  <c r="AJ458" i="1"/>
  <c r="AK458" i="1"/>
  <c r="AL458" i="1"/>
  <c r="AM458" i="1"/>
  <c r="AN458" i="1"/>
  <c r="AO458" i="1"/>
  <c r="AP458" i="1"/>
  <c r="AQ458" i="1"/>
  <c r="AR458" i="1"/>
  <c r="AS458" i="1"/>
  <c r="AT458" i="1"/>
  <c r="AU458" i="1"/>
  <c r="AV458" i="1"/>
  <c r="AW458" i="1"/>
  <c r="AX458" i="1"/>
  <c r="AY458" i="1"/>
  <c r="AZ458" i="1"/>
  <c r="BA458" i="1"/>
  <c r="BB458" i="1"/>
  <c r="BC458" i="1"/>
  <c r="BD458" i="1"/>
  <c r="BE458" i="1"/>
  <c r="BF458" i="1"/>
  <c r="BG458" i="1"/>
  <c r="BH458" i="1"/>
  <c r="BI458" i="1"/>
  <c r="U459" i="1"/>
  <c r="V459" i="1"/>
  <c r="W459" i="1"/>
  <c r="X459" i="1"/>
  <c r="Y459" i="1"/>
  <c r="Z459" i="1"/>
  <c r="AA459" i="1"/>
  <c r="AB459" i="1"/>
  <c r="AC459" i="1"/>
  <c r="AD459" i="1"/>
  <c r="AE459" i="1"/>
  <c r="AF459" i="1"/>
  <c r="AG459" i="1"/>
  <c r="AH459" i="1"/>
  <c r="AI459" i="1"/>
  <c r="AJ459" i="1"/>
  <c r="AK459" i="1"/>
  <c r="AL459" i="1"/>
  <c r="AM459" i="1"/>
  <c r="AN459" i="1"/>
  <c r="AO459" i="1"/>
  <c r="AP459" i="1"/>
  <c r="AQ459" i="1"/>
  <c r="AR459" i="1"/>
  <c r="AS459" i="1"/>
  <c r="AT459" i="1"/>
  <c r="AU459" i="1"/>
  <c r="AV459" i="1"/>
  <c r="AW459" i="1"/>
  <c r="AX459" i="1"/>
  <c r="AY459" i="1"/>
  <c r="AZ459" i="1"/>
  <c r="BA459" i="1"/>
  <c r="BB459" i="1"/>
  <c r="BC459" i="1"/>
  <c r="BD459" i="1"/>
  <c r="BE459" i="1"/>
  <c r="BF459" i="1"/>
  <c r="BG459" i="1"/>
  <c r="BH459" i="1"/>
  <c r="BI459" i="1"/>
  <c r="U460" i="1"/>
  <c r="V460" i="1"/>
  <c r="W460" i="1"/>
  <c r="X460" i="1"/>
  <c r="Y460" i="1"/>
  <c r="Z460" i="1"/>
  <c r="AA460" i="1"/>
  <c r="AB460" i="1"/>
  <c r="AC460" i="1"/>
  <c r="AD460" i="1"/>
  <c r="AE460" i="1"/>
  <c r="AF460" i="1"/>
  <c r="AG460" i="1"/>
  <c r="AH460" i="1"/>
  <c r="AI460" i="1"/>
  <c r="AJ460" i="1"/>
  <c r="AK460" i="1"/>
  <c r="AL460" i="1"/>
  <c r="AM460" i="1"/>
  <c r="AN460" i="1"/>
  <c r="AO460" i="1"/>
  <c r="AP460" i="1"/>
  <c r="AQ460" i="1"/>
  <c r="AR460" i="1"/>
  <c r="AS460" i="1"/>
  <c r="AT460" i="1"/>
  <c r="AU460" i="1"/>
  <c r="AV460" i="1"/>
  <c r="AW460" i="1"/>
  <c r="AX460" i="1"/>
  <c r="AY460" i="1"/>
  <c r="AZ460" i="1"/>
  <c r="BA460" i="1"/>
  <c r="BB460" i="1"/>
  <c r="BC460" i="1"/>
  <c r="BD460" i="1"/>
  <c r="BE460" i="1"/>
  <c r="BF460" i="1"/>
  <c r="BG460" i="1"/>
  <c r="BH460" i="1"/>
  <c r="BI460" i="1"/>
  <c r="U461" i="1"/>
  <c r="V461" i="1"/>
  <c r="W461" i="1"/>
  <c r="X461" i="1"/>
  <c r="Y461" i="1"/>
  <c r="Z461" i="1"/>
  <c r="AA461" i="1"/>
  <c r="AB461" i="1"/>
  <c r="AC461" i="1"/>
  <c r="AD461" i="1"/>
  <c r="AE461" i="1"/>
  <c r="AF461" i="1"/>
  <c r="AG461" i="1"/>
  <c r="AH461" i="1"/>
  <c r="AI461" i="1"/>
  <c r="AJ461" i="1"/>
  <c r="AK461" i="1"/>
  <c r="AL461" i="1"/>
  <c r="AM461" i="1"/>
  <c r="AN461" i="1"/>
  <c r="AO461" i="1"/>
  <c r="AP461" i="1"/>
  <c r="AQ461" i="1"/>
  <c r="AR461" i="1"/>
  <c r="AS461" i="1"/>
  <c r="AT461" i="1"/>
  <c r="AU461" i="1"/>
  <c r="AV461" i="1"/>
  <c r="AW461" i="1"/>
  <c r="AX461" i="1"/>
  <c r="AY461" i="1"/>
  <c r="AZ461" i="1"/>
  <c r="BA461" i="1"/>
  <c r="BB461" i="1"/>
  <c r="BC461" i="1"/>
  <c r="BD461" i="1"/>
  <c r="BE461" i="1"/>
  <c r="BF461" i="1"/>
  <c r="BG461" i="1"/>
  <c r="BH461" i="1"/>
  <c r="BI461" i="1"/>
  <c r="U462" i="1"/>
  <c r="V462" i="1"/>
  <c r="W462" i="1"/>
  <c r="X462" i="1"/>
  <c r="Y462" i="1"/>
  <c r="Z462" i="1"/>
  <c r="AA462" i="1"/>
  <c r="AB462" i="1"/>
  <c r="AC462" i="1"/>
  <c r="AD462" i="1"/>
  <c r="AE462" i="1"/>
  <c r="AF462" i="1"/>
  <c r="AG462" i="1"/>
  <c r="AH462" i="1"/>
  <c r="AI462" i="1"/>
  <c r="AJ462" i="1"/>
  <c r="AK462" i="1"/>
  <c r="AL462" i="1"/>
  <c r="AM462" i="1"/>
  <c r="AN462" i="1"/>
  <c r="AO462" i="1"/>
  <c r="AP462" i="1"/>
  <c r="AQ462" i="1"/>
  <c r="AR462" i="1"/>
  <c r="AS462" i="1"/>
  <c r="AT462" i="1"/>
  <c r="AU462" i="1"/>
  <c r="AV462" i="1"/>
  <c r="AW462" i="1"/>
  <c r="AX462" i="1"/>
  <c r="AY462" i="1"/>
  <c r="AZ462" i="1"/>
  <c r="BA462" i="1"/>
  <c r="BB462" i="1"/>
  <c r="BC462" i="1"/>
  <c r="BD462" i="1"/>
  <c r="BE462" i="1"/>
  <c r="BF462" i="1"/>
  <c r="BG462" i="1"/>
  <c r="BH462" i="1"/>
  <c r="BI462" i="1"/>
  <c r="U463" i="1"/>
  <c r="V463" i="1"/>
  <c r="W463" i="1"/>
  <c r="X463" i="1"/>
  <c r="Y463" i="1"/>
  <c r="Z463" i="1"/>
  <c r="AA463" i="1"/>
  <c r="AB463" i="1"/>
  <c r="AC463" i="1"/>
  <c r="AD463" i="1"/>
  <c r="AE463" i="1"/>
  <c r="AF463" i="1"/>
  <c r="AG463" i="1"/>
  <c r="AH463" i="1"/>
  <c r="AI463" i="1"/>
  <c r="AJ463" i="1"/>
  <c r="AK463" i="1"/>
  <c r="AL463" i="1"/>
  <c r="AM463" i="1"/>
  <c r="AN463" i="1"/>
  <c r="AO463" i="1"/>
  <c r="AP463" i="1"/>
  <c r="AQ463" i="1"/>
  <c r="AR463" i="1"/>
  <c r="AS463" i="1"/>
  <c r="AT463" i="1"/>
  <c r="AU463" i="1"/>
  <c r="AV463" i="1"/>
  <c r="AW463" i="1"/>
  <c r="AX463" i="1"/>
  <c r="AY463" i="1"/>
  <c r="AZ463" i="1"/>
  <c r="BA463" i="1"/>
  <c r="BB463" i="1"/>
  <c r="BC463" i="1"/>
  <c r="BD463" i="1"/>
  <c r="BE463" i="1"/>
  <c r="BF463" i="1"/>
  <c r="BG463" i="1"/>
  <c r="BH463" i="1"/>
  <c r="BI463" i="1"/>
  <c r="U464" i="1"/>
  <c r="V464" i="1"/>
  <c r="W464" i="1"/>
  <c r="X464" i="1"/>
  <c r="Y464" i="1"/>
  <c r="Z464" i="1"/>
  <c r="AA464" i="1"/>
  <c r="AB464" i="1"/>
  <c r="AC464" i="1"/>
  <c r="AD464" i="1"/>
  <c r="AE464" i="1"/>
  <c r="AF464" i="1"/>
  <c r="AG464" i="1"/>
  <c r="AH464" i="1"/>
  <c r="AI464" i="1"/>
  <c r="AJ464" i="1"/>
  <c r="AK464" i="1"/>
  <c r="AL464" i="1"/>
  <c r="AM464" i="1"/>
  <c r="AN464" i="1"/>
  <c r="AO464" i="1"/>
  <c r="AP464" i="1"/>
  <c r="AQ464" i="1"/>
  <c r="AR464" i="1"/>
  <c r="AS464" i="1"/>
  <c r="AT464" i="1"/>
  <c r="AU464" i="1"/>
  <c r="AV464" i="1"/>
  <c r="AW464" i="1"/>
  <c r="AX464" i="1"/>
  <c r="AY464" i="1"/>
  <c r="AZ464" i="1"/>
  <c r="BA464" i="1"/>
  <c r="BB464" i="1"/>
  <c r="BC464" i="1"/>
  <c r="BD464" i="1"/>
  <c r="BE464" i="1"/>
  <c r="BF464" i="1"/>
  <c r="BG464" i="1"/>
  <c r="BH464" i="1"/>
  <c r="BI464" i="1"/>
  <c r="U465" i="1"/>
  <c r="V465" i="1"/>
  <c r="W465" i="1"/>
  <c r="X465" i="1"/>
  <c r="Y465" i="1"/>
  <c r="Z465" i="1"/>
  <c r="AA465" i="1"/>
  <c r="AB465" i="1"/>
  <c r="AC465" i="1"/>
  <c r="AD465" i="1"/>
  <c r="AE465" i="1"/>
  <c r="AF465" i="1"/>
  <c r="AG465" i="1"/>
  <c r="AH465" i="1"/>
  <c r="AI465" i="1"/>
  <c r="AJ465" i="1"/>
  <c r="AK465" i="1"/>
  <c r="AL465" i="1"/>
  <c r="AM465" i="1"/>
  <c r="AN465" i="1"/>
  <c r="AO465" i="1"/>
  <c r="AP465" i="1"/>
  <c r="AQ465" i="1"/>
  <c r="AR465" i="1"/>
  <c r="AS465" i="1"/>
  <c r="AT465" i="1"/>
  <c r="AU465" i="1"/>
  <c r="AV465" i="1"/>
  <c r="AW465" i="1"/>
  <c r="AX465" i="1"/>
  <c r="AY465" i="1"/>
  <c r="AZ465" i="1"/>
  <c r="BA465" i="1"/>
  <c r="BB465" i="1"/>
  <c r="BC465" i="1"/>
  <c r="BD465" i="1"/>
  <c r="BE465" i="1"/>
  <c r="BF465" i="1"/>
  <c r="BG465" i="1"/>
  <c r="BH465" i="1"/>
  <c r="BI465" i="1"/>
  <c r="U466" i="1"/>
  <c r="V466" i="1"/>
  <c r="W466" i="1"/>
  <c r="X466" i="1"/>
  <c r="Y466" i="1"/>
  <c r="Z466" i="1"/>
  <c r="AA466" i="1"/>
  <c r="AB466" i="1"/>
  <c r="AC466" i="1"/>
  <c r="AD466" i="1"/>
  <c r="AE466" i="1"/>
  <c r="AF466" i="1"/>
  <c r="AG466" i="1"/>
  <c r="AH466" i="1"/>
  <c r="AI466" i="1"/>
  <c r="AJ466" i="1"/>
  <c r="AK466" i="1"/>
  <c r="AL466" i="1"/>
  <c r="AM466" i="1"/>
  <c r="AN466" i="1"/>
  <c r="AO466" i="1"/>
  <c r="AP466" i="1"/>
  <c r="AQ466" i="1"/>
  <c r="AR466" i="1"/>
  <c r="AS466" i="1"/>
  <c r="AT466" i="1"/>
  <c r="AU466" i="1"/>
  <c r="AV466" i="1"/>
  <c r="AW466" i="1"/>
  <c r="AX466" i="1"/>
  <c r="AY466" i="1"/>
  <c r="AZ466" i="1"/>
  <c r="BA466" i="1"/>
  <c r="BB466" i="1"/>
  <c r="BC466" i="1"/>
  <c r="BD466" i="1"/>
  <c r="BE466" i="1"/>
  <c r="BF466" i="1"/>
  <c r="BG466" i="1"/>
  <c r="BH466" i="1"/>
  <c r="BI466" i="1"/>
  <c r="U467" i="1"/>
  <c r="V467" i="1"/>
  <c r="W467" i="1"/>
  <c r="X467" i="1"/>
  <c r="Y467" i="1"/>
  <c r="Z467" i="1"/>
  <c r="AA467" i="1"/>
  <c r="AB467" i="1"/>
  <c r="AC467" i="1"/>
  <c r="AD467" i="1"/>
  <c r="AE467" i="1"/>
  <c r="AF467" i="1"/>
  <c r="AG467" i="1"/>
  <c r="AH467" i="1"/>
  <c r="AI467" i="1"/>
  <c r="AJ467" i="1"/>
  <c r="AK467" i="1"/>
  <c r="AL467" i="1"/>
  <c r="AM467" i="1"/>
  <c r="AN467" i="1"/>
  <c r="AO467" i="1"/>
  <c r="AP467" i="1"/>
  <c r="AQ467" i="1"/>
  <c r="AR467" i="1"/>
  <c r="AS467" i="1"/>
  <c r="AT467" i="1"/>
  <c r="AU467" i="1"/>
  <c r="AV467" i="1"/>
  <c r="AW467" i="1"/>
  <c r="AX467" i="1"/>
  <c r="AY467" i="1"/>
  <c r="AZ467" i="1"/>
  <c r="BA467" i="1"/>
  <c r="BB467" i="1"/>
  <c r="BC467" i="1"/>
  <c r="BD467" i="1"/>
  <c r="BE467" i="1"/>
  <c r="BF467" i="1"/>
  <c r="BG467" i="1"/>
  <c r="BH467" i="1"/>
  <c r="BI467" i="1"/>
  <c r="U468" i="1"/>
  <c r="V468" i="1"/>
  <c r="W468" i="1"/>
  <c r="X468" i="1"/>
  <c r="Y468" i="1"/>
  <c r="Z468" i="1"/>
  <c r="AA468" i="1"/>
  <c r="AB468" i="1"/>
  <c r="AC468" i="1"/>
  <c r="AD468" i="1"/>
  <c r="AE468" i="1"/>
  <c r="AF468" i="1"/>
  <c r="AG468" i="1"/>
  <c r="AH468" i="1"/>
  <c r="AI468" i="1"/>
  <c r="AJ468" i="1"/>
  <c r="AK468" i="1"/>
  <c r="AL468" i="1"/>
  <c r="AM468" i="1"/>
  <c r="AN468" i="1"/>
  <c r="AO468" i="1"/>
  <c r="AP468" i="1"/>
  <c r="AQ468" i="1"/>
  <c r="AR468" i="1"/>
  <c r="AS468" i="1"/>
  <c r="AT468" i="1"/>
  <c r="AU468" i="1"/>
  <c r="AV468" i="1"/>
  <c r="AW468" i="1"/>
  <c r="AX468" i="1"/>
  <c r="AY468" i="1"/>
  <c r="AZ468" i="1"/>
  <c r="BA468" i="1"/>
  <c r="BB468" i="1"/>
  <c r="BC468" i="1"/>
  <c r="BD468" i="1"/>
  <c r="BE468" i="1"/>
  <c r="BF468" i="1"/>
  <c r="BG468" i="1"/>
  <c r="BH468" i="1"/>
  <c r="BI468" i="1"/>
  <c r="U469" i="1"/>
  <c r="V469" i="1"/>
  <c r="W469" i="1"/>
  <c r="X469" i="1"/>
  <c r="Y469" i="1"/>
  <c r="Z469" i="1"/>
  <c r="AA469" i="1"/>
  <c r="AB469" i="1"/>
  <c r="AC469" i="1"/>
  <c r="AD469" i="1"/>
  <c r="AE469" i="1"/>
  <c r="AF469" i="1"/>
  <c r="AG469" i="1"/>
  <c r="AH469" i="1"/>
  <c r="AI469" i="1"/>
  <c r="AJ469" i="1"/>
  <c r="AK469" i="1"/>
  <c r="AL469" i="1"/>
  <c r="AM469" i="1"/>
  <c r="AN469" i="1"/>
  <c r="AO469" i="1"/>
  <c r="AP469" i="1"/>
  <c r="AQ469" i="1"/>
  <c r="AR469" i="1"/>
  <c r="AS469" i="1"/>
  <c r="AT469" i="1"/>
  <c r="AU469" i="1"/>
  <c r="AV469" i="1"/>
  <c r="AW469" i="1"/>
  <c r="AX469" i="1"/>
  <c r="AY469" i="1"/>
  <c r="AZ469" i="1"/>
  <c r="BA469" i="1"/>
  <c r="BB469" i="1"/>
  <c r="BC469" i="1"/>
  <c r="BD469" i="1"/>
  <c r="BE469" i="1"/>
  <c r="BF469" i="1"/>
  <c r="BG469" i="1"/>
  <c r="BH469" i="1"/>
  <c r="BI469" i="1"/>
  <c r="U470" i="1"/>
  <c r="V470" i="1"/>
  <c r="W470" i="1"/>
  <c r="X470" i="1"/>
  <c r="Y470" i="1"/>
  <c r="Z470" i="1"/>
  <c r="AA470" i="1"/>
  <c r="AB470" i="1"/>
  <c r="AC470" i="1"/>
  <c r="AD470" i="1"/>
  <c r="AE470" i="1"/>
  <c r="AF470" i="1"/>
  <c r="AG470" i="1"/>
  <c r="AH470" i="1"/>
  <c r="AI470" i="1"/>
  <c r="AJ470" i="1"/>
  <c r="AK470" i="1"/>
  <c r="AL470" i="1"/>
  <c r="AM470" i="1"/>
  <c r="AN470" i="1"/>
  <c r="AO470" i="1"/>
  <c r="AP470" i="1"/>
  <c r="AQ470" i="1"/>
  <c r="AR470" i="1"/>
  <c r="AS470" i="1"/>
  <c r="AT470" i="1"/>
  <c r="AU470" i="1"/>
  <c r="AV470" i="1"/>
  <c r="AW470" i="1"/>
  <c r="AX470" i="1"/>
  <c r="AY470" i="1"/>
  <c r="AZ470" i="1"/>
  <c r="BA470" i="1"/>
  <c r="BB470" i="1"/>
  <c r="BC470" i="1"/>
  <c r="BD470" i="1"/>
  <c r="BE470" i="1"/>
  <c r="BF470" i="1"/>
  <c r="BG470" i="1"/>
  <c r="BH470" i="1"/>
  <c r="BI470" i="1"/>
  <c r="U471" i="1"/>
  <c r="V471" i="1"/>
  <c r="W471" i="1"/>
  <c r="X471" i="1"/>
  <c r="Y471" i="1"/>
  <c r="Z471" i="1"/>
  <c r="AA471" i="1"/>
  <c r="AB471" i="1"/>
  <c r="AC471" i="1"/>
  <c r="AD471" i="1"/>
  <c r="AE471" i="1"/>
  <c r="AF471" i="1"/>
  <c r="AG471" i="1"/>
  <c r="AH471" i="1"/>
  <c r="AI471" i="1"/>
  <c r="AJ471" i="1"/>
  <c r="AK471" i="1"/>
  <c r="AL471" i="1"/>
  <c r="AM471" i="1"/>
  <c r="AN471" i="1"/>
  <c r="AO471" i="1"/>
  <c r="AP471" i="1"/>
  <c r="AQ471" i="1"/>
  <c r="AR471" i="1"/>
  <c r="AS471" i="1"/>
  <c r="AT471" i="1"/>
  <c r="AU471" i="1"/>
  <c r="AV471" i="1"/>
  <c r="AW471" i="1"/>
  <c r="AX471" i="1"/>
  <c r="AY471" i="1"/>
  <c r="AZ471" i="1"/>
  <c r="BA471" i="1"/>
  <c r="BB471" i="1"/>
  <c r="BC471" i="1"/>
  <c r="BD471" i="1"/>
  <c r="BE471" i="1"/>
  <c r="BF471" i="1"/>
  <c r="BG471" i="1"/>
  <c r="BH471" i="1"/>
  <c r="BI471" i="1"/>
  <c r="U472" i="1"/>
  <c r="V472" i="1"/>
  <c r="W472" i="1"/>
  <c r="X472" i="1"/>
  <c r="Y472" i="1"/>
  <c r="Z472" i="1"/>
  <c r="AA472" i="1"/>
  <c r="AB472" i="1"/>
  <c r="AC472" i="1"/>
  <c r="AD472" i="1"/>
  <c r="AE472" i="1"/>
  <c r="AF472" i="1"/>
  <c r="AG472" i="1"/>
  <c r="AH472" i="1"/>
  <c r="AI472" i="1"/>
  <c r="AJ472" i="1"/>
  <c r="AK472" i="1"/>
  <c r="AL472" i="1"/>
  <c r="AM472" i="1"/>
  <c r="AN472" i="1"/>
  <c r="AO472" i="1"/>
  <c r="AP472" i="1"/>
  <c r="AQ472" i="1"/>
  <c r="AR472" i="1"/>
  <c r="AS472" i="1"/>
  <c r="AT472" i="1"/>
  <c r="AU472" i="1"/>
  <c r="AV472" i="1"/>
  <c r="AW472" i="1"/>
  <c r="AX472" i="1"/>
  <c r="AY472" i="1"/>
  <c r="AZ472" i="1"/>
  <c r="BA472" i="1"/>
  <c r="BB472" i="1"/>
  <c r="BC472" i="1"/>
  <c r="BD472" i="1"/>
  <c r="BE472" i="1"/>
  <c r="BF472" i="1"/>
  <c r="BG472" i="1"/>
  <c r="BH472" i="1"/>
  <c r="BI472" i="1"/>
  <c r="U473" i="1"/>
  <c r="V473" i="1"/>
  <c r="W473" i="1"/>
  <c r="X473" i="1"/>
  <c r="Y473" i="1"/>
  <c r="Z473" i="1"/>
  <c r="AA473" i="1"/>
  <c r="AB473" i="1"/>
  <c r="AC473" i="1"/>
  <c r="AD473" i="1"/>
  <c r="AE473" i="1"/>
  <c r="AF473" i="1"/>
  <c r="AG473" i="1"/>
  <c r="AH473" i="1"/>
  <c r="AI473" i="1"/>
  <c r="AJ473" i="1"/>
  <c r="AK473" i="1"/>
  <c r="AL473" i="1"/>
  <c r="AM473" i="1"/>
  <c r="AN473" i="1"/>
  <c r="AO473" i="1"/>
  <c r="AP473" i="1"/>
  <c r="AQ473" i="1"/>
  <c r="AR473" i="1"/>
  <c r="AS473" i="1"/>
  <c r="AT473" i="1"/>
  <c r="AU473" i="1"/>
  <c r="AV473" i="1"/>
  <c r="AW473" i="1"/>
  <c r="AX473" i="1"/>
  <c r="AY473" i="1"/>
  <c r="AZ473" i="1"/>
  <c r="BA473" i="1"/>
  <c r="BB473" i="1"/>
  <c r="BC473" i="1"/>
  <c r="BD473" i="1"/>
  <c r="BE473" i="1"/>
  <c r="BF473" i="1"/>
  <c r="BG473" i="1"/>
  <c r="BH473" i="1"/>
  <c r="BI473" i="1"/>
  <c r="U474" i="1"/>
  <c r="V474" i="1"/>
  <c r="W474" i="1"/>
  <c r="X474" i="1"/>
  <c r="Y474" i="1"/>
  <c r="Z474" i="1"/>
  <c r="AA474" i="1"/>
  <c r="AB474" i="1"/>
  <c r="AC474" i="1"/>
  <c r="AD474" i="1"/>
  <c r="AE474" i="1"/>
  <c r="AF474" i="1"/>
  <c r="AG474" i="1"/>
  <c r="AH474" i="1"/>
  <c r="AI474" i="1"/>
  <c r="AJ474" i="1"/>
  <c r="AK474" i="1"/>
  <c r="AL474" i="1"/>
  <c r="AM474" i="1"/>
  <c r="AN474" i="1"/>
  <c r="AO474" i="1"/>
  <c r="AP474" i="1"/>
  <c r="AQ474" i="1"/>
  <c r="AR474" i="1"/>
  <c r="AS474" i="1"/>
  <c r="AT474" i="1"/>
  <c r="AU474" i="1"/>
  <c r="AV474" i="1"/>
  <c r="AW474" i="1"/>
  <c r="AX474" i="1"/>
  <c r="AY474" i="1"/>
  <c r="AZ474" i="1"/>
  <c r="BA474" i="1"/>
  <c r="BB474" i="1"/>
  <c r="BC474" i="1"/>
  <c r="BD474" i="1"/>
  <c r="BE474" i="1"/>
  <c r="BF474" i="1"/>
  <c r="BG474" i="1"/>
  <c r="BH474" i="1"/>
  <c r="BI474" i="1"/>
  <c r="U475" i="1"/>
  <c r="V475" i="1"/>
  <c r="W475" i="1"/>
  <c r="X475" i="1"/>
  <c r="Y475" i="1"/>
  <c r="Z475" i="1"/>
  <c r="AA475" i="1"/>
  <c r="AB475" i="1"/>
  <c r="AC475" i="1"/>
  <c r="AD475" i="1"/>
  <c r="AE475" i="1"/>
  <c r="AF475" i="1"/>
  <c r="AG475" i="1"/>
  <c r="AH475" i="1"/>
  <c r="AI475" i="1"/>
  <c r="AJ475" i="1"/>
  <c r="AK475" i="1"/>
  <c r="AL475" i="1"/>
  <c r="AM475" i="1"/>
  <c r="AN475" i="1"/>
  <c r="AO475" i="1"/>
  <c r="AP475" i="1"/>
  <c r="AQ475" i="1"/>
  <c r="AR475" i="1"/>
  <c r="AS475" i="1"/>
  <c r="AT475" i="1"/>
  <c r="AU475" i="1"/>
  <c r="AV475" i="1"/>
  <c r="AW475" i="1"/>
  <c r="AX475" i="1"/>
  <c r="AY475" i="1"/>
  <c r="AZ475" i="1"/>
  <c r="BA475" i="1"/>
  <c r="BB475" i="1"/>
  <c r="BC475" i="1"/>
  <c r="BD475" i="1"/>
  <c r="BE475" i="1"/>
  <c r="BF475" i="1"/>
  <c r="BG475" i="1"/>
  <c r="BH475" i="1"/>
  <c r="BI475" i="1"/>
  <c r="U476" i="1"/>
  <c r="V476" i="1"/>
  <c r="W476" i="1"/>
  <c r="X476" i="1"/>
  <c r="Y476" i="1"/>
  <c r="Z476" i="1"/>
  <c r="AA476" i="1"/>
  <c r="AB476" i="1"/>
  <c r="AC476" i="1"/>
  <c r="AD476" i="1"/>
  <c r="AE476" i="1"/>
  <c r="AF476" i="1"/>
  <c r="AG476" i="1"/>
  <c r="AH476" i="1"/>
  <c r="AI476" i="1"/>
  <c r="AJ476" i="1"/>
  <c r="AK476" i="1"/>
  <c r="AL476" i="1"/>
  <c r="AM476" i="1"/>
  <c r="AN476" i="1"/>
  <c r="AO476" i="1"/>
  <c r="AP476" i="1"/>
  <c r="AQ476" i="1"/>
  <c r="AR476" i="1"/>
  <c r="AS476" i="1"/>
  <c r="AT476" i="1"/>
  <c r="AU476" i="1"/>
  <c r="AV476" i="1"/>
  <c r="AW476" i="1"/>
  <c r="AX476" i="1"/>
  <c r="AY476" i="1"/>
  <c r="AZ476" i="1"/>
  <c r="BA476" i="1"/>
  <c r="BB476" i="1"/>
  <c r="BC476" i="1"/>
  <c r="BD476" i="1"/>
  <c r="BE476" i="1"/>
  <c r="BF476" i="1"/>
  <c r="BG476" i="1"/>
  <c r="BH476" i="1"/>
  <c r="BI476" i="1"/>
  <c r="U477" i="1"/>
  <c r="V477" i="1"/>
  <c r="W477" i="1"/>
  <c r="X477" i="1"/>
  <c r="Y477" i="1"/>
  <c r="Z477" i="1"/>
  <c r="AA477" i="1"/>
  <c r="AB477" i="1"/>
  <c r="AC477" i="1"/>
  <c r="AD477" i="1"/>
  <c r="AE477" i="1"/>
  <c r="AF477" i="1"/>
  <c r="AG477" i="1"/>
  <c r="AH477" i="1"/>
  <c r="AI477" i="1"/>
  <c r="AJ477" i="1"/>
  <c r="AK477" i="1"/>
  <c r="AL477" i="1"/>
  <c r="AM477" i="1"/>
  <c r="AN477" i="1"/>
  <c r="AO477" i="1"/>
  <c r="AP477" i="1"/>
  <c r="AQ477" i="1"/>
  <c r="AR477" i="1"/>
  <c r="AS477" i="1"/>
  <c r="AT477" i="1"/>
  <c r="AU477" i="1"/>
  <c r="AV477" i="1"/>
  <c r="AW477" i="1"/>
  <c r="AX477" i="1"/>
  <c r="AY477" i="1"/>
  <c r="AZ477" i="1"/>
  <c r="BA477" i="1"/>
  <c r="BB477" i="1"/>
  <c r="BC477" i="1"/>
  <c r="BD477" i="1"/>
  <c r="BE477" i="1"/>
  <c r="BF477" i="1"/>
  <c r="BG477" i="1"/>
  <c r="BH477" i="1"/>
  <c r="BI477" i="1"/>
  <c r="U478" i="1"/>
  <c r="V478" i="1"/>
  <c r="W478" i="1"/>
  <c r="X478" i="1"/>
  <c r="Y478" i="1"/>
  <c r="Z478" i="1"/>
  <c r="AA478" i="1"/>
  <c r="AB478" i="1"/>
  <c r="AC478" i="1"/>
  <c r="AD478" i="1"/>
  <c r="AE478" i="1"/>
  <c r="AF478" i="1"/>
  <c r="AG478" i="1"/>
  <c r="AH478" i="1"/>
  <c r="AI478" i="1"/>
  <c r="AJ478" i="1"/>
  <c r="AK478" i="1"/>
  <c r="AL478" i="1"/>
  <c r="AM478" i="1"/>
  <c r="AN478" i="1"/>
  <c r="AO478" i="1"/>
  <c r="AP478" i="1"/>
  <c r="AQ478" i="1"/>
  <c r="AR478" i="1"/>
  <c r="AS478" i="1"/>
  <c r="AT478" i="1"/>
  <c r="AU478" i="1"/>
  <c r="AV478" i="1"/>
  <c r="AW478" i="1"/>
  <c r="AX478" i="1"/>
  <c r="AY478" i="1"/>
  <c r="AZ478" i="1"/>
  <c r="BA478" i="1"/>
  <c r="BB478" i="1"/>
  <c r="BC478" i="1"/>
  <c r="BD478" i="1"/>
  <c r="BE478" i="1"/>
  <c r="BF478" i="1"/>
  <c r="BG478" i="1"/>
  <c r="BH478" i="1"/>
  <c r="BI478" i="1"/>
  <c r="U479" i="1"/>
  <c r="V479" i="1"/>
  <c r="W479" i="1"/>
  <c r="X479" i="1"/>
  <c r="Y479" i="1"/>
  <c r="Z479" i="1"/>
  <c r="AA479" i="1"/>
  <c r="AB479" i="1"/>
  <c r="AC479" i="1"/>
  <c r="AD479" i="1"/>
  <c r="AE479" i="1"/>
  <c r="AF479" i="1"/>
  <c r="AG479" i="1"/>
  <c r="AH479" i="1"/>
  <c r="AI479" i="1"/>
  <c r="AJ479" i="1"/>
  <c r="AK479" i="1"/>
  <c r="AL479" i="1"/>
  <c r="AM479" i="1"/>
  <c r="AN479" i="1"/>
  <c r="AO479" i="1"/>
  <c r="AP479" i="1"/>
  <c r="AQ479" i="1"/>
  <c r="AR479" i="1"/>
  <c r="AS479" i="1"/>
  <c r="AT479" i="1"/>
  <c r="AU479" i="1"/>
  <c r="AV479" i="1"/>
  <c r="AW479" i="1"/>
  <c r="AX479" i="1"/>
  <c r="AY479" i="1"/>
  <c r="AZ479" i="1"/>
  <c r="BA479" i="1"/>
  <c r="BB479" i="1"/>
  <c r="BC479" i="1"/>
  <c r="BD479" i="1"/>
  <c r="BE479" i="1"/>
  <c r="BF479" i="1"/>
  <c r="BG479" i="1"/>
  <c r="BH479" i="1"/>
  <c r="BI479" i="1"/>
  <c r="U480" i="1"/>
  <c r="V480" i="1"/>
  <c r="W480" i="1"/>
  <c r="X480" i="1"/>
  <c r="Y480" i="1"/>
  <c r="Z480" i="1"/>
  <c r="AA480" i="1"/>
  <c r="AB480" i="1"/>
  <c r="AC480" i="1"/>
  <c r="AD480" i="1"/>
  <c r="AE480" i="1"/>
  <c r="AF480" i="1"/>
  <c r="AG480" i="1"/>
  <c r="AH480" i="1"/>
  <c r="AI480" i="1"/>
  <c r="AJ480" i="1"/>
  <c r="AK480" i="1"/>
  <c r="AL480" i="1"/>
  <c r="AM480" i="1"/>
  <c r="AN480" i="1"/>
  <c r="AO480" i="1"/>
  <c r="AP480" i="1"/>
  <c r="AQ480" i="1"/>
  <c r="AR480" i="1"/>
  <c r="AS480" i="1"/>
  <c r="AT480" i="1"/>
  <c r="AU480" i="1"/>
  <c r="AV480" i="1"/>
  <c r="AW480" i="1"/>
  <c r="AX480" i="1"/>
  <c r="AY480" i="1"/>
  <c r="AZ480" i="1"/>
  <c r="BA480" i="1"/>
  <c r="BB480" i="1"/>
  <c r="BC480" i="1"/>
  <c r="BD480" i="1"/>
  <c r="BE480" i="1"/>
  <c r="BF480" i="1"/>
  <c r="BG480" i="1"/>
  <c r="BH480" i="1"/>
  <c r="BI480" i="1"/>
  <c r="U481" i="1"/>
  <c r="V481" i="1"/>
  <c r="W481" i="1"/>
  <c r="X481" i="1"/>
  <c r="Y481" i="1"/>
  <c r="Z481" i="1"/>
  <c r="AA481" i="1"/>
  <c r="AB481" i="1"/>
  <c r="AC481" i="1"/>
  <c r="AD481" i="1"/>
  <c r="AE481" i="1"/>
  <c r="AF481" i="1"/>
  <c r="AG481" i="1"/>
  <c r="AH481" i="1"/>
  <c r="AI481" i="1"/>
  <c r="AJ481" i="1"/>
  <c r="AK481" i="1"/>
  <c r="AL481" i="1"/>
  <c r="AM481" i="1"/>
  <c r="AN481" i="1"/>
  <c r="AO481" i="1"/>
  <c r="AP481" i="1"/>
  <c r="AQ481" i="1"/>
  <c r="AR481" i="1"/>
  <c r="AS481" i="1"/>
  <c r="AT481" i="1"/>
  <c r="AU481" i="1"/>
  <c r="AV481" i="1"/>
  <c r="AW481" i="1"/>
  <c r="AX481" i="1"/>
  <c r="AY481" i="1"/>
  <c r="AZ481" i="1"/>
  <c r="BA481" i="1"/>
  <c r="BB481" i="1"/>
  <c r="BC481" i="1"/>
  <c r="BD481" i="1"/>
  <c r="BE481" i="1"/>
  <c r="BF481" i="1"/>
  <c r="BG481" i="1"/>
  <c r="BH481" i="1"/>
  <c r="BI481" i="1"/>
  <c r="U482" i="1"/>
  <c r="V482" i="1"/>
  <c r="W482" i="1"/>
  <c r="X482" i="1"/>
  <c r="Y482" i="1"/>
  <c r="Z482" i="1"/>
  <c r="AA482" i="1"/>
  <c r="AB482" i="1"/>
  <c r="AC482" i="1"/>
  <c r="AD482" i="1"/>
  <c r="AE482" i="1"/>
  <c r="AF482" i="1"/>
  <c r="AG482" i="1"/>
  <c r="AH482" i="1"/>
  <c r="AI482" i="1"/>
  <c r="AJ482" i="1"/>
  <c r="AK482" i="1"/>
  <c r="AL482" i="1"/>
  <c r="AM482" i="1"/>
  <c r="AN482" i="1"/>
  <c r="AO482" i="1"/>
  <c r="AP482" i="1"/>
  <c r="AQ482" i="1"/>
  <c r="AR482" i="1"/>
  <c r="AS482" i="1"/>
  <c r="AT482" i="1"/>
  <c r="AU482" i="1"/>
  <c r="AV482" i="1"/>
  <c r="AW482" i="1"/>
  <c r="AX482" i="1"/>
  <c r="AY482" i="1"/>
  <c r="AZ482" i="1"/>
  <c r="BA482" i="1"/>
  <c r="BB482" i="1"/>
  <c r="BC482" i="1"/>
  <c r="BD482" i="1"/>
  <c r="BE482" i="1"/>
  <c r="BF482" i="1"/>
  <c r="BG482" i="1"/>
  <c r="BH482" i="1"/>
  <c r="BI482" i="1"/>
  <c r="U483" i="1"/>
  <c r="V483" i="1"/>
  <c r="W483" i="1"/>
  <c r="X483" i="1"/>
  <c r="Y483" i="1"/>
  <c r="Z483" i="1"/>
  <c r="AA483" i="1"/>
  <c r="AB483" i="1"/>
  <c r="AC483" i="1"/>
  <c r="AD483" i="1"/>
  <c r="AE483" i="1"/>
  <c r="AF483" i="1"/>
  <c r="AG483" i="1"/>
  <c r="AH483" i="1"/>
  <c r="AI483" i="1"/>
  <c r="AJ483" i="1"/>
  <c r="AK483" i="1"/>
  <c r="AL483" i="1"/>
  <c r="AM483" i="1"/>
  <c r="AN483" i="1"/>
  <c r="AO483" i="1"/>
  <c r="AP483" i="1"/>
  <c r="AQ483" i="1"/>
  <c r="AR483" i="1"/>
  <c r="AS483" i="1"/>
  <c r="AT483" i="1"/>
  <c r="AU483" i="1"/>
  <c r="AV483" i="1"/>
  <c r="AW483" i="1"/>
  <c r="AX483" i="1"/>
  <c r="AY483" i="1"/>
  <c r="AZ483" i="1"/>
  <c r="BA483" i="1"/>
  <c r="BB483" i="1"/>
  <c r="BC483" i="1"/>
  <c r="BD483" i="1"/>
  <c r="BE483" i="1"/>
  <c r="BF483" i="1"/>
  <c r="BG483" i="1"/>
  <c r="BH483" i="1"/>
  <c r="BI483" i="1"/>
  <c r="U484" i="1"/>
  <c r="V484" i="1"/>
  <c r="W484" i="1"/>
  <c r="X484" i="1"/>
  <c r="Y484" i="1"/>
  <c r="Z484" i="1"/>
  <c r="AA484" i="1"/>
  <c r="AB484" i="1"/>
  <c r="AC484" i="1"/>
  <c r="AD484" i="1"/>
  <c r="AE484" i="1"/>
  <c r="AF484" i="1"/>
  <c r="AG484" i="1"/>
  <c r="AH484" i="1"/>
  <c r="AI484" i="1"/>
  <c r="AJ484" i="1"/>
  <c r="AK484" i="1"/>
  <c r="AL484" i="1"/>
  <c r="AM484" i="1"/>
  <c r="AN484" i="1"/>
  <c r="AO484" i="1"/>
  <c r="AP484" i="1"/>
  <c r="AQ484" i="1"/>
  <c r="AR484" i="1"/>
  <c r="AS484" i="1"/>
  <c r="AT484" i="1"/>
  <c r="AU484" i="1"/>
  <c r="AV484" i="1"/>
  <c r="AW484" i="1"/>
  <c r="AX484" i="1"/>
  <c r="AY484" i="1"/>
  <c r="AZ484" i="1"/>
  <c r="BA484" i="1"/>
  <c r="BB484" i="1"/>
  <c r="BC484" i="1"/>
  <c r="BD484" i="1"/>
  <c r="BE484" i="1"/>
  <c r="BF484" i="1"/>
  <c r="BG484" i="1"/>
  <c r="BH484" i="1"/>
  <c r="BI484" i="1"/>
  <c r="U485" i="1"/>
  <c r="V485" i="1"/>
  <c r="W485" i="1"/>
  <c r="X485" i="1"/>
  <c r="Y485" i="1"/>
  <c r="Z485" i="1"/>
  <c r="AA485" i="1"/>
  <c r="AB485" i="1"/>
  <c r="AC485" i="1"/>
  <c r="AD485" i="1"/>
  <c r="AE485" i="1"/>
  <c r="AF485" i="1"/>
  <c r="AG485" i="1"/>
  <c r="AH485" i="1"/>
  <c r="AI485" i="1"/>
  <c r="AJ485" i="1"/>
  <c r="AK485" i="1"/>
  <c r="AL485" i="1"/>
  <c r="AM485" i="1"/>
  <c r="AN485" i="1"/>
  <c r="AO485" i="1"/>
  <c r="AP485" i="1"/>
  <c r="AQ485" i="1"/>
  <c r="AR485" i="1"/>
  <c r="AS485" i="1"/>
  <c r="AT485" i="1"/>
  <c r="AU485" i="1"/>
  <c r="AV485" i="1"/>
  <c r="AW485" i="1"/>
  <c r="AX485" i="1"/>
  <c r="AY485" i="1"/>
  <c r="AZ485" i="1"/>
  <c r="BA485" i="1"/>
  <c r="BB485" i="1"/>
  <c r="BC485" i="1"/>
  <c r="BD485" i="1"/>
  <c r="BE485" i="1"/>
  <c r="BF485" i="1"/>
  <c r="BG485" i="1"/>
  <c r="BH485" i="1"/>
  <c r="BI485" i="1"/>
  <c r="U486" i="1"/>
  <c r="V486" i="1"/>
  <c r="W486" i="1"/>
  <c r="X486" i="1"/>
  <c r="Y486" i="1"/>
  <c r="Z486" i="1"/>
  <c r="AA486" i="1"/>
  <c r="AB486" i="1"/>
  <c r="AC486" i="1"/>
  <c r="AD486" i="1"/>
  <c r="AE486" i="1"/>
  <c r="AF486" i="1"/>
  <c r="AG486" i="1"/>
  <c r="AH486" i="1"/>
  <c r="AI486" i="1"/>
  <c r="AJ486" i="1"/>
  <c r="AK486" i="1"/>
  <c r="AL486" i="1"/>
  <c r="AM486" i="1"/>
  <c r="AN486" i="1"/>
  <c r="AO486" i="1"/>
  <c r="AP486" i="1"/>
  <c r="AQ486" i="1"/>
  <c r="AR486" i="1"/>
  <c r="AS486" i="1"/>
  <c r="AT486" i="1"/>
  <c r="AU486" i="1"/>
  <c r="AV486" i="1"/>
  <c r="AW486" i="1"/>
  <c r="AX486" i="1"/>
  <c r="AY486" i="1"/>
  <c r="AZ486" i="1"/>
  <c r="BA486" i="1"/>
  <c r="BB486" i="1"/>
  <c r="BC486" i="1"/>
  <c r="BD486" i="1"/>
  <c r="BE486" i="1"/>
  <c r="BF486" i="1"/>
  <c r="BG486" i="1"/>
  <c r="BH486" i="1"/>
  <c r="BI486" i="1"/>
  <c r="U487" i="1"/>
  <c r="V487" i="1"/>
  <c r="W487" i="1"/>
  <c r="X487" i="1"/>
  <c r="Y487" i="1"/>
  <c r="Z487" i="1"/>
  <c r="AA487" i="1"/>
  <c r="AB487" i="1"/>
  <c r="AC487" i="1"/>
  <c r="AD487" i="1"/>
  <c r="AE487" i="1"/>
  <c r="AF487" i="1"/>
  <c r="AG487" i="1"/>
  <c r="AH487" i="1"/>
  <c r="AI487" i="1"/>
  <c r="AJ487" i="1"/>
  <c r="AK487" i="1"/>
  <c r="AL487" i="1"/>
  <c r="AM487" i="1"/>
  <c r="AN487" i="1"/>
  <c r="AO487" i="1"/>
  <c r="AP487" i="1"/>
  <c r="AQ487" i="1"/>
  <c r="AR487" i="1"/>
  <c r="AS487" i="1"/>
  <c r="AT487" i="1"/>
  <c r="AU487" i="1"/>
  <c r="AV487" i="1"/>
  <c r="AW487" i="1"/>
  <c r="AX487" i="1"/>
  <c r="AY487" i="1"/>
  <c r="AZ487" i="1"/>
  <c r="BA487" i="1"/>
  <c r="BB487" i="1"/>
  <c r="BC487" i="1"/>
  <c r="BD487" i="1"/>
  <c r="BE487" i="1"/>
  <c r="BF487" i="1"/>
  <c r="BG487" i="1"/>
  <c r="BH487" i="1"/>
  <c r="BI487" i="1"/>
  <c r="U488" i="1"/>
  <c r="V488" i="1"/>
  <c r="W488" i="1"/>
  <c r="X488" i="1"/>
  <c r="Y488" i="1"/>
  <c r="Z488" i="1"/>
  <c r="AA488" i="1"/>
  <c r="AB488" i="1"/>
  <c r="AC488" i="1"/>
  <c r="AD488" i="1"/>
  <c r="AE488" i="1"/>
  <c r="AF488" i="1"/>
  <c r="AG488" i="1"/>
  <c r="AH488" i="1"/>
  <c r="AI488" i="1"/>
  <c r="AJ488" i="1"/>
  <c r="AK488" i="1"/>
  <c r="AL488" i="1"/>
  <c r="AM488" i="1"/>
  <c r="AN488" i="1"/>
  <c r="AO488" i="1"/>
  <c r="AP488" i="1"/>
  <c r="AQ488" i="1"/>
  <c r="AR488" i="1"/>
  <c r="AS488" i="1"/>
  <c r="AT488" i="1"/>
  <c r="AU488" i="1"/>
  <c r="AV488" i="1"/>
  <c r="AW488" i="1"/>
  <c r="AX488" i="1"/>
  <c r="AY488" i="1"/>
  <c r="AZ488" i="1"/>
  <c r="BA488" i="1"/>
  <c r="BB488" i="1"/>
  <c r="BC488" i="1"/>
  <c r="BD488" i="1"/>
  <c r="BE488" i="1"/>
  <c r="BF488" i="1"/>
  <c r="BG488" i="1"/>
  <c r="BH488" i="1"/>
  <c r="BI488" i="1"/>
  <c r="U489" i="1"/>
  <c r="V489" i="1"/>
  <c r="W489" i="1"/>
  <c r="X489" i="1"/>
  <c r="Y489" i="1"/>
  <c r="Z489" i="1"/>
  <c r="AA489" i="1"/>
  <c r="AB489" i="1"/>
  <c r="AC489" i="1"/>
  <c r="AD489" i="1"/>
  <c r="AE489" i="1"/>
  <c r="AF489" i="1"/>
  <c r="AG489" i="1"/>
  <c r="AH489" i="1"/>
  <c r="AI489" i="1"/>
  <c r="AJ489" i="1"/>
  <c r="AK489" i="1"/>
  <c r="AL489" i="1"/>
  <c r="AM489" i="1"/>
  <c r="AN489" i="1"/>
  <c r="AO489" i="1"/>
  <c r="AP489" i="1"/>
  <c r="AQ489" i="1"/>
  <c r="AR489" i="1"/>
  <c r="AS489" i="1"/>
  <c r="AT489" i="1"/>
  <c r="AU489" i="1"/>
  <c r="AV489" i="1"/>
  <c r="AW489" i="1"/>
  <c r="AX489" i="1"/>
  <c r="AY489" i="1"/>
  <c r="AZ489" i="1"/>
  <c r="BA489" i="1"/>
  <c r="BB489" i="1"/>
  <c r="BC489" i="1"/>
  <c r="BD489" i="1"/>
  <c r="BE489" i="1"/>
  <c r="BF489" i="1"/>
  <c r="BG489" i="1"/>
  <c r="BH489" i="1"/>
  <c r="BI489" i="1"/>
  <c r="U490" i="1"/>
  <c r="V490" i="1"/>
  <c r="W490" i="1"/>
  <c r="X490" i="1"/>
  <c r="Y490" i="1"/>
  <c r="Z490" i="1"/>
  <c r="AA490" i="1"/>
  <c r="AB490" i="1"/>
  <c r="AC490" i="1"/>
  <c r="AD490" i="1"/>
  <c r="AE490" i="1"/>
  <c r="AF490" i="1"/>
  <c r="AG490" i="1"/>
  <c r="AH490" i="1"/>
  <c r="AI490" i="1"/>
  <c r="AJ490" i="1"/>
  <c r="AK490" i="1"/>
  <c r="AL490" i="1"/>
  <c r="AM490" i="1"/>
  <c r="AN490" i="1"/>
  <c r="AO490" i="1"/>
  <c r="AP490" i="1"/>
  <c r="AQ490" i="1"/>
  <c r="AR490" i="1"/>
  <c r="AS490" i="1"/>
  <c r="AT490" i="1"/>
  <c r="AU490" i="1"/>
  <c r="AV490" i="1"/>
  <c r="AW490" i="1"/>
  <c r="AX490" i="1"/>
  <c r="AY490" i="1"/>
  <c r="AZ490" i="1"/>
  <c r="BA490" i="1"/>
  <c r="BB490" i="1"/>
  <c r="BC490" i="1"/>
  <c r="BD490" i="1"/>
  <c r="BE490" i="1"/>
  <c r="BF490" i="1"/>
  <c r="BG490" i="1"/>
  <c r="BH490" i="1"/>
  <c r="BI490" i="1"/>
  <c r="U491" i="1"/>
  <c r="V491" i="1"/>
  <c r="W491" i="1"/>
  <c r="X491" i="1"/>
  <c r="Y491" i="1"/>
  <c r="Z491" i="1"/>
  <c r="AA491" i="1"/>
  <c r="AB491" i="1"/>
  <c r="AC491" i="1"/>
  <c r="AD491" i="1"/>
  <c r="AE491" i="1"/>
  <c r="AF491" i="1"/>
  <c r="AG491" i="1"/>
  <c r="AH491" i="1"/>
  <c r="AI491" i="1"/>
  <c r="AJ491" i="1"/>
  <c r="AK491" i="1"/>
  <c r="AL491" i="1"/>
  <c r="AM491" i="1"/>
  <c r="AN491" i="1"/>
  <c r="AO491" i="1"/>
  <c r="AP491" i="1"/>
  <c r="AQ491" i="1"/>
  <c r="AR491" i="1"/>
  <c r="AS491" i="1"/>
  <c r="AT491" i="1"/>
  <c r="AU491" i="1"/>
  <c r="AV491" i="1"/>
  <c r="AW491" i="1"/>
  <c r="AX491" i="1"/>
  <c r="AY491" i="1"/>
  <c r="AZ491" i="1"/>
  <c r="BA491" i="1"/>
  <c r="BB491" i="1"/>
  <c r="BC491" i="1"/>
  <c r="BD491" i="1"/>
  <c r="BE491" i="1"/>
  <c r="BF491" i="1"/>
  <c r="BG491" i="1"/>
  <c r="BH491" i="1"/>
  <c r="BI491"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1"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420" i="1"/>
  <c r="AJ10" i="1"/>
  <c r="AK11" i="1" s="1"/>
  <c r="AK10" i="1"/>
  <c r="AL10" i="1"/>
  <c r="AL11" i="1" s="1"/>
  <c r="AM10" i="1"/>
  <c r="AN10" i="1"/>
  <c r="AO10" i="1"/>
  <c r="AP10" i="1"/>
  <c r="AQ10" i="1"/>
  <c r="AQ11" i="1" s="1"/>
  <c r="AR10" i="1"/>
  <c r="AS11" i="1" s="1"/>
  <c r="AS10" i="1"/>
  <c r="AT10" i="1"/>
  <c r="AT11" i="1" s="1"/>
  <c r="AU10" i="1"/>
  <c r="AV10" i="1"/>
  <c r="AW10" i="1"/>
  <c r="AX10" i="1"/>
  <c r="AY10" i="1"/>
  <c r="AY11" i="1" s="1"/>
  <c r="AZ10" i="1"/>
  <c r="BA11" i="1" s="1"/>
  <c r="BA10" i="1"/>
  <c r="BB10" i="1"/>
  <c r="BB11" i="1" s="1"/>
  <c r="BC10" i="1"/>
  <c r="BD10" i="1"/>
  <c r="BE10" i="1"/>
  <c r="BF10" i="1"/>
  <c r="BG10" i="1"/>
  <c r="BG11" i="1" s="1"/>
  <c r="BH10" i="1"/>
  <c r="BI11" i="1" s="1"/>
  <c r="BI10" i="1"/>
  <c r="AJ11" i="1"/>
  <c r="AN11" i="1"/>
  <c r="AO11" i="1"/>
  <c r="AP11" i="1"/>
  <c r="AV11" i="1"/>
  <c r="AW11" i="1"/>
  <c r="AX11" i="1"/>
  <c r="BD11" i="1"/>
  <c r="BE11" i="1"/>
  <c r="BF11" i="1"/>
  <c r="AK12" i="1"/>
  <c r="AM12" i="1"/>
  <c r="AN12" i="1"/>
  <c r="AO12" i="1"/>
  <c r="AP12" i="1"/>
  <c r="AS12" i="1"/>
  <c r="AU12" i="1"/>
  <c r="AV12" i="1"/>
  <c r="AW12" i="1"/>
  <c r="AX12" i="1"/>
  <c r="BA12" i="1"/>
  <c r="BC12" i="1"/>
  <c r="BD12" i="1"/>
  <c r="BE12" i="1"/>
  <c r="BF12" i="1"/>
  <c r="BI12" i="1"/>
  <c r="AJ8" i="1"/>
  <c r="AK8" i="1"/>
  <c r="AK9" i="1" s="1"/>
  <c r="AL8" i="1"/>
  <c r="AM8" i="1"/>
  <c r="AN8" i="1"/>
  <c r="AO8" i="1"/>
  <c r="AP8" i="1"/>
  <c r="AQ8" i="1"/>
  <c r="AQ9" i="1" s="1"/>
  <c r="AR8" i="1"/>
  <c r="AS8" i="1"/>
  <c r="AS9" i="1" s="1"/>
  <c r="AT8" i="1"/>
  <c r="AU8" i="1"/>
  <c r="AV8" i="1"/>
  <c r="AW8" i="1"/>
  <c r="AW9" i="1" s="1"/>
  <c r="AX8" i="1"/>
  <c r="AX9" i="1" s="1"/>
  <c r="AY8" i="1"/>
  <c r="AY9" i="1" s="1"/>
  <c r="AZ8" i="1"/>
  <c r="BA8" i="1"/>
  <c r="BA9" i="1" s="1"/>
  <c r="BB8" i="1"/>
  <c r="BC8" i="1"/>
  <c r="BC9" i="1" s="1"/>
  <c r="BD8" i="1"/>
  <c r="BD9" i="1" s="1"/>
  <c r="BE8" i="1"/>
  <c r="BF8" i="1"/>
  <c r="BG8" i="1"/>
  <c r="BG9" i="1" s="1"/>
  <c r="BH8" i="1"/>
  <c r="BI8" i="1"/>
  <c r="BI9" i="1" s="1"/>
  <c r="AM9" i="1"/>
  <c r="AN9" i="1"/>
  <c r="AU9" i="1"/>
  <c r="AV9" i="1"/>
  <c r="AJ6" i="1"/>
  <c r="AK6" i="1"/>
  <c r="AK7" i="1" s="1"/>
  <c r="AL6" i="1"/>
  <c r="AM6" i="1"/>
  <c r="AN6" i="1"/>
  <c r="AO6" i="1"/>
  <c r="AP6" i="1"/>
  <c r="AQ6" i="1"/>
  <c r="AQ7" i="1" s="1"/>
  <c r="AR6" i="1"/>
  <c r="AS6" i="1"/>
  <c r="AS7" i="1" s="1"/>
  <c r="AT6" i="1"/>
  <c r="AU6" i="1"/>
  <c r="AV6" i="1"/>
  <c r="AW6" i="1"/>
  <c r="AX6" i="1"/>
  <c r="AX7" i="1" s="1"/>
  <c r="AY6" i="1"/>
  <c r="AY7" i="1" s="1"/>
  <c r="AZ6" i="1"/>
  <c r="BA6" i="1"/>
  <c r="BA7" i="1" s="1"/>
  <c r="BB6" i="1"/>
  <c r="BC6" i="1"/>
  <c r="BD7" i="1" s="1"/>
  <c r="BD6" i="1"/>
  <c r="BE6" i="1"/>
  <c r="BF6" i="1"/>
  <c r="BG6" i="1"/>
  <c r="BG7" i="1" s="1"/>
  <c r="BH6" i="1"/>
  <c r="BI6" i="1"/>
  <c r="BI7" i="1" s="1"/>
  <c r="AM7" i="1"/>
  <c r="AN7" i="1"/>
  <c r="AO7" i="1"/>
  <c r="AP7" i="1"/>
  <c r="AU7" i="1"/>
  <c r="AV7" i="1"/>
  <c r="AW7" i="1"/>
  <c r="BC7" i="1"/>
  <c r="BE7" i="1"/>
  <c r="BF7" i="1"/>
  <c r="BB12" i="1" l="1"/>
  <c r="AT12" i="1"/>
  <c r="AL12" i="1"/>
  <c r="BC11" i="1"/>
  <c r="AU11" i="1"/>
  <c r="AM11" i="1"/>
  <c r="BH12" i="1"/>
  <c r="AZ12" i="1"/>
  <c r="AR12" i="1"/>
  <c r="AJ12" i="1"/>
  <c r="BG12" i="1"/>
  <c r="AY12" i="1"/>
  <c r="AQ12" i="1"/>
  <c r="BH11" i="1"/>
  <c r="AZ11" i="1"/>
  <c r="AR11" i="1"/>
  <c r="BF9" i="1"/>
  <c r="AP9" i="1"/>
  <c r="BE9" i="1"/>
  <c r="AO9" i="1"/>
  <c r="BH9" i="1"/>
  <c r="AZ9" i="1"/>
  <c r="AR9" i="1"/>
  <c r="BB9" i="1"/>
  <c r="AT9" i="1"/>
  <c r="AL9" i="1"/>
  <c r="BB7" i="1"/>
  <c r="AT7" i="1"/>
  <c r="AL7" i="1"/>
  <c r="BH7" i="1"/>
  <c r="AZ7" i="1"/>
  <c r="AR7" i="1"/>
  <c r="B492" i="39" l="1"/>
  <c r="N488" i="39"/>
  <c r="M488" i="39"/>
  <c r="L488" i="39"/>
  <c r="K488" i="39"/>
  <c r="J488" i="39"/>
  <c r="I488" i="39"/>
  <c r="H488" i="39"/>
  <c r="G488" i="39"/>
  <c r="F488" i="39"/>
  <c r="E488" i="39"/>
  <c r="D488" i="39"/>
  <c r="B488" i="39"/>
  <c r="N486" i="39"/>
  <c r="M486" i="39"/>
  <c r="L486" i="39"/>
  <c r="K486" i="39"/>
  <c r="J486" i="39"/>
  <c r="I486" i="39"/>
  <c r="H486" i="39"/>
  <c r="G486" i="39"/>
  <c r="F486" i="39"/>
  <c r="E486" i="39"/>
  <c r="D486" i="39"/>
  <c r="B486" i="39"/>
  <c r="N485" i="39"/>
  <c r="M485" i="39"/>
  <c r="L485" i="39"/>
  <c r="K485" i="39"/>
  <c r="J485" i="39"/>
  <c r="I485" i="39"/>
  <c r="H485" i="39"/>
  <c r="G485" i="39"/>
  <c r="F485" i="39"/>
  <c r="E485" i="39"/>
  <c r="D485" i="39"/>
  <c r="B485" i="39"/>
  <c r="B483" i="39"/>
  <c r="I479" i="39"/>
  <c r="H479" i="39"/>
  <c r="G479" i="39"/>
  <c r="F479" i="39"/>
  <c r="E479" i="39"/>
  <c r="D479" i="39"/>
  <c r="B479" i="39"/>
  <c r="I478" i="39"/>
  <c r="H478" i="39"/>
  <c r="G478" i="39"/>
  <c r="F478" i="39"/>
  <c r="E478" i="39"/>
  <c r="D478" i="39"/>
  <c r="B478" i="39"/>
  <c r="I477" i="39"/>
  <c r="H477" i="39"/>
  <c r="G477" i="39"/>
  <c r="F477" i="39"/>
  <c r="E477" i="39"/>
  <c r="D477" i="39"/>
  <c r="B477" i="39"/>
  <c r="N475" i="39"/>
  <c r="M475" i="39"/>
  <c r="L475" i="39"/>
  <c r="K475" i="39"/>
  <c r="J475" i="39"/>
  <c r="I475" i="39"/>
  <c r="H475" i="39"/>
  <c r="G475" i="39"/>
  <c r="F475" i="39"/>
  <c r="E475" i="39"/>
  <c r="D475" i="39"/>
  <c r="B475" i="39"/>
  <c r="I474" i="39"/>
  <c r="H474" i="39"/>
  <c r="G474" i="39"/>
  <c r="F474" i="39"/>
  <c r="E474" i="39"/>
  <c r="D474" i="39"/>
  <c r="B474" i="39"/>
  <c r="N473" i="39"/>
  <c r="M473" i="39"/>
  <c r="L473" i="39"/>
  <c r="K473" i="39"/>
  <c r="J473" i="39"/>
  <c r="I473" i="39"/>
  <c r="H473" i="39"/>
  <c r="G473" i="39"/>
  <c r="F473" i="39"/>
  <c r="E473" i="39"/>
  <c r="D473" i="39"/>
  <c r="B473" i="39"/>
  <c r="N472" i="39"/>
  <c r="M472" i="39"/>
  <c r="L472" i="39"/>
  <c r="K472" i="39"/>
  <c r="J472" i="39"/>
  <c r="I472" i="39"/>
  <c r="H472" i="39"/>
  <c r="G472" i="39"/>
  <c r="F472" i="39"/>
  <c r="E472" i="39"/>
  <c r="D472" i="39"/>
  <c r="B472" i="39"/>
  <c r="N471" i="39"/>
  <c r="M471" i="39"/>
  <c r="L471" i="39"/>
  <c r="K471" i="39"/>
  <c r="J471" i="39"/>
  <c r="I471" i="39"/>
  <c r="H471" i="39"/>
  <c r="G471" i="39"/>
  <c r="F471" i="39"/>
  <c r="E471" i="39"/>
  <c r="D471" i="39"/>
  <c r="B471" i="39"/>
  <c r="N470" i="39"/>
  <c r="M470" i="39"/>
  <c r="L470" i="39"/>
  <c r="K470" i="39"/>
  <c r="J470" i="39"/>
  <c r="I470" i="39"/>
  <c r="H470" i="39"/>
  <c r="G470" i="39"/>
  <c r="F470" i="39"/>
  <c r="E470" i="39"/>
  <c r="D470" i="39"/>
  <c r="B470" i="39"/>
  <c r="N469" i="39"/>
  <c r="M469" i="39"/>
  <c r="L469" i="39"/>
  <c r="K469" i="39"/>
  <c r="J469" i="39"/>
  <c r="I469" i="39"/>
  <c r="H469" i="39"/>
  <c r="G469" i="39"/>
  <c r="F469" i="39"/>
  <c r="E469" i="39"/>
  <c r="D469" i="39"/>
  <c r="B469" i="39"/>
  <c r="N466" i="39"/>
  <c r="M466" i="39"/>
  <c r="L466" i="39"/>
  <c r="K466" i="39"/>
  <c r="J466" i="39"/>
  <c r="I466" i="39"/>
  <c r="H466" i="39"/>
  <c r="G466" i="39"/>
  <c r="F466" i="39"/>
  <c r="E466" i="39"/>
  <c r="D466" i="39"/>
  <c r="B466" i="39"/>
  <c r="B464" i="39"/>
  <c r="B459" i="39"/>
  <c r="N458" i="39"/>
  <c r="N459" i="39" s="1"/>
  <c r="M458" i="39"/>
  <c r="M459" i="39" s="1"/>
  <c r="L458" i="39"/>
  <c r="L459" i="39" s="1"/>
  <c r="K458" i="39"/>
  <c r="J458" i="39"/>
  <c r="J459" i="39" s="1"/>
  <c r="I458" i="39"/>
  <c r="I459" i="39" s="1"/>
  <c r="H458" i="39"/>
  <c r="H459" i="39" s="1"/>
  <c r="G458" i="39"/>
  <c r="G459" i="39" s="1"/>
  <c r="F458" i="39"/>
  <c r="E458" i="39"/>
  <c r="E459" i="39" s="1"/>
  <c r="D458" i="39"/>
  <c r="D459" i="39" s="1"/>
  <c r="B458" i="39"/>
  <c r="B454" i="39"/>
  <c r="N453" i="39"/>
  <c r="O453" i="39" s="1"/>
  <c r="P453" i="39" s="1"/>
  <c r="Q453" i="39" s="1"/>
  <c r="R453" i="39" s="1"/>
  <c r="S453" i="39" s="1"/>
  <c r="T453" i="39" s="1"/>
  <c r="U453" i="39" s="1"/>
  <c r="V453" i="39" s="1"/>
  <c r="W453" i="39" s="1"/>
  <c r="X453" i="39" s="1"/>
  <c r="Y453" i="39" s="1"/>
  <c r="Z453" i="39" s="1"/>
  <c r="AA453" i="39" s="1"/>
  <c r="AB453" i="39" s="1"/>
  <c r="AC453" i="39" s="1"/>
  <c r="AD453" i="39" s="1"/>
  <c r="AE453" i="39" s="1"/>
  <c r="AF453" i="39" s="1"/>
  <c r="AG453" i="39" s="1"/>
  <c r="AH453" i="39" s="1"/>
  <c r="AI453" i="39" s="1"/>
  <c r="AJ453" i="39" s="1"/>
  <c r="AK453" i="39" s="1"/>
  <c r="AL453" i="39" s="1"/>
  <c r="AM453" i="39" s="1"/>
  <c r="AN453" i="39" s="1"/>
  <c r="AO453" i="39" s="1"/>
  <c r="AP453" i="39" s="1"/>
  <c r="AQ453" i="39" s="1"/>
  <c r="AR453" i="39" s="1"/>
  <c r="AS453" i="39" s="1"/>
  <c r="AT453" i="39" s="1"/>
  <c r="AU453" i="39" s="1"/>
  <c r="AV453" i="39" s="1"/>
  <c r="AW453" i="39" s="1"/>
  <c r="AX453" i="39" s="1"/>
  <c r="M453" i="39"/>
  <c r="L453" i="39"/>
  <c r="K453" i="39"/>
  <c r="J453" i="39"/>
  <c r="I453" i="39"/>
  <c r="H453" i="39"/>
  <c r="G453" i="39"/>
  <c r="F453" i="39"/>
  <c r="E453" i="39"/>
  <c r="D453" i="39"/>
  <c r="B453" i="39"/>
  <c r="N452" i="39"/>
  <c r="N454" i="39" s="1"/>
  <c r="M452" i="39"/>
  <c r="L452" i="39"/>
  <c r="L454" i="39" s="1"/>
  <c r="K452" i="39"/>
  <c r="J452" i="39"/>
  <c r="I452" i="39"/>
  <c r="I454" i="39" s="1"/>
  <c r="H452" i="39"/>
  <c r="H454" i="39" s="1"/>
  <c r="G452" i="39"/>
  <c r="G454" i="39" s="1"/>
  <c r="F452" i="39"/>
  <c r="F454" i="39" s="1"/>
  <c r="E452" i="39"/>
  <c r="D452" i="39"/>
  <c r="D454" i="39" s="1"/>
  <c r="B452" i="39"/>
  <c r="N449" i="39"/>
  <c r="M449" i="39"/>
  <c r="L449" i="39"/>
  <c r="K449" i="39"/>
  <c r="J449" i="39"/>
  <c r="I449" i="39"/>
  <c r="H449" i="39"/>
  <c r="G449" i="39"/>
  <c r="F449" i="39"/>
  <c r="E449" i="39"/>
  <c r="D449" i="39"/>
  <c r="B449" i="39"/>
  <c r="N448" i="39"/>
  <c r="M448" i="39"/>
  <c r="L448" i="39"/>
  <c r="K448" i="39"/>
  <c r="J448" i="39"/>
  <c r="I448" i="39"/>
  <c r="H448" i="39"/>
  <c r="G448" i="39"/>
  <c r="F448" i="39"/>
  <c r="E448" i="39"/>
  <c r="D448" i="39"/>
  <c r="B448" i="39"/>
  <c r="N445" i="39"/>
  <c r="M445" i="39"/>
  <c r="L445" i="39"/>
  <c r="K445" i="39"/>
  <c r="J445" i="39"/>
  <c r="I445" i="39"/>
  <c r="H445" i="39"/>
  <c r="G445" i="39"/>
  <c r="F445" i="39"/>
  <c r="E445" i="39"/>
  <c r="D445" i="39"/>
  <c r="B445" i="39"/>
  <c r="N444" i="39"/>
  <c r="M444" i="39"/>
  <c r="L444" i="39"/>
  <c r="K444" i="39"/>
  <c r="J444" i="39"/>
  <c r="I444" i="39"/>
  <c r="H444" i="39"/>
  <c r="G444" i="39"/>
  <c r="F444" i="39"/>
  <c r="E444" i="39"/>
  <c r="D444" i="39"/>
  <c r="B444" i="39"/>
  <c r="N441" i="39"/>
  <c r="M441" i="39"/>
  <c r="L441" i="39"/>
  <c r="K441" i="39"/>
  <c r="J441" i="39"/>
  <c r="I441" i="39"/>
  <c r="H441" i="39"/>
  <c r="G441" i="39"/>
  <c r="F441" i="39"/>
  <c r="E441" i="39"/>
  <c r="D441" i="39"/>
  <c r="B441" i="39"/>
  <c r="B439" i="39"/>
  <c r="N438" i="39"/>
  <c r="M438" i="39"/>
  <c r="L438" i="39"/>
  <c r="K438" i="39"/>
  <c r="J438" i="39"/>
  <c r="I438" i="39"/>
  <c r="H438" i="39"/>
  <c r="G438" i="39"/>
  <c r="F438" i="39"/>
  <c r="E438" i="39"/>
  <c r="D438" i="39"/>
  <c r="B438" i="39"/>
  <c r="N434" i="39"/>
  <c r="M434" i="39"/>
  <c r="L434" i="39"/>
  <c r="K434" i="39"/>
  <c r="J434" i="39"/>
  <c r="I434" i="39"/>
  <c r="H434" i="39"/>
  <c r="G434" i="39"/>
  <c r="F434" i="39"/>
  <c r="E434" i="39"/>
  <c r="D434" i="39"/>
  <c r="B434" i="39"/>
  <c r="B430" i="39"/>
  <c r="N431" i="39"/>
  <c r="M431" i="39"/>
  <c r="I429" i="39"/>
  <c r="I431" i="39" s="1"/>
  <c r="H429" i="39"/>
  <c r="G429" i="39"/>
  <c r="F429" i="39"/>
  <c r="F431" i="39" s="1"/>
  <c r="E429" i="39"/>
  <c r="E431" i="39" s="1"/>
  <c r="D429" i="39"/>
  <c r="B429" i="39"/>
  <c r="N426" i="39"/>
  <c r="M426" i="39"/>
  <c r="L426" i="39"/>
  <c r="K426" i="39"/>
  <c r="J426" i="39"/>
  <c r="I426" i="39"/>
  <c r="H426" i="39"/>
  <c r="G426" i="39"/>
  <c r="F426" i="39"/>
  <c r="E426" i="39"/>
  <c r="D426" i="39"/>
  <c r="B426" i="39"/>
  <c r="I425" i="39"/>
  <c r="H425" i="39"/>
  <c r="G425" i="39"/>
  <c r="F425" i="39"/>
  <c r="E425" i="39"/>
  <c r="D425" i="39"/>
  <c r="B425" i="39"/>
  <c r="B420" i="39"/>
  <c r="I419" i="39"/>
  <c r="I422" i="39" s="1"/>
  <c r="H419" i="39"/>
  <c r="H422" i="39" s="1"/>
  <c r="G419" i="39"/>
  <c r="G422" i="39" s="1"/>
  <c r="F419" i="39"/>
  <c r="F422" i="39" s="1"/>
  <c r="E419" i="39"/>
  <c r="D419" i="39"/>
  <c r="B419" i="39"/>
  <c r="N416" i="39"/>
  <c r="M416" i="39"/>
  <c r="L416" i="39"/>
  <c r="K416" i="39"/>
  <c r="J416" i="39"/>
  <c r="I416" i="39"/>
  <c r="H416" i="39"/>
  <c r="G416" i="39"/>
  <c r="F416" i="39"/>
  <c r="E416" i="39"/>
  <c r="D416" i="39"/>
  <c r="B416" i="39"/>
  <c r="B415" i="39"/>
  <c r="N412" i="39"/>
  <c r="M412" i="39"/>
  <c r="L412" i="39"/>
  <c r="K412" i="39"/>
  <c r="J412" i="39"/>
  <c r="I412" i="39"/>
  <c r="H412" i="39"/>
  <c r="G412" i="39"/>
  <c r="F412" i="39"/>
  <c r="E412" i="39"/>
  <c r="D412" i="39"/>
  <c r="B412" i="39"/>
  <c r="B411" i="39"/>
  <c r="C408" i="39"/>
  <c r="O407" i="39"/>
  <c r="N407" i="39"/>
  <c r="M407" i="39"/>
  <c r="L407" i="39"/>
  <c r="K407" i="39"/>
  <c r="J407" i="39"/>
  <c r="I407" i="39"/>
  <c r="H407" i="39"/>
  <c r="G407" i="39"/>
  <c r="F407" i="39"/>
  <c r="E407" i="39"/>
  <c r="D407" i="39"/>
  <c r="B407" i="39"/>
  <c r="O406" i="39"/>
  <c r="N406" i="39"/>
  <c r="M406" i="39"/>
  <c r="L406" i="39"/>
  <c r="K406" i="39"/>
  <c r="J406" i="39"/>
  <c r="I406" i="39"/>
  <c r="H406" i="39"/>
  <c r="G406" i="39"/>
  <c r="F406" i="39"/>
  <c r="E406" i="39"/>
  <c r="D406" i="39"/>
  <c r="B406" i="39"/>
  <c r="O405" i="39"/>
  <c r="O157" i="39" s="1"/>
  <c r="N405" i="39"/>
  <c r="N157" i="39" s="1"/>
  <c r="M405" i="39"/>
  <c r="L405" i="39"/>
  <c r="L157" i="39" s="1"/>
  <c r="K405" i="39"/>
  <c r="K157" i="39" s="1"/>
  <c r="J405" i="39"/>
  <c r="J157" i="39" s="1"/>
  <c r="I405" i="39"/>
  <c r="I157" i="39" s="1"/>
  <c r="H405" i="39"/>
  <c r="H157" i="39" s="1"/>
  <c r="G405" i="39"/>
  <c r="G157" i="39" s="1"/>
  <c r="F405" i="39"/>
  <c r="F157" i="39" s="1"/>
  <c r="E405" i="39"/>
  <c r="D405" i="39"/>
  <c r="D157" i="39" s="1"/>
  <c r="B405" i="39"/>
  <c r="O404" i="39"/>
  <c r="N404" i="39"/>
  <c r="M404" i="39"/>
  <c r="L404" i="39"/>
  <c r="K404" i="39"/>
  <c r="J404" i="39"/>
  <c r="I404" i="39"/>
  <c r="H404" i="39"/>
  <c r="G404" i="39"/>
  <c r="F404" i="39"/>
  <c r="E404" i="39"/>
  <c r="D404" i="39"/>
  <c r="B404" i="39"/>
  <c r="O403" i="39"/>
  <c r="O502" i="39" s="1"/>
  <c r="N403" i="39"/>
  <c r="N264" i="39" s="1"/>
  <c r="M403" i="39"/>
  <c r="M264" i="39" s="1"/>
  <c r="L403" i="39"/>
  <c r="K403" i="39"/>
  <c r="K264" i="39" s="1"/>
  <c r="J403" i="39"/>
  <c r="J264" i="39" s="1"/>
  <c r="I403" i="39"/>
  <c r="I264" i="39" s="1"/>
  <c r="H403" i="39"/>
  <c r="H264" i="39" s="1"/>
  <c r="G403" i="39"/>
  <c r="G264" i="39" s="1"/>
  <c r="F403" i="39"/>
  <c r="F264" i="39" s="1"/>
  <c r="E403" i="39"/>
  <c r="E264" i="39" s="1"/>
  <c r="D403" i="39"/>
  <c r="D264" i="39" s="1"/>
  <c r="B403" i="39"/>
  <c r="O402" i="39"/>
  <c r="N402" i="39"/>
  <c r="M402" i="39"/>
  <c r="L402" i="39"/>
  <c r="K402" i="39"/>
  <c r="J402" i="39"/>
  <c r="I402" i="39"/>
  <c r="H402" i="39"/>
  <c r="G402" i="39"/>
  <c r="F402" i="39"/>
  <c r="E402" i="39"/>
  <c r="D402" i="39"/>
  <c r="B402" i="39"/>
  <c r="O401" i="39"/>
  <c r="N401" i="39"/>
  <c r="M401" i="39"/>
  <c r="L401" i="39"/>
  <c r="K401" i="39"/>
  <c r="J401" i="39"/>
  <c r="I401" i="39"/>
  <c r="H401" i="39"/>
  <c r="G401" i="39"/>
  <c r="F401" i="39"/>
  <c r="E401" i="39"/>
  <c r="D401" i="39"/>
  <c r="B401" i="39"/>
  <c r="B397" i="39"/>
  <c r="N396" i="39"/>
  <c r="M396" i="39"/>
  <c r="L396" i="39"/>
  <c r="K396" i="39"/>
  <c r="J396" i="39"/>
  <c r="I396" i="39"/>
  <c r="H396" i="39"/>
  <c r="G396" i="39"/>
  <c r="F396" i="39"/>
  <c r="E396" i="39"/>
  <c r="D396" i="39"/>
  <c r="B396" i="39"/>
  <c r="B392" i="39"/>
  <c r="N389" i="39"/>
  <c r="M389" i="39"/>
  <c r="L389" i="39"/>
  <c r="K389" i="39"/>
  <c r="J389" i="39"/>
  <c r="I389" i="39"/>
  <c r="H389" i="39"/>
  <c r="G389" i="39"/>
  <c r="F389" i="39"/>
  <c r="E389" i="39"/>
  <c r="D389" i="39"/>
  <c r="B389" i="39"/>
  <c r="N387" i="39"/>
  <c r="N463" i="39" s="1"/>
  <c r="M387" i="39"/>
  <c r="M463" i="39" s="1"/>
  <c r="L387" i="39"/>
  <c r="L463" i="39" s="1"/>
  <c r="K387" i="39"/>
  <c r="K463" i="39" s="1"/>
  <c r="J387" i="39"/>
  <c r="J463" i="39" s="1"/>
  <c r="I387" i="39"/>
  <c r="I463" i="39" s="1"/>
  <c r="H387" i="39"/>
  <c r="H463" i="39" s="1"/>
  <c r="G387" i="39"/>
  <c r="G463" i="39" s="1"/>
  <c r="F387" i="39"/>
  <c r="F463" i="39" s="1"/>
  <c r="E387" i="39"/>
  <c r="E463" i="39" s="1"/>
  <c r="D387" i="39"/>
  <c r="D463" i="39" s="1"/>
  <c r="B387" i="39"/>
  <c r="N386" i="39"/>
  <c r="M386" i="39"/>
  <c r="L386" i="39"/>
  <c r="K386" i="39"/>
  <c r="J386" i="39"/>
  <c r="I386" i="39"/>
  <c r="H386" i="39"/>
  <c r="G386" i="39"/>
  <c r="F386" i="39"/>
  <c r="E386" i="39"/>
  <c r="D386" i="39"/>
  <c r="B386" i="39"/>
  <c r="N385" i="39"/>
  <c r="M385" i="39"/>
  <c r="L385" i="39"/>
  <c r="K385" i="39"/>
  <c r="J385" i="39"/>
  <c r="I385" i="39"/>
  <c r="H385" i="39"/>
  <c r="G385" i="39"/>
  <c r="F385" i="39"/>
  <c r="E385" i="39"/>
  <c r="D385" i="39"/>
  <c r="B385" i="39"/>
  <c r="C383" i="39"/>
  <c r="O382" i="39"/>
  <c r="N382" i="39"/>
  <c r="M382" i="39"/>
  <c r="L382" i="39"/>
  <c r="K382" i="39"/>
  <c r="J382" i="39"/>
  <c r="I382" i="39"/>
  <c r="H382" i="39"/>
  <c r="G382" i="39"/>
  <c r="F382" i="39"/>
  <c r="E382" i="39"/>
  <c r="D382" i="39"/>
  <c r="B382" i="39"/>
  <c r="O381" i="39"/>
  <c r="O480" i="39" s="1"/>
  <c r="N381" i="39"/>
  <c r="N480" i="39" s="1"/>
  <c r="M381" i="39"/>
  <c r="M480" i="39" s="1"/>
  <c r="L381" i="39"/>
  <c r="L480" i="39" s="1"/>
  <c r="K381" i="39"/>
  <c r="K480" i="39" s="1"/>
  <c r="J381" i="39"/>
  <c r="J480" i="39" s="1"/>
  <c r="I381" i="39"/>
  <c r="I480" i="39" s="1"/>
  <c r="H381" i="39"/>
  <c r="H480" i="39" s="1"/>
  <c r="G381" i="39"/>
  <c r="G480" i="39" s="1"/>
  <c r="F381" i="39"/>
  <c r="F480" i="39" s="1"/>
  <c r="E381" i="39"/>
  <c r="E480" i="39" s="1"/>
  <c r="D381" i="39"/>
  <c r="D480" i="39" s="1"/>
  <c r="B381" i="39"/>
  <c r="O379" i="39"/>
  <c r="N379" i="39"/>
  <c r="M379" i="39"/>
  <c r="M332" i="39" s="1"/>
  <c r="M333" i="39" s="1"/>
  <c r="M334" i="39" s="1"/>
  <c r="L379" i="39"/>
  <c r="L332" i="39" s="1"/>
  <c r="K379" i="39"/>
  <c r="K332" i="39" s="1"/>
  <c r="K333" i="39" s="1"/>
  <c r="J379" i="39"/>
  <c r="J332" i="39" s="1"/>
  <c r="I379" i="39"/>
  <c r="I332" i="39" s="1"/>
  <c r="I333" i="39" s="1"/>
  <c r="H379" i="39"/>
  <c r="H332" i="39" s="1"/>
  <c r="G379" i="39"/>
  <c r="F379" i="39"/>
  <c r="F332" i="39" s="1"/>
  <c r="F333" i="39" s="1"/>
  <c r="E379" i="39"/>
  <c r="E332" i="39" s="1"/>
  <c r="E333" i="39" s="1"/>
  <c r="E334" i="39" s="1"/>
  <c r="D379" i="39"/>
  <c r="D332" i="39" s="1"/>
  <c r="D333" i="39" s="1"/>
  <c r="D334" i="39" s="1"/>
  <c r="B379" i="39"/>
  <c r="O378" i="39"/>
  <c r="O272" i="39" s="1"/>
  <c r="N378" i="39"/>
  <c r="N272" i="39" s="1"/>
  <c r="M378" i="39"/>
  <c r="M272" i="39" s="1"/>
  <c r="L378" i="39"/>
  <c r="K378" i="39"/>
  <c r="J378" i="39"/>
  <c r="J272" i="39" s="1"/>
  <c r="I378" i="39"/>
  <c r="I272" i="39" s="1"/>
  <c r="H378" i="39"/>
  <c r="H272" i="39" s="1"/>
  <c r="G378" i="39"/>
  <c r="G272" i="39" s="1"/>
  <c r="F378" i="39"/>
  <c r="F272" i="39" s="1"/>
  <c r="E378" i="39"/>
  <c r="E272" i="39" s="1"/>
  <c r="D378" i="39"/>
  <c r="B378" i="39"/>
  <c r="O377" i="39"/>
  <c r="N377" i="39"/>
  <c r="M377" i="39"/>
  <c r="L377" i="39"/>
  <c r="K377" i="39"/>
  <c r="J377" i="39"/>
  <c r="I377" i="39"/>
  <c r="H377" i="39"/>
  <c r="G377" i="39"/>
  <c r="F377" i="39"/>
  <c r="E377" i="39"/>
  <c r="D377" i="39"/>
  <c r="B377" i="39"/>
  <c r="O376" i="39"/>
  <c r="N376" i="39"/>
  <c r="M376" i="39"/>
  <c r="L376" i="39"/>
  <c r="K376" i="39"/>
  <c r="J376" i="39"/>
  <c r="I376" i="39"/>
  <c r="H376" i="39"/>
  <c r="G376" i="39"/>
  <c r="F376" i="39"/>
  <c r="E376" i="39"/>
  <c r="D376" i="39"/>
  <c r="B376" i="39"/>
  <c r="B372" i="39"/>
  <c r="N371" i="39"/>
  <c r="M371" i="39"/>
  <c r="L371" i="39"/>
  <c r="K371" i="39"/>
  <c r="J371" i="39"/>
  <c r="I371" i="39"/>
  <c r="H371" i="39"/>
  <c r="G371" i="39"/>
  <c r="F371" i="39"/>
  <c r="E371" i="39"/>
  <c r="D371" i="39"/>
  <c r="B371" i="39"/>
  <c r="N370" i="39"/>
  <c r="M370" i="39"/>
  <c r="L370" i="39"/>
  <c r="K370" i="39"/>
  <c r="J370" i="39"/>
  <c r="I370" i="39"/>
  <c r="H370" i="39"/>
  <c r="G370" i="39"/>
  <c r="F370" i="39"/>
  <c r="E370" i="39"/>
  <c r="D370" i="39"/>
  <c r="B370" i="39"/>
  <c r="B368" i="39"/>
  <c r="B363" i="39"/>
  <c r="N362" i="39"/>
  <c r="M362" i="39"/>
  <c r="L362" i="39"/>
  <c r="K362" i="39"/>
  <c r="J362" i="39"/>
  <c r="I362" i="39"/>
  <c r="H362" i="39"/>
  <c r="G362" i="39"/>
  <c r="F362" i="39"/>
  <c r="E362" i="39"/>
  <c r="D362" i="39"/>
  <c r="B362" i="39"/>
  <c r="N361" i="39"/>
  <c r="M361" i="39"/>
  <c r="L361" i="39"/>
  <c r="K361" i="39"/>
  <c r="J361" i="39"/>
  <c r="I361" i="39"/>
  <c r="H361" i="39"/>
  <c r="G361" i="39"/>
  <c r="F361" i="39"/>
  <c r="E361" i="39"/>
  <c r="D361" i="39"/>
  <c r="B361" i="39"/>
  <c r="B359" i="39"/>
  <c r="N355" i="39"/>
  <c r="M355" i="39"/>
  <c r="L355" i="39"/>
  <c r="K355" i="39"/>
  <c r="J355" i="39"/>
  <c r="I355" i="39"/>
  <c r="H355" i="39"/>
  <c r="G355" i="39"/>
  <c r="F355" i="39"/>
  <c r="E355" i="39"/>
  <c r="D355" i="39"/>
  <c r="B355" i="39"/>
  <c r="B353" i="39"/>
  <c r="N352" i="39"/>
  <c r="M352" i="39"/>
  <c r="L352" i="39"/>
  <c r="K352" i="39"/>
  <c r="J352" i="39"/>
  <c r="I352" i="39"/>
  <c r="H352" i="39"/>
  <c r="G352" i="39"/>
  <c r="F352" i="39"/>
  <c r="E352" i="39"/>
  <c r="D352" i="39"/>
  <c r="B352" i="39"/>
  <c r="N348" i="39"/>
  <c r="M348" i="39"/>
  <c r="L348" i="39"/>
  <c r="K348" i="39"/>
  <c r="J348" i="39"/>
  <c r="I348" i="39"/>
  <c r="H348" i="39"/>
  <c r="G348" i="39"/>
  <c r="F348" i="39"/>
  <c r="E348" i="39"/>
  <c r="D348" i="39"/>
  <c r="B348" i="39"/>
  <c r="B346" i="39"/>
  <c r="N342" i="39"/>
  <c r="N37" i="39" s="1"/>
  <c r="M342" i="39"/>
  <c r="M37" i="39" s="1"/>
  <c r="L342" i="39"/>
  <c r="K342" i="39"/>
  <c r="K37" i="39" s="1"/>
  <c r="J342" i="39"/>
  <c r="J37" i="39" s="1"/>
  <c r="I342" i="39"/>
  <c r="I37" i="39" s="1"/>
  <c r="H342" i="39"/>
  <c r="H37" i="39" s="1"/>
  <c r="G342" i="39"/>
  <c r="G37" i="39" s="1"/>
  <c r="F342" i="39"/>
  <c r="F37" i="39" s="1"/>
  <c r="E342" i="39"/>
  <c r="E37" i="39" s="1"/>
  <c r="D342" i="39"/>
  <c r="B342" i="39"/>
  <c r="N341" i="39"/>
  <c r="M341" i="39"/>
  <c r="L341" i="39"/>
  <c r="K341" i="39"/>
  <c r="J341" i="39"/>
  <c r="I341" i="39"/>
  <c r="H341" i="39"/>
  <c r="G341" i="39"/>
  <c r="F341" i="39"/>
  <c r="E341" i="39"/>
  <c r="D341" i="39"/>
  <c r="B341" i="39"/>
  <c r="B337" i="39"/>
  <c r="N336" i="39"/>
  <c r="M336" i="39"/>
  <c r="L336" i="39"/>
  <c r="K336" i="39"/>
  <c r="J336" i="39"/>
  <c r="I336" i="39"/>
  <c r="H336" i="39"/>
  <c r="G336" i="39"/>
  <c r="F336" i="39"/>
  <c r="E336" i="39"/>
  <c r="D336" i="39"/>
  <c r="B336" i="39"/>
  <c r="N335" i="39"/>
  <c r="O335" i="39" s="1"/>
  <c r="P335" i="39" s="1"/>
  <c r="Q335" i="39" s="1"/>
  <c r="R335" i="39" s="1"/>
  <c r="S335" i="39" s="1"/>
  <c r="T335" i="39" s="1"/>
  <c r="U335" i="39" s="1"/>
  <c r="V335" i="39" s="1"/>
  <c r="W335" i="39" s="1"/>
  <c r="X335" i="39" s="1"/>
  <c r="Y335" i="39" s="1"/>
  <c r="Z335" i="39" s="1"/>
  <c r="AA335" i="39" s="1"/>
  <c r="AB335" i="39" s="1"/>
  <c r="AC335" i="39" s="1"/>
  <c r="AD335" i="39" s="1"/>
  <c r="AE335" i="39" s="1"/>
  <c r="AF335" i="39" s="1"/>
  <c r="AG335" i="39" s="1"/>
  <c r="AH335" i="39" s="1"/>
  <c r="AI335" i="39" s="1"/>
  <c r="AJ335" i="39" s="1"/>
  <c r="AK335" i="39" s="1"/>
  <c r="AL335" i="39" s="1"/>
  <c r="AM335" i="39" s="1"/>
  <c r="AN335" i="39" s="1"/>
  <c r="AO335" i="39" s="1"/>
  <c r="AP335" i="39" s="1"/>
  <c r="AQ335" i="39" s="1"/>
  <c r="AR335" i="39" s="1"/>
  <c r="AS335" i="39" s="1"/>
  <c r="AT335" i="39" s="1"/>
  <c r="AU335" i="39" s="1"/>
  <c r="AV335" i="39" s="1"/>
  <c r="AW335" i="39" s="1"/>
  <c r="AX335" i="39" s="1"/>
  <c r="M335" i="39"/>
  <c r="L335" i="39"/>
  <c r="K335" i="39"/>
  <c r="J335" i="39"/>
  <c r="I335" i="39"/>
  <c r="H335" i="39"/>
  <c r="G335" i="39"/>
  <c r="F335" i="39"/>
  <c r="E335" i="39"/>
  <c r="D335" i="39"/>
  <c r="B335" i="39"/>
  <c r="B333" i="39"/>
  <c r="O332" i="39"/>
  <c r="N332" i="39"/>
  <c r="N333" i="39" s="1"/>
  <c r="G332" i="39"/>
  <c r="G333" i="39" s="1"/>
  <c r="N329" i="39"/>
  <c r="M329" i="39"/>
  <c r="L329" i="39"/>
  <c r="K329" i="39"/>
  <c r="J329" i="39"/>
  <c r="I329" i="39"/>
  <c r="H329" i="39"/>
  <c r="G329" i="39"/>
  <c r="F329" i="39"/>
  <c r="E329" i="39"/>
  <c r="D329" i="39"/>
  <c r="B329" i="39"/>
  <c r="N328" i="39"/>
  <c r="M328" i="39"/>
  <c r="L328" i="39"/>
  <c r="K328" i="39"/>
  <c r="J328" i="39"/>
  <c r="I328" i="39"/>
  <c r="H328" i="39"/>
  <c r="G328" i="39"/>
  <c r="F328" i="39"/>
  <c r="E328" i="39"/>
  <c r="D328" i="39"/>
  <c r="B328" i="39"/>
  <c r="N327" i="39"/>
  <c r="M327" i="39"/>
  <c r="L327" i="39"/>
  <c r="K327" i="39"/>
  <c r="J327" i="39"/>
  <c r="I327" i="39"/>
  <c r="H327" i="39"/>
  <c r="G327" i="39"/>
  <c r="F327" i="39"/>
  <c r="E327" i="39"/>
  <c r="D327" i="39"/>
  <c r="B327" i="39"/>
  <c r="N321" i="39"/>
  <c r="M321" i="39"/>
  <c r="L321" i="39"/>
  <c r="K321" i="39"/>
  <c r="J321" i="39"/>
  <c r="I321" i="39"/>
  <c r="H321" i="39"/>
  <c r="G321" i="39"/>
  <c r="F321" i="39"/>
  <c r="E321" i="39"/>
  <c r="D321" i="39"/>
  <c r="B321" i="39"/>
  <c r="N320" i="39"/>
  <c r="M320" i="39"/>
  <c r="L320" i="39"/>
  <c r="K320" i="39"/>
  <c r="J320" i="39"/>
  <c r="I320" i="39"/>
  <c r="H320" i="39"/>
  <c r="G320" i="39"/>
  <c r="F320" i="39"/>
  <c r="E320" i="39"/>
  <c r="D320" i="39"/>
  <c r="B320" i="39"/>
  <c r="I317" i="39"/>
  <c r="H317" i="39"/>
  <c r="G317" i="39"/>
  <c r="F317" i="39"/>
  <c r="E317" i="39"/>
  <c r="D317" i="39"/>
  <c r="B317" i="39"/>
  <c r="B315" i="39"/>
  <c r="N314" i="39"/>
  <c r="M314" i="39"/>
  <c r="L314" i="39"/>
  <c r="K314" i="39"/>
  <c r="J314" i="39"/>
  <c r="I314" i="39"/>
  <c r="I315" i="39" s="1"/>
  <c r="H314" i="39"/>
  <c r="H315" i="39" s="1"/>
  <c r="H316" i="39" s="1"/>
  <c r="G314" i="39"/>
  <c r="F314" i="39"/>
  <c r="E314" i="39"/>
  <c r="E315" i="39" s="1"/>
  <c r="D314" i="39"/>
  <c r="D315" i="39" s="1"/>
  <c r="D316" i="39" s="1"/>
  <c r="B314" i="39"/>
  <c r="I311" i="39"/>
  <c r="H311" i="39"/>
  <c r="G311" i="39"/>
  <c r="F311" i="39"/>
  <c r="E311" i="39"/>
  <c r="D311" i="39"/>
  <c r="B311" i="39"/>
  <c r="I310" i="39"/>
  <c r="H310" i="39"/>
  <c r="G310" i="39"/>
  <c r="F310" i="39"/>
  <c r="E310" i="39"/>
  <c r="D310" i="39"/>
  <c r="B310" i="39"/>
  <c r="I307" i="39"/>
  <c r="H307" i="39"/>
  <c r="G307" i="39"/>
  <c r="F307" i="39"/>
  <c r="E307" i="39"/>
  <c r="D307" i="39"/>
  <c r="B307" i="39"/>
  <c r="I306" i="39"/>
  <c r="H306" i="39"/>
  <c r="G306" i="39"/>
  <c r="F306" i="39"/>
  <c r="E306" i="39"/>
  <c r="D306" i="39"/>
  <c r="B306" i="39"/>
  <c r="I303" i="39"/>
  <c r="H303" i="39"/>
  <c r="G303" i="39"/>
  <c r="F303" i="39"/>
  <c r="E303" i="39"/>
  <c r="D303" i="39"/>
  <c r="B303" i="39"/>
  <c r="I302" i="39"/>
  <c r="H302" i="39"/>
  <c r="G302" i="39"/>
  <c r="F302" i="39"/>
  <c r="E302" i="39"/>
  <c r="D302" i="39"/>
  <c r="B302" i="39"/>
  <c r="I299" i="39"/>
  <c r="H299" i="39"/>
  <c r="G299" i="39"/>
  <c r="F299" i="39"/>
  <c r="E299" i="39"/>
  <c r="D299" i="39"/>
  <c r="B299" i="39"/>
  <c r="I298" i="39"/>
  <c r="H298" i="39"/>
  <c r="G298" i="39"/>
  <c r="F298" i="39"/>
  <c r="E298" i="39"/>
  <c r="D298" i="39"/>
  <c r="B298" i="39"/>
  <c r="I295" i="39"/>
  <c r="H295" i="39"/>
  <c r="G295" i="39"/>
  <c r="F295" i="39"/>
  <c r="E295" i="39"/>
  <c r="D295" i="39"/>
  <c r="B295" i="39"/>
  <c r="B293" i="39"/>
  <c r="B287" i="39"/>
  <c r="N286" i="39"/>
  <c r="M286" i="39"/>
  <c r="L286" i="39"/>
  <c r="K286" i="39"/>
  <c r="J286" i="39"/>
  <c r="I286" i="39"/>
  <c r="H286" i="39"/>
  <c r="G286" i="39"/>
  <c r="F286" i="39"/>
  <c r="E286" i="39"/>
  <c r="D286" i="39"/>
  <c r="B286" i="39"/>
  <c r="N285" i="39"/>
  <c r="M285" i="39"/>
  <c r="L285" i="39"/>
  <c r="K285" i="39"/>
  <c r="J285" i="39"/>
  <c r="I285" i="39"/>
  <c r="H285" i="39"/>
  <c r="G285" i="39"/>
  <c r="F285" i="39"/>
  <c r="E285" i="39"/>
  <c r="D285" i="39"/>
  <c r="B285" i="39"/>
  <c r="N284" i="39"/>
  <c r="M284" i="39"/>
  <c r="L284" i="39"/>
  <c r="K284" i="39"/>
  <c r="J284" i="39"/>
  <c r="I284" i="39"/>
  <c r="H284" i="39"/>
  <c r="G284" i="39"/>
  <c r="F284" i="39"/>
  <c r="E284" i="39"/>
  <c r="D284" i="39"/>
  <c r="B284" i="39"/>
  <c r="I281" i="39"/>
  <c r="H281" i="39"/>
  <c r="G281" i="39"/>
  <c r="F281" i="39"/>
  <c r="E281" i="39"/>
  <c r="D281" i="39"/>
  <c r="B281" i="39"/>
  <c r="I280" i="39"/>
  <c r="H280" i="39"/>
  <c r="G280" i="39"/>
  <c r="F280" i="39"/>
  <c r="E280" i="39"/>
  <c r="D280" i="39"/>
  <c r="B280" i="39"/>
  <c r="I277" i="39"/>
  <c r="H277" i="39"/>
  <c r="G277" i="39"/>
  <c r="F277" i="39"/>
  <c r="E277" i="39"/>
  <c r="D277" i="39"/>
  <c r="B277" i="39"/>
  <c r="B275" i="39"/>
  <c r="N274" i="39"/>
  <c r="M274" i="39"/>
  <c r="L274" i="39"/>
  <c r="K274" i="39"/>
  <c r="J274" i="39"/>
  <c r="I274" i="39"/>
  <c r="H274" i="39"/>
  <c r="G274" i="39"/>
  <c r="F274" i="39"/>
  <c r="E274" i="39"/>
  <c r="D274" i="39"/>
  <c r="L272" i="39"/>
  <c r="D272" i="39"/>
  <c r="B268" i="39"/>
  <c r="N267" i="39"/>
  <c r="M267" i="39"/>
  <c r="L267" i="39"/>
  <c r="K267" i="39"/>
  <c r="J267" i="39"/>
  <c r="I267" i="39"/>
  <c r="H267" i="39"/>
  <c r="G267" i="39"/>
  <c r="F267" i="39"/>
  <c r="E267" i="39"/>
  <c r="D267" i="39"/>
  <c r="B267" i="39"/>
  <c r="I265" i="39"/>
  <c r="H265" i="39"/>
  <c r="G265" i="39"/>
  <c r="F265" i="39"/>
  <c r="E265" i="39"/>
  <c r="D265" i="39"/>
  <c r="B265" i="39"/>
  <c r="L264" i="39"/>
  <c r="E262" i="39"/>
  <c r="B262" i="39"/>
  <c r="I261" i="39"/>
  <c r="H261" i="39"/>
  <c r="G261" i="39"/>
  <c r="F261" i="39"/>
  <c r="E261" i="39"/>
  <c r="D261" i="39"/>
  <c r="B261" i="39"/>
  <c r="I260" i="39"/>
  <c r="H260" i="39"/>
  <c r="G260" i="39"/>
  <c r="F260" i="39"/>
  <c r="E260" i="39"/>
  <c r="D260" i="39"/>
  <c r="B260" i="39"/>
  <c r="I259" i="39"/>
  <c r="H259" i="39"/>
  <c r="G259" i="39"/>
  <c r="F259" i="39"/>
  <c r="E259" i="39"/>
  <c r="D259" i="39"/>
  <c r="B259" i="39"/>
  <c r="B255" i="39"/>
  <c r="N254" i="39"/>
  <c r="M254" i="39"/>
  <c r="L254" i="39"/>
  <c r="K254" i="39"/>
  <c r="J254" i="39"/>
  <c r="I254" i="39"/>
  <c r="H254" i="39"/>
  <c r="G254" i="39"/>
  <c r="F254" i="39"/>
  <c r="E254" i="39"/>
  <c r="D254" i="39"/>
  <c r="B254" i="39"/>
  <c r="I252" i="39"/>
  <c r="H252" i="39"/>
  <c r="G252" i="39"/>
  <c r="F252" i="39"/>
  <c r="E252" i="39"/>
  <c r="D252" i="39"/>
  <c r="B252" i="39"/>
  <c r="I251" i="39"/>
  <c r="H251" i="39"/>
  <c r="G251" i="39"/>
  <c r="F251" i="39"/>
  <c r="E251" i="39"/>
  <c r="D251" i="39"/>
  <c r="B251" i="39"/>
  <c r="I250" i="39"/>
  <c r="H250" i="39"/>
  <c r="G250" i="39"/>
  <c r="F250" i="39"/>
  <c r="E250" i="39"/>
  <c r="D250" i="39"/>
  <c r="B250" i="39"/>
  <c r="I249" i="39"/>
  <c r="H249" i="39"/>
  <c r="G249" i="39"/>
  <c r="F249" i="39"/>
  <c r="E249" i="39"/>
  <c r="D249" i="39"/>
  <c r="B249" i="39"/>
  <c r="I248" i="39"/>
  <c r="H248" i="39"/>
  <c r="G248" i="39"/>
  <c r="F248" i="39"/>
  <c r="E248" i="39"/>
  <c r="D248" i="39"/>
  <c r="B248" i="39"/>
  <c r="N245" i="39"/>
  <c r="O245" i="39" s="1"/>
  <c r="P245" i="39" s="1"/>
  <c r="Q245" i="39" s="1"/>
  <c r="R245" i="39" s="1"/>
  <c r="S245" i="39" s="1"/>
  <c r="T245" i="39" s="1"/>
  <c r="U245" i="39" s="1"/>
  <c r="V245" i="39" s="1"/>
  <c r="W245" i="39" s="1"/>
  <c r="X245" i="39" s="1"/>
  <c r="Y245" i="39" s="1"/>
  <c r="Z245" i="39" s="1"/>
  <c r="AA245" i="39" s="1"/>
  <c r="AB245" i="39" s="1"/>
  <c r="AC245" i="39" s="1"/>
  <c r="AD245" i="39" s="1"/>
  <c r="AE245" i="39" s="1"/>
  <c r="AF245" i="39" s="1"/>
  <c r="AG245" i="39" s="1"/>
  <c r="AH245" i="39" s="1"/>
  <c r="AI245" i="39" s="1"/>
  <c r="AJ245" i="39" s="1"/>
  <c r="AK245" i="39" s="1"/>
  <c r="AL245" i="39" s="1"/>
  <c r="AM245" i="39" s="1"/>
  <c r="AN245" i="39" s="1"/>
  <c r="AO245" i="39" s="1"/>
  <c r="AP245" i="39" s="1"/>
  <c r="AQ245" i="39" s="1"/>
  <c r="AR245" i="39" s="1"/>
  <c r="AS245" i="39" s="1"/>
  <c r="AT245" i="39" s="1"/>
  <c r="AU245" i="39" s="1"/>
  <c r="AV245" i="39" s="1"/>
  <c r="AW245" i="39" s="1"/>
  <c r="AX245" i="39" s="1"/>
  <c r="M245" i="39"/>
  <c r="L245" i="39"/>
  <c r="K245" i="39"/>
  <c r="J245" i="39"/>
  <c r="I245" i="39"/>
  <c r="H245" i="39"/>
  <c r="G245" i="39"/>
  <c r="F245" i="39"/>
  <c r="E245" i="39"/>
  <c r="D245" i="39"/>
  <c r="B245" i="39"/>
  <c r="N244" i="39"/>
  <c r="O244" i="39" s="1"/>
  <c r="P244" i="39" s="1"/>
  <c r="Q244" i="39" s="1"/>
  <c r="R244" i="39" s="1"/>
  <c r="S244" i="39" s="1"/>
  <c r="T244" i="39" s="1"/>
  <c r="U244" i="39" s="1"/>
  <c r="V244" i="39" s="1"/>
  <c r="W244" i="39" s="1"/>
  <c r="X244" i="39" s="1"/>
  <c r="Y244" i="39" s="1"/>
  <c r="Z244" i="39" s="1"/>
  <c r="AA244" i="39" s="1"/>
  <c r="AB244" i="39" s="1"/>
  <c r="AC244" i="39" s="1"/>
  <c r="AD244" i="39" s="1"/>
  <c r="AE244" i="39" s="1"/>
  <c r="AF244" i="39" s="1"/>
  <c r="AG244" i="39" s="1"/>
  <c r="AH244" i="39" s="1"/>
  <c r="AI244" i="39" s="1"/>
  <c r="AJ244" i="39" s="1"/>
  <c r="AK244" i="39" s="1"/>
  <c r="AL244" i="39" s="1"/>
  <c r="AM244" i="39" s="1"/>
  <c r="AN244" i="39" s="1"/>
  <c r="AO244" i="39" s="1"/>
  <c r="AP244" i="39" s="1"/>
  <c r="AQ244" i="39" s="1"/>
  <c r="AR244" i="39" s="1"/>
  <c r="AS244" i="39" s="1"/>
  <c r="AT244" i="39" s="1"/>
  <c r="AU244" i="39" s="1"/>
  <c r="AV244" i="39" s="1"/>
  <c r="AW244" i="39" s="1"/>
  <c r="AX244" i="39" s="1"/>
  <c r="M244" i="39"/>
  <c r="L244" i="39"/>
  <c r="K244" i="39"/>
  <c r="J244" i="39"/>
  <c r="I244" i="39"/>
  <c r="H244" i="39"/>
  <c r="G244" i="39"/>
  <c r="F244" i="39"/>
  <c r="E244" i="39"/>
  <c r="D244" i="39"/>
  <c r="B244" i="39"/>
  <c r="N241" i="39"/>
  <c r="M241" i="39"/>
  <c r="L241" i="39"/>
  <c r="K241" i="39"/>
  <c r="J241" i="39"/>
  <c r="I241" i="39"/>
  <c r="H241" i="39"/>
  <c r="G241" i="39"/>
  <c r="F241" i="39"/>
  <c r="E241" i="39"/>
  <c r="D241" i="39"/>
  <c r="B241" i="39"/>
  <c r="N240" i="39"/>
  <c r="O240" i="39" s="1"/>
  <c r="P240" i="39" s="1"/>
  <c r="Q240" i="39" s="1"/>
  <c r="R240" i="39" s="1"/>
  <c r="S240" i="39" s="1"/>
  <c r="T240" i="39" s="1"/>
  <c r="U240" i="39" s="1"/>
  <c r="V240" i="39" s="1"/>
  <c r="W240" i="39" s="1"/>
  <c r="X240" i="39" s="1"/>
  <c r="Y240" i="39" s="1"/>
  <c r="Z240" i="39" s="1"/>
  <c r="AA240" i="39" s="1"/>
  <c r="AB240" i="39" s="1"/>
  <c r="AC240" i="39" s="1"/>
  <c r="AD240" i="39" s="1"/>
  <c r="AE240" i="39" s="1"/>
  <c r="AF240" i="39" s="1"/>
  <c r="AG240" i="39" s="1"/>
  <c r="AH240" i="39" s="1"/>
  <c r="AI240" i="39" s="1"/>
  <c r="AJ240" i="39" s="1"/>
  <c r="AK240" i="39" s="1"/>
  <c r="AL240" i="39" s="1"/>
  <c r="AM240" i="39" s="1"/>
  <c r="AN240" i="39" s="1"/>
  <c r="AO240" i="39" s="1"/>
  <c r="AP240" i="39" s="1"/>
  <c r="AQ240" i="39" s="1"/>
  <c r="AR240" i="39" s="1"/>
  <c r="AS240" i="39" s="1"/>
  <c r="AT240" i="39" s="1"/>
  <c r="AU240" i="39" s="1"/>
  <c r="AV240" i="39" s="1"/>
  <c r="AW240" i="39" s="1"/>
  <c r="AX240" i="39" s="1"/>
  <c r="M240" i="39"/>
  <c r="L240" i="39"/>
  <c r="K240" i="39"/>
  <c r="J240" i="39"/>
  <c r="I240" i="39"/>
  <c r="H240" i="39"/>
  <c r="G240" i="39"/>
  <c r="F240" i="39"/>
  <c r="E240" i="39"/>
  <c r="D240" i="39"/>
  <c r="B240" i="39"/>
  <c r="N238" i="39"/>
  <c r="M238" i="39"/>
  <c r="L238" i="39"/>
  <c r="K238" i="39"/>
  <c r="J238" i="39"/>
  <c r="I238" i="39"/>
  <c r="H238" i="39"/>
  <c r="G238" i="39"/>
  <c r="F238" i="39"/>
  <c r="E238" i="39"/>
  <c r="D238" i="39"/>
  <c r="B238" i="39"/>
  <c r="N237" i="39"/>
  <c r="M237" i="39"/>
  <c r="L237" i="39"/>
  <c r="K237" i="39"/>
  <c r="J237" i="39"/>
  <c r="I237" i="39"/>
  <c r="H237" i="39"/>
  <c r="G237" i="39"/>
  <c r="F237" i="39"/>
  <c r="E237" i="39"/>
  <c r="D237" i="39"/>
  <c r="B237" i="39"/>
  <c r="N236" i="39"/>
  <c r="N291" i="39" s="1"/>
  <c r="M236" i="39"/>
  <c r="M291" i="39" s="1"/>
  <c r="L236" i="39"/>
  <c r="L291" i="39" s="1"/>
  <c r="K236" i="39"/>
  <c r="K291" i="39" s="1"/>
  <c r="J236" i="39"/>
  <c r="J291" i="39" s="1"/>
  <c r="I236" i="39"/>
  <c r="I291" i="39" s="1"/>
  <c r="H236" i="39"/>
  <c r="H291" i="39" s="1"/>
  <c r="G236" i="39"/>
  <c r="G291" i="39" s="1"/>
  <c r="F236" i="39"/>
  <c r="F291" i="39" s="1"/>
  <c r="E236" i="39"/>
  <c r="E291" i="39" s="1"/>
  <c r="D236" i="39"/>
  <c r="D291" i="39" s="1"/>
  <c r="B236" i="39"/>
  <c r="N231" i="39"/>
  <c r="M231" i="39"/>
  <c r="L231" i="39"/>
  <c r="K231" i="39"/>
  <c r="J231" i="39"/>
  <c r="I231" i="39"/>
  <c r="H231" i="39"/>
  <c r="G231" i="39"/>
  <c r="F231" i="39"/>
  <c r="E231" i="39"/>
  <c r="D231" i="39"/>
  <c r="B231" i="39"/>
  <c r="N230" i="39"/>
  <c r="M230" i="39"/>
  <c r="L230" i="39"/>
  <c r="K230" i="39"/>
  <c r="J230" i="39"/>
  <c r="I230" i="39"/>
  <c r="H230" i="39"/>
  <c r="G230" i="39"/>
  <c r="F230" i="39"/>
  <c r="E230" i="39"/>
  <c r="D230" i="39"/>
  <c r="B230" i="39"/>
  <c r="N229" i="39"/>
  <c r="M229" i="39"/>
  <c r="L229" i="39"/>
  <c r="K229" i="39"/>
  <c r="J229" i="39"/>
  <c r="I229" i="39"/>
  <c r="H229" i="39"/>
  <c r="G229" i="39"/>
  <c r="F229" i="39"/>
  <c r="E229" i="39"/>
  <c r="D229" i="39"/>
  <c r="B229" i="39"/>
  <c r="N228" i="39"/>
  <c r="M228" i="39"/>
  <c r="L228" i="39"/>
  <c r="K228" i="39"/>
  <c r="J228" i="39"/>
  <c r="I228" i="39"/>
  <c r="H228" i="39"/>
  <c r="G228" i="39"/>
  <c r="F228" i="39"/>
  <c r="E228" i="39"/>
  <c r="D228" i="39"/>
  <c r="B228" i="39"/>
  <c r="N224" i="39"/>
  <c r="M224" i="39"/>
  <c r="L224" i="39"/>
  <c r="K224" i="39"/>
  <c r="J224" i="39"/>
  <c r="I224" i="39"/>
  <c r="H224" i="39"/>
  <c r="G224" i="39"/>
  <c r="F224" i="39"/>
  <c r="E224" i="39"/>
  <c r="D224" i="39"/>
  <c r="B224" i="39"/>
  <c r="N223" i="39"/>
  <c r="M223" i="39"/>
  <c r="L223" i="39"/>
  <c r="K223" i="39"/>
  <c r="J223" i="39"/>
  <c r="I223" i="39"/>
  <c r="H223" i="39"/>
  <c r="G223" i="39"/>
  <c r="F223" i="39"/>
  <c r="E223" i="39"/>
  <c r="D223" i="39"/>
  <c r="B223" i="39"/>
  <c r="N222" i="39"/>
  <c r="M222" i="39"/>
  <c r="L222" i="39"/>
  <c r="K222" i="39"/>
  <c r="J222" i="39"/>
  <c r="I222" i="39"/>
  <c r="H222" i="39"/>
  <c r="G222" i="39"/>
  <c r="F222" i="39"/>
  <c r="E222" i="39"/>
  <c r="D222" i="39"/>
  <c r="B222" i="39"/>
  <c r="I221" i="39"/>
  <c r="H221" i="39"/>
  <c r="G221" i="39"/>
  <c r="F221" i="39"/>
  <c r="E221" i="39"/>
  <c r="D221" i="39"/>
  <c r="B221" i="39"/>
  <c r="N217" i="39"/>
  <c r="M217" i="39"/>
  <c r="L217" i="39"/>
  <c r="K217" i="39"/>
  <c r="J217" i="39"/>
  <c r="I217" i="39"/>
  <c r="H217" i="39"/>
  <c r="G217" i="39"/>
  <c r="F217" i="39"/>
  <c r="E217" i="39"/>
  <c r="D217" i="39"/>
  <c r="B217" i="39"/>
  <c r="N215" i="39"/>
  <c r="M215" i="39"/>
  <c r="L215" i="39"/>
  <c r="K215" i="39"/>
  <c r="J215" i="39"/>
  <c r="I215" i="39"/>
  <c r="H215" i="39"/>
  <c r="G215" i="39"/>
  <c r="F215" i="39"/>
  <c r="E215" i="39"/>
  <c r="D215" i="39"/>
  <c r="B215" i="39"/>
  <c r="N214" i="39"/>
  <c r="M214" i="39"/>
  <c r="L214" i="39"/>
  <c r="K214" i="39"/>
  <c r="J214" i="39"/>
  <c r="I214" i="39"/>
  <c r="H214" i="39"/>
  <c r="G214" i="39"/>
  <c r="F214" i="39"/>
  <c r="E214" i="39"/>
  <c r="D214" i="39"/>
  <c r="B214" i="39"/>
  <c r="N213" i="39"/>
  <c r="M213" i="39"/>
  <c r="L213" i="39"/>
  <c r="K213" i="39"/>
  <c r="J213" i="39"/>
  <c r="I213" i="39"/>
  <c r="H213" i="39"/>
  <c r="G213" i="39"/>
  <c r="F213" i="39"/>
  <c r="E213" i="39"/>
  <c r="D213" i="39"/>
  <c r="B213" i="39"/>
  <c r="N209" i="39"/>
  <c r="M209" i="39"/>
  <c r="L209" i="39"/>
  <c r="K209" i="39"/>
  <c r="J209" i="39"/>
  <c r="I209" i="39"/>
  <c r="H209" i="39"/>
  <c r="G209" i="39"/>
  <c r="F209" i="39"/>
  <c r="E209" i="39"/>
  <c r="D209" i="39"/>
  <c r="B209" i="39"/>
  <c r="N208" i="39"/>
  <c r="M208" i="39"/>
  <c r="L208" i="39"/>
  <c r="K208" i="39"/>
  <c r="J208" i="39"/>
  <c r="I208" i="39"/>
  <c r="H208" i="39"/>
  <c r="G208" i="39"/>
  <c r="F208" i="39"/>
  <c r="E208" i="39"/>
  <c r="D208" i="39"/>
  <c r="B208" i="39"/>
  <c r="N207" i="39"/>
  <c r="M207" i="39"/>
  <c r="L207" i="39"/>
  <c r="K207" i="39"/>
  <c r="J207" i="39"/>
  <c r="I207" i="39"/>
  <c r="H207" i="39"/>
  <c r="G207" i="39"/>
  <c r="F207" i="39"/>
  <c r="E207" i="39"/>
  <c r="D207" i="39"/>
  <c r="B207" i="39"/>
  <c r="N206" i="39"/>
  <c r="M206" i="39"/>
  <c r="L206" i="39"/>
  <c r="K206" i="39"/>
  <c r="J206" i="39"/>
  <c r="I206" i="39"/>
  <c r="H206" i="39"/>
  <c r="G206" i="39"/>
  <c r="F206" i="39"/>
  <c r="E206" i="39"/>
  <c r="D206" i="39"/>
  <c r="B206" i="39"/>
  <c r="N203" i="39"/>
  <c r="M203" i="39"/>
  <c r="L203" i="39"/>
  <c r="K203" i="39"/>
  <c r="J203" i="39"/>
  <c r="I203" i="39"/>
  <c r="H203" i="39"/>
  <c r="G203" i="39"/>
  <c r="F203" i="39"/>
  <c r="E203" i="39"/>
  <c r="D203" i="39"/>
  <c r="N202" i="39"/>
  <c r="M202" i="39"/>
  <c r="L202" i="39"/>
  <c r="K202" i="39"/>
  <c r="J202" i="39"/>
  <c r="I202" i="39"/>
  <c r="H202" i="39"/>
  <c r="G202" i="39"/>
  <c r="F202" i="39"/>
  <c r="E202" i="39"/>
  <c r="D202" i="39"/>
  <c r="N201" i="39"/>
  <c r="M201" i="39"/>
  <c r="L201" i="39"/>
  <c r="K201" i="39"/>
  <c r="J201" i="39"/>
  <c r="I201" i="39"/>
  <c r="H201" i="39"/>
  <c r="G201" i="39"/>
  <c r="F201" i="39"/>
  <c r="E201" i="39"/>
  <c r="D201" i="39"/>
  <c r="N200" i="39"/>
  <c r="M200" i="39"/>
  <c r="L200" i="39"/>
  <c r="K200" i="39"/>
  <c r="J200" i="39"/>
  <c r="I200" i="39"/>
  <c r="H200" i="39"/>
  <c r="G200" i="39"/>
  <c r="F200" i="39"/>
  <c r="E200" i="39"/>
  <c r="D200" i="39"/>
  <c r="B197" i="39"/>
  <c r="N196" i="39"/>
  <c r="M196" i="39"/>
  <c r="L196" i="39"/>
  <c r="K196" i="39"/>
  <c r="J196" i="39"/>
  <c r="I196" i="39"/>
  <c r="H196" i="39"/>
  <c r="G196" i="39"/>
  <c r="F196" i="39"/>
  <c r="E196" i="39"/>
  <c r="D196" i="39"/>
  <c r="B196" i="39"/>
  <c r="B194" i="39"/>
  <c r="N193" i="39"/>
  <c r="M193" i="39"/>
  <c r="L193" i="39"/>
  <c r="K193" i="39"/>
  <c r="J193" i="39"/>
  <c r="I193" i="39"/>
  <c r="H193" i="39"/>
  <c r="G193" i="39"/>
  <c r="F193" i="39"/>
  <c r="E193" i="39"/>
  <c r="D193" i="39"/>
  <c r="B193" i="39"/>
  <c r="N191" i="39"/>
  <c r="M191" i="39"/>
  <c r="M273" i="39" s="1"/>
  <c r="L191" i="39"/>
  <c r="L273" i="39" s="1"/>
  <c r="K191" i="39"/>
  <c r="K273" i="39" s="1"/>
  <c r="J191" i="39"/>
  <c r="J273" i="39" s="1"/>
  <c r="I191" i="39"/>
  <c r="I273" i="39" s="1"/>
  <c r="H191" i="39"/>
  <c r="H273" i="39" s="1"/>
  <c r="G191" i="39"/>
  <c r="G273" i="39" s="1"/>
  <c r="F191" i="39"/>
  <c r="F273" i="39" s="1"/>
  <c r="E191" i="39"/>
  <c r="E273" i="39" s="1"/>
  <c r="D191" i="39"/>
  <c r="D273" i="39" s="1"/>
  <c r="B191" i="39"/>
  <c r="O190" i="39"/>
  <c r="O292" i="39" s="1"/>
  <c r="N190" i="39"/>
  <c r="N292" i="39" s="1"/>
  <c r="M190" i="39"/>
  <c r="M292" i="39" s="1"/>
  <c r="L190" i="39"/>
  <c r="L292" i="39" s="1"/>
  <c r="K190" i="39"/>
  <c r="K292" i="39" s="1"/>
  <c r="J190" i="39"/>
  <c r="J292" i="39" s="1"/>
  <c r="I190" i="39"/>
  <c r="I292" i="39" s="1"/>
  <c r="H190" i="39"/>
  <c r="H292" i="39" s="1"/>
  <c r="G190" i="39"/>
  <c r="G292" i="39" s="1"/>
  <c r="F190" i="39"/>
  <c r="F292" i="39" s="1"/>
  <c r="E190" i="39"/>
  <c r="E292" i="39" s="1"/>
  <c r="D190" i="39"/>
  <c r="D292" i="39" s="1"/>
  <c r="B190" i="39"/>
  <c r="N188" i="39"/>
  <c r="N263" i="39" s="1"/>
  <c r="M188" i="39"/>
  <c r="M263" i="39" s="1"/>
  <c r="L188" i="39"/>
  <c r="L263" i="39" s="1"/>
  <c r="K188" i="39"/>
  <c r="K263" i="39" s="1"/>
  <c r="J188" i="39"/>
  <c r="J263" i="39" s="1"/>
  <c r="I188" i="39"/>
  <c r="I263" i="39" s="1"/>
  <c r="H188" i="39"/>
  <c r="H263" i="39" s="1"/>
  <c r="G188" i="39"/>
  <c r="G263" i="39" s="1"/>
  <c r="F188" i="39"/>
  <c r="F263" i="39" s="1"/>
  <c r="E188" i="39"/>
  <c r="E263" i="39" s="1"/>
  <c r="D188" i="39"/>
  <c r="D263" i="39" s="1"/>
  <c r="B188" i="39"/>
  <c r="N186" i="39"/>
  <c r="M186" i="39"/>
  <c r="L186" i="39"/>
  <c r="K186" i="39"/>
  <c r="J186" i="39"/>
  <c r="I186" i="39"/>
  <c r="H186" i="39"/>
  <c r="G186" i="39"/>
  <c r="F186" i="39"/>
  <c r="E186" i="39"/>
  <c r="D186" i="39"/>
  <c r="B186" i="39"/>
  <c r="N185" i="39"/>
  <c r="M185" i="39"/>
  <c r="L185" i="39"/>
  <c r="K185" i="39"/>
  <c r="J185" i="39"/>
  <c r="I185" i="39"/>
  <c r="H185" i="39"/>
  <c r="G185" i="39"/>
  <c r="F185" i="39"/>
  <c r="E185" i="39"/>
  <c r="D185" i="39"/>
  <c r="B185" i="39"/>
  <c r="N184" i="39"/>
  <c r="M184" i="39"/>
  <c r="L184" i="39"/>
  <c r="K184" i="39"/>
  <c r="J184" i="39"/>
  <c r="I184" i="39"/>
  <c r="H184" i="39"/>
  <c r="G184" i="39"/>
  <c r="F184" i="39"/>
  <c r="E184" i="39"/>
  <c r="D184" i="39"/>
  <c r="B184" i="39"/>
  <c r="N183" i="39"/>
  <c r="M183" i="39"/>
  <c r="L183" i="39"/>
  <c r="K183" i="39"/>
  <c r="J183" i="39"/>
  <c r="I183" i="39"/>
  <c r="H183" i="39"/>
  <c r="G183" i="39"/>
  <c r="F183" i="39"/>
  <c r="E183" i="39"/>
  <c r="D183" i="39"/>
  <c r="B183" i="39"/>
  <c r="N182" i="39"/>
  <c r="M182" i="39"/>
  <c r="L182" i="39"/>
  <c r="K182" i="39"/>
  <c r="J182" i="39"/>
  <c r="I182" i="39"/>
  <c r="H182" i="39"/>
  <c r="G182" i="39"/>
  <c r="F182" i="39"/>
  <c r="E182" i="39"/>
  <c r="D182" i="39"/>
  <c r="B182" i="39"/>
  <c r="N181" i="39"/>
  <c r="M181" i="39"/>
  <c r="L181" i="39"/>
  <c r="K181" i="39"/>
  <c r="J181" i="39"/>
  <c r="I181" i="39"/>
  <c r="H181" i="39"/>
  <c r="G181" i="39"/>
  <c r="F181" i="39"/>
  <c r="E181" i="39"/>
  <c r="D181" i="39"/>
  <c r="B181" i="39"/>
  <c r="N180" i="39"/>
  <c r="M180" i="39"/>
  <c r="L180" i="39"/>
  <c r="K180" i="39"/>
  <c r="J180" i="39"/>
  <c r="I180" i="39"/>
  <c r="H180" i="39"/>
  <c r="G180" i="39"/>
  <c r="F180" i="39"/>
  <c r="E180" i="39"/>
  <c r="D180" i="39"/>
  <c r="B180" i="39"/>
  <c r="B177" i="39"/>
  <c r="B175" i="39"/>
  <c r="N170" i="39"/>
  <c r="M170" i="39"/>
  <c r="L170" i="39"/>
  <c r="K170" i="39"/>
  <c r="J170" i="39"/>
  <c r="I170" i="39"/>
  <c r="H170" i="39"/>
  <c r="G170" i="39"/>
  <c r="F170" i="39"/>
  <c r="E170" i="39"/>
  <c r="D170" i="39"/>
  <c r="N169" i="39"/>
  <c r="O169" i="39" s="1"/>
  <c r="P169" i="39" s="1"/>
  <c r="M169" i="39"/>
  <c r="L169" i="39"/>
  <c r="K169" i="39"/>
  <c r="J169" i="39"/>
  <c r="I169" i="39"/>
  <c r="H169" i="39"/>
  <c r="G169" i="39"/>
  <c r="F169" i="39"/>
  <c r="E169" i="39"/>
  <c r="D169" i="39"/>
  <c r="B167" i="39"/>
  <c r="N162" i="39"/>
  <c r="M162" i="39"/>
  <c r="L162" i="39"/>
  <c r="K162" i="39"/>
  <c r="J162" i="39"/>
  <c r="I162" i="39"/>
  <c r="H162" i="39"/>
  <c r="G162" i="39"/>
  <c r="F162" i="39"/>
  <c r="E162" i="39"/>
  <c r="D162" i="39"/>
  <c r="B162" i="39"/>
  <c r="N161" i="39"/>
  <c r="M161" i="39"/>
  <c r="L161" i="39"/>
  <c r="K161" i="39"/>
  <c r="J161" i="39"/>
  <c r="I161" i="39"/>
  <c r="H161" i="39"/>
  <c r="G161" i="39"/>
  <c r="F161" i="39"/>
  <c r="E161" i="39"/>
  <c r="D161" i="39"/>
  <c r="B161" i="39"/>
  <c r="N160" i="39"/>
  <c r="M160" i="39"/>
  <c r="L160" i="39"/>
  <c r="K160" i="39"/>
  <c r="J160" i="39"/>
  <c r="I160" i="39"/>
  <c r="H160" i="39"/>
  <c r="G160" i="39"/>
  <c r="F160" i="39"/>
  <c r="E160" i="39"/>
  <c r="D160" i="39"/>
  <c r="B160" i="39"/>
  <c r="B158" i="39"/>
  <c r="M157" i="39"/>
  <c r="E157" i="39"/>
  <c r="N153" i="39"/>
  <c r="M153" i="39"/>
  <c r="L153" i="39"/>
  <c r="K153" i="39"/>
  <c r="J153" i="39"/>
  <c r="I153" i="39"/>
  <c r="H153" i="39"/>
  <c r="G153" i="39"/>
  <c r="F153" i="39"/>
  <c r="E153" i="39"/>
  <c r="D153" i="39"/>
  <c r="B153" i="39"/>
  <c r="N152" i="39"/>
  <c r="M152" i="39"/>
  <c r="L152" i="39"/>
  <c r="K152" i="39"/>
  <c r="J152" i="39"/>
  <c r="I152" i="39"/>
  <c r="H152" i="39"/>
  <c r="G152" i="39"/>
  <c r="F152" i="39"/>
  <c r="E152" i="39"/>
  <c r="D152" i="39"/>
  <c r="B152" i="39"/>
  <c r="N149" i="39"/>
  <c r="O149" i="39" s="1"/>
  <c r="P149" i="39" s="1"/>
  <c r="Q149" i="39" s="1"/>
  <c r="R149" i="39" s="1"/>
  <c r="S149" i="39" s="1"/>
  <c r="T149" i="39" s="1"/>
  <c r="U149" i="39" s="1"/>
  <c r="V149" i="39" s="1"/>
  <c r="W149" i="39" s="1"/>
  <c r="X149" i="39" s="1"/>
  <c r="Y149" i="39" s="1"/>
  <c r="Z149" i="39" s="1"/>
  <c r="AA149" i="39" s="1"/>
  <c r="AB149" i="39" s="1"/>
  <c r="AC149" i="39" s="1"/>
  <c r="AD149" i="39" s="1"/>
  <c r="AE149" i="39" s="1"/>
  <c r="AF149" i="39" s="1"/>
  <c r="AG149" i="39" s="1"/>
  <c r="AH149" i="39" s="1"/>
  <c r="AI149" i="39" s="1"/>
  <c r="AJ149" i="39" s="1"/>
  <c r="AK149" i="39" s="1"/>
  <c r="AL149" i="39" s="1"/>
  <c r="AM149" i="39" s="1"/>
  <c r="AN149" i="39" s="1"/>
  <c r="AO149" i="39" s="1"/>
  <c r="AP149" i="39" s="1"/>
  <c r="AQ149" i="39" s="1"/>
  <c r="AR149" i="39" s="1"/>
  <c r="AS149" i="39" s="1"/>
  <c r="AT149" i="39" s="1"/>
  <c r="AU149" i="39" s="1"/>
  <c r="AV149" i="39" s="1"/>
  <c r="AW149" i="39" s="1"/>
  <c r="AX149" i="39" s="1"/>
  <c r="M149" i="39"/>
  <c r="L149" i="39"/>
  <c r="K149" i="39"/>
  <c r="J149" i="39"/>
  <c r="I149" i="39"/>
  <c r="H149" i="39"/>
  <c r="G149" i="39"/>
  <c r="F149" i="39"/>
  <c r="E149" i="39"/>
  <c r="D149" i="39"/>
  <c r="B149" i="39"/>
  <c r="B147" i="39"/>
  <c r="N146" i="39"/>
  <c r="O146" i="39" s="1"/>
  <c r="P146" i="39" s="1"/>
  <c r="M146" i="39"/>
  <c r="L146" i="39"/>
  <c r="K146" i="39"/>
  <c r="J146" i="39"/>
  <c r="I146" i="39"/>
  <c r="H146" i="39"/>
  <c r="G146" i="39"/>
  <c r="F146" i="39"/>
  <c r="E146" i="39"/>
  <c r="D146" i="39"/>
  <c r="B146" i="39"/>
  <c r="B144" i="39"/>
  <c r="N143" i="39"/>
  <c r="N144" i="39" s="1"/>
  <c r="M143" i="39"/>
  <c r="M144" i="39" s="1"/>
  <c r="L143" i="39"/>
  <c r="K143" i="39"/>
  <c r="J143" i="39"/>
  <c r="I143" i="39"/>
  <c r="I144" i="39" s="1"/>
  <c r="H143" i="39"/>
  <c r="G143" i="39"/>
  <c r="G144" i="39" s="1"/>
  <c r="F143" i="39"/>
  <c r="F144" i="39" s="1"/>
  <c r="E143" i="39"/>
  <c r="E144" i="39" s="1"/>
  <c r="D143" i="39"/>
  <c r="B143" i="39"/>
  <c r="B139" i="39"/>
  <c r="N137" i="39"/>
  <c r="M137" i="39"/>
  <c r="L137" i="39"/>
  <c r="K137" i="39"/>
  <c r="J137" i="39"/>
  <c r="I137" i="39"/>
  <c r="H137" i="39"/>
  <c r="G137" i="39"/>
  <c r="F137" i="39"/>
  <c r="E137" i="39"/>
  <c r="D137" i="39"/>
  <c r="B137" i="39"/>
  <c r="N136" i="39"/>
  <c r="M136" i="39"/>
  <c r="L136" i="39"/>
  <c r="K136" i="39"/>
  <c r="J136" i="39"/>
  <c r="I136" i="39"/>
  <c r="H136" i="39"/>
  <c r="G136" i="39"/>
  <c r="F136" i="39"/>
  <c r="E136" i="39"/>
  <c r="D136" i="39"/>
  <c r="B136" i="39"/>
  <c r="N135" i="39"/>
  <c r="M135" i="39"/>
  <c r="L135" i="39"/>
  <c r="K135" i="39"/>
  <c r="J135" i="39"/>
  <c r="I135" i="39"/>
  <c r="H135" i="39"/>
  <c r="G135" i="39"/>
  <c r="F135" i="39"/>
  <c r="E135" i="39"/>
  <c r="D135" i="39"/>
  <c r="B135" i="39"/>
  <c r="N134" i="39"/>
  <c r="M134" i="39"/>
  <c r="L134" i="39"/>
  <c r="K134" i="39"/>
  <c r="J134" i="39"/>
  <c r="I134" i="39"/>
  <c r="H134" i="39"/>
  <c r="G134" i="39"/>
  <c r="F134" i="39"/>
  <c r="E134" i="39"/>
  <c r="D134" i="39"/>
  <c r="B134" i="39"/>
  <c r="N133" i="39"/>
  <c r="M133" i="39"/>
  <c r="L133" i="39"/>
  <c r="K133" i="39"/>
  <c r="J133" i="39"/>
  <c r="I133" i="39"/>
  <c r="H133" i="39"/>
  <c r="G133" i="39"/>
  <c r="F133" i="39"/>
  <c r="E133" i="39"/>
  <c r="D133" i="39"/>
  <c r="B133" i="39"/>
  <c r="N132" i="39"/>
  <c r="M132" i="39"/>
  <c r="L132" i="39"/>
  <c r="K132" i="39"/>
  <c r="J132" i="39"/>
  <c r="I132" i="39"/>
  <c r="H132" i="39"/>
  <c r="G132" i="39"/>
  <c r="F132" i="39"/>
  <c r="E132" i="39"/>
  <c r="D132" i="39"/>
  <c r="B132" i="39"/>
  <c r="N125" i="39"/>
  <c r="M125" i="39"/>
  <c r="L125" i="39"/>
  <c r="K125" i="39"/>
  <c r="J125" i="39"/>
  <c r="I125" i="39"/>
  <c r="H125" i="39"/>
  <c r="G125" i="39"/>
  <c r="F125" i="39"/>
  <c r="E125" i="39"/>
  <c r="D125" i="39"/>
  <c r="B125" i="39"/>
  <c r="N124" i="39"/>
  <c r="M124" i="39"/>
  <c r="L124" i="39"/>
  <c r="K124" i="39"/>
  <c r="J124" i="39"/>
  <c r="I124" i="39"/>
  <c r="H124" i="39"/>
  <c r="G124" i="39"/>
  <c r="F124" i="39"/>
  <c r="E124" i="39"/>
  <c r="D124" i="39"/>
  <c r="B124" i="39"/>
  <c r="N123" i="39"/>
  <c r="M123" i="39"/>
  <c r="L123" i="39"/>
  <c r="K123" i="39"/>
  <c r="J123" i="39"/>
  <c r="I123" i="39"/>
  <c r="H123" i="39"/>
  <c r="G123" i="39"/>
  <c r="F123" i="39"/>
  <c r="E123" i="39"/>
  <c r="D123" i="39"/>
  <c r="B123" i="39"/>
  <c r="N122" i="39"/>
  <c r="M122" i="39"/>
  <c r="L122" i="39"/>
  <c r="K122" i="39"/>
  <c r="J122" i="39"/>
  <c r="I122" i="39"/>
  <c r="H122" i="39"/>
  <c r="G122" i="39"/>
  <c r="F122" i="39"/>
  <c r="E122" i="39"/>
  <c r="D122" i="39"/>
  <c r="B122" i="39"/>
  <c r="N121" i="39"/>
  <c r="M121" i="39"/>
  <c r="L121" i="39"/>
  <c r="K121" i="39"/>
  <c r="J121" i="39"/>
  <c r="I121" i="39"/>
  <c r="H121" i="39"/>
  <c r="G121" i="39"/>
  <c r="F121" i="39"/>
  <c r="E121" i="39"/>
  <c r="D121" i="39"/>
  <c r="B121" i="39"/>
  <c r="N120" i="39"/>
  <c r="M120" i="39"/>
  <c r="L120" i="39"/>
  <c r="K120" i="39"/>
  <c r="J120" i="39"/>
  <c r="I120" i="39"/>
  <c r="H120" i="39"/>
  <c r="G120" i="39"/>
  <c r="F120" i="39"/>
  <c r="E120" i="39"/>
  <c r="D120" i="39"/>
  <c r="B120" i="39"/>
  <c r="N118" i="39"/>
  <c r="M118" i="39"/>
  <c r="L118" i="39"/>
  <c r="K118" i="39"/>
  <c r="J118" i="39"/>
  <c r="I118" i="39"/>
  <c r="H118" i="39"/>
  <c r="G118" i="39"/>
  <c r="F118" i="39"/>
  <c r="E118" i="39"/>
  <c r="D118" i="39"/>
  <c r="B118" i="39"/>
  <c r="N117" i="39"/>
  <c r="M117" i="39"/>
  <c r="L117" i="39"/>
  <c r="K117" i="39"/>
  <c r="J117" i="39"/>
  <c r="I117" i="39"/>
  <c r="H117" i="39"/>
  <c r="G117" i="39"/>
  <c r="F117" i="39"/>
  <c r="E117" i="39"/>
  <c r="D117" i="39"/>
  <c r="B117" i="39"/>
  <c r="N116" i="39"/>
  <c r="M116" i="39"/>
  <c r="L116" i="39"/>
  <c r="K116" i="39"/>
  <c r="J116" i="39"/>
  <c r="I116" i="39"/>
  <c r="H116" i="39"/>
  <c r="G116" i="39"/>
  <c r="F116" i="39"/>
  <c r="E116" i="39"/>
  <c r="D116" i="39"/>
  <c r="B116" i="39"/>
  <c r="N115" i="39"/>
  <c r="M115" i="39"/>
  <c r="L115" i="39"/>
  <c r="K115" i="39"/>
  <c r="J115" i="39"/>
  <c r="I115" i="39"/>
  <c r="H115" i="39"/>
  <c r="G115" i="39"/>
  <c r="F115" i="39"/>
  <c r="E115" i="39"/>
  <c r="D115" i="39"/>
  <c r="B115" i="39"/>
  <c r="N114" i="39"/>
  <c r="M114" i="39"/>
  <c r="L114" i="39"/>
  <c r="K114" i="39"/>
  <c r="J114" i="39"/>
  <c r="I114" i="39"/>
  <c r="H114" i="39"/>
  <c r="G114" i="39"/>
  <c r="F114" i="39"/>
  <c r="E114" i="39"/>
  <c r="D114" i="39"/>
  <c r="B114" i="39"/>
  <c r="N113" i="39"/>
  <c r="M113" i="39"/>
  <c r="L113" i="39"/>
  <c r="K113" i="39"/>
  <c r="J113" i="39"/>
  <c r="I113" i="39"/>
  <c r="H113" i="39"/>
  <c r="G113" i="39"/>
  <c r="F113" i="39"/>
  <c r="E113" i="39"/>
  <c r="D113" i="39"/>
  <c r="B113" i="39"/>
  <c r="N107" i="39"/>
  <c r="M107" i="39"/>
  <c r="L107" i="39"/>
  <c r="K107" i="39"/>
  <c r="J107" i="39"/>
  <c r="I107" i="39"/>
  <c r="H107" i="39"/>
  <c r="G107" i="39"/>
  <c r="F107" i="39"/>
  <c r="E107" i="39"/>
  <c r="D107" i="39"/>
  <c r="B107" i="39"/>
  <c r="N106" i="39"/>
  <c r="M106" i="39"/>
  <c r="L106" i="39"/>
  <c r="K106" i="39"/>
  <c r="J106" i="39"/>
  <c r="I106" i="39"/>
  <c r="H106" i="39"/>
  <c r="G106" i="39"/>
  <c r="F106" i="39"/>
  <c r="E106" i="39"/>
  <c r="D106" i="39"/>
  <c r="B106" i="39"/>
  <c r="N105" i="39"/>
  <c r="N487" i="39" s="1"/>
  <c r="M105" i="39"/>
  <c r="M487" i="39" s="1"/>
  <c r="L105" i="39"/>
  <c r="K105" i="39"/>
  <c r="K487" i="39" s="1"/>
  <c r="J105" i="39"/>
  <c r="J487" i="39" s="1"/>
  <c r="I105" i="39"/>
  <c r="H105" i="39"/>
  <c r="H487" i="39" s="1"/>
  <c r="G105" i="39"/>
  <c r="G487" i="39" s="1"/>
  <c r="F105" i="39"/>
  <c r="F487" i="39" s="1"/>
  <c r="E105" i="39"/>
  <c r="E487" i="39" s="1"/>
  <c r="D105" i="39"/>
  <c r="B105" i="39"/>
  <c r="N103" i="39"/>
  <c r="M103" i="39"/>
  <c r="L103" i="39"/>
  <c r="K103" i="39"/>
  <c r="J103" i="39"/>
  <c r="I103" i="39"/>
  <c r="H103" i="39"/>
  <c r="G103" i="39"/>
  <c r="F103" i="39"/>
  <c r="E103" i="39"/>
  <c r="D103" i="39"/>
  <c r="B103" i="39"/>
  <c r="N102" i="39"/>
  <c r="M102" i="39"/>
  <c r="L102" i="39"/>
  <c r="K102" i="39"/>
  <c r="J102" i="39"/>
  <c r="I102" i="39"/>
  <c r="H102" i="39"/>
  <c r="G102" i="39"/>
  <c r="F102" i="39"/>
  <c r="E102" i="39"/>
  <c r="D102" i="39"/>
  <c r="B102" i="39"/>
  <c r="N101" i="39"/>
  <c r="M101" i="39"/>
  <c r="L101" i="39"/>
  <c r="K101" i="39"/>
  <c r="J101" i="39"/>
  <c r="I101" i="39"/>
  <c r="H101" i="39"/>
  <c r="G101" i="39"/>
  <c r="F101" i="39"/>
  <c r="E101" i="39"/>
  <c r="D101" i="39"/>
  <c r="B101" i="39"/>
  <c r="N100" i="39"/>
  <c r="M100" i="39"/>
  <c r="L100" i="39"/>
  <c r="K100" i="39"/>
  <c r="J100" i="39"/>
  <c r="I100" i="39"/>
  <c r="H100" i="39"/>
  <c r="G100" i="39"/>
  <c r="F100" i="39"/>
  <c r="E100" i="39"/>
  <c r="D100" i="39"/>
  <c r="B100" i="39"/>
  <c r="N99" i="39"/>
  <c r="M99" i="39"/>
  <c r="L99" i="39"/>
  <c r="K99" i="39"/>
  <c r="J99" i="39"/>
  <c r="I99" i="39"/>
  <c r="H99" i="39"/>
  <c r="G99" i="39"/>
  <c r="F99" i="39"/>
  <c r="E99" i="39"/>
  <c r="D99" i="39"/>
  <c r="B99" i="39"/>
  <c r="N96" i="39"/>
  <c r="M96" i="39"/>
  <c r="L96" i="39"/>
  <c r="K96" i="39"/>
  <c r="J96" i="39"/>
  <c r="I96" i="39"/>
  <c r="H96" i="39"/>
  <c r="G96" i="39"/>
  <c r="F96" i="39"/>
  <c r="E96" i="39"/>
  <c r="D96" i="39"/>
  <c r="B96" i="39"/>
  <c r="I95" i="39"/>
  <c r="H95" i="39"/>
  <c r="G95" i="39"/>
  <c r="F95" i="39"/>
  <c r="E95" i="39"/>
  <c r="D95" i="39"/>
  <c r="B95" i="39"/>
  <c r="N94" i="39"/>
  <c r="M94" i="39"/>
  <c r="L94" i="39"/>
  <c r="K94" i="39"/>
  <c r="J94" i="39"/>
  <c r="I94" i="39"/>
  <c r="H94" i="39"/>
  <c r="G94" i="39"/>
  <c r="F94" i="39"/>
  <c r="E94" i="39"/>
  <c r="D94" i="39"/>
  <c r="B94" i="39"/>
  <c r="N92" i="39"/>
  <c r="M92" i="39"/>
  <c r="L92" i="39"/>
  <c r="K92" i="39"/>
  <c r="J92" i="39"/>
  <c r="I92" i="39"/>
  <c r="H92" i="39"/>
  <c r="G92" i="39"/>
  <c r="F92" i="39"/>
  <c r="E92" i="39"/>
  <c r="D92" i="39"/>
  <c r="B92" i="39"/>
  <c r="N91" i="39"/>
  <c r="M91" i="39"/>
  <c r="L91" i="39"/>
  <c r="K91" i="39"/>
  <c r="J91" i="39"/>
  <c r="I91" i="39"/>
  <c r="H91" i="39"/>
  <c r="G91" i="39"/>
  <c r="F91" i="39"/>
  <c r="E91" i="39"/>
  <c r="D91" i="39"/>
  <c r="B91" i="39"/>
  <c r="N90" i="39"/>
  <c r="M90" i="39"/>
  <c r="L90" i="39"/>
  <c r="K90" i="39"/>
  <c r="J90" i="39"/>
  <c r="I90" i="39"/>
  <c r="H90" i="39"/>
  <c r="G90" i="39"/>
  <c r="F90" i="39"/>
  <c r="E90" i="39"/>
  <c r="D90" i="39"/>
  <c r="B90" i="39"/>
  <c r="N89" i="39"/>
  <c r="M89" i="39"/>
  <c r="L89" i="39"/>
  <c r="K89" i="39"/>
  <c r="J89" i="39"/>
  <c r="I89" i="39"/>
  <c r="H89" i="39"/>
  <c r="G89" i="39"/>
  <c r="F89" i="39"/>
  <c r="E89" i="39"/>
  <c r="D89" i="39"/>
  <c r="B89" i="39"/>
  <c r="N88" i="39"/>
  <c r="M88" i="39"/>
  <c r="L88" i="39"/>
  <c r="K88" i="39"/>
  <c r="J88" i="39"/>
  <c r="I88" i="39"/>
  <c r="H88" i="39"/>
  <c r="G88" i="39"/>
  <c r="F88" i="39"/>
  <c r="E88" i="39"/>
  <c r="D88" i="39"/>
  <c r="B88" i="39"/>
  <c r="N84" i="39"/>
  <c r="M84" i="39"/>
  <c r="L84" i="39"/>
  <c r="K84" i="39"/>
  <c r="J84" i="39"/>
  <c r="I84" i="39"/>
  <c r="H84" i="39"/>
  <c r="G84" i="39"/>
  <c r="F84" i="39"/>
  <c r="E84" i="39"/>
  <c r="D84" i="39"/>
  <c r="B84" i="39"/>
  <c r="B83" i="39"/>
  <c r="N80" i="39"/>
  <c r="M80" i="39"/>
  <c r="L80" i="39"/>
  <c r="K80" i="39"/>
  <c r="J80" i="39"/>
  <c r="I80" i="39"/>
  <c r="G80" i="39"/>
  <c r="F80" i="39"/>
  <c r="E80" i="39"/>
  <c r="D80" i="39"/>
  <c r="B80" i="39"/>
  <c r="N79" i="39"/>
  <c r="M79" i="39"/>
  <c r="L79" i="39"/>
  <c r="K79" i="39"/>
  <c r="J79" i="39"/>
  <c r="I79" i="39"/>
  <c r="H79" i="39"/>
  <c r="G79" i="39"/>
  <c r="F79" i="39"/>
  <c r="E79" i="39"/>
  <c r="D79" i="39"/>
  <c r="B79" i="39"/>
  <c r="N77" i="39"/>
  <c r="M77" i="39"/>
  <c r="L77" i="39"/>
  <c r="K77" i="39"/>
  <c r="J77" i="39"/>
  <c r="I77" i="39"/>
  <c r="H77" i="39"/>
  <c r="E77" i="39"/>
  <c r="D77" i="39"/>
  <c r="B77" i="39"/>
  <c r="N76" i="39"/>
  <c r="M76" i="39"/>
  <c r="L76" i="39"/>
  <c r="K76" i="39"/>
  <c r="J76" i="39"/>
  <c r="I76" i="39"/>
  <c r="B76" i="39"/>
  <c r="N75" i="39"/>
  <c r="M75" i="39"/>
  <c r="L75" i="39"/>
  <c r="K75" i="39"/>
  <c r="J75" i="39"/>
  <c r="I75" i="39"/>
  <c r="H75" i="39"/>
  <c r="G75" i="39"/>
  <c r="F75" i="39"/>
  <c r="E75" i="39"/>
  <c r="D75" i="39"/>
  <c r="B75" i="39"/>
  <c r="N74" i="39"/>
  <c r="M74" i="39"/>
  <c r="L74" i="39"/>
  <c r="K74" i="39"/>
  <c r="J74" i="39"/>
  <c r="I74" i="39"/>
  <c r="H74" i="39"/>
  <c r="G74" i="39"/>
  <c r="F74" i="39"/>
  <c r="E74" i="39"/>
  <c r="D74" i="39"/>
  <c r="B74" i="39"/>
  <c r="N73" i="39"/>
  <c r="M73" i="39"/>
  <c r="L73" i="39"/>
  <c r="K73" i="39"/>
  <c r="J73" i="39"/>
  <c r="I73" i="39"/>
  <c r="H73" i="39"/>
  <c r="G73" i="39"/>
  <c r="F73" i="39"/>
  <c r="E73" i="39"/>
  <c r="D73" i="39"/>
  <c r="B73" i="39"/>
  <c r="N72" i="39"/>
  <c r="M72" i="39"/>
  <c r="L72" i="39"/>
  <c r="K72" i="39"/>
  <c r="J72" i="39"/>
  <c r="I72" i="39"/>
  <c r="H72" i="39"/>
  <c r="G72" i="39"/>
  <c r="F72" i="39"/>
  <c r="E72" i="39"/>
  <c r="D72" i="39"/>
  <c r="B72" i="39"/>
  <c r="N71" i="39"/>
  <c r="M71" i="39"/>
  <c r="L71" i="39"/>
  <c r="K71" i="39"/>
  <c r="J71" i="39"/>
  <c r="I71" i="39"/>
  <c r="H71" i="39"/>
  <c r="G71" i="39"/>
  <c r="F71" i="39"/>
  <c r="E71" i="39"/>
  <c r="D71" i="39"/>
  <c r="B71" i="39"/>
  <c r="N70" i="39"/>
  <c r="M70" i="39"/>
  <c r="L70" i="39"/>
  <c r="K70" i="39"/>
  <c r="J70" i="39"/>
  <c r="I70" i="39"/>
  <c r="H70" i="39"/>
  <c r="G70" i="39"/>
  <c r="F70" i="39"/>
  <c r="E70" i="39"/>
  <c r="D70" i="39"/>
  <c r="B70" i="39"/>
  <c r="B67" i="39"/>
  <c r="B66" i="39"/>
  <c r="B61" i="39"/>
  <c r="N59" i="39"/>
  <c r="M59" i="39"/>
  <c r="L59" i="39"/>
  <c r="K59" i="39"/>
  <c r="J59" i="39"/>
  <c r="I59" i="39"/>
  <c r="H59" i="39"/>
  <c r="G59" i="39"/>
  <c r="F59" i="39"/>
  <c r="E59" i="39"/>
  <c r="D59" i="39"/>
  <c r="B59" i="39"/>
  <c r="B52" i="39"/>
  <c r="N44" i="39"/>
  <c r="M44" i="39"/>
  <c r="L44" i="39"/>
  <c r="K44" i="39"/>
  <c r="J44" i="39"/>
  <c r="I44" i="39"/>
  <c r="H44" i="39"/>
  <c r="G44" i="39"/>
  <c r="F44" i="39"/>
  <c r="E44" i="39"/>
  <c r="D44" i="39"/>
  <c r="B44" i="39"/>
  <c r="N43" i="39"/>
  <c r="M43" i="39"/>
  <c r="L43" i="39"/>
  <c r="K43" i="39"/>
  <c r="J43" i="39"/>
  <c r="I43" i="39"/>
  <c r="H43" i="39"/>
  <c r="G43" i="39"/>
  <c r="F43" i="39"/>
  <c r="E43" i="39"/>
  <c r="D43" i="39"/>
  <c r="B43" i="39"/>
  <c r="N40" i="39"/>
  <c r="M40" i="39"/>
  <c r="L40" i="39"/>
  <c r="K40" i="39"/>
  <c r="J40" i="39"/>
  <c r="I40" i="39"/>
  <c r="H40" i="39"/>
  <c r="G40" i="39"/>
  <c r="F40" i="39"/>
  <c r="E40" i="39"/>
  <c r="D40" i="39"/>
  <c r="B40" i="39"/>
  <c r="N38" i="39"/>
  <c r="M38" i="39"/>
  <c r="L38" i="39"/>
  <c r="K38" i="39"/>
  <c r="J38" i="39"/>
  <c r="I38" i="39"/>
  <c r="H38" i="39"/>
  <c r="G38" i="39"/>
  <c r="F38" i="39"/>
  <c r="E38" i="39"/>
  <c r="D38" i="39"/>
  <c r="L37" i="39"/>
  <c r="D37" i="39"/>
  <c r="N30" i="39"/>
  <c r="M30" i="39"/>
  <c r="L30" i="39"/>
  <c r="K30" i="39"/>
  <c r="J30" i="39"/>
  <c r="I30" i="39"/>
  <c r="H30" i="39"/>
  <c r="G30" i="39"/>
  <c r="F30" i="39"/>
  <c r="E30" i="39"/>
  <c r="D30" i="39"/>
  <c r="A29" i="39"/>
  <c r="N28" i="39"/>
  <c r="M28" i="39"/>
  <c r="L28" i="39"/>
  <c r="L29" i="39" s="1"/>
  <c r="K28" i="39"/>
  <c r="J28" i="39"/>
  <c r="I28" i="39"/>
  <c r="H28" i="39"/>
  <c r="G28" i="39"/>
  <c r="F28" i="39"/>
  <c r="E28" i="39"/>
  <c r="D28" i="39"/>
  <c r="N26" i="39"/>
  <c r="M26" i="39"/>
  <c r="L26" i="39"/>
  <c r="K26" i="39"/>
  <c r="J26" i="39"/>
  <c r="I26" i="39"/>
  <c r="H26" i="39"/>
  <c r="G26" i="39"/>
  <c r="F26" i="39"/>
  <c r="E26" i="39"/>
  <c r="D26" i="39"/>
  <c r="N25" i="39"/>
  <c r="M25" i="39"/>
  <c r="L25" i="39"/>
  <c r="K25" i="39"/>
  <c r="J25" i="39"/>
  <c r="I25" i="39"/>
  <c r="H25" i="39"/>
  <c r="G25" i="39"/>
  <c r="F25" i="39"/>
  <c r="E25" i="39"/>
  <c r="D25" i="39"/>
  <c r="N24" i="39"/>
  <c r="M24" i="39"/>
  <c r="L24" i="39"/>
  <c r="K24" i="39"/>
  <c r="J24" i="39"/>
  <c r="I24" i="39"/>
  <c r="H24" i="39"/>
  <c r="G24" i="39"/>
  <c r="F24" i="39"/>
  <c r="E24" i="39"/>
  <c r="D24" i="39"/>
  <c r="N23" i="39"/>
  <c r="M23" i="39"/>
  <c r="L23" i="39"/>
  <c r="K23" i="39"/>
  <c r="J23" i="39"/>
  <c r="I23" i="39"/>
  <c r="H23" i="39"/>
  <c r="G23" i="39"/>
  <c r="F23" i="39"/>
  <c r="E23" i="39"/>
  <c r="D23" i="39"/>
  <c r="A22" i="39"/>
  <c r="N21" i="39"/>
  <c r="M21" i="39"/>
  <c r="L21" i="39"/>
  <c r="K21" i="39"/>
  <c r="J21" i="39"/>
  <c r="I21" i="39"/>
  <c r="H21" i="39"/>
  <c r="G21" i="39"/>
  <c r="F21" i="39"/>
  <c r="E21" i="39"/>
  <c r="D21" i="39"/>
  <c r="A19" i="39"/>
  <c r="N18" i="39"/>
  <c r="M18" i="39"/>
  <c r="L18" i="39"/>
  <c r="K18" i="39"/>
  <c r="J18" i="39"/>
  <c r="I18" i="39"/>
  <c r="H18" i="39"/>
  <c r="G18" i="39"/>
  <c r="F18" i="39"/>
  <c r="E18" i="39"/>
  <c r="D18" i="39"/>
  <c r="A17" i="39"/>
  <c r="N16" i="39"/>
  <c r="M16" i="39"/>
  <c r="L16" i="39"/>
  <c r="K16" i="39"/>
  <c r="J16" i="39"/>
  <c r="I16" i="39"/>
  <c r="H16" i="39"/>
  <c r="G16" i="39"/>
  <c r="F16" i="39"/>
  <c r="E16" i="39"/>
  <c r="D16" i="39"/>
  <c r="A14" i="39"/>
  <c r="N13" i="39"/>
  <c r="M13" i="39"/>
  <c r="L13" i="39"/>
  <c r="K13" i="39"/>
  <c r="J13" i="39"/>
  <c r="I13" i="39"/>
  <c r="H13" i="39"/>
  <c r="G13" i="39"/>
  <c r="F13" i="39"/>
  <c r="E13" i="39"/>
  <c r="D13" i="39"/>
  <c r="N11" i="39"/>
  <c r="M11" i="39"/>
  <c r="L11" i="39"/>
  <c r="K11" i="39"/>
  <c r="J11" i="39"/>
  <c r="I11" i="39"/>
  <c r="H11" i="39"/>
  <c r="G11" i="39"/>
  <c r="F11" i="39"/>
  <c r="E11" i="39"/>
  <c r="D11" i="39"/>
  <c r="C1" i="39"/>
  <c r="O217" i="39" l="1"/>
  <c r="C215" i="39" a="1"/>
  <c r="C215" i="39" s="1"/>
  <c r="O215" i="39" s="1"/>
  <c r="C214" i="39" a="1"/>
  <c r="C214" i="39" s="1"/>
  <c r="O214" i="39" s="1"/>
  <c r="C419" i="39" a="1"/>
  <c r="C419" i="39" s="1"/>
  <c r="C213" i="39" a="1"/>
  <c r="C213" i="39" s="1"/>
  <c r="O213" i="39" s="1"/>
  <c r="C429" i="39" a="1"/>
  <c r="C429" i="39" s="1"/>
  <c r="C426" i="39" a="1"/>
  <c r="C426" i="39" s="1"/>
  <c r="C298" i="39" a="1"/>
  <c r="C298" i="39" s="1"/>
  <c r="C421" i="39" a="1"/>
  <c r="C421" i="39" s="1"/>
  <c r="C425" i="39" a="1"/>
  <c r="C425" i="39" s="1"/>
  <c r="F48" i="39"/>
  <c r="E476" i="39"/>
  <c r="H12" i="39"/>
  <c r="E14" i="39"/>
  <c r="M14" i="39"/>
  <c r="I29" i="39"/>
  <c r="G48" i="39"/>
  <c r="J104" i="39"/>
  <c r="I455" i="39"/>
  <c r="K104" i="39"/>
  <c r="D48" i="39"/>
  <c r="E48" i="39"/>
  <c r="H48" i="39"/>
  <c r="I48" i="39"/>
  <c r="H104" i="39"/>
  <c r="G476" i="39"/>
  <c r="I19" i="39"/>
  <c r="D104" i="39"/>
  <c r="L104" i="39"/>
  <c r="H481" i="39"/>
  <c r="E411" i="39"/>
  <c r="E415" i="39" s="1"/>
  <c r="M411" i="39"/>
  <c r="M415" i="39" s="1"/>
  <c r="F104" i="39"/>
  <c r="N104" i="39"/>
  <c r="F138" i="39"/>
  <c r="F139" i="39" s="1"/>
  <c r="I481" i="39"/>
  <c r="I476" i="39"/>
  <c r="J481" i="39"/>
  <c r="K481" i="39"/>
  <c r="D481" i="39"/>
  <c r="L481" i="39"/>
  <c r="E481" i="39"/>
  <c r="M481" i="39"/>
  <c r="F481" i="39"/>
  <c r="N481" i="39"/>
  <c r="G481" i="39"/>
  <c r="H476" i="39"/>
  <c r="E104" i="39"/>
  <c r="M104" i="39"/>
  <c r="D476" i="39"/>
  <c r="F476" i="39"/>
  <c r="J187" i="39"/>
  <c r="K210" i="39"/>
  <c r="G104" i="39"/>
  <c r="D93" i="39"/>
  <c r="L93" i="39"/>
  <c r="H97" i="39"/>
  <c r="I104" i="39"/>
  <c r="I97" i="39"/>
  <c r="D97" i="39"/>
  <c r="O218" i="39"/>
  <c r="E97" i="39"/>
  <c r="F97" i="39"/>
  <c r="D138" i="39"/>
  <c r="D139" i="39" s="1"/>
  <c r="D140" i="39" s="1"/>
  <c r="L138" i="39"/>
  <c r="L139" i="39" s="1"/>
  <c r="L140" i="39" s="1"/>
  <c r="G97" i="39"/>
  <c r="I22" i="39"/>
  <c r="D225" i="39"/>
  <c r="F29" i="39"/>
  <c r="N29" i="39"/>
  <c r="O29" i="39" s="1"/>
  <c r="F12" i="39"/>
  <c r="N12" i="39"/>
  <c r="K14" i="39"/>
  <c r="M78" i="39"/>
  <c r="M81" i="39" s="1"/>
  <c r="M82" i="39" s="1"/>
  <c r="M83" i="39" s="1"/>
  <c r="D422" i="39"/>
  <c r="E422" i="39"/>
  <c r="J411" i="39"/>
  <c r="J415" i="39" s="1"/>
  <c r="I12" i="39"/>
  <c r="F14" i="39"/>
  <c r="N14" i="39"/>
  <c r="J17" i="39"/>
  <c r="J22" i="39"/>
  <c r="G85" i="39"/>
  <c r="G437" i="39"/>
  <c r="G439" i="39" s="1"/>
  <c r="G440" i="39" s="1"/>
  <c r="J93" i="39"/>
  <c r="I187" i="39"/>
  <c r="L12" i="39"/>
  <c r="K187" i="39"/>
  <c r="F275" i="39"/>
  <c r="D210" i="39"/>
  <c r="L210" i="39"/>
  <c r="K126" i="39"/>
  <c r="K138" i="39"/>
  <c r="K139" i="39" s="1"/>
  <c r="K140" i="39" s="1"/>
  <c r="G275" i="39"/>
  <c r="G276" i="39" s="1"/>
  <c r="E225" i="39"/>
  <c r="J232" i="39"/>
  <c r="D411" i="39"/>
  <c r="D415" i="39" s="1"/>
  <c r="L411" i="39"/>
  <c r="L415" i="39" s="1"/>
  <c r="N138" i="39"/>
  <c r="N139" i="39" s="1"/>
  <c r="N140" i="39" s="1"/>
  <c r="H17" i="39"/>
  <c r="H22" i="39"/>
  <c r="I411" i="39"/>
  <c r="I415" i="39" s="1"/>
  <c r="O196" i="39"/>
  <c r="P196" i="39" s="1"/>
  <c r="Q196" i="39" s="1"/>
  <c r="R196" i="39" s="1"/>
  <c r="S196" i="39" s="1"/>
  <c r="T196" i="39" s="1"/>
  <c r="U196" i="39" s="1"/>
  <c r="V196" i="39" s="1"/>
  <c r="W196" i="39" s="1"/>
  <c r="X196" i="39" s="1"/>
  <c r="Y196" i="39" s="1"/>
  <c r="Z196" i="39" s="1"/>
  <c r="AA196" i="39" s="1"/>
  <c r="AB196" i="39" s="1"/>
  <c r="AC196" i="39" s="1"/>
  <c r="AD196" i="39" s="1"/>
  <c r="AE196" i="39" s="1"/>
  <c r="AF196" i="39" s="1"/>
  <c r="AG196" i="39" s="1"/>
  <c r="AH196" i="39" s="1"/>
  <c r="AI196" i="39" s="1"/>
  <c r="AJ196" i="39" s="1"/>
  <c r="AK196" i="39" s="1"/>
  <c r="AL196" i="39" s="1"/>
  <c r="AM196" i="39" s="1"/>
  <c r="AN196" i="39" s="1"/>
  <c r="AO196" i="39" s="1"/>
  <c r="AP196" i="39" s="1"/>
  <c r="AQ196" i="39" s="1"/>
  <c r="AR196" i="39" s="1"/>
  <c r="AS196" i="39" s="1"/>
  <c r="AT196" i="39" s="1"/>
  <c r="AU196" i="39" s="1"/>
  <c r="AV196" i="39" s="1"/>
  <c r="AW196" i="39" s="1"/>
  <c r="AX196" i="39" s="1"/>
  <c r="E93" i="39"/>
  <c r="M93" i="39"/>
  <c r="E287" i="39"/>
  <c r="E288" i="39" s="1"/>
  <c r="H380" i="39"/>
  <c r="G411" i="39"/>
  <c r="G415" i="39" s="1"/>
  <c r="E126" i="39"/>
  <c r="M126" i="39"/>
  <c r="E138" i="39"/>
  <c r="E139" i="39" s="1"/>
  <c r="E140" i="39" s="1"/>
  <c r="M138" i="39"/>
  <c r="M139" i="39" s="1"/>
  <c r="M140" i="39" s="1"/>
  <c r="E337" i="39"/>
  <c r="E338" i="39" s="1"/>
  <c r="E36" i="39" s="1"/>
  <c r="E12" i="39"/>
  <c r="J14" i="39"/>
  <c r="G93" i="39"/>
  <c r="K489" i="39"/>
  <c r="G126" i="39"/>
  <c r="G138" i="39"/>
  <c r="Q169" i="39"/>
  <c r="R169" i="39" s="1"/>
  <c r="S169" i="39" s="1"/>
  <c r="T169" i="39" s="1"/>
  <c r="U169" i="39" s="1"/>
  <c r="V169" i="39" s="1"/>
  <c r="W169" i="39" s="1"/>
  <c r="X169" i="39" s="1"/>
  <c r="Y169" i="39" s="1"/>
  <c r="Z169" i="39" s="1"/>
  <c r="AA169" i="39" s="1"/>
  <c r="AB169" i="39" s="1"/>
  <c r="AC169" i="39" s="1"/>
  <c r="AD169" i="39" s="1"/>
  <c r="AE169" i="39" s="1"/>
  <c r="AF169" i="39" s="1"/>
  <c r="AG169" i="39" s="1"/>
  <c r="AH169" i="39" s="1"/>
  <c r="AI169" i="39" s="1"/>
  <c r="AJ169" i="39" s="1"/>
  <c r="AK169" i="39" s="1"/>
  <c r="AL169" i="39" s="1"/>
  <c r="AM169" i="39" s="1"/>
  <c r="AN169" i="39" s="1"/>
  <c r="AO169" i="39" s="1"/>
  <c r="AP169" i="39" s="1"/>
  <c r="AQ169" i="39" s="1"/>
  <c r="AR169" i="39" s="1"/>
  <c r="AS169" i="39" s="1"/>
  <c r="AT169" i="39" s="1"/>
  <c r="AU169" i="39" s="1"/>
  <c r="AV169" i="39" s="1"/>
  <c r="AW169" i="39" s="1"/>
  <c r="AX169" i="39" s="1"/>
  <c r="E187" i="39"/>
  <c r="E189" i="39" s="1"/>
  <c r="E192" i="39" s="1"/>
  <c r="M187" i="39"/>
  <c r="F210" i="39"/>
  <c r="N210" i="39"/>
  <c r="D380" i="39"/>
  <c r="D383" i="39" s="1"/>
  <c r="L380" i="39"/>
  <c r="M337" i="39"/>
  <c r="H431" i="39"/>
  <c r="G20" i="39"/>
  <c r="G22" i="39"/>
  <c r="H93" i="39"/>
  <c r="H126" i="39"/>
  <c r="H138" i="39"/>
  <c r="H139" i="39" s="1"/>
  <c r="G225" i="39"/>
  <c r="D232" i="39"/>
  <c r="K287" i="39"/>
  <c r="K288" i="39" s="1"/>
  <c r="K380" i="39"/>
  <c r="G12" i="39"/>
  <c r="F85" i="39"/>
  <c r="I93" i="39"/>
  <c r="H210" i="39"/>
  <c r="H225" i="39"/>
  <c r="E232" i="39"/>
  <c r="M232" i="39"/>
  <c r="I232" i="39"/>
  <c r="F380" i="39"/>
  <c r="N380" i="39"/>
  <c r="K78" i="39"/>
  <c r="K81" i="39" s="1"/>
  <c r="K82" i="39" s="1"/>
  <c r="K83" i="39" s="1"/>
  <c r="I20" i="39"/>
  <c r="E20" i="39"/>
  <c r="M20" i="39"/>
  <c r="O25" i="39"/>
  <c r="J138" i="39"/>
  <c r="J139" i="39" s="1"/>
  <c r="J140" i="39" s="1"/>
  <c r="H187" i="39"/>
  <c r="H189" i="39" s="1"/>
  <c r="H192" i="39" s="1"/>
  <c r="I210" i="39"/>
  <c r="I225" i="39"/>
  <c r="I316" i="39"/>
  <c r="G380" i="39"/>
  <c r="K431" i="39"/>
  <c r="G431" i="39"/>
  <c r="G232" i="39"/>
  <c r="F287" i="39"/>
  <c r="F288" i="39" s="1"/>
  <c r="Q146" i="39"/>
  <c r="G14" i="39"/>
  <c r="K17" i="39"/>
  <c r="G19" i="39"/>
  <c r="K22" i="39"/>
  <c r="J29" i="39"/>
  <c r="V166" i="39"/>
  <c r="AC156" i="39"/>
  <c r="T156" i="39"/>
  <c r="S156" i="39"/>
  <c r="AX166" i="39"/>
  <c r="R166" i="39"/>
  <c r="AW166" i="39"/>
  <c r="X166" i="39"/>
  <c r="AE166" i="39"/>
  <c r="AM156" i="39"/>
  <c r="AT156" i="39"/>
  <c r="AM166" i="39"/>
  <c r="V156" i="39"/>
  <c r="R156" i="39"/>
  <c r="Y166" i="39"/>
  <c r="AL156" i="39"/>
  <c r="AC166" i="39"/>
  <c r="T166" i="39"/>
  <c r="AQ156" i="39"/>
  <c r="S166" i="39"/>
  <c r="AP156" i="39"/>
  <c r="Q156" i="39"/>
  <c r="AV156" i="39"/>
  <c r="P156" i="39"/>
  <c r="W156" i="39"/>
  <c r="Z166" i="39"/>
  <c r="AB166" i="39"/>
  <c r="AW156" i="39"/>
  <c r="AE156" i="39"/>
  <c r="AL166" i="39"/>
  <c r="U156" i="39"/>
  <c r="AR156" i="39"/>
  <c r="AQ166" i="39"/>
  <c r="AP166" i="39"/>
  <c r="AO156" i="39"/>
  <c r="Q166" i="39"/>
  <c r="AV166" i="39"/>
  <c r="P166" i="39"/>
  <c r="W166" i="39"/>
  <c r="AD166" i="39"/>
  <c r="AS166" i="39"/>
  <c r="AJ166" i="39"/>
  <c r="AF156" i="39"/>
  <c r="AB156" i="39"/>
  <c r="AT166" i="39"/>
  <c r="AK166" i="39"/>
  <c r="U166" i="39"/>
  <c r="AR166" i="39"/>
  <c r="AI156" i="39"/>
  <c r="AH166" i="39"/>
  <c r="AO166" i="39"/>
  <c r="AN156" i="39"/>
  <c r="AU156" i="39"/>
  <c r="Z156" i="39"/>
  <c r="AK156" i="39"/>
  <c r="AF166" i="39"/>
  <c r="AX156" i="39"/>
  <c r="X156" i="39"/>
  <c r="AD156" i="39"/>
  <c r="AS156" i="39"/>
  <c r="AJ156" i="39"/>
  <c r="AI166" i="39"/>
  <c r="AH156" i="39"/>
  <c r="AG156" i="39"/>
  <c r="AN166" i="39"/>
  <c r="AU166" i="39"/>
  <c r="AA156" i="39"/>
  <c r="AG166" i="39"/>
  <c r="AA166" i="39"/>
  <c r="Y156" i="39"/>
  <c r="M17" i="39"/>
  <c r="K29" i="39"/>
  <c r="G253" i="39"/>
  <c r="G255" i="39" s="1"/>
  <c r="G256" i="39" s="1"/>
  <c r="E17" i="39"/>
  <c r="F19" i="39"/>
  <c r="N19" i="39"/>
  <c r="L22" i="39"/>
  <c r="E29" i="39"/>
  <c r="K85" i="39"/>
  <c r="K93" i="39"/>
  <c r="D187" i="39"/>
  <c r="D189" i="39" s="1"/>
  <c r="D192" i="39" s="1"/>
  <c r="L187" i="39"/>
  <c r="N460" i="39"/>
  <c r="K108" i="39"/>
  <c r="J108" i="39"/>
  <c r="H144" i="39"/>
  <c r="H145" i="39" s="1"/>
  <c r="H147" i="39" s="1"/>
  <c r="J210" i="39"/>
  <c r="H239" i="39"/>
  <c r="K272" i="39"/>
  <c r="L333" i="39"/>
  <c r="L334" i="39" s="1"/>
  <c r="L337" i="39" s="1"/>
  <c r="L338" i="39" s="1"/>
  <c r="H411" i="39"/>
  <c r="H415" i="39" s="1"/>
  <c r="H455" i="39"/>
  <c r="K454" i="39"/>
  <c r="K455" i="39" s="1"/>
  <c r="H19" i="39"/>
  <c r="H108" i="39"/>
  <c r="I126" i="39"/>
  <c r="J144" i="39"/>
  <c r="J145" i="39" s="1"/>
  <c r="F187" i="39"/>
  <c r="F189" i="39" s="1"/>
  <c r="F192" i="39" s="1"/>
  <c r="K216" i="39"/>
  <c r="K112" i="39" s="1"/>
  <c r="K119" i="39" s="1"/>
  <c r="E216" i="39"/>
  <c r="E112" i="39" s="1"/>
  <c r="E119" i="39" s="1"/>
  <c r="M287" i="39"/>
  <c r="M288" i="39" s="1"/>
  <c r="N287" i="39"/>
  <c r="N288" i="39" s="1"/>
  <c r="F334" i="39"/>
  <c r="F337" i="39" s="1"/>
  <c r="F338" i="39" s="1"/>
  <c r="F411" i="39"/>
  <c r="F415" i="39" s="1"/>
  <c r="N411" i="39"/>
  <c r="I17" i="39"/>
  <c r="M29" i="39"/>
  <c r="J126" i="39"/>
  <c r="G187" i="39"/>
  <c r="G189" i="39" s="1"/>
  <c r="G192" i="39" s="1"/>
  <c r="G216" i="39"/>
  <c r="G112" i="39" s="1"/>
  <c r="G119" i="39" s="1"/>
  <c r="F225" i="39"/>
  <c r="J287" i="39"/>
  <c r="J288" i="39" s="1"/>
  <c r="G334" i="39"/>
  <c r="F455" i="39"/>
  <c r="N455" i="39"/>
  <c r="K19" i="39"/>
  <c r="J19" i="39"/>
  <c r="E145" i="39"/>
  <c r="E147" i="39" s="1"/>
  <c r="E148" i="39" s="1"/>
  <c r="M145" i="39"/>
  <c r="M147" i="39" s="1"/>
  <c r="M148" i="39" s="1"/>
  <c r="M216" i="39"/>
  <c r="M112" i="39" s="1"/>
  <c r="M119" i="39" s="1"/>
  <c r="D239" i="39"/>
  <c r="L455" i="39"/>
  <c r="J460" i="39"/>
  <c r="M12" i="39"/>
  <c r="L17" i="39"/>
  <c r="K232" i="39"/>
  <c r="J239" i="39"/>
  <c r="K12" i="39"/>
  <c r="L14" i="39"/>
  <c r="K20" i="39"/>
  <c r="J20" i="39"/>
  <c r="L239" i="39"/>
  <c r="I287" i="39"/>
  <c r="I288" i="39" s="1"/>
  <c r="J431" i="39"/>
  <c r="O43" i="39"/>
  <c r="P43" i="39" s="1"/>
  <c r="O380" i="39"/>
  <c r="E275" i="39"/>
  <c r="E276" i="39" s="1"/>
  <c r="F253" i="39"/>
  <c r="F255" i="39" s="1"/>
  <c r="F256" i="39" s="1"/>
  <c r="H253" i="39"/>
  <c r="H255" i="39" s="1"/>
  <c r="H256" i="39" s="1"/>
  <c r="O114" i="39"/>
  <c r="I253" i="39"/>
  <c r="I255" i="39" s="1"/>
  <c r="I256" i="39" s="1"/>
  <c r="O170" i="39"/>
  <c r="P170" i="39" s="1"/>
  <c r="O264" i="39"/>
  <c r="O463" i="39"/>
  <c r="P463" i="39" s="1"/>
  <c r="O459" i="39"/>
  <c r="P459" i="39" s="1"/>
  <c r="O452" i="39"/>
  <c r="P452" i="39" s="1"/>
  <c r="O320" i="39"/>
  <c r="P320" i="39" s="1"/>
  <c r="Q320" i="39" s="1"/>
  <c r="R320" i="39" s="1"/>
  <c r="S320" i="39" s="1"/>
  <c r="T320" i="39" s="1"/>
  <c r="U320" i="39" s="1"/>
  <c r="V320" i="39" s="1"/>
  <c r="W320" i="39" s="1"/>
  <c r="X320" i="39" s="1"/>
  <c r="Y320" i="39" s="1"/>
  <c r="Z320" i="39" s="1"/>
  <c r="AA320" i="39" s="1"/>
  <c r="AB320" i="39" s="1"/>
  <c r="AC320" i="39" s="1"/>
  <c r="AD320" i="39" s="1"/>
  <c r="AE320" i="39" s="1"/>
  <c r="AF320" i="39" s="1"/>
  <c r="AG320" i="39" s="1"/>
  <c r="AH320" i="39" s="1"/>
  <c r="AI320" i="39" s="1"/>
  <c r="AJ320" i="39" s="1"/>
  <c r="AK320" i="39" s="1"/>
  <c r="AL320" i="39" s="1"/>
  <c r="AM320" i="39" s="1"/>
  <c r="AN320" i="39" s="1"/>
  <c r="AO320" i="39" s="1"/>
  <c r="AP320" i="39" s="1"/>
  <c r="AQ320" i="39" s="1"/>
  <c r="AR320" i="39" s="1"/>
  <c r="AS320" i="39" s="1"/>
  <c r="AT320" i="39" s="1"/>
  <c r="AU320" i="39" s="1"/>
  <c r="AV320" i="39" s="1"/>
  <c r="AW320" i="39" s="1"/>
  <c r="AX320" i="39" s="1"/>
  <c r="O387" i="39"/>
  <c r="P387" i="39" s="1"/>
  <c r="Q387" i="39" s="1"/>
  <c r="R387" i="39" s="1"/>
  <c r="S387" i="39" s="1"/>
  <c r="T387" i="39" s="1"/>
  <c r="U387" i="39" s="1"/>
  <c r="V387" i="39" s="1"/>
  <c r="W387" i="39" s="1"/>
  <c r="X387" i="39" s="1"/>
  <c r="Y387" i="39" s="1"/>
  <c r="Z387" i="39" s="1"/>
  <c r="AA387" i="39" s="1"/>
  <c r="AB387" i="39" s="1"/>
  <c r="AC387" i="39" s="1"/>
  <c r="AD387" i="39" s="1"/>
  <c r="AE387" i="39" s="1"/>
  <c r="AF387" i="39" s="1"/>
  <c r="AG387" i="39" s="1"/>
  <c r="AH387" i="39" s="1"/>
  <c r="AI387" i="39" s="1"/>
  <c r="AJ387" i="39" s="1"/>
  <c r="AK387" i="39" s="1"/>
  <c r="AL387" i="39" s="1"/>
  <c r="AM387" i="39" s="1"/>
  <c r="AN387" i="39" s="1"/>
  <c r="AO387" i="39" s="1"/>
  <c r="AP387" i="39" s="1"/>
  <c r="AQ387" i="39" s="1"/>
  <c r="AR387" i="39" s="1"/>
  <c r="AS387" i="39" s="1"/>
  <c r="AT387" i="39" s="1"/>
  <c r="AU387" i="39" s="1"/>
  <c r="AV387" i="39" s="1"/>
  <c r="AW387" i="39" s="1"/>
  <c r="AX387" i="39" s="1"/>
  <c r="K166" i="39"/>
  <c r="O156" i="39"/>
  <c r="G156" i="39"/>
  <c r="O321" i="39"/>
  <c r="P321" i="39" s="1"/>
  <c r="Q321" i="39" s="1"/>
  <c r="R321" i="39" s="1"/>
  <c r="S321" i="39" s="1"/>
  <c r="T321" i="39" s="1"/>
  <c r="U321" i="39" s="1"/>
  <c r="V321" i="39" s="1"/>
  <c r="W321" i="39" s="1"/>
  <c r="X321" i="39" s="1"/>
  <c r="Y321" i="39" s="1"/>
  <c r="Z321" i="39" s="1"/>
  <c r="AA321" i="39" s="1"/>
  <c r="AB321" i="39" s="1"/>
  <c r="AC321" i="39" s="1"/>
  <c r="AD321" i="39" s="1"/>
  <c r="AE321" i="39" s="1"/>
  <c r="AF321" i="39" s="1"/>
  <c r="AG321" i="39" s="1"/>
  <c r="AH321" i="39" s="1"/>
  <c r="AI321" i="39" s="1"/>
  <c r="AJ321" i="39" s="1"/>
  <c r="AK321" i="39" s="1"/>
  <c r="AL321" i="39" s="1"/>
  <c r="AM321" i="39" s="1"/>
  <c r="AN321" i="39" s="1"/>
  <c r="AO321" i="39" s="1"/>
  <c r="AP321" i="39" s="1"/>
  <c r="AQ321" i="39" s="1"/>
  <c r="AR321" i="39" s="1"/>
  <c r="AS321" i="39" s="1"/>
  <c r="AT321" i="39" s="1"/>
  <c r="AU321" i="39" s="1"/>
  <c r="AV321" i="39" s="1"/>
  <c r="AW321" i="39" s="1"/>
  <c r="AX321" i="39" s="1"/>
  <c r="J166" i="39"/>
  <c r="N156" i="39"/>
  <c r="F156" i="39"/>
  <c r="I166" i="39"/>
  <c r="M156" i="39"/>
  <c r="E156" i="39"/>
  <c r="O236" i="39"/>
  <c r="P236" i="39" s="1"/>
  <c r="H166" i="39"/>
  <c r="L156" i="39"/>
  <c r="D156" i="39"/>
  <c r="O166" i="39"/>
  <c r="G166" i="39"/>
  <c r="K156" i="39"/>
  <c r="N166" i="39"/>
  <c r="F166" i="39"/>
  <c r="J156" i="39"/>
  <c r="M166" i="39"/>
  <c r="E166" i="39"/>
  <c r="I156" i="39"/>
  <c r="L166" i="39"/>
  <c r="D166" i="39"/>
  <c r="H156" i="39"/>
  <c r="C136" i="39" a="1"/>
  <c r="C136" i="39" s="1"/>
  <c r="C135" i="39" a="1"/>
  <c r="C135" i="39" s="1"/>
  <c r="C134" i="39" a="1"/>
  <c r="C134" i="39" s="1"/>
  <c r="O30" i="39"/>
  <c r="P30" i="39" s="1"/>
  <c r="Q30" i="39" s="1"/>
  <c r="R30" i="39" s="1"/>
  <c r="S30" i="39" s="1"/>
  <c r="T30" i="39" s="1"/>
  <c r="O115" i="39"/>
  <c r="P115" i="39" s="1"/>
  <c r="Q115" i="39" s="1"/>
  <c r="R115" i="39" s="1"/>
  <c r="S115" i="39" s="1"/>
  <c r="T115" i="39" s="1"/>
  <c r="U115" i="39" s="1"/>
  <c r="V115" i="39" s="1"/>
  <c r="W115" i="39" s="1"/>
  <c r="X115" i="39" s="1"/>
  <c r="Y115" i="39" s="1"/>
  <c r="Z115" i="39" s="1"/>
  <c r="AA115" i="39" s="1"/>
  <c r="AB115" i="39" s="1"/>
  <c r="AC115" i="39" s="1"/>
  <c r="AD115" i="39" s="1"/>
  <c r="AE115" i="39" s="1"/>
  <c r="AF115" i="39" s="1"/>
  <c r="AG115" i="39" s="1"/>
  <c r="AH115" i="39" s="1"/>
  <c r="AI115" i="39" s="1"/>
  <c r="AJ115" i="39" s="1"/>
  <c r="AK115" i="39" s="1"/>
  <c r="AL115" i="39" s="1"/>
  <c r="AM115" i="39" s="1"/>
  <c r="AN115" i="39" s="1"/>
  <c r="AO115" i="39" s="1"/>
  <c r="AP115" i="39" s="1"/>
  <c r="AQ115" i="39" s="1"/>
  <c r="AR115" i="39" s="1"/>
  <c r="AS115" i="39" s="1"/>
  <c r="AT115" i="39" s="1"/>
  <c r="AU115" i="39" s="1"/>
  <c r="AV115" i="39" s="1"/>
  <c r="AW115" i="39" s="1"/>
  <c r="AX115" i="39" s="1"/>
  <c r="H29" i="39"/>
  <c r="G29" i="39"/>
  <c r="I14" i="39"/>
  <c r="H14" i="39"/>
  <c r="F22" i="39"/>
  <c r="E22" i="39"/>
  <c r="N22" i="39"/>
  <c r="M22" i="39"/>
  <c r="O24" i="39"/>
  <c r="P24" i="39" s="1"/>
  <c r="Q24" i="39" s="1"/>
  <c r="R24" i="39" s="1"/>
  <c r="S24" i="39" s="1"/>
  <c r="T24" i="39" s="1"/>
  <c r="U24" i="39" s="1"/>
  <c r="V24" i="39" s="1"/>
  <c r="W24" i="39" s="1"/>
  <c r="X24" i="39" s="1"/>
  <c r="Y24" i="39" s="1"/>
  <c r="Z24" i="39" s="1"/>
  <c r="AA24" i="39" s="1"/>
  <c r="AB24" i="39" s="1"/>
  <c r="AC24" i="39" s="1"/>
  <c r="AD24" i="39" s="1"/>
  <c r="AE24" i="39" s="1"/>
  <c r="AF24" i="39" s="1"/>
  <c r="AG24" i="39" s="1"/>
  <c r="AH24" i="39" s="1"/>
  <c r="AI24" i="39" s="1"/>
  <c r="AJ24" i="39" s="1"/>
  <c r="AK24" i="39" s="1"/>
  <c r="AL24" i="39" s="1"/>
  <c r="AM24" i="39" s="1"/>
  <c r="AN24" i="39" s="1"/>
  <c r="AO24" i="39" s="1"/>
  <c r="AP24" i="39" s="1"/>
  <c r="AQ24" i="39" s="1"/>
  <c r="AR24" i="39" s="1"/>
  <c r="AS24" i="39" s="1"/>
  <c r="AT24" i="39" s="1"/>
  <c r="AU24" i="39" s="1"/>
  <c r="AV24" i="39" s="1"/>
  <c r="AW24" i="39" s="1"/>
  <c r="AX24" i="39" s="1"/>
  <c r="J12" i="39"/>
  <c r="E19" i="39"/>
  <c r="D20" i="39"/>
  <c r="M19" i="39"/>
  <c r="L20" i="39"/>
  <c r="L19" i="39"/>
  <c r="G17" i="39"/>
  <c r="F17" i="39"/>
  <c r="F20" i="39"/>
  <c r="N17" i="39"/>
  <c r="N20" i="39"/>
  <c r="O23" i="39"/>
  <c r="K351" i="39"/>
  <c r="E392" i="39"/>
  <c r="M392" i="39"/>
  <c r="K144" i="39"/>
  <c r="K145" i="39" s="1"/>
  <c r="L78" i="39"/>
  <c r="L81" i="39" s="1"/>
  <c r="L82" i="39" s="1"/>
  <c r="L83" i="39" s="1"/>
  <c r="L85" i="39"/>
  <c r="D85" i="39"/>
  <c r="N351" i="39"/>
  <c r="H392" i="39"/>
  <c r="D126" i="39"/>
  <c r="L126" i="39"/>
  <c r="G139" i="39"/>
  <c r="G140" i="39" s="1"/>
  <c r="E194" i="39"/>
  <c r="E195" i="39" s="1"/>
  <c r="F93" i="39"/>
  <c r="N93" i="39"/>
  <c r="D487" i="39"/>
  <c r="D489" i="39" s="1"/>
  <c r="D108" i="39"/>
  <c r="L487" i="39"/>
  <c r="L489" i="39" s="1"/>
  <c r="L108" i="39"/>
  <c r="F216" i="39"/>
  <c r="F112" i="39" s="1"/>
  <c r="F119" i="39" s="1"/>
  <c r="N216" i="39"/>
  <c r="N112" i="39" s="1"/>
  <c r="N119" i="39" s="1"/>
  <c r="H20" i="39"/>
  <c r="H85" i="39"/>
  <c r="F126" i="39"/>
  <c r="N126" i="39"/>
  <c r="I138" i="39"/>
  <c r="I487" i="39"/>
  <c r="I489" i="39" s="1"/>
  <c r="I108" i="39"/>
  <c r="I85" i="39"/>
  <c r="I78" i="39"/>
  <c r="I81" i="39" s="1"/>
  <c r="I82" i="39" s="1"/>
  <c r="I83" i="39" s="1"/>
  <c r="N85" i="39"/>
  <c r="K233" i="39"/>
  <c r="L351" i="39"/>
  <c r="N392" i="39"/>
  <c r="I189" i="39"/>
  <c r="I192" i="39" s="1"/>
  <c r="I194" i="39"/>
  <c r="I195" i="39" s="1"/>
  <c r="G293" i="39"/>
  <c r="G294" i="39" s="1"/>
  <c r="M351" i="39"/>
  <c r="J78" i="39"/>
  <c r="J81" i="39" s="1"/>
  <c r="J82" i="39" s="1"/>
  <c r="J83" i="39" s="1"/>
  <c r="E85" i="39"/>
  <c r="M85" i="39"/>
  <c r="F145" i="39"/>
  <c r="N145" i="39"/>
  <c r="L232" i="39"/>
  <c r="L233" i="39"/>
  <c r="I233" i="39"/>
  <c r="I392" i="39"/>
  <c r="G145" i="39"/>
  <c r="O143" i="39"/>
  <c r="P143" i="39" s="1"/>
  <c r="Q143" i="39" s="1"/>
  <c r="R143" i="39" s="1"/>
  <c r="S143" i="39" s="1"/>
  <c r="T143" i="39" s="1"/>
  <c r="U143" i="39" s="1"/>
  <c r="V143" i="39" s="1"/>
  <c r="W143" i="39" s="1"/>
  <c r="X143" i="39" s="1"/>
  <c r="Y143" i="39" s="1"/>
  <c r="Z143" i="39" s="1"/>
  <c r="AA143" i="39" s="1"/>
  <c r="AB143" i="39" s="1"/>
  <c r="AC143" i="39" s="1"/>
  <c r="AD143" i="39" s="1"/>
  <c r="AE143" i="39" s="1"/>
  <c r="AF143" i="39" s="1"/>
  <c r="AG143" i="39" s="1"/>
  <c r="AH143" i="39" s="1"/>
  <c r="AI143" i="39" s="1"/>
  <c r="AJ143" i="39" s="1"/>
  <c r="AK143" i="39" s="1"/>
  <c r="AL143" i="39" s="1"/>
  <c r="AM143" i="39" s="1"/>
  <c r="AN143" i="39" s="1"/>
  <c r="AO143" i="39" s="1"/>
  <c r="AP143" i="39" s="1"/>
  <c r="AQ143" i="39" s="1"/>
  <c r="AR143" i="39" s="1"/>
  <c r="AS143" i="39" s="1"/>
  <c r="AT143" i="39" s="1"/>
  <c r="AU143" i="39" s="1"/>
  <c r="AV143" i="39" s="1"/>
  <c r="AW143" i="39" s="1"/>
  <c r="AX143" i="39" s="1"/>
  <c r="E233" i="39"/>
  <c r="M233" i="39"/>
  <c r="J392" i="39"/>
  <c r="E108" i="39"/>
  <c r="M108" i="39"/>
  <c r="E210" i="39"/>
  <c r="M210" i="39"/>
  <c r="F233" i="39"/>
  <c r="N233" i="39"/>
  <c r="K239" i="39"/>
  <c r="I351" i="39"/>
  <c r="K392" i="39"/>
  <c r="N78" i="39"/>
  <c r="N81" i="39" s="1"/>
  <c r="N82" i="39" s="1"/>
  <c r="N83" i="39" s="1"/>
  <c r="F108" i="39"/>
  <c r="N108" i="39"/>
  <c r="I145" i="39"/>
  <c r="N187" i="39"/>
  <c r="N273" i="39"/>
  <c r="G233" i="39"/>
  <c r="D293" i="39"/>
  <c r="D294" i="39" s="1"/>
  <c r="D337" i="39"/>
  <c r="D338" i="39" s="1"/>
  <c r="J351" i="39"/>
  <c r="D392" i="39"/>
  <c r="L392" i="39"/>
  <c r="J85" i="39"/>
  <c r="G108" i="39"/>
  <c r="D144" i="39"/>
  <c r="D145" i="39" s="1"/>
  <c r="L144" i="39"/>
  <c r="L145" i="39" s="1"/>
  <c r="G210" i="39"/>
  <c r="H233" i="39"/>
  <c r="F232" i="39"/>
  <c r="N232" i="39"/>
  <c r="J233" i="39"/>
  <c r="E266" i="39"/>
  <c r="F276" i="39"/>
  <c r="J333" i="39"/>
  <c r="J334" i="39" s="1"/>
  <c r="E293" i="39"/>
  <c r="H287" i="39"/>
  <c r="H288" i="39" s="1"/>
  <c r="H216" i="39"/>
  <c r="H112" i="39" s="1"/>
  <c r="H119" i="39" s="1"/>
  <c r="H232" i="39"/>
  <c r="F293" i="39"/>
  <c r="F294" i="39" s="1"/>
  <c r="E239" i="39"/>
  <c r="M239" i="39"/>
  <c r="I216" i="39"/>
  <c r="I112" i="39" s="1"/>
  <c r="I119" i="39" s="1"/>
  <c r="F239" i="39"/>
  <c r="N239" i="39"/>
  <c r="I275" i="39"/>
  <c r="I276" i="39" s="1"/>
  <c r="J216" i="39"/>
  <c r="H293" i="39"/>
  <c r="H294" i="39" s="1"/>
  <c r="G239" i="39"/>
  <c r="D253" i="39"/>
  <c r="I293" i="39"/>
  <c r="I294" i="39" s="1"/>
  <c r="E253" i="39"/>
  <c r="D287" i="39"/>
  <c r="D288" i="39" s="1"/>
  <c r="L287" i="39"/>
  <c r="L288" i="39" s="1"/>
  <c r="D216" i="39"/>
  <c r="D112" i="39" s="1"/>
  <c r="D119" i="39" s="1"/>
  <c r="L216" i="39"/>
  <c r="L112" i="39" s="1"/>
  <c r="L119" i="39" s="1"/>
  <c r="I239" i="39"/>
  <c r="D275" i="39"/>
  <c r="D276" i="39" s="1"/>
  <c r="F315" i="39"/>
  <c r="F316" i="39" s="1"/>
  <c r="H275" i="39"/>
  <c r="H276" i="39" s="1"/>
  <c r="G287" i="39"/>
  <c r="G288" i="39" s="1"/>
  <c r="G315" i="39"/>
  <c r="G316" i="39" s="1"/>
  <c r="K334" i="39"/>
  <c r="G464" i="39"/>
  <c r="G465" i="39" s="1"/>
  <c r="E316" i="39"/>
  <c r="N334" i="39"/>
  <c r="M338" i="39"/>
  <c r="M36" i="39" s="1"/>
  <c r="H333" i="39"/>
  <c r="H334" i="39" s="1"/>
  <c r="I334" i="39"/>
  <c r="I437" i="39"/>
  <c r="E380" i="39"/>
  <c r="M380" i="39"/>
  <c r="J464" i="39"/>
  <c r="J465" i="39" s="1"/>
  <c r="J437" i="39"/>
  <c r="K464" i="39"/>
  <c r="K465" i="39" s="1"/>
  <c r="I380" i="39"/>
  <c r="D464" i="39"/>
  <c r="D465" i="39" s="1"/>
  <c r="H464" i="39"/>
  <c r="H465" i="39" s="1"/>
  <c r="J380" i="39"/>
  <c r="D408" i="39"/>
  <c r="D394" i="39" s="1"/>
  <c r="E437" i="39"/>
  <c r="M437" i="39"/>
  <c r="K411" i="39"/>
  <c r="K415" i="39" s="1"/>
  <c r="F459" i="39"/>
  <c r="F460" i="39" s="1"/>
  <c r="L464" i="39"/>
  <c r="L465" i="39" s="1"/>
  <c r="K437" i="39"/>
  <c r="E464" i="39"/>
  <c r="E465" i="39" s="1"/>
  <c r="M464" i="39"/>
  <c r="M465" i="39" s="1"/>
  <c r="O454" i="39"/>
  <c r="P454" i="39" s="1"/>
  <c r="Q454" i="39" s="1"/>
  <c r="R454" i="39" s="1"/>
  <c r="S454" i="39" s="1"/>
  <c r="T454" i="39" s="1"/>
  <c r="U454" i="39" s="1"/>
  <c r="V454" i="39" s="1"/>
  <c r="W454" i="39" s="1"/>
  <c r="X454" i="39" s="1"/>
  <c r="Y454" i="39" s="1"/>
  <c r="Z454" i="39" s="1"/>
  <c r="AA454" i="39" s="1"/>
  <c r="AB454" i="39" s="1"/>
  <c r="AC454" i="39" s="1"/>
  <c r="AD454" i="39" s="1"/>
  <c r="AE454" i="39" s="1"/>
  <c r="AF454" i="39" s="1"/>
  <c r="AG454" i="39" s="1"/>
  <c r="AH454" i="39" s="1"/>
  <c r="AI454" i="39" s="1"/>
  <c r="AJ454" i="39" s="1"/>
  <c r="AK454" i="39" s="1"/>
  <c r="AL454" i="39" s="1"/>
  <c r="AM454" i="39" s="1"/>
  <c r="AN454" i="39" s="1"/>
  <c r="AO454" i="39" s="1"/>
  <c r="AP454" i="39" s="1"/>
  <c r="AQ454" i="39" s="1"/>
  <c r="AR454" i="39" s="1"/>
  <c r="AS454" i="39" s="1"/>
  <c r="AT454" i="39" s="1"/>
  <c r="AU454" i="39" s="1"/>
  <c r="AV454" i="39" s="1"/>
  <c r="AW454" i="39" s="1"/>
  <c r="AX454" i="39" s="1"/>
  <c r="D437" i="39"/>
  <c r="L437" i="39"/>
  <c r="N464" i="39"/>
  <c r="E460" i="39"/>
  <c r="F437" i="39"/>
  <c r="N437" i="39"/>
  <c r="D431" i="39"/>
  <c r="L431" i="39"/>
  <c r="J454" i="39"/>
  <c r="J455" i="39" s="1"/>
  <c r="M460" i="39"/>
  <c r="I464" i="39"/>
  <c r="I465" i="39" s="1"/>
  <c r="K459" i="39"/>
  <c r="K460" i="39" s="1"/>
  <c r="H489" i="39"/>
  <c r="H437" i="39"/>
  <c r="D455" i="39"/>
  <c r="F464" i="39"/>
  <c r="F465" i="39" s="1"/>
  <c r="E454" i="39"/>
  <c r="E455" i="39" s="1"/>
  <c r="M454" i="39"/>
  <c r="M455" i="39" s="1"/>
  <c r="G460" i="39"/>
  <c r="H460" i="39"/>
  <c r="J489" i="39"/>
  <c r="G455" i="39"/>
  <c r="I460" i="39"/>
  <c r="I57" i="39" s="1"/>
  <c r="E489" i="39"/>
  <c r="M489" i="39"/>
  <c r="D460" i="39"/>
  <c r="L460" i="39"/>
  <c r="F489" i="39"/>
  <c r="N489" i="39"/>
  <c r="G489" i="39"/>
  <c r="O458" i="39"/>
  <c r="P458" i="39" s="1"/>
  <c r="E35" i="39" l="1"/>
  <c r="G35" i="39"/>
  <c r="I35" i="39"/>
  <c r="D98" i="39"/>
  <c r="J189" i="39"/>
  <c r="J192" i="39" s="1"/>
  <c r="F35" i="39"/>
  <c r="F140" i="39"/>
  <c r="D35" i="39"/>
  <c r="H35" i="39"/>
  <c r="L57" i="39"/>
  <c r="K189" i="39"/>
  <c r="K192" i="39" s="1"/>
  <c r="I345" i="39"/>
  <c r="I346" i="39" s="1"/>
  <c r="I347" i="39" s="1"/>
  <c r="O113" i="39"/>
  <c r="D194" i="39"/>
  <c r="O188" i="39"/>
  <c r="O182" i="39"/>
  <c r="O183" i="39"/>
  <c r="M189" i="39"/>
  <c r="M192" i="39" s="1"/>
  <c r="H194" i="39"/>
  <c r="H195" i="39" s="1"/>
  <c r="F482" i="39"/>
  <c r="F490" i="39" s="1"/>
  <c r="L189" i="39"/>
  <c r="L192" i="39" s="1"/>
  <c r="G57" i="39"/>
  <c r="Q170" i="39"/>
  <c r="R170" i="39" s="1"/>
  <c r="S170" i="39" s="1"/>
  <c r="T170" i="39" s="1"/>
  <c r="U170" i="39" s="1"/>
  <c r="V170" i="39" s="1"/>
  <c r="W170" i="39" s="1"/>
  <c r="X170" i="39" s="1"/>
  <c r="Y170" i="39" s="1"/>
  <c r="Z170" i="39" s="1"/>
  <c r="AA170" i="39" s="1"/>
  <c r="AB170" i="39" s="1"/>
  <c r="AC170" i="39" s="1"/>
  <c r="AD170" i="39" s="1"/>
  <c r="AE170" i="39" s="1"/>
  <c r="AF170" i="39" s="1"/>
  <c r="AG170" i="39" s="1"/>
  <c r="AH170" i="39" s="1"/>
  <c r="AI170" i="39" s="1"/>
  <c r="AJ170" i="39" s="1"/>
  <c r="AK170" i="39" s="1"/>
  <c r="AL170" i="39" s="1"/>
  <c r="AM170" i="39" s="1"/>
  <c r="AN170" i="39" s="1"/>
  <c r="AO170" i="39" s="1"/>
  <c r="AP170" i="39" s="1"/>
  <c r="AQ170" i="39" s="1"/>
  <c r="AR170" i="39" s="1"/>
  <c r="AS170" i="39" s="1"/>
  <c r="AT170" i="39" s="1"/>
  <c r="AU170" i="39" s="1"/>
  <c r="AV170" i="39" s="1"/>
  <c r="AW170" i="39" s="1"/>
  <c r="AX170" i="39" s="1"/>
  <c r="F194" i="39"/>
  <c r="F195" i="39" s="1"/>
  <c r="M358" i="39"/>
  <c r="M359" i="39" s="1"/>
  <c r="M360" i="39" s="1"/>
  <c r="O333" i="39"/>
  <c r="O411" i="39"/>
  <c r="O508" i="39" s="1"/>
  <c r="Y174" i="39"/>
  <c r="O191" i="39"/>
  <c r="O273" i="39" s="1"/>
  <c r="P23" i="39"/>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X174" i="39"/>
  <c r="R174" i="39"/>
  <c r="I358" i="39"/>
  <c r="I359" i="39" s="1"/>
  <c r="I360" i="39" s="1"/>
  <c r="AA174" i="39"/>
  <c r="X174" i="39"/>
  <c r="AG174" i="39"/>
  <c r="AW174" i="39"/>
  <c r="P25" i="39"/>
  <c r="Q25" i="39" s="1"/>
  <c r="R25" i="39" s="1"/>
  <c r="S25" i="39" s="1"/>
  <c r="T25" i="39" s="1"/>
  <c r="U25" i="39" s="1"/>
  <c r="V25" i="39" s="1"/>
  <c r="W25" i="39" s="1"/>
  <c r="X25" i="39" s="1"/>
  <c r="Y25" i="39" s="1"/>
  <c r="Z25" i="39" s="1"/>
  <c r="AA25" i="39" s="1"/>
  <c r="AB25" i="39" s="1"/>
  <c r="AC25" i="39" s="1"/>
  <c r="AD25" i="39" s="1"/>
  <c r="AE25" i="39" s="1"/>
  <c r="AF25" i="39" s="1"/>
  <c r="AG25" i="39" s="1"/>
  <c r="AH25" i="39" s="1"/>
  <c r="AI25" i="39" s="1"/>
  <c r="AJ25" i="39" s="1"/>
  <c r="AK25" i="39" s="1"/>
  <c r="AL25" i="39" s="1"/>
  <c r="AM25" i="39" s="1"/>
  <c r="AN25" i="39" s="1"/>
  <c r="AO25" i="39" s="1"/>
  <c r="AP25" i="39" s="1"/>
  <c r="AQ25" i="39" s="1"/>
  <c r="AR25" i="39" s="1"/>
  <c r="AS25" i="39" s="1"/>
  <c r="AT25" i="39" s="1"/>
  <c r="AU25" i="39" s="1"/>
  <c r="AV25" i="39" s="1"/>
  <c r="AW25" i="39" s="1"/>
  <c r="AX25" i="39" s="1"/>
  <c r="AD174" i="39"/>
  <c r="AF174" i="39"/>
  <c r="AK174" i="39"/>
  <c r="AV174" i="39"/>
  <c r="Z174" i="39"/>
  <c r="AJ174" i="39"/>
  <c r="AE174" i="39"/>
  <c r="V174" i="39"/>
  <c r="AS174" i="39"/>
  <c r="AN174" i="39"/>
  <c r="AB174" i="39"/>
  <c r="AQ174" i="39"/>
  <c r="AT174" i="39"/>
  <c r="T174" i="39"/>
  <c r="Q458" i="39"/>
  <c r="P512" i="39"/>
  <c r="Q174" i="39"/>
  <c r="AU174" i="39"/>
  <c r="AP174" i="39"/>
  <c r="D109" i="39"/>
  <c r="S174" i="39"/>
  <c r="AO174" i="39"/>
  <c r="K358" i="39"/>
  <c r="K359" i="39" s="1"/>
  <c r="K360" i="39" s="1"/>
  <c r="AH174" i="39"/>
  <c r="AM174" i="39"/>
  <c r="AC174" i="39"/>
  <c r="F98" i="39"/>
  <c r="AI174" i="39"/>
  <c r="W174" i="39"/>
  <c r="AR174" i="39"/>
  <c r="P174" i="39"/>
  <c r="AL174" i="39"/>
  <c r="K57" i="39"/>
  <c r="U174" i="39"/>
  <c r="Q43" i="39"/>
  <c r="R146" i="39"/>
  <c r="Q452" i="39"/>
  <c r="P455" i="39"/>
  <c r="P503" i="39"/>
  <c r="Q459" i="39"/>
  <c r="P460" i="39"/>
  <c r="U30" i="39"/>
  <c r="T233" i="39"/>
  <c r="Q463" i="39"/>
  <c r="Q236" i="39"/>
  <c r="P291" i="39"/>
  <c r="J147" i="39"/>
  <c r="J148" i="39" s="1"/>
  <c r="I482" i="39"/>
  <c r="I98" i="39"/>
  <c r="G194" i="39"/>
  <c r="G195" i="39" s="1"/>
  <c r="I367" i="39"/>
  <c r="I368" i="39" s="1"/>
  <c r="I369" i="39" s="1"/>
  <c r="N57" i="39"/>
  <c r="M57" i="39"/>
  <c r="E383" i="39"/>
  <c r="F383" i="39" s="1"/>
  <c r="G383" i="39" s="1"/>
  <c r="H383" i="39" s="1"/>
  <c r="I383" i="39" s="1"/>
  <c r="J383" i="39" s="1"/>
  <c r="K383" i="39" s="1"/>
  <c r="L383" i="39" s="1"/>
  <c r="M383" i="39" s="1"/>
  <c r="N383" i="39" s="1"/>
  <c r="O383" i="39" s="1"/>
  <c r="P383" i="39" s="1"/>
  <c r="Q383" i="39" s="1"/>
  <c r="R383" i="39" s="1"/>
  <c r="S383" i="39" s="1"/>
  <c r="T383" i="39" s="1"/>
  <c r="U383" i="39" s="1"/>
  <c r="V383" i="39" s="1"/>
  <c r="W383" i="39" s="1"/>
  <c r="X383" i="39" s="1"/>
  <c r="Y383" i="39" s="1"/>
  <c r="Z383" i="39" s="1"/>
  <c r="AA383" i="39" s="1"/>
  <c r="AB383" i="39" s="1"/>
  <c r="AC383" i="39" s="1"/>
  <c r="AD383" i="39" s="1"/>
  <c r="AE383" i="39" s="1"/>
  <c r="AF383" i="39" s="1"/>
  <c r="AG383" i="39" s="1"/>
  <c r="AH383" i="39" s="1"/>
  <c r="AI383" i="39" s="1"/>
  <c r="AJ383" i="39" s="1"/>
  <c r="AK383" i="39" s="1"/>
  <c r="AL383" i="39" s="1"/>
  <c r="AM383" i="39" s="1"/>
  <c r="AN383" i="39" s="1"/>
  <c r="AO383" i="39" s="1"/>
  <c r="AP383" i="39" s="1"/>
  <c r="AQ383" i="39" s="1"/>
  <c r="AR383" i="39" s="1"/>
  <c r="AS383" i="39" s="1"/>
  <c r="AT383" i="39" s="1"/>
  <c r="AU383" i="39" s="1"/>
  <c r="AV383" i="39" s="1"/>
  <c r="AW383" i="39" s="1"/>
  <c r="AX383" i="39" s="1"/>
  <c r="H148" i="39"/>
  <c r="N345" i="39"/>
  <c r="N346" i="39" s="1"/>
  <c r="E57" i="39"/>
  <c r="G64" i="39"/>
  <c r="F57" i="39"/>
  <c r="E482" i="39"/>
  <c r="E98" i="39"/>
  <c r="H57" i="39"/>
  <c r="L358" i="39"/>
  <c r="L359" i="39" s="1"/>
  <c r="L360" i="39" s="1"/>
  <c r="E111" i="39"/>
  <c r="G337" i="39"/>
  <c r="G338" i="39" s="1"/>
  <c r="J57" i="39"/>
  <c r="N415" i="39"/>
  <c r="O415" i="39" s="1"/>
  <c r="O314" i="39"/>
  <c r="O233" i="39"/>
  <c r="O464" i="39"/>
  <c r="K147" i="39"/>
  <c r="K148" i="39" s="1"/>
  <c r="L147" i="39"/>
  <c r="L148" i="39" s="1"/>
  <c r="I109" i="39"/>
  <c r="H337" i="39"/>
  <c r="H338" i="39" s="1"/>
  <c r="F36" i="39"/>
  <c r="F111" i="39"/>
  <c r="J337" i="39"/>
  <c r="J338" i="39" s="1"/>
  <c r="D36" i="39"/>
  <c r="D111" i="39"/>
  <c r="D127" i="39" s="1"/>
  <c r="L36" i="39"/>
  <c r="L111" i="39"/>
  <c r="I197" i="39"/>
  <c r="I198" i="39" s="1"/>
  <c r="E197" i="39"/>
  <c r="E198" i="39" s="1"/>
  <c r="O26" i="39"/>
  <c r="O291" i="39"/>
  <c r="M345" i="39"/>
  <c r="M367" i="39"/>
  <c r="O503" i="39"/>
  <c r="O455" i="39"/>
  <c r="N465" i="39"/>
  <c r="E439" i="39"/>
  <c r="E440" i="39" s="1"/>
  <c r="E64" i="39" s="1"/>
  <c r="I337" i="39"/>
  <c r="I338" i="39" s="1"/>
  <c r="E294" i="39"/>
  <c r="E53" i="39" s="1"/>
  <c r="J353" i="39"/>
  <c r="J354" i="39" s="1"/>
  <c r="H140" i="39"/>
  <c r="K174" i="39"/>
  <c r="K158" i="39"/>
  <c r="K159" i="39" s="1"/>
  <c r="D174" i="39"/>
  <c r="D158" i="39"/>
  <c r="D159" i="39" s="1"/>
  <c r="D163" i="39" s="1"/>
  <c r="N358" i="39"/>
  <c r="E255" i="39"/>
  <c r="E256" i="39" s="1"/>
  <c r="E325" i="39"/>
  <c r="N189" i="39"/>
  <c r="N192" i="39" s="1"/>
  <c r="L174" i="39"/>
  <c r="L158" i="39"/>
  <c r="L159" i="39" s="1"/>
  <c r="L163" i="39" s="1"/>
  <c r="D482" i="39"/>
  <c r="L439" i="39"/>
  <c r="L440" i="39" s="1"/>
  <c r="L64" i="39" s="1"/>
  <c r="J112" i="39"/>
  <c r="J119" i="39" s="1"/>
  <c r="O434" i="39"/>
  <c r="O84" i="39"/>
  <c r="P29" i="39"/>
  <c r="Q29" i="39" s="1"/>
  <c r="R29" i="39" s="1"/>
  <c r="S29" i="39" s="1"/>
  <c r="T29" i="39" s="1"/>
  <c r="U29" i="39" s="1"/>
  <c r="V29" i="39" s="1"/>
  <c r="W29" i="39" s="1"/>
  <c r="X29" i="39" s="1"/>
  <c r="Y29" i="39" s="1"/>
  <c r="O28" i="39"/>
  <c r="G167" i="39"/>
  <c r="G168" i="39" s="1"/>
  <c r="E174" i="39"/>
  <c r="E158" i="39"/>
  <c r="E159" i="39" s="1"/>
  <c r="E163" i="39" s="1"/>
  <c r="J367" i="39"/>
  <c r="D147" i="39"/>
  <c r="D148" i="39" s="1"/>
  <c r="J174" i="39"/>
  <c r="J158" i="39"/>
  <c r="J159" i="39" s="1"/>
  <c r="J163" i="39" s="1"/>
  <c r="D57" i="39"/>
  <c r="D439" i="39"/>
  <c r="D440" i="39" s="1"/>
  <c r="D64" i="39" s="1"/>
  <c r="G147" i="39"/>
  <c r="G148" i="39" s="1"/>
  <c r="M353" i="39"/>
  <c r="M354" i="39" s="1"/>
  <c r="K353" i="39"/>
  <c r="K354" i="39" s="1"/>
  <c r="H174" i="39"/>
  <c r="H158" i="39"/>
  <c r="H159" i="39" s="1"/>
  <c r="H163" i="39" s="1"/>
  <c r="E167" i="39"/>
  <c r="E168" i="39" s="1"/>
  <c r="F167" i="39"/>
  <c r="F168" i="39" s="1"/>
  <c r="H167" i="39"/>
  <c r="H168" i="39" s="1"/>
  <c r="M174" i="39"/>
  <c r="M158" i="39"/>
  <c r="M159" i="39" s="1"/>
  <c r="F174" i="39"/>
  <c r="F158" i="39"/>
  <c r="F159" i="39" s="1"/>
  <c r="G174" i="39"/>
  <c r="G158" i="39"/>
  <c r="G159" i="39" s="1"/>
  <c r="H439" i="39"/>
  <c r="H440" i="39" s="1"/>
  <c r="H64" i="39" s="1"/>
  <c r="K439" i="39"/>
  <c r="K440" i="39" s="1"/>
  <c r="K64" i="39" s="1"/>
  <c r="N353" i="39"/>
  <c r="N354" i="39" s="1"/>
  <c r="L167" i="39"/>
  <c r="L168" i="39" s="1"/>
  <c r="I174" i="39"/>
  <c r="I158" i="39"/>
  <c r="I159" i="39" s="1"/>
  <c r="I163" i="39" s="1"/>
  <c r="N439" i="39"/>
  <c r="O439" i="39" s="1"/>
  <c r="G482" i="39"/>
  <c r="G98" i="39"/>
  <c r="E268" i="39"/>
  <c r="E269" i="39" s="1"/>
  <c r="I353" i="39"/>
  <c r="I354" i="39" s="1"/>
  <c r="N147" i="39"/>
  <c r="O72" i="39"/>
  <c r="D167" i="39"/>
  <c r="D168" i="39" s="1"/>
  <c r="M167" i="39"/>
  <c r="M168" i="39" s="1"/>
  <c r="N167" i="39"/>
  <c r="N168" i="39" s="1"/>
  <c r="N174" i="39"/>
  <c r="N158" i="39"/>
  <c r="O174" i="39"/>
  <c r="L367" i="39"/>
  <c r="J345" i="39"/>
  <c r="E324" i="39"/>
  <c r="O460" i="39"/>
  <c r="O118" i="39" s="1"/>
  <c r="O512" i="39"/>
  <c r="F439" i="39"/>
  <c r="F440" i="39" s="1"/>
  <c r="F64" i="39" s="1"/>
  <c r="E408" i="39"/>
  <c r="D393" i="39"/>
  <c r="D395" i="39" s="1"/>
  <c r="J439" i="39"/>
  <c r="J440" i="39" s="1"/>
  <c r="J64" i="39" s="1"/>
  <c r="H482" i="39"/>
  <c r="H98" i="39"/>
  <c r="I147" i="39"/>
  <c r="I148" i="39" s="1"/>
  <c r="F147" i="39"/>
  <c r="F148" i="39" s="1"/>
  <c r="O75" i="39"/>
  <c r="I167" i="39"/>
  <c r="I168" i="39" s="1"/>
  <c r="J358" i="39"/>
  <c r="N367" i="39"/>
  <c r="M439" i="39"/>
  <c r="M440" i="39" s="1"/>
  <c r="M64" i="39" s="1"/>
  <c r="I139" i="39"/>
  <c r="C139" i="39" s="1" a="1"/>
  <c r="C139" i="39" s="1"/>
  <c r="N337" i="39"/>
  <c r="D195" i="39"/>
  <c r="I439" i="39"/>
  <c r="I440" i="39" s="1"/>
  <c r="I64" i="39" s="1"/>
  <c r="K337" i="39"/>
  <c r="K338" i="39" s="1"/>
  <c r="D255" i="39"/>
  <c r="D256" i="39" s="1"/>
  <c r="L353" i="39"/>
  <c r="L354" i="39" s="1"/>
  <c r="M111" i="39"/>
  <c r="J167" i="39"/>
  <c r="J168" i="39" s="1"/>
  <c r="K167" i="39"/>
  <c r="K168" i="39" s="1"/>
  <c r="K367" i="39"/>
  <c r="L345" i="39"/>
  <c r="K345" i="39"/>
  <c r="E46" i="39" l="1"/>
  <c r="F51" i="39"/>
  <c r="E127" i="39"/>
  <c r="P188" i="39"/>
  <c r="Q188" i="39" s="1"/>
  <c r="R188" i="39" s="1"/>
  <c r="S188" i="39" s="1"/>
  <c r="T188" i="39" s="1"/>
  <c r="U188" i="39" s="1"/>
  <c r="V188" i="39" s="1"/>
  <c r="W188" i="39" s="1"/>
  <c r="X188" i="39" s="1"/>
  <c r="Y188" i="39" s="1"/>
  <c r="P183" i="39"/>
  <c r="Q183" i="39" s="1"/>
  <c r="R183" i="39" s="1"/>
  <c r="S183" i="39" s="1"/>
  <c r="T183" i="39" s="1"/>
  <c r="U183" i="39" s="1"/>
  <c r="V183" i="39" s="1"/>
  <c r="W183" i="39" s="1"/>
  <c r="X183" i="39" s="1"/>
  <c r="Y183" i="39" s="1"/>
  <c r="P182" i="39"/>
  <c r="Q182" i="39" s="1"/>
  <c r="R182" i="39" s="1"/>
  <c r="S182" i="39" s="1"/>
  <c r="T182" i="39" s="1"/>
  <c r="U182" i="39" s="1"/>
  <c r="V182" i="39" s="1"/>
  <c r="W182" i="39" s="1"/>
  <c r="X182" i="39" s="1"/>
  <c r="Y182" i="39" s="1"/>
  <c r="O412" i="39"/>
  <c r="O122" i="39" s="1"/>
  <c r="E109" i="39"/>
  <c r="F127" i="39"/>
  <c r="F109" i="39"/>
  <c r="O444" i="39"/>
  <c r="O510" i="39" s="1"/>
  <c r="O509" i="39"/>
  <c r="O416" i="39"/>
  <c r="O123" i="39" s="1"/>
  <c r="P415" i="39"/>
  <c r="Q415" i="39" s="1"/>
  <c r="R415" i="39" s="1"/>
  <c r="S415" i="39" s="1"/>
  <c r="T415" i="39" s="1"/>
  <c r="U415" i="39" s="1"/>
  <c r="V415" i="39" s="1"/>
  <c r="W415" i="39" s="1"/>
  <c r="X415" i="39" s="1"/>
  <c r="Y415" i="39" s="1"/>
  <c r="P411" i="39"/>
  <c r="Q411" i="39" s="1"/>
  <c r="R411" i="39" s="1"/>
  <c r="S411" i="39" s="1"/>
  <c r="T411" i="39" s="1"/>
  <c r="U411" i="39" s="1"/>
  <c r="V411" i="39" s="1"/>
  <c r="W411" i="39" s="1"/>
  <c r="X411" i="39" s="1"/>
  <c r="Y411" i="39" s="1"/>
  <c r="P333" i="39"/>
  <c r="Q333" i="39" s="1"/>
  <c r="R333" i="39" s="1"/>
  <c r="S333" i="39" s="1"/>
  <c r="T333" i="39" s="1"/>
  <c r="U333" i="39" s="1"/>
  <c r="V333" i="39" s="1"/>
  <c r="W333" i="39" s="1"/>
  <c r="X333" i="39" s="1"/>
  <c r="Y333" i="39" s="1"/>
  <c r="O158" i="39"/>
  <c r="P158" i="39" s="1"/>
  <c r="Q158" i="39" s="1"/>
  <c r="R158" i="39" s="1"/>
  <c r="S158" i="39" s="1"/>
  <c r="T158" i="39" s="1"/>
  <c r="U158" i="39" s="1"/>
  <c r="P191" i="39"/>
  <c r="P439" i="39"/>
  <c r="Q439" i="39" s="1"/>
  <c r="R43" i="39"/>
  <c r="S146" i="39"/>
  <c r="P75" i="39"/>
  <c r="Q75" i="39" s="1"/>
  <c r="Q512" i="39"/>
  <c r="R458" i="39"/>
  <c r="P118" i="39"/>
  <c r="P72" i="39"/>
  <c r="Q72" i="39" s="1"/>
  <c r="R72" i="39" s="1"/>
  <c r="S72" i="39" s="1"/>
  <c r="T72" i="39" s="1"/>
  <c r="U72" i="39" s="1"/>
  <c r="V72" i="39" s="1"/>
  <c r="W72" i="39" s="1"/>
  <c r="X72" i="39" s="1"/>
  <c r="Y72" i="39" s="1"/>
  <c r="R459" i="39"/>
  <c r="Q460" i="39"/>
  <c r="Q118" i="39" s="1"/>
  <c r="O161" i="39"/>
  <c r="P233" i="39"/>
  <c r="Q233" i="39" s="1"/>
  <c r="R233" i="39" s="1"/>
  <c r="S233" i="39" s="1"/>
  <c r="P116" i="39"/>
  <c r="P84" i="39"/>
  <c r="Q84" i="39" s="1"/>
  <c r="R84" i="39" s="1"/>
  <c r="S84" i="39" s="1"/>
  <c r="T84" i="39" s="1"/>
  <c r="U84" i="39" s="1"/>
  <c r="V84" i="39" s="1"/>
  <c r="W84" i="39" s="1"/>
  <c r="X84" i="39" s="1"/>
  <c r="Y84" i="39" s="1"/>
  <c r="R463" i="39"/>
  <c r="R452" i="39"/>
  <c r="Q455" i="39"/>
  <c r="Q503" i="39"/>
  <c r="O465" i="39"/>
  <c r="O466" i="39" s="1"/>
  <c r="P464" i="39"/>
  <c r="O448" i="39"/>
  <c r="P314" i="39"/>
  <c r="P434" i="39"/>
  <c r="Q291" i="39"/>
  <c r="R236" i="39"/>
  <c r="V30" i="39"/>
  <c r="U233" i="39"/>
  <c r="Z29" i="39"/>
  <c r="Y26" i="39"/>
  <c r="G36" i="39"/>
  <c r="G111" i="39"/>
  <c r="G127" i="39" s="1"/>
  <c r="N440" i="39"/>
  <c r="N64" i="39" s="1"/>
  <c r="I140" i="39"/>
  <c r="O449" i="39"/>
  <c r="O160" i="39"/>
  <c r="M163" i="39"/>
  <c r="J36" i="39"/>
  <c r="J111" i="39"/>
  <c r="H171" i="39"/>
  <c r="H175" i="39"/>
  <c r="H176" i="39" s="1"/>
  <c r="H47" i="39" s="1"/>
  <c r="L175" i="39"/>
  <c r="L176" i="39" s="1"/>
  <c r="L47" i="39" s="1"/>
  <c r="L171" i="39"/>
  <c r="L177" i="39" s="1"/>
  <c r="F175" i="39"/>
  <c r="F176" i="39" s="1"/>
  <c r="F47" i="39" s="1"/>
  <c r="F171" i="39"/>
  <c r="F177" i="39" s="1"/>
  <c r="L363" i="39"/>
  <c r="L364" i="39" s="1"/>
  <c r="G163" i="39"/>
  <c r="M175" i="39"/>
  <c r="M176" i="39" s="1"/>
  <c r="M47" i="39" s="1"/>
  <c r="M171" i="39"/>
  <c r="M177" i="39" s="1"/>
  <c r="F163" i="39"/>
  <c r="E175" i="39"/>
  <c r="E176" i="39" s="1"/>
  <c r="E47" i="39" s="1"/>
  <c r="E171" i="39"/>
  <c r="E177" i="39" s="1"/>
  <c r="M363" i="39"/>
  <c r="M364" i="39" s="1"/>
  <c r="H36" i="39"/>
  <c r="H111" i="39"/>
  <c r="H127" i="39" s="1"/>
  <c r="D397" i="39"/>
  <c r="D398" i="39" s="1"/>
  <c r="I171" i="39"/>
  <c r="I177" i="39" s="1"/>
  <c r="I175" i="39"/>
  <c r="I176" i="39" s="1"/>
  <c r="I47" i="39" s="1"/>
  <c r="D175" i="39"/>
  <c r="D176" i="39" s="1"/>
  <c r="D47" i="39" s="1"/>
  <c r="D171" i="39"/>
  <c r="D177" i="39" s="1"/>
  <c r="D34" i="39" s="1"/>
  <c r="K163" i="39"/>
  <c r="I363" i="39"/>
  <c r="I364" i="39" s="1"/>
  <c r="J359" i="39"/>
  <c r="J360" i="39" s="1"/>
  <c r="K36" i="39"/>
  <c r="K111" i="39"/>
  <c r="D197" i="39"/>
  <c r="D198" i="39" s="1"/>
  <c r="H109" i="39"/>
  <c r="L368" i="39"/>
  <c r="L369" i="39" s="1"/>
  <c r="G171" i="39"/>
  <c r="G177" i="39" s="1"/>
  <c r="G175" i="39"/>
  <c r="G176" i="39" s="1"/>
  <c r="G47" i="39" s="1"/>
  <c r="I36" i="39"/>
  <c r="I111" i="39"/>
  <c r="I127" i="39" s="1"/>
  <c r="O200" i="39"/>
  <c r="N148" i="39"/>
  <c r="M368" i="39"/>
  <c r="M369" i="39" s="1"/>
  <c r="N338" i="39"/>
  <c r="H490" i="39"/>
  <c r="H51" i="39"/>
  <c r="P28" i="39"/>
  <c r="Q28" i="39" s="1"/>
  <c r="R28" i="39" s="1"/>
  <c r="S28" i="39" s="1"/>
  <c r="T28" i="39" s="1"/>
  <c r="U28" i="39" s="1"/>
  <c r="V28" i="39" s="1"/>
  <c r="W28" i="39" s="1"/>
  <c r="X28" i="39" s="1"/>
  <c r="Y28" i="39" s="1"/>
  <c r="O105" i="39"/>
  <c r="N359" i="39"/>
  <c r="P26" i="39"/>
  <c r="O385" i="39"/>
  <c r="F197" i="39"/>
  <c r="F198" i="39" s="1"/>
  <c r="D490" i="39"/>
  <c r="D51" i="39"/>
  <c r="M346" i="39"/>
  <c r="M347" i="39" s="1"/>
  <c r="N368" i="39"/>
  <c r="N175" i="39"/>
  <c r="N171" i="39"/>
  <c r="N177" i="39" s="1"/>
  <c r="J368" i="39"/>
  <c r="J369" i="39" s="1"/>
  <c r="N347" i="39"/>
  <c r="K368" i="39"/>
  <c r="K369" i="39" s="1"/>
  <c r="I372" i="39"/>
  <c r="I373" i="39" s="1"/>
  <c r="I490" i="39"/>
  <c r="I51" i="39"/>
  <c r="F408" i="39"/>
  <c r="E393" i="39"/>
  <c r="E394" i="39"/>
  <c r="K363" i="39"/>
  <c r="K364" i="39" s="1"/>
  <c r="G197" i="39"/>
  <c r="G198" i="39" s="1"/>
  <c r="J346" i="39"/>
  <c r="J347" i="39" s="1"/>
  <c r="N159" i="39"/>
  <c r="G109" i="39"/>
  <c r="O353" i="39"/>
  <c r="E490" i="39"/>
  <c r="E51" i="39"/>
  <c r="O116" i="39"/>
  <c r="K175" i="39"/>
  <c r="K176" i="39" s="1"/>
  <c r="K47" i="39" s="1"/>
  <c r="K171" i="39"/>
  <c r="K177" i="39" s="1"/>
  <c r="K346" i="39"/>
  <c r="K347" i="39" s="1"/>
  <c r="L346" i="39"/>
  <c r="L347" i="39" s="1"/>
  <c r="J175" i="39"/>
  <c r="J176" i="39" s="1"/>
  <c r="J47" i="39" s="1"/>
  <c r="J171" i="39"/>
  <c r="J177" i="39" s="1"/>
  <c r="G490" i="39"/>
  <c r="G51" i="39"/>
  <c r="H197" i="39"/>
  <c r="H198" i="39" s="1"/>
  <c r="O201" i="39" l="1"/>
  <c r="Z188" i="39"/>
  <c r="Z182" i="39"/>
  <c r="Z183" i="39"/>
  <c r="O445" i="39"/>
  <c r="O124" i="39" s="1"/>
  <c r="P509" i="39"/>
  <c r="P416" i="39"/>
  <c r="P123" i="39" s="1"/>
  <c r="P508" i="39"/>
  <c r="P412" i="39"/>
  <c r="Q412" i="39" s="1"/>
  <c r="Q122" i="39" s="1"/>
  <c r="P444" i="39"/>
  <c r="P510" i="39" s="1"/>
  <c r="Z415" i="39"/>
  <c r="Z411" i="39"/>
  <c r="P385" i="39"/>
  <c r="P386" i="39" s="1"/>
  <c r="Z333" i="39"/>
  <c r="V158" i="39"/>
  <c r="Q191" i="39"/>
  <c r="P273" i="39"/>
  <c r="P448" i="39"/>
  <c r="Z28" i="39"/>
  <c r="Q508" i="39"/>
  <c r="Q509" i="39"/>
  <c r="S43" i="39"/>
  <c r="T146" i="39"/>
  <c r="R512" i="39"/>
  <c r="S458" i="39"/>
  <c r="P161" i="39"/>
  <c r="Q161" i="39" s="1"/>
  <c r="R161" i="39" s="1"/>
  <c r="S161" i="39" s="1"/>
  <c r="T161" i="39" s="1"/>
  <c r="U161" i="39" s="1"/>
  <c r="W30" i="39"/>
  <c r="V233" i="39"/>
  <c r="Z72" i="39"/>
  <c r="O162" i="39"/>
  <c r="P160" i="39"/>
  <c r="Q160" i="39" s="1"/>
  <c r="R160" i="39" s="1"/>
  <c r="S160" i="39" s="1"/>
  <c r="T160" i="39" s="1"/>
  <c r="U160" i="39" s="1"/>
  <c r="S236" i="39"/>
  <c r="R291" i="39"/>
  <c r="S463" i="39"/>
  <c r="R439" i="39"/>
  <c r="P200" i="39"/>
  <c r="O159" i="39"/>
  <c r="Q464" i="39"/>
  <c r="P465" i="39"/>
  <c r="P466" i="39" s="1"/>
  <c r="P353" i="39"/>
  <c r="S459" i="39"/>
  <c r="R460" i="39"/>
  <c r="R118" i="39" s="1"/>
  <c r="R75" i="39"/>
  <c r="O117" i="39"/>
  <c r="P449" i="39"/>
  <c r="P105" i="39"/>
  <c r="Q434" i="39"/>
  <c r="Q314" i="39"/>
  <c r="Q116" i="39"/>
  <c r="Z84" i="39"/>
  <c r="S452" i="39"/>
  <c r="R455" i="39"/>
  <c r="R503" i="39"/>
  <c r="AA29" i="39"/>
  <c r="Z26" i="39"/>
  <c r="N369" i="39"/>
  <c r="N372" i="39" s="1"/>
  <c r="I34" i="39"/>
  <c r="I39" i="39" s="1"/>
  <c r="I128" i="39" s="1"/>
  <c r="G34" i="39"/>
  <c r="G39" i="39" s="1"/>
  <c r="G128" i="39" s="1"/>
  <c r="N360" i="39"/>
  <c r="N363" i="39" s="1"/>
  <c r="N176" i="39"/>
  <c r="N47" i="39" s="1"/>
  <c r="F34" i="39"/>
  <c r="F41" i="39" s="1"/>
  <c r="K34" i="39"/>
  <c r="L34" i="39"/>
  <c r="E34" i="39"/>
  <c r="E41" i="39" s="1"/>
  <c r="J34" i="39"/>
  <c r="H50" i="39"/>
  <c r="H49" i="39"/>
  <c r="H52" i="39" s="1"/>
  <c r="F50" i="39"/>
  <c r="F49" i="39"/>
  <c r="F52" i="39" s="1"/>
  <c r="D50" i="39"/>
  <c r="D49" i="39"/>
  <c r="D52" i="39" s="1"/>
  <c r="G50" i="39"/>
  <c r="G49" i="39"/>
  <c r="G52" i="39" s="1"/>
  <c r="E50" i="39"/>
  <c r="E49" i="39"/>
  <c r="E52" i="39" s="1"/>
  <c r="J363" i="39"/>
  <c r="J364" i="39" s="1"/>
  <c r="K372" i="39"/>
  <c r="K373" i="39" s="1"/>
  <c r="N36" i="39"/>
  <c r="N111" i="39"/>
  <c r="L372" i="39"/>
  <c r="L373" i="39" s="1"/>
  <c r="M34" i="39"/>
  <c r="D39" i="39"/>
  <c r="D128" i="39" s="1"/>
  <c r="D41" i="39"/>
  <c r="Q26" i="39"/>
  <c r="E395" i="39"/>
  <c r="M372" i="39"/>
  <c r="M373" i="39" s="1"/>
  <c r="N163" i="39"/>
  <c r="N34" i="39" s="1"/>
  <c r="G408" i="39"/>
  <c r="F393" i="39"/>
  <c r="J372" i="39"/>
  <c r="J373" i="39" s="1"/>
  <c r="O487" i="39"/>
  <c r="O495" i="39" s="1"/>
  <c r="O203" i="39"/>
  <c r="H177" i="39"/>
  <c r="H34" i="39" s="1"/>
  <c r="I50" i="39"/>
  <c r="I49" i="39"/>
  <c r="I52" i="39" s="1"/>
  <c r="O386" i="39"/>
  <c r="O392" i="39"/>
  <c r="P201" i="39" l="1"/>
  <c r="P203" i="39" s="1"/>
  <c r="Q416" i="39"/>
  <c r="Q123" i="39" s="1"/>
  <c r="AA188" i="39"/>
  <c r="AA183" i="39"/>
  <c r="AA182" i="39"/>
  <c r="Q444" i="39"/>
  <c r="Q510" i="39" s="1"/>
  <c r="R412" i="39"/>
  <c r="S412" i="39" s="1"/>
  <c r="P445" i="39"/>
  <c r="P124" i="39" s="1"/>
  <c r="P122" i="39"/>
  <c r="P392" i="39"/>
  <c r="Q385" i="39"/>
  <c r="Q386" i="39" s="1"/>
  <c r="AA415" i="39"/>
  <c r="AA411" i="39"/>
  <c r="N373" i="39"/>
  <c r="AA333" i="39"/>
  <c r="W158" i="39"/>
  <c r="R191" i="39"/>
  <c r="Q273" i="39"/>
  <c r="O163" i="39"/>
  <c r="V160" i="39"/>
  <c r="R509" i="39"/>
  <c r="S512" i="39"/>
  <c r="T458" i="39"/>
  <c r="T43" i="39"/>
  <c r="U146" i="39"/>
  <c r="R508" i="39"/>
  <c r="P117" i="39"/>
  <c r="Q449" i="39"/>
  <c r="R464" i="39"/>
  <c r="Q465" i="39"/>
  <c r="Q466" i="39" s="1"/>
  <c r="T459" i="39"/>
  <c r="S460" i="39"/>
  <c r="S118" i="39" s="1"/>
  <c r="P159" i="39"/>
  <c r="P162" i="39"/>
  <c r="Q162" i="39" s="1"/>
  <c r="R162" i="39" s="1"/>
  <c r="S162" i="39" s="1"/>
  <c r="T162" i="39" s="1"/>
  <c r="U162" i="39" s="1"/>
  <c r="R116" i="39"/>
  <c r="R314" i="39"/>
  <c r="T463" i="39"/>
  <c r="AA72" i="39"/>
  <c r="T452" i="39"/>
  <c r="S455" i="39"/>
  <c r="S503" i="39"/>
  <c r="Q105" i="39"/>
  <c r="R434" i="39"/>
  <c r="Q200" i="39"/>
  <c r="S439" i="39"/>
  <c r="P487" i="39"/>
  <c r="P495" i="39" s="1"/>
  <c r="Q353" i="39"/>
  <c r="Q448" i="39"/>
  <c r="S75" i="39"/>
  <c r="T236" i="39"/>
  <c r="S291" i="39"/>
  <c r="X30" i="39"/>
  <c r="W233" i="39"/>
  <c r="AA84" i="39"/>
  <c r="P73" i="39"/>
  <c r="P437" i="39" s="1"/>
  <c r="V161" i="39"/>
  <c r="AB29" i="39"/>
  <c r="AA26" i="39"/>
  <c r="AA28" i="39"/>
  <c r="G41" i="39"/>
  <c r="G45" i="39" s="1"/>
  <c r="I41" i="39"/>
  <c r="I42" i="39" s="1"/>
  <c r="F39" i="39"/>
  <c r="F128" i="39" s="1"/>
  <c r="E39" i="39"/>
  <c r="E128" i="39" s="1"/>
  <c r="N364" i="39"/>
  <c r="H41" i="39"/>
  <c r="H39" i="39"/>
  <c r="H128" i="39" s="1"/>
  <c r="G393" i="39"/>
  <c r="H408" i="39"/>
  <c r="E42" i="39"/>
  <c r="E45" i="39"/>
  <c r="O73" i="39"/>
  <c r="O437" i="39" s="1"/>
  <c r="E397" i="39"/>
  <c r="E398" i="39" s="1"/>
  <c r="D42" i="39"/>
  <c r="D45" i="39"/>
  <c r="R26" i="39"/>
  <c r="O202" i="39"/>
  <c r="O180" i="39" s="1"/>
  <c r="F42" i="39"/>
  <c r="F45" i="39"/>
  <c r="Q201" i="39" l="1"/>
  <c r="Q203" i="39" s="1"/>
  <c r="R416" i="39"/>
  <c r="R123" i="39" s="1"/>
  <c r="R444" i="39"/>
  <c r="R510" i="39" s="1"/>
  <c r="AB188" i="39"/>
  <c r="R122" i="39"/>
  <c r="AB182" i="39"/>
  <c r="AB183" i="39"/>
  <c r="Q445" i="39"/>
  <c r="Q124" i="39" s="1"/>
  <c r="Q392" i="39"/>
  <c r="R385" i="39"/>
  <c r="S385" i="39" s="1"/>
  <c r="AB415" i="39"/>
  <c r="AB411" i="39"/>
  <c r="AB333" i="39"/>
  <c r="X158" i="39"/>
  <c r="S191" i="39"/>
  <c r="R273" i="39"/>
  <c r="P202" i="39"/>
  <c r="P180" i="39" s="1"/>
  <c r="V162" i="39"/>
  <c r="W160" i="39"/>
  <c r="R448" i="39"/>
  <c r="P163" i="39"/>
  <c r="T512" i="39"/>
  <c r="U458" i="39"/>
  <c r="S508" i="39"/>
  <c r="U43" i="39"/>
  <c r="V146" i="39"/>
  <c r="S509" i="39"/>
  <c r="R353" i="39"/>
  <c r="W161" i="39"/>
  <c r="AB84" i="39"/>
  <c r="Q73" i="39"/>
  <c r="Q437" i="39" s="1"/>
  <c r="T439" i="39"/>
  <c r="S116" i="39"/>
  <c r="S416" i="39"/>
  <c r="U463" i="39"/>
  <c r="S122" i="39"/>
  <c r="U452" i="39"/>
  <c r="T455" i="39"/>
  <c r="T503" i="39"/>
  <c r="Q487" i="39"/>
  <c r="Q495" i="39" s="1"/>
  <c r="X233" i="39"/>
  <c r="Y30" i="39"/>
  <c r="R200" i="39"/>
  <c r="T75" i="39"/>
  <c r="U459" i="39"/>
  <c r="T460" i="39"/>
  <c r="T118" i="39" s="1"/>
  <c r="S314" i="39"/>
  <c r="Q159" i="39"/>
  <c r="Q163" i="39" s="1"/>
  <c r="S464" i="39"/>
  <c r="R465" i="39"/>
  <c r="R466" i="39" s="1"/>
  <c r="U236" i="39"/>
  <c r="T291" i="39"/>
  <c r="R105" i="39"/>
  <c r="S434" i="39"/>
  <c r="AB72" i="39"/>
  <c r="Q117" i="39"/>
  <c r="R449" i="39"/>
  <c r="AB28" i="39"/>
  <c r="AC29" i="39"/>
  <c r="AB26" i="39"/>
  <c r="G42" i="39"/>
  <c r="I45" i="39"/>
  <c r="S26" i="39"/>
  <c r="O351" i="39"/>
  <c r="H393" i="39"/>
  <c r="I408" i="39"/>
  <c r="H394" i="39"/>
  <c r="H42" i="39"/>
  <c r="H45" i="39"/>
  <c r="R201" i="39" l="1"/>
  <c r="R203" i="39" s="1"/>
  <c r="S444" i="39"/>
  <c r="S510" i="39" s="1"/>
  <c r="AC188" i="39"/>
  <c r="AC183" i="39"/>
  <c r="AC182" i="39"/>
  <c r="R445" i="39"/>
  <c r="R124" i="39" s="1"/>
  <c r="R386" i="39"/>
  <c r="R73" i="39" s="1"/>
  <c r="R437" i="39" s="1"/>
  <c r="R392" i="39"/>
  <c r="S392" i="39" s="1"/>
  <c r="AC415" i="39"/>
  <c r="AC411" i="39"/>
  <c r="O358" i="39"/>
  <c r="O367" i="39"/>
  <c r="P351" i="39"/>
  <c r="P367" i="39" s="1"/>
  <c r="O345" i="39"/>
  <c r="AC333" i="39"/>
  <c r="Y158" i="39"/>
  <c r="T191" i="39"/>
  <c r="S273" i="39"/>
  <c r="W162" i="39"/>
  <c r="X160" i="39"/>
  <c r="T508" i="39"/>
  <c r="V458" i="39"/>
  <c r="U512" i="39"/>
  <c r="AC72" i="39"/>
  <c r="T509" i="39"/>
  <c r="V43" i="39"/>
  <c r="W146" i="39"/>
  <c r="T412" i="39"/>
  <c r="T122" i="39" s="1"/>
  <c r="Q202" i="39"/>
  <c r="Q180" i="39" s="1"/>
  <c r="V459" i="39"/>
  <c r="U460" i="39"/>
  <c r="U118" i="39" s="1"/>
  <c r="S386" i="39"/>
  <c r="T385" i="39"/>
  <c r="S123" i="39"/>
  <c r="T416" i="39"/>
  <c r="AC84" i="39"/>
  <c r="R159" i="39"/>
  <c r="R163" i="39" s="1"/>
  <c r="V236" i="39"/>
  <c r="U291" i="39"/>
  <c r="T314" i="39"/>
  <c r="Z30" i="39"/>
  <c r="Y233" i="39"/>
  <c r="X161" i="39"/>
  <c r="S105" i="39"/>
  <c r="T434" i="39"/>
  <c r="U75" i="39"/>
  <c r="R487" i="39"/>
  <c r="R495" i="39" s="1"/>
  <c r="T464" i="39"/>
  <c r="S465" i="39"/>
  <c r="S466" i="39" s="1"/>
  <c r="V452" i="39"/>
  <c r="U503" i="39"/>
  <c r="U455" i="39"/>
  <c r="U439" i="39"/>
  <c r="S200" i="39"/>
  <c r="S353" i="39"/>
  <c r="R117" i="39"/>
  <c r="S449" i="39"/>
  <c r="S448" i="39"/>
  <c r="T116" i="39"/>
  <c r="V463" i="39"/>
  <c r="AD29" i="39"/>
  <c r="AC26" i="39"/>
  <c r="AC28" i="39"/>
  <c r="H395" i="39"/>
  <c r="H397" i="39" s="1"/>
  <c r="H398" i="39" s="1"/>
  <c r="T26" i="39"/>
  <c r="O389" i="39"/>
  <c r="I393" i="39"/>
  <c r="J408" i="39"/>
  <c r="J394" i="39" s="1"/>
  <c r="I394" i="39"/>
  <c r="S201" i="39" l="1"/>
  <c r="T444" i="39"/>
  <c r="T510" i="39" s="1"/>
  <c r="S445" i="39"/>
  <c r="S124" i="39" s="1"/>
  <c r="AD188" i="39"/>
  <c r="AD182" i="39"/>
  <c r="AD183" i="39"/>
  <c r="AD415" i="39"/>
  <c r="AD411" i="39"/>
  <c r="Q351" i="39"/>
  <c r="Q367" i="39" s="1"/>
  <c r="P389" i="39"/>
  <c r="P345" i="39"/>
  <c r="P358" i="39"/>
  <c r="AD333" i="39"/>
  <c r="S203" i="39"/>
  <c r="X162" i="39"/>
  <c r="Z158" i="39"/>
  <c r="U191" i="39"/>
  <c r="T273" i="39"/>
  <c r="Y160" i="39"/>
  <c r="R202" i="39"/>
  <c r="R180" i="39" s="1"/>
  <c r="W43" i="39"/>
  <c r="X146" i="39"/>
  <c r="U412" i="39"/>
  <c r="U122" i="39" s="1"/>
  <c r="W458" i="39"/>
  <c r="V512" i="39"/>
  <c r="T448" i="39"/>
  <c r="U508" i="39"/>
  <c r="U509" i="39"/>
  <c r="T353" i="39"/>
  <c r="Y161" i="39"/>
  <c r="AD28" i="39"/>
  <c r="AA30" i="39"/>
  <c r="Z233" i="39"/>
  <c r="U116" i="39"/>
  <c r="AD72" i="39"/>
  <c r="T386" i="39"/>
  <c r="T392" i="39"/>
  <c r="U385" i="39"/>
  <c r="S487" i="39"/>
  <c r="S495" i="39" s="1"/>
  <c r="W236" i="39"/>
  <c r="V291" i="39"/>
  <c r="T200" i="39"/>
  <c r="W459" i="39"/>
  <c r="V460" i="39"/>
  <c r="V118" i="39" s="1"/>
  <c r="W463" i="39"/>
  <c r="V439" i="39"/>
  <c r="W452" i="39"/>
  <c r="V455" i="39"/>
  <c r="V503" i="39"/>
  <c r="S73" i="39"/>
  <c r="S437" i="39" s="1"/>
  <c r="U464" i="39"/>
  <c r="T465" i="39"/>
  <c r="T466" i="39" s="1"/>
  <c r="U314" i="39"/>
  <c r="S159" i="39"/>
  <c r="S163" i="39" s="1"/>
  <c r="S117" i="39"/>
  <c r="T449" i="39"/>
  <c r="V75" i="39"/>
  <c r="AD84" i="39"/>
  <c r="T105" i="39"/>
  <c r="U434" i="39"/>
  <c r="T123" i="39"/>
  <c r="U416" i="39"/>
  <c r="AE29" i="39"/>
  <c r="AD26" i="39"/>
  <c r="J393" i="39"/>
  <c r="K408" i="39"/>
  <c r="K394" i="39" s="1"/>
  <c r="I395" i="39"/>
  <c r="I63" i="39" s="1"/>
  <c r="U26" i="39"/>
  <c r="O76" i="39"/>
  <c r="T201" i="39" l="1"/>
  <c r="T203" i="39" s="1"/>
  <c r="U444" i="39"/>
  <c r="U510" i="39" s="1"/>
  <c r="T445" i="39"/>
  <c r="T124" i="39" s="1"/>
  <c r="R351" i="39"/>
  <c r="R367" i="39" s="1"/>
  <c r="Q389" i="39"/>
  <c r="Q358" i="39"/>
  <c r="Q345" i="39"/>
  <c r="AE188" i="39"/>
  <c r="AE183" i="39"/>
  <c r="AE182" i="39"/>
  <c r="AE415" i="39"/>
  <c r="AE411" i="39"/>
  <c r="P76" i="39"/>
  <c r="AE333" i="39"/>
  <c r="S202" i="39"/>
  <c r="S180" i="39" s="1"/>
  <c r="Y162" i="39"/>
  <c r="AA158" i="39"/>
  <c r="V191" i="39"/>
  <c r="U273" i="39"/>
  <c r="V412" i="39"/>
  <c r="V122" i="39" s="1"/>
  <c r="Z161" i="39"/>
  <c r="V509" i="39"/>
  <c r="X458" i="39"/>
  <c r="W512" i="39"/>
  <c r="V508" i="39"/>
  <c r="X43" i="39"/>
  <c r="Y146" i="39"/>
  <c r="V116" i="39"/>
  <c r="T117" i="39"/>
  <c r="U449" i="39"/>
  <c r="T159" i="39"/>
  <c r="T163" i="39" s="1"/>
  <c r="X452" i="39"/>
  <c r="W455" i="39"/>
  <c r="W503" i="39"/>
  <c r="X459" i="39"/>
  <c r="W460" i="39"/>
  <c r="W118" i="39" s="1"/>
  <c r="AB30" i="39"/>
  <c r="AA233" i="39"/>
  <c r="U123" i="39"/>
  <c r="V416" i="39"/>
  <c r="V314" i="39"/>
  <c r="W439" i="39"/>
  <c r="X236" i="39"/>
  <c r="W291" i="39"/>
  <c r="T73" i="39"/>
  <c r="T437" i="39" s="1"/>
  <c r="V464" i="39"/>
  <c r="U465" i="39"/>
  <c r="U466" i="39" s="1"/>
  <c r="U353" i="39"/>
  <c r="U105" i="39"/>
  <c r="V434" i="39"/>
  <c r="AE84" i="39"/>
  <c r="W75" i="39"/>
  <c r="T487" i="39"/>
  <c r="T495" i="39" s="1"/>
  <c r="AE72" i="39"/>
  <c r="Z160" i="39"/>
  <c r="U448" i="39"/>
  <c r="X463" i="39"/>
  <c r="U200" i="39"/>
  <c r="U386" i="39"/>
  <c r="U392" i="39"/>
  <c r="V385" i="39"/>
  <c r="AF29" i="39"/>
  <c r="AE26" i="39"/>
  <c r="AE28" i="39"/>
  <c r="J395" i="39"/>
  <c r="J63" i="39" s="1"/>
  <c r="I397" i="39"/>
  <c r="I398" i="39" s="1"/>
  <c r="I65" i="39"/>
  <c r="L408" i="39"/>
  <c r="L394" i="39" s="1"/>
  <c r="K393" i="39"/>
  <c r="V26" i="39"/>
  <c r="N414" i="10"/>
  <c r="M414" i="10"/>
  <c r="L414" i="10"/>
  <c r="K414" i="10"/>
  <c r="N411" i="10"/>
  <c r="M411" i="10"/>
  <c r="L411" i="10"/>
  <c r="K411" i="10"/>
  <c r="J411" i="10"/>
  <c r="J414" i="10"/>
  <c r="N409" i="10"/>
  <c r="M410" i="10"/>
  <c r="M409" i="10"/>
  <c r="L410" i="10"/>
  <c r="L409" i="10"/>
  <c r="K410" i="10"/>
  <c r="K409" i="10"/>
  <c r="J409" i="10"/>
  <c r="J410" i="10"/>
  <c r="U201" i="39" l="1"/>
  <c r="U203" i="39" s="1"/>
  <c r="V444" i="39"/>
  <c r="V510" i="39" s="1"/>
  <c r="I56" i="39"/>
  <c r="I58" i="39" s="1"/>
  <c r="U445" i="39"/>
  <c r="U124" i="39" s="1"/>
  <c r="R389" i="39"/>
  <c r="S351" i="39"/>
  <c r="S367" i="39" s="1"/>
  <c r="R345" i="39"/>
  <c r="R358" i="39"/>
  <c r="Q76" i="39"/>
  <c r="AF188" i="39"/>
  <c r="AF182" i="39"/>
  <c r="AF183" i="39"/>
  <c r="J65" i="39"/>
  <c r="J397" i="39"/>
  <c r="J398" i="39" s="1"/>
  <c r="AF415" i="39"/>
  <c r="AF411" i="39"/>
  <c r="T202" i="39"/>
  <c r="T180" i="39" s="1"/>
  <c r="AF333" i="39"/>
  <c r="AB158" i="39"/>
  <c r="W191" i="39"/>
  <c r="V273" i="39"/>
  <c r="W412" i="39"/>
  <c r="W122" i="39" s="1"/>
  <c r="V353" i="39"/>
  <c r="V448" i="39"/>
  <c r="AA161" i="39"/>
  <c r="Y43" i="39"/>
  <c r="Z146" i="39"/>
  <c r="Y458" i="39"/>
  <c r="X512" i="39"/>
  <c r="W509" i="39"/>
  <c r="W508" i="39"/>
  <c r="AA160" i="39"/>
  <c r="V200" i="39"/>
  <c r="AF84" i="39"/>
  <c r="V123" i="39"/>
  <c r="W416" i="39"/>
  <c r="V386" i="39"/>
  <c r="V392" i="39"/>
  <c r="W385" i="39"/>
  <c r="Y463" i="39"/>
  <c r="Z162" i="39"/>
  <c r="X439" i="39"/>
  <c r="V105" i="39"/>
  <c r="W434" i="39"/>
  <c r="Y459" i="39"/>
  <c r="X460" i="39"/>
  <c r="X118" i="39" s="1"/>
  <c r="U159" i="39"/>
  <c r="U163" i="39" s="1"/>
  <c r="U487" i="39"/>
  <c r="U495" i="39" s="1"/>
  <c r="W314" i="39"/>
  <c r="U117" i="39"/>
  <c r="V449" i="39"/>
  <c r="Y236" i="39"/>
  <c r="X291" i="39"/>
  <c r="AF72" i="39"/>
  <c r="W116" i="39"/>
  <c r="U73" i="39"/>
  <c r="U437" i="39" s="1"/>
  <c r="Y452" i="39"/>
  <c r="X455" i="39"/>
  <c r="X503" i="39"/>
  <c r="AC30" i="39"/>
  <c r="AB233" i="39"/>
  <c r="X75" i="39"/>
  <c r="W464" i="39"/>
  <c r="V465" i="39"/>
  <c r="V466" i="39" s="1"/>
  <c r="AF28" i="39"/>
  <c r="AG29" i="39"/>
  <c r="AF26" i="39"/>
  <c r="K395" i="39"/>
  <c r="M408" i="39"/>
  <c r="M394" i="39" s="1"/>
  <c r="L393" i="39"/>
  <c r="X26" i="39"/>
  <c r="W26" i="39"/>
  <c r="S389" i="39" l="1"/>
  <c r="V201" i="39"/>
  <c r="V203" i="39" s="1"/>
  <c r="T351" i="39"/>
  <c r="T367" i="39" s="1"/>
  <c r="S358" i="39"/>
  <c r="S345" i="39"/>
  <c r="W444" i="39"/>
  <c r="W510" i="39" s="1"/>
  <c r="I61" i="39"/>
  <c r="I60" i="39"/>
  <c r="K63" i="39"/>
  <c r="K65" i="39" s="1"/>
  <c r="J56" i="39"/>
  <c r="J58" i="39" s="1"/>
  <c r="R76" i="39"/>
  <c r="V445" i="39"/>
  <c r="V124" i="39" s="1"/>
  <c r="AG188" i="39"/>
  <c r="AG183" i="39"/>
  <c r="AG182" i="39"/>
  <c r="K397" i="39"/>
  <c r="K398" i="39" s="1"/>
  <c r="AG415" i="39"/>
  <c r="AG411" i="39"/>
  <c r="U202" i="39"/>
  <c r="U180" i="39" s="1"/>
  <c r="AG333" i="39"/>
  <c r="X412" i="39"/>
  <c r="X122" i="39" s="1"/>
  <c r="AC158" i="39"/>
  <c r="AB161" i="39"/>
  <c r="X191" i="39"/>
  <c r="W273" i="39"/>
  <c r="L395" i="39"/>
  <c r="W448" i="39"/>
  <c r="W353" i="39"/>
  <c r="AA162" i="39"/>
  <c r="X509" i="39"/>
  <c r="X508" i="39"/>
  <c r="Y512" i="39"/>
  <c r="Z458" i="39"/>
  <c r="AA146" i="39"/>
  <c r="Z43" i="39"/>
  <c r="Y291" i="39"/>
  <c r="Z236" i="39"/>
  <c r="W105" i="39"/>
  <c r="X434" i="39"/>
  <c r="W386" i="39"/>
  <c r="W392" i="39"/>
  <c r="X385" i="39"/>
  <c r="AD30" i="39"/>
  <c r="AC233" i="39"/>
  <c r="X116" i="39"/>
  <c r="V117" i="39"/>
  <c r="W449" i="39"/>
  <c r="V159" i="39"/>
  <c r="V163" i="39" s="1"/>
  <c r="V487" i="39"/>
  <c r="V495" i="39" s="1"/>
  <c r="Z452" i="39"/>
  <c r="Y455" i="39"/>
  <c r="Y503" i="39"/>
  <c r="AG84" i="39"/>
  <c r="X464" i="39"/>
  <c r="W465" i="39"/>
  <c r="W466" i="39" s="1"/>
  <c r="X314" i="39"/>
  <c r="Z459" i="39"/>
  <c r="Y460" i="39"/>
  <c r="Y118" i="39" s="1"/>
  <c r="V73" i="39"/>
  <c r="V437" i="39" s="1"/>
  <c r="W123" i="39"/>
  <c r="X416" i="39"/>
  <c r="AG72" i="39"/>
  <c r="Y439" i="39"/>
  <c r="Y75" i="39"/>
  <c r="AB160" i="39"/>
  <c r="W200" i="39"/>
  <c r="Z463" i="39"/>
  <c r="AH29" i="39"/>
  <c r="AG26" i="39"/>
  <c r="AG28" i="39"/>
  <c r="N408" i="39"/>
  <c r="N394" i="39" s="1"/>
  <c r="M393" i="39"/>
  <c r="T389" i="39" l="1"/>
  <c r="W201" i="39"/>
  <c r="X201" i="39" s="1"/>
  <c r="Y201" i="39" s="1"/>
  <c r="Z201" i="39" s="1"/>
  <c r="AA201" i="39" s="1"/>
  <c r="AB201" i="39" s="1"/>
  <c r="AC201" i="39" s="1"/>
  <c r="AD201" i="39" s="1"/>
  <c r="AE201" i="39" s="1"/>
  <c r="AF201" i="39" s="1"/>
  <c r="AG201" i="39" s="1"/>
  <c r="X200" i="39"/>
  <c r="S76" i="39"/>
  <c r="U351" i="39"/>
  <c r="U367" i="39" s="1"/>
  <c r="T358" i="39"/>
  <c r="T345" i="39"/>
  <c r="X444" i="39"/>
  <c r="X510" i="39" s="1"/>
  <c r="J61" i="39"/>
  <c r="J60" i="39"/>
  <c r="L397" i="39"/>
  <c r="L398" i="39" s="1"/>
  <c r="L63" i="39"/>
  <c r="L65" i="39" s="1"/>
  <c r="K56" i="39"/>
  <c r="K58" i="39" s="1"/>
  <c r="W445" i="39"/>
  <c r="W124" i="39" s="1"/>
  <c r="AH188" i="39"/>
  <c r="AH182" i="39"/>
  <c r="AH183" i="39"/>
  <c r="V202" i="39"/>
  <c r="V180" i="39" s="1"/>
  <c r="AH415" i="39"/>
  <c r="AH411" i="39"/>
  <c r="Y412" i="39"/>
  <c r="Y122" i="39" s="1"/>
  <c r="AC161" i="39"/>
  <c r="U345" i="39"/>
  <c r="U358" i="39"/>
  <c r="AH333" i="39"/>
  <c r="AD158" i="39"/>
  <c r="Y191" i="39"/>
  <c r="X273" i="39"/>
  <c r="AB162" i="39"/>
  <c r="Y508" i="39"/>
  <c r="AA43" i="39"/>
  <c r="AB146" i="39"/>
  <c r="AA458" i="39"/>
  <c r="Z512" i="39"/>
  <c r="Y509" i="39"/>
  <c r="AH84" i="39"/>
  <c r="AC160" i="39"/>
  <c r="AA459" i="39"/>
  <c r="Z460" i="39"/>
  <c r="Z118" i="39" s="1"/>
  <c r="Y314" i="39"/>
  <c r="Y464" i="39"/>
  <c r="X465" i="39"/>
  <c r="X466" i="39" s="1"/>
  <c r="AA463" i="39"/>
  <c r="Z75" i="39"/>
  <c r="AH72" i="39"/>
  <c r="X105" i="39"/>
  <c r="Y434" i="39"/>
  <c r="Z439" i="39"/>
  <c r="W159" i="39"/>
  <c r="W163" i="39" s="1"/>
  <c r="X386" i="39"/>
  <c r="X392" i="39"/>
  <c r="Y385" i="39"/>
  <c r="W487" i="39"/>
  <c r="W495" i="39" s="1"/>
  <c r="AA452" i="39"/>
  <c r="Z455" i="39"/>
  <c r="Z503" i="39"/>
  <c r="X353" i="39"/>
  <c r="X448" i="39"/>
  <c r="AA236" i="39"/>
  <c r="Z291" i="39"/>
  <c r="W73" i="39"/>
  <c r="W437" i="39" s="1"/>
  <c r="X123" i="39"/>
  <c r="Y416" i="39"/>
  <c r="Y116" i="39"/>
  <c r="W117" i="39"/>
  <c r="X449" i="39"/>
  <c r="AE30" i="39"/>
  <c r="AD233" i="39"/>
  <c r="AH28" i="39"/>
  <c r="AI29" i="39"/>
  <c r="AH26" i="39"/>
  <c r="M395" i="39"/>
  <c r="N393" i="39"/>
  <c r="O408" i="39"/>
  <c r="P408" i="39" s="1"/>
  <c r="W203" i="39" l="1"/>
  <c r="X203" i="39" s="1"/>
  <c r="U389" i="39"/>
  <c r="V351" i="39"/>
  <c r="V367" i="39" s="1"/>
  <c r="T76" i="39"/>
  <c r="Y200" i="39"/>
  <c r="Y444" i="39"/>
  <c r="Y510" i="39" s="1"/>
  <c r="X445" i="39"/>
  <c r="X124" i="39" s="1"/>
  <c r="K61" i="39"/>
  <c r="K60" i="39"/>
  <c r="M397" i="39"/>
  <c r="M63" i="39"/>
  <c r="M65" i="39" s="1"/>
  <c r="L56" i="39"/>
  <c r="L58" i="39" s="1"/>
  <c r="AI188" i="39"/>
  <c r="AI183" i="39"/>
  <c r="AI182" i="39"/>
  <c r="AD161" i="39"/>
  <c r="W202" i="39"/>
  <c r="W180" i="39" s="1"/>
  <c r="AI415" i="39"/>
  <c r="AI411" i="39"/>
  <c r="Z412" i="39"/>
  <c r="Z122" i="39" s="1"/>
  <c r="AI333" i="39"/>
  <c r="AE158" i="39"/>
  <c r="Z191" i="39"/>
  <c r="Y273" i="39"/>
  <c r="AC162" i="39"/>
  <c r="AH201" i="39"/>
  <c r="Y448" i="39"/>
  <c r="AB458" i="39"/>
  <c r="AA512" i="39"/>
  <c r="P393" i="39"/>
  <c r="Q408" i="39"/>
  <c r="AB43" i="39"/>
  <c r="AC146" i="39"/>
  <c r="Z509" i="39"/>
  <c r="Z508" i="39"/>
  <c r="AD160" i="39"/>
  <c r="U76" i="39"/>
  <c r="Z464" i="39"/>
  <c r="Y465" i="39"/>
  <c r="Y466" i="39" s="1"/>
  <c r="AF30" i="39"/>
  <c r="AE233" i="39"/>
  <c r="AB236" i="39"/>
  <c r="AA291" i="39"/>
  <c r="AB452" i="39"/>
  <c r="AA455" i="39"/>
  <c r="AA503" i="39"/>
  <c r="X159" i="39"/>
  <c r="X163" i="39" s="1"/>
  <c r="AI84" i="39"/>
  <c r="Z314" i="39"/>
  <c r="X73" i="39"/>
  <c r="X437" i="39" s="1"/>
  <c r="X117" i="39"/>
  <c r="Y449" i="39"/>
  <c r="AB459" i="39"/>
  <c r="AA460" i="39"/>
  <c r="AA118" i="39" s="1"/>
  <c r="Z116" i="39"/>
  <c r="AI72" i="39"/>
  <c r="AB463" i="39"/>
  <c r="Y386" i="39"/>
  <c r="Y392" i="39"/>
  <c r="Z385" i="39"/>
  <c r="Y353" i="39"/>
  <c r="Y105" i="39"/>
  <c r="Z434" i="39"/>
  <c r="AA75" i="39"/>
  <c r="Y123" i="39"/>
  <c r="Z416" i="39"/>
  <c r="AA439" i="39"/>
  <c r="X487" i="39"/>
  <c r="X495" i="39" s="1"/>
  <c r="AJ29" i="39"/>
  <c r="AI26" i="39"/>
  <c r="AI28" i="39"/>
  <c r="N395" i="39"/>
  <c r="N63" i="39" s="1"/>
  <c r="O393" i="39"/>
  <c r="M398" i="39"/>
  <c r="W351" i="39" l="1"/>
  <c r="W367" i="39" s="1"/>
  <c r="V345" i="39"/>
  <c r="V358" i="39"/>
  <c r="V389" i="39"/>
  <c r="Z444" i="39"/>
  <c r="Z510" i="39" s="1"/>
  <c r="Y203" i="39"/>
  <c r="Z200" i="39"/>
  <c r="Y445" i="39"/>
  <c r="Y124" i="39" s="1"/>
  <c r="L61" i="39"/>
  <c r="L60" i="39"/>
  <c r="M56" i="39"/>
  <c r="M58" i="39" s="1"/>
  <c r="AJ188" i="39"/>
  <c r="AJ182" i="39"/>
  <c r="AJ183" i="39"/>
  <c r="AE161" i="39"/>
  <c r="X202" i="39"/>
  <c r="AA412" i="39"/>
  <c r="AA122" i="39" s="1"/>
  <c r="N65" i="39"/>
  <c r="N397" i="39"/>
  <c r="AJ415" i="39"/>
  <c r="AJ411" i="39"/>
  <c r="AJ333" i="39"/>
  <c r="AF158" i="39"/>
  <c r="AA191" i="39"/>
  <c r="Z273" i="39"/>
  <c r="AE160" i="39"/>
  <c r="AI201" i="39"/>
  <c r="AD162" i="39"/>
  <c r="Z448" i="39"/>
  <c r="Z353" i="39"/>
  <c r="AA508" i="39"/>
  <c r="Q393" i="39"/>
  <c r="R408" i="39"/>
  <c r="AA509" i="39"/>
  <c r="AC458" i="39"/>
  <c r="AB512" i="39"/>
  <c r="AC43" i="39"/>
  <c r="AD146" i="39"/>
  <c r="Z386" i="39"/>
  <c r="Z392" i="39"/>
  <c r="AA385" i="39"/>
  <c r="AC463" i="39"/>
  <c r="AB75" i="39"/>
  <c r="AA116" i="39"/>
  <c r="AC236" i="39"/>
  <c r="AB291" i="39"/>
  <c r="Z123" i="39"/>
  <c r="AA416" i="39"/>
  <c r="Y73" i="39"/>
  <c r="Y437" i="39" s="1"/>
  <c r="AA314" i="39"/>
  <c r="AC452" i="39"/>
  <c r="AB455" i="39"/>
  <c r="AB503" i="39"/>
  <c r="AG30" i="39"/>
  <c r="AF233" i="39"/>
  <c r="AC459" i="39"/>
  <c r="AB460" i="39"/>
  <c r="AB118" i="39" s="1"/>
  <c r="Y159" i="39"/>
  <c r="Y163" i="39" s="1"/>
  <c r="Z105" i="39"/>
  <c r="AA434" i="39"/>
  <c r="Y117" i="39"/>
  <c r="Z449" i="39"/>
  <c r="AJ84" i="39"/>
  <c r="AJ28" i="39"/>
  <c r="AB439" i="39"/>
  <c r="Y487" i="39"/>
  <c r="Y495" i="39" s="1"/>
  <c r="AA464" i="39"/>
  <c r="Z465" i="39"/>
  <c r="Z466" i="39" s="1"/>
  <c r="AJ72" i="39"/>
  <c r="AK29" i="39"/>
  <c r="AJ26" i="39"/>
  <c r="X351" i="39" l="1"/>
  <c r="X367" i="39" s="1"/>
  <c r="W345" i="39"/>
  <c r="W358" i="39"/>
  <c r="W389" i="39"/>
  <c r="AA444" i="39"/>
  <c r="AA510" i="39" s="1"/>
  <c r="Y202" i="39"/>
  <c r="V76" i="39"/>
  <c r="Z203" i="39"/>
  <c r="AA200" i="39"/>
  <c r="AB200" i="39" s="1"/>
  <c r="AC200" i="39" s="1"/>
  <c r="AD200" i="39" s="1"/>
  <c r="AE200" i="39" s="1"/>
  <c r="AF200" i="39" s="1"/>
  <c r="AG200" i="39" s="1"/>
  <c r="AH200" i="39" s="1"/>
  <c r="AI200" i="39" s="1"/>
  <c r="AJ200" i="39" s="1"/>
  <c r="Z445" i="39"/>
  <c r="Z124" i="39" s="1"/>
  <c r="M60" i="39"/>
  <c r="M61" i="39"/>
  <c r="AK188" i="39"/>
  <c r="AK183" i="39"/>
  <c r="AK182" i="39"/>
  <c r="X180" i="39"/>
  <c r="AB412" i="39"/>
  <c r="AB122" i="39" s="1"/>
  <c r="AK415" i="39"/>
  <c r="AK411" i="39"/>
  <c r="AK333" i="39"/>
  <c r="AG158" i="39"/>
  <c r="AB191" i="39"/>
  <c r="AA273" i="39"/>
  <c r="AA448" i="39"/>
  <c r="AE162" i="39"/>
  <c r="AF160" i="39"/>
  <c r="AA353" i="39"/>
  <c r="AC512" i="39"/>
  <c r="AD458" i="39"/>
  <c r="AB508" i="39"/>
  <c r="R393" i="39"/>
  <c r="S408" i="39"/>
  <c r="AB509" i="39"/>
  <c r="AE146" i="39"/>
  <c r="AD43" i="39"/>
  <c r="AB314" i="39"/>
  <c r="AD236" i="39"/>
  <c r="AC291" i="39"/>
  <c r="AH30" i="39"/>
  <c r="AG233" i="39"/>
  <c r="AD463" i="39"/>
  <c r="AK84" i="39"/>
  <c r="AC75" i="39"/>
  <c r="Z117" i="39"/>
  <c r="AA449" i="39"/>
  <c r="AB116" i="39"/>
  <c r="AA392" i="39"/>
  <c r="AA386" i="39"/>
  <c r="AB385" i="39"/>
  <c r="AF161" i="39"/>
  <c r="AD459" i="39"/>
  <c r="AC460" i="39"/>
  <c r="AC118" i="39" s="1"/>
  <c r="AB464" i="39"/>
  <c r="AA465" i="39"/>
  <c r="AA466" i="39" s="1"/>
  <c r="Z159" i="39"/>
  <c r="Z163" i="39" s="1"/>
  <c r="AC455" i="39"/>
  <c r="AD452" i="39"/>
  <c r="AC503" i="39"/>
  <c r="AA123" i="39"/>
  <c r="AB416" i="39"/>
  <c r="AJ201" i="39"/>
  <c r="AK72" i="39"/>
  <c r="AA105" i="39"/>
  <c r="AB434" i="39"/>
  <c r="Z73" i="39"/>
  <c r="Z437" i="39" s="1"/>
  <c r="AC439" i="39"/>
  <c r="Z487" i="39"/>
  <c r="Z495" i="39" s="1"/>
  <c r="AL29" i="39"/>
  <c r="AK26" i="39"/>
  <c r="AK28" i="39"/>
  <c r="N398" i="39"/>
  <c r="N404" i="10"/>
  <c r="N405" i="10" s="1"/>
  <c r="M404" i="10"/>
  <c r="M405" i="10" s="1"/>
  <c r="L404" i="10"/>
  <c r="L405" i="10" s="1"/>
  <c r="K404" i="10"/>
  <c r="K405" i="10" s="1"/>
  <c r="J404" i="10"/>
  <c r="J405" i="10" s="1"/>
  <c r="I404" i="10"/>
  <c r="I405" i="10" s="1"/>
  <c r="N398" i="10"/>
  <c r="M398" i="10"/>
  <c r="L398" i="10"/>
  <c r="K398" i="10"/>
  <c r="J398" i="10"/>
  <c r="I398" i="10"/>
  <c r="N394" i="10"/>
  <c r="M394" i="10"/>
  <c r="L394" i="10"/>
  <c r="K394" i="10"/>
  <c r="J394" i="10"/>
  <c r="I394" i="10"/>
  <c r="N384" i="10"/>
  <c r="M384" i="10"/>
  <c r="L384" i="10"/>
  <c r="K384" i="10"/>
  <c r="J384" i="10"/>
  <c r="I384" i="10"/>
  <c r="N379" i="10"/>
  <c r="M379" i="10"/>
  <c r="L379" i="10"/>
  <c r="K379" i="10"/>
  <c r="J379" i="10"/>
  <c r="I379" i="10"/>
  <c r="N372" i="10"/>
  <c r="M372" i="10"/>
  <c r="L372" i="10"/>
  <c r="K372" i="10"/>
  <c r="J372" i="10"/>
  <c r="I372" i="10"/>
  <c r="N356" i="10"/>
  <c r="M356" i="10"/>
  <c r="L356" i="10"/>
  <c r="K356" i="10"/>
  <c r="J356" i="10"/>
  <c r="I356" i="10"/>
  <c r="N338" i="10"/>
  <c r="M338" i="10"/>
  <c r="L338" i="10"/>
  <c r="K338" i="10"/>
  <c r="J338" i="10"/>
  <c r="I338" i="10"/>
  <c r="N320" i="10"/>
  <c r="M320" i="10"/>
  <c r="L320" i="10"/>
  <c r="K320" i="10"/>
  <c r="J320" i="10"/>
  <c r="I320" i="10"/>
  <c r="N316" i="10"/>
  <c r="M316" i="10"/>
  <c r="L316" i="10"/>
  <c r="K316" i="10"/>
  <c r="J316" i="10"/>
  <c r="I316" i="10"/>
  <c r="N310" i="10"/>
  <c r="M310" i="10"/>
  <c r="L310" i="10"/>
  <c r="K310" i="10"/>
  <c r="J310" i="10"/>
  <c r="I310" i="10"/>
  <c r="N304" i="10"/>
  <c r="M304" i="10"/>
  <c r="L304" i="10"/>
  <c r="K304" i="10"/>
  <c r="J304" i="10"/>
  <c r="I304" i="10"/>
  <c r="N298" i="10"/>
  <c r="M298" i="10"/>
  <c r="L298" i="10"/>
  <c r="K298" i="10"/>
  <c r="J298" i="10"/>
  <c r="I298" i="10"/>
  <c r="N291" i="10"/>
  <c r="M291" i="10"/>
  <c r="L291" i="10"/>
  <c r="K291" i="10"/>
  <c r="J291" i="10"/>
  <c r="I291" i="10"/>
  <c r="N284" i="10"/>
  <c r="M284" i="10"/>
  <c r="L284" i="10"/>
  <c r="K284" i="10"/>
  <c r="J284" i="10"/>
  <c r="I284" i="10"/>
  <c r="N279" i="10"/>
  <c r="M279" i="10"/>
  <c r="L279" i="10"/>
  <c r="K279" i="10"/>
  <c r="J279" i="10"/>
  <c r="I279" i="10"/>
  <c r="N274" i="10"/>
  <c r="M274" i="10"/>
  <c r="L274" i="10"/>
  <c r="K274" i="10"/>
  <c r="J274" i="10"/>
  <c r="I274" i="10"/>
  <c r="N268" i="10"/>
  <c r="M268" i="10"/>
  <c r="L268" i="10"/>
  <c r="K268" i="10"/>
  <c r="J268" i="10"/>
  <c r="I268" i="10"/>
  <c r="N263" i="10"/>
  <c r="M263" i="10"/>
  <c r="L263" i="10"/>
  <c r="K263" i="10"/>
  <c r="J263" i="10"/>
  <c r="I263" i="10"/>
  <c r="N258" i="10"/>
  <c r="M258" i="10"/>
  <c r="L258" i="10"/>
  <c r="K258" i="10"/>
  <c r="J258" i="10"/>
  <c r="I258" i="10"/>
  <c r="N253" i="10"/>
  <c r="M253" i="10"/>
  <c r="L253" i="10"/>
  <c r="K253" i="10"/>
  <c r="J253" i="10"/>
  <c r="I253" i="10"/>
  <c r="N241" i="10"/>
  <c r="M241" i="10"/>
  <c r="L241" i="10"/>
  <c r="K241" i="10"/>
  <c r="J241" i="10"/>
  <c r="I241" i="10"/>
  <c r="N236" i="10"/>
  <c r="M236" i="10"/>
  <c r="L236" i="10"/>
  <c r="K236" i="10"/>
  <c r="J236" i="10"/>
  <c r="I236" i="10"/>
  <c r="N231" i="10"/>
  <c r="M231" i="10"/>
  <c r="L231" i="10"/>
  <c r="K231" i="10"/>
  <c r="J231" i="10"/>
  <c r="I231" i="10"/>
  <c r="N226" i="10"/>
  <c r="M226" i="10"/>
  <c r="L226" i="10"/>
  <c r="K226" i="10"/>
  <c r="J226" i="10"/>
  <c r="I226" i="10"/>
  <c r="N205" i="10"/>
  <c r="M205" i="10"/>
  <c r="L205" i="10"/>
  <c r="K205" i="10"/>
  <c r="J205" i="10"/>
  <c r="I205" i="10"/>
  <c r="N200" i="10"/>
  <c r="M200" i="10"/>
  <c r="L200" i="10"/>
  <c r="K200" i="10"/>
  <c r="J200" i="10"/>
  <c r="I200" i="10"/>
  <c r="N199" i="10"/>
  <c r="M199" i="10"/>
  <c r="L199" i="10"/>
  <c r="K199" i="10"/>
  <c r="J199" i="10"/>
  <c r="I199" i="10"/>
  <c r="N191" i="10"/>
  <c r="M191" i="10"/>
  <c r="L191" i="10"/>
  <c r="K191" i="10"/>
  <c r="J191" i="10"/>
  <c r="I191" i="10"/>
  <c r="N179" i="10"/>
  <c r="M179" i="10"/>
  <c r="L179" i="10"/>
  <c r="K179" i="10"/>
  <c r="J179" i="10"/>
  <c r="I179" i="10"/>
  <c r="N176" i="10"/>
  <c r="M176" i="10"/>
  <c r="L176" i="10"/>
  <c r="K176" i="10"/>
  <c r="J176" i="10"/>
  <c r="I176" i="10"/>
  <c r="N169" i="10"/>
  <c r="M169" i="10"/>
  <c r="L169" i="10"/>
  <c r="K169" i="10"/>
  <c r="J169" i="10"/>
  <c r="I169" i="10"/>
  <c r="N161" i="10"/>
  <c r="M161" i="10"/>
  <c r="L161" i="10"/>
  <c r="K161" i="10"/>
  <c r="J161" i="10"/>
  <c r="I161" i="10"/>
  <c r="N154" i="10"/>
  <c r="N157" i="10" s="1"/>
  <c r="N159" i="10" s="1"/>
  <c r="M154" i="10"/>
  <c r="M157" i="10" s="1"/>
  <c r="M159" i="10" s="1"/>
  <c r="L154" i="10"/>
  <c r="L157" i="10" s="1"/>
  <c r="L159" i="10" s="1"/>
  <c r="K154" i="10"/>
  <c r="K157" i="10" s="1"/>
  <c r="K159" i="10" s="1"/>
  <c r="J154" i="10"/>
  <c r="J157" i="10" s="1"/>
  <c r="J159" i="10" s="1"/>
  <c r="I154" i="10"/>
  <c r="I157" i="10" s="1"/>
  <c r="I159" i="10" s="1"/>
  <c r="N142" i="10"/>
  <c r="M142" i="10"/>
  <c r="L142" i="10"/>
  <c r="L144" i="10" s="1"/>
  <c r="K142" i="10"/>
  <c r="J142" i="10"/>
  <c r="I142" i="10"/>
  <c r="N133" i="10"/>
  <c r="M133" i="10"/>
  <c r="L133" i="10"/>
  <c r="K133" i="10"/>
  <c r="J133" i="10"/>
  <c r="J144" i="10" s="1"/>
  <c r="I133" i="10"/>
  <c r="N117" i="10"/>
  <c r="M117" i="10"/>
  <c r="L117" i="10"/>
  <c r="K117" i="10"/>
  <c r="J117" i="10"/>
  <c r="I117" i="10"/>
  <c r="N110" i="10"/>
  <c r="M110" i="10"/>
  <c r="L110" i="10"/>
  <c r="K110" i="10"/>
  <c r="J110" i="10"/>
  <c r="I110" i="10"/>
  <c r="N98" i="10"/>
  <c r="M98" i="10"/>
  <c r="L98" i="10"/>
  <c r="K98" i="10"/>
  <c r="J98" i="10"/>
  <c r="I98" i="10"/>
  <c r="N90" i="10"/>
  <c r="M90" i="10"/>
  <c r="L90" i="10"/>
  <c r="K90" i="10"/>
  <c r="J90" i="10"/>
  <c r="I90" i="10"/>
  <c r="N83" i="10"/>
  <c r="M83" i="10"/>
  <c r="L83" i="10"/>
  <c r="K83" i="10"/>
  <c r="J83" i="10"/>
  <c r="I83" i="10"/>
  <c r="N79" i="10"/>
  <c r="M79" i="10"/>
  <c r="L79" i="10"/>
  <c r="K79" i="10"/>
  <c r="K84" i="10" s="1"/>
  <c r="J79" i="10"/>
  <c r="I79" i="10"/>
  <c r="N72" i="10"/>
  <c r="M72" i="10"/>
  <c r="L72" i="10"/>
  <c r="K72" i="10"/>
  <c r="J72" i="10"/>
  <c r="I72" i="10"/>
  <c r="N55" i="10"/>
  <c r="M55" i="10"/>
  <c r="L55" i="10"/>
  <c r="K55" i="10"/>
  <c r="J55" i="10"/>
  <c r="I55" i="10"/>
  <c r="N38" i="10"/>
  <c r="M38" i="10"/>
  <c r="L38" i="10"/>
  <c r="K38" i="10"/>
  <c r="J38" i="10"/>
  <c r="I38" i="10"/>
  <c r="N26" i="10"/>
  <c r="N34" i="10" s="1"/>
  <c r="M26" i="10"/>
  <c r="M34" i="10" s="1"/>
  <c r="L26" i="10"/>
  <c r="L34" i="10" s="1"/>
  <c r="K26" i="10"/>
  <c r="K34" i="10" s="1"/>
  <c r="J26" i="10"/>
  <c r="J34" i="10" s="1"/>
  <c r="I26" i="10"/>
  <c r="I34" i="10" s="1"/>
  <c r="N23" i="10"/>
  <c r="M23" i="10"/>
  <c r="L23" i="10"/>
  <c r="K23" i="10"/>
  <c r="J23" i="10"/>
  <c r="I23" i="10"/>
  <c r="N14" i="10"/>
  <c r="M14" i="10"/>
  <c r="L14" i="10"/>
  <c r="K14" i="10"/>
  <c r="J14" i="10"/>
  <c r="I14" i="10"/>
  <c r="X389" i="39" l="1"/>
  <c r="Y351" i="39"/>
  <c r="Y367" i="39" s="1"/>
  <c r="X358" i="39"/>
  <c r="X345" i="39"/>
  <c r="Y180" i="39"/>
  <c r="Z202" i="39"/>
  <c r="Z180" i="39" s="1"/>
  <c r="W76" i="39"/>
  <c r="AB444" i="39"/>
  <c r="AB510" i="39" s="1"/>
  <c r="N144" i="10"/>
  <c r="N31" i="10"/>
  <c r="K103" i="10"/>
  <c r="J30" i="10"/>
  <c r="K31" i="10"/>
  <c r="AA203" i="39"/>
  <c r="AB203" i="39" s="1"/>
  <c r="AC203" i="39" s="1"/>
  <c r="AD203" i="39" s="1"/>
  <c r="AE203" i="39" s="1"/>
  <c r="AF203" i="39" s="1"/>
  <c r="AG203" i="39" s="1"/>
  <c r="AH203" i="39" s="1"/>
  <c r="AI203" i="39" s="1"/>
  <c r="AJ203" i="39" s="1"/>
  <c r="AA445" i="39"/>
  <c r="AA124" i="39" s="1"/>
  <c r="N56" i="39"/>
  <c r="N58" i="39" s="1"/>
  <c r="AL188" i="39"/>
  <c r="AL182" i="39"/>
  <c r="AL183" i="39"/>
  <c r="AL415" i="39"/>
  <c r="AL411" i="39"/>
  <c r="Y345" i="39"/>
  <c r="Y358" i="39"/>
  <c r="AL333" i="39"/>
  <c r="AH158" i="39"/>
  <c r="AC191" i="39"/>
  <c r="AB273" i="39"/>
  <c r="AG160" i="39"/>
  <c r="AB353" i="39"/>
  <c r="AB448" i="39"/>
  <c r="AF162" i="39"/>
  <c r="N66" i="39"/>
  <c r="I66" i="39"/>
  <c r="N30" i="10"/>
  <c r="I144" i="10"/>
  <c r="J66" i="39"/>
  <c r="K66" i="39"/>
  <c r="K30" i="10"/>
  <c r="I84" i="10"/>
  <c r="L66" i="39"/>
  <c r="N400" i="10"/>
  <c r="M66" i="39"/>
  <c r="AK200" i="39"/>
  <c r="AC508" i="39"/>
  <c r="AE458" i="39"/>
  <c r="AD512" i="39"/>
  <c r="AC509" i="39"/>
  <c r="S393" i="39"/>
  <c r="T408" i="39"/>
  <c r="AE43" i="39"/>
  <c r="AF146" i="39"/>
  <c r="AC412" i="39"/>
  <c r="AC122" i="39" s="1"/>
  <c r="AK201" i="39"/>
  <c r="AG161" i="39"/>
  <c r="Z351" i="39"/>
  <c r="Z367" i="39" s="1"/>
  <c r="AB105" i="39"/>
  <c r="AC434" i="39"/>
  <c r="X76" i="39"/>
  <c r="AA487" i="39"/>
  <c r="AA495" i="39" s="1"/>
  <c r="AE459" i="39"/>
  <c r="AD460" i="39"/>
  <c r="AD118" i="39" s="1"/>
  <c r="AE236" i="39"/>
  <c r="AD291" i="39"/>
  <c r="AC314" i="39"/>
  <c r="AC116" i="39"/>
  <c r="AA117" i="39"/>
  <c r="AB449" i="39"/>
  <c r="AL72" i="39"/>
  <c r="AB123" i="39"/>
  <c r="AC416" i="39"/>
  <c r="AB386" i="39"/>
  <c r="AB392" i="39"/>
  <c r="AC385" i="39"/>
  <c r="AL84" i="39"/>
  <c r="AD439" i="39"/>
  <c r="AA159" i="39"/>
  <c r="AA163" i="39" s="1"/>
  <c r="AD75" i="39"/>
  <c r="AA73" i="39"/>
  <c r="AA437" i="39" s="1"/>
  <c r="AE463" i="39"/>
  <c r="AI30" i="39"/>
  <c r="AH233" i="39"/>
  <c r="AE452" i="39"/>
  <c r="AD455" i="39"/>
  <c r="AD503" i="39"/>
  <c r="AC464" i="39"/>
  <c r="AB465" i="39"/>
  <c r="AB466" i="39" s="1"/>
  <c r="Y389" i="39"/>
  <c r="AL28" i="39"/>
  <c r="AM29" i="39"/>
  <c r="AL26" i="39"/>
  <c r="L400" i="10"/>
  <c r="J400" i="10"/>
  <c r="I400" i="10"/>
  <c r="K144" i="10"/>
  <c r="M144" i="10"/>
  <c r="K400" i="10"/>
  <c r="M400" i="10"/>
  <c r="K118" i="10"/>
  <c r="N84" i="10"/>
  <c r="N103" i="10" s="1"/>
  <c r="N118" i="10" s="1"/>
  <c r="L84" i="10"/>
  <c r="L91" i="10" s="1"/>
  <c r="L99" i="10" s="1"/>
  <c r="L101" i="10" s="1"/>
  <c r="M84" i="10"/>
  <c r="M103" i="10" s="1"/>
  <c r="M118" i="10" s="1"/>
  <c r="I30" i="10"/>
  <c r="L30" i="10"/>
  <c r="J84" i="10"/>
  <c r="J91" i="10" s="1"/>
  <c r="J99" i="10" s="1"/>
  <c r="J101" i="10" s="1"/>
  <c r="M31" i="10"/>
  <c r="I103" i="10"/>
  <c r="I118" i="10" s="1"/>
  <c r="I91" i="10"/>
  <c r="I99" i="10" s="1"/>
  <c r="I101" i="10" s="1"/>
  <c r="M30" i="10"/>
  <c r="I31" i="10"/>
  <c r="K91" i="10"/>
  <c r="K99" i="10" s="1"/>
  <c r="K101" i="10" s="1"/>
  <c r="J31" i="10"/>
  <c r="L31" i="10"/>
  <c r="N91" i="10"/>
  <c r="N99" i="10" s="1"/>
  <c r="N101" i="10" s="1"/>
  <c r="AC444" i="39" l="1"/>
  <c r="AC510" i="39" s="1"/>
  <c r="L103" i="10"/>
  <c r="L118" i="10" s="1"/>
  <c r="AA202" i="39"/>
  <c r="AB202" i="39" s="1"/>
  <c r="AC202" i="39" s="1"/>
  <c r="AD202" i="39" s="1"/>
  <c r="AE202" i="39" s="1"/>
  <c r="AF202" i="39" s="1"/>
  <c r="AG202" i="39" s="1"/>
  <c r="AH202" i="39" s="1"/>
  <c r="AI202" i="39" s="1"/>
  <c r="AJ202" i="39" s="1"/>
  <c r="AB445" i="39"/>
  <c r="AB124" i="39" s="1"/>
  <c r="N60" i="39"/>
  <c r="N61" i="39"/>
  <c r="AM188" i="39"/>
  <c r="AM183" i="39"/>
  <c r="AM182" i="39"/>
  <c r="AM415" i="39"/>
  <c r="AM411" i="39"/>
  <c r="Z345" i="39"/>
  <c r="Z358" i="39"/>
  <c r="AM333" i="39"/>
  <c r="AC448" i="39"/>
  <c r="AK203" i="39"/>
  <c r="AI158" i="39"/>
  <c r="AG162" i="39"/>
  <c r="AD191" i="39"/>
  <c r="AC273" i="39"/>
  <c r="M91" i="10"/>
  <c r="M99" i="10" s="1"/>
  <c r="M101" i="10" s="1"/>
  <c r="J103" i="10"/>
  <c r="J118" i="10" s="1"/>
  <c r="AD412" i="39"/>
  <c r="AE412" i="39" s="1"/>
  <c r="AL201" i="39"/>
  <c r="T393" i="39"/>
  <c r="U408" i="39"/>
  <c r="AD508" i="39"/>
  <c r="AF43" i="39"/>
  <c r="AG146" i="39"/>
  <c r="AE512" i="39"/>
  <c r="AF458" i="39"/>
  <c r="AD509" i="39"/>
  <c r="AH161" i="39"/>
  <c r="AM72" i="39"/>
  <c r="AB487" i="39"/>
  <c r="AB495" i="39" s="1"/>
  <c r="AD464" i="39"/>
  <c r="AC465" i="39"/>
  <c r="AC466" i="39" s="1"/>
  <c r="AC353" i="39"/>
  <c r="AF236" i="39"/>
  <c r="AE291" i="39"/>
  <c r="AF463" i="39"/>
  <c r="AB73" i="39"/>
  <c r="AB437" i="39" s="1"/>
  <c r="AH160" i="39"/>
  <c r="AJ30" i="39"/>
  <c r="AI233" i="39"/>
  <c r="AB117" i="39"/>
  <c r="AC449" i="39"/>
  <c r="AD116" i="39"/>
  <c r="AE75" i="39"/>
  <c r="Y76" i="39"/>
  <c r="AF452" i="39"/>
  <c r="AE455" i="39"/>
  <c r="AE503" i="39"/>
  <c r="AA351" i="39"/>
  <c r="AA367" i="39" s="1"/>
  <c r="AM84" i="39"/>
  <c r="AD314" i="39"/>
  <c r="AF459" i="39"/>
  <c r="AE460" i="39"/>
  <c r="AE118" i="39" s="1"/>
  <c r="AL200" i="39"/>
  <c r="AE439" i="39"/>
  <c r="AB159" i="39"/>
  <c r="AB163" i="39" s="1"/>
  <c r="AC123" i="39"/>
  <c r="AD416" i="39"/>
  <c r="AC386" i="39"/>
  <c r="AC392" i="39"/>
  <c r="AD385" i="39"/>
  <c r="AC105" i="39"/>
  <c r="AD434" i="39"/>
  <c r="Z389" i="39"/>
  <c r="AN29" i="39"/>
  <c r="AM26" i="39"/>
  <c r="AM28" i="39"/>
  <c r="AD444" i="39" l="1"/>
  <c r="AD510" i="39" s="1"/>
  <c r="AA180" i="39"/>
  <c r="AB180" i="39" s="1"/>
  <c r="AC180" i="39" s="1"/>
  <c r="AD180" i="39" s="1"/>
  <c r="AE180" i="39" s="1"/>
  <c r="AF180" i="39" s="1"/>
  <c r="AG180" i="39" s="1"/>
  <c r="AH180" i="39" s="1"/>
  <c r="AI180" i="39" s="1"/>
  <c r="AJ180" i="39" s="1"/>
  <c r="AC445" i="39"/>
  <c r="AC124" i="39" s="1"/>
  <c r="AN188" i="39"/>
  <c r="AN182" i="39"/>
  <c r="AN183" i="39"/>
  <c r="AK202" i="39"/>
  <c r="AN415" i="39"/>
  <c r="AN411" i="39"/>
  <c r="AD122" i="39"/>
  <c r="AA345" i="39"/>
  <c r="AA358" i="39"/>
  <c r="AN333" i="39"/>
  <c r="AL203" i="39"/>
  <c r="AJ158" i="39"/>
  <c r="AE191" i="39"/>
  <c r="AD273" i="39"/>
  <c r="AI161" i="39"/>
  <c r="AM201" i="39"/>
  <c r="AD353" i="39"/>
  <c r="AN72" i="39"/>
  <c r="AG458" i="39"/>
  <c r="AF512" i="39"/>
  <c r="AG43" i="39"/>
  <c r="AH146" i="39"/>
  <c r="U393" i="39"/>
  <c r="V408" i="39"/>
  <c r="AN28" i="39"/>
  <c r="AE509" i="39"/>
  <c r="AE508" i="39"/>
  <c r="AE444" i="39"/>
  <c r="AE510" i="39" s="1"/>
  <c r="AI160" i="39"/>
  <c r="AG459" i="39"/>
  <c r="AF460" i="39"/>
  <c r="AF118" i="39" s="1"/>
  <c r="Z76" i="39"/>
  <c r="AD386" i="39"/>
  <c r="AD392" i="39"/>
  <c r="AE385" i="39"/>
  <c r="AE122" i="39"/>
  <c r="AE314" i="39"/>
  <c r="AG236" i="39"/>
  <c r="AF291" i="39"/>
  <c r="AE464" i="39"/>
  <c r="AD465" i="39"/>
  <c r="AD466" i="39" s="1"/>
  <c r="AH162" i="39"/>
  <c r="AD123" i="39"/>
  <c r="AE416" i="39"/>
  <c r="AB351" i="39"/>
  <c r="AB367" i="39" s="1"/>
  <c r="AC159" i="39"/>
  <c r="AC163" i="39" s="1"/>
  <c r="AF75" i="39"/>
  <c r="AC117" i="39"/>
  <c r="AD449" i="39"/>
  <c r="AD448" i="39"/>
  <c r="AD105" i="39"/>
  <c r="AE434" i="39"/>
  <c r="AF439" i="39"/>
  <c r="AE116" i="39"/>
  <c r="AC73" i="39"/>
  <c r="AC437" i="39" s="1"/>
  <c r="AN84" i="39"/>
  <c r="AG452" i="39"/>
  <c r="AF455" i="39"/>
  <c r="AF503" i="39"/>
  <c r="AA389" i="39"/>
  <c r="AC487" i="39"/>
  <c r="AC495" i="39" s="1"/>
  <c r="AM200" i="39"/>
  <c r="AK30" i="39"/>
  <c r="AJ233" i="39"/>
  <c r="AG463" i="39"/>
  <c r="AO29" i="39"/>
  <c r="AN26" i="39"/>
  <c r="AD445" i="39" l="1"/>
  <c r="AD124" i="39" s="1"/>
  <c r="AO188" i="39"/>
  <c r="AO183" i="39"/>
  <c r="AO182" i="39"/>
  <c r="AK180" i="39"/>
  <c r="AL202" i="39"/>
  <c r="AO415" i="39"/>
  <c r="AO411" i="39"/>
  <c r="AB345" i="39"/>
  <c r="AB358" i="39"/>
  <c r="AO333" i="39"/>
  <c r="AM203" i="39"/>
  <c r="AK158" i="39"/>
  <c r="AF191" i="39"/>
  <c r="AE273" i="39"/>
  <c r="AN201" i="39"/>
  <c r="AE353" i="39"/>
  <c r="AJ160" i="39"/>
  <c r="AO72" i="39"/>
  <c r="AF509" i="39"/>
  <c r="AF508" i="39"/>
  <c r="AF444" i="39"/>
  <c r="AF510" i="39" s="1"/>
  <c r="AF412" i="39"/>
  <c r="AF122" i="39" s="1"/>
  <c r="AH43" i="39"/>
  <c r="AI146" i="39"/>
  <c r="AI162" i="39"/>
  <c r="W408" i="39"/>
  <c r="V393" i="39"/>
  <c r="AG512" i="39"/>
  <c r="AH458" i="39"/>
  <c r="AA76" i="39"/>
  <c r="AD487" i="39"/>
  <c r="AD495" i="39" s="1"/>
  <c r="AD159" i="39"/>
  <c r="AD163" i="39" s="1"/>
  <c r="AE123" i="39"/>
  <c r="AF416" i="39"/>
  <c r="AD117" i="39"/>
  <c r="AE449" i="39"/>
  <c r="AO84" i="39"/>
  <c r="AF464" i="39"/>
  <c r="AE465" i="39"/>
  <c r="AE466" i="39" s="1"/>
  <c r="AG75" i="39"/>
  <c r="AD73" i="39"/>
  <c r="AD437" i="39" s="1"/>
  <c r="AH459" i="39"/>
  <c r="AG460" i="39"/>
  <c r="AG118" i="39" s="1"/>
  <c r="AH452" i="39"/>
  <c r="AG455" i="39"/>
  <c r="AG503" i="39"/>
  <c r="AG439" i="39"/>
  <c r="AF314" i="39"/>
  <c r="AC351" i="39"/>
  <c r="AC367" i="39" s="1"/>
  <c r="AE448" i="39"/>
  <c r="AG291" i="39"/>
  <c r="AH236" i="39"/>
  <c r="AJ161" i="39"/>
  <c r="AH463" i="39"/>
  <c r="AL30" i="39"/>
  <c r="AK233" i="39"/>
  <c r="AE105" i="39"/>
  <c r="AF434" i="39"/>
  <c r="AE386" i="39"/>
  <c r="AE392" i="39"/>
  <c r="AF385" i="39"/>
  <c r="AN200" i="39"/>
  <c r="AF116" i="39"/>
  <c r="AB389" i="39"/>
  <c r="AP29" i="39"/>
  <c r="AO26" i="39"/>
  <c r="AO28" i="39"/>
  <c r="AE445" i="39" l="1"/>
  <c r="AE124" i="39" s="1"/>
  <c r="AP188" i="39"/>
  <c r="AL180" i="39"/>
  <c r="AP182" i="39"/>
  <c r="AP183" i="39"/>
  <c r="AM202" i="39"/>
  <c r="AP415" i="39"/>
  <c r="AP411" i="39"/>
  <c r="AC345" i="39"/>
  <c r="AC358" i="39"/>
  <c r="AP333" i="39"/>
  <c r="AN203" i="39"/>
  <c r="AL158" i="39"/>
  <c r="AG191" i="39"/>
  <c r="AF273" i="39"/>
  <c r="AO201" i="39"/>
  <c r="AJ162" i="39"/>
  <c r="AP72" i="39"/>
  <c r="AK160" i="39"/>
  <c r="W393" i="39"/>
  <c r="X408" i="39"/>
  <c r="AG444" i="39"/>
  <c r="AG510" i="39" s="1"/>
  <c r="AG508" i="39"/>
  <c r="AI458" i="39"/>
  <c r="AH512" i="39"/>
  <c r="AF448" i="39"/>
  <c r="AG412" i="39"/>
  <c r="AG122" i="39" s="1"/>
  <c r="AI43" i="39"/>
  <c r="AJ146" i="39"/>
  <c r="AG509" i="39"/>
  <c r="AK161" i="39"/>
  <c r="AO200" i="39"/>
  <c r="AG464" i="39"/>
  <c r="AF465" i="39"/>
  <c r="AF466" i="39" s="1"/>
  <c r="AE73" i="39"/>
  <c r="AE437" i="39" s="1"/>
  <c r="AI463" i="39"/>
  <c r="AG116" i="39"/>
  <c r="AC389" i="39"/>
  <c r="AI452" i="39"/>
  <c r="AH455" i="39"/>
  <c r="AH503" i="39"/>
  <c r="AP84" i="39"/>
  <c r="AE159" i="39"/>
  <c r="AE163" i="39" s="1"/>
  <c r="AH439" i="39"/>
  <c r="AI236" i="39"/>
  <c r="AH291" i="39"/>
  <c r="AF353" i="39"/>
  <c r="AF105" i="39"/>
  <c r="AG434" i="39"/>
  <c r="AG314" i="39"/>
  <c r="AI459" i="39"/>
  <c r="AH460" i="39"/>
  <c r="AH118" i="39" s="1"/>
  <c r="AH75" i="39"/>
  <c r="AF123" i="39"/>
  <c r="AG416" i="39"/>
  <c r="AB76" i="39"/>
  <c r="AF386" i="39"/>
  <c r="AF392" i="39"/>
  <c r="AG385" i="39"/>
  <c r="AE487" i="39"/>
  <c r="AE495" i="39" s="1"/>
  <c r="AD351" i="39"/>
  <c r="AD367" i="39" s="1"/>
  <c r="AE117" i="39"/>
  <c r="AF449" i="39"/>
  <c r="AM30" i="39"/>
  <c r="AL233" i="39"/>
  <c r="AP28" i="39"/>
  <c r="AQ29" i="39"/>
  <c r="AP26" i="39"/>
  <c r="AF445" i="39" l="1"/>
  <c r="AF124" i="39" s="1"/>
  <c r="AQ188" i="39"/>
  <c r="AQ183" i="39"/>
  <c r="AQ182" i="39"/>
  <c r="AM180" i="39"/>
  <c r="AN202" i="39"/>
  <c r="AQ415" i="39"/>
  <c r="AQ411" i="39"/>
  <c r="AD345" i="39"/>
  <c r="AD358" i="39"/>
  <c r="AQ333" i="39"/>
  <c r="AO203" i="39"/>
  <c r="AQ72" i="39"/>
  <c r="AM158" i="39"/>
  <c r="AP201" i="39"/>
  <c r="AH191" i="39"/>
  <c r="AG273" i="39"/>
  <c r="AL160" i="39"/>
  <c r="AK162" i="39"/>
  <c r="AG353" i="39"/>
  <c r="AH412" i="39"/>
  <c r="AH508" i="39"/>
  <c r="AH444" i="39"/>
  <c r="AH510" i="39" s="1"/>
  <c r="AH509" i="39"/>
  <c r="AJ458" i="39"/>
  <c r="AI512" i="39"/>
  <c r="AJ43" i="39"/>
  <c r="AK146" i="39"/>
  <c r="AG448" i="39"/>
  <c r="X393" i="39"/>
  <c r="Y408" i="39"/>
  <c r="AP200" i="39"/>
  <c r="AF73" i="39"/>
  <c r="AF437" i="39" s="1"/>
  <c r="AD389" i="39"/>
  <c r="AC76" i="39"/>
  <c r="AJ459" i="39"/>
  <c r="AI460" i="39"/>
  <c r="AI118" i="39" s="1"/>
  <c r="AI439" i="39"/>
  <c r="AH464" i="39"/>
  <c r="AG465" i="39"/>
  <c r="AG466" i="39" s="1"/>
  <c r="AN30" i="39"/>
  <c r="AM233" i="39"/>
  <c r="AG123" i="39"/>
  <c r="AH416" i="39"/>
  <c r="AH314" i="39"/>
  <c r="AF117" i="39"/>
  <c r="AG449" i="39"/>
  <c r="AJ236" i="39"/>
  <c r="AI291" i="39"/>
  <c r="AH116" i="39"/>
  <c r="AL161" i="39"/>
  <c r="AJ463" i="39"/>
  <c r="AG105" i="39"/>
  <c r="AH434" i="39"/>
  <c r="AF159" i="39"/>
  <c r="AF163" i="39" s="1"/>
  <c r="AJ452" i="39"/>
  <c r="AI455" i="39"/>
  <c r="AI503" i="39"/>
  <c r="AE351" i="39"/>
  <c r="AE367" i="39" s="1"/>
  <c r="AI75" i="39"/>
  <c r="AG386" i="39"/>
  <c r="AG392" i="39"/>
  <c r="AH385" i="39"/>
  <c r="AF487" i="39"/>
  <c r="AF495" i="39" s="1"/>
  <c r="AQ84" i="39"/>
  <c r="AR29" i="39"/>
  <c r="AQ26" i="39"/>
  <c r="AQ28" i="39"/>
  <c r="I411" i="10"/>
  <c r="I413" i="10"/>
  <c r="H413" i="10"/>
  <c r="H411" i="10"/>
  <c r="G413" i="10"/>
  <c r="G411" i="10"/>
  <c r="F411" i="10"/>
  <c r="F413" i="10"/>
  <c r="D413" i="10"/>
  <c r="D411" i="10"/>
  <c r="AG445" i="39" l="1"/>
  <c r="AG124" i="39" s="1"/>
  <c r="AR188" i="39"/>
  <c r="AN180" i="39"/>
  <c r="AR182" i="39"/>
  <c r="AR183" i="39"/>
  <c r="AO202" i="39"/>
  <c r="AR415" i="39"/>
  <c r="AR411" i="39"/>
  <c r="AR72" i="39"/>
  <c r="AE345" i="39"/>
  <c r="AE358" i="39"/>
  <c r="AP203" i="39"/>
  <c r="AR333" i="39"/>
  <c r="AQ201" i="39"/>
  <c r="AN158" i="39"/>
  <c r="AI191" i="39"/>
  <c r="AH273" i="39"/>
  <c r="AH353" i="39"/>
  <c r="AL162" i="39"/>
  <c r="AM160" i="39"/>
  <c r="F262" i="39"/>
  <c r="G262" i="39"/>
  <c r="D262" i="39"/>
  <c r="I262" i="39"/>
  <c r="H262" i="39"/>
  <c r="AI412" i="39"/>
  <c r="AI122" i="39" s="1"/>
  <c r="AH122" i="39"/>
  <c r="AM161" i="39"/>
  <c r="AH448" i="39"/>
  <c r="AI509" i="39"/>
  <c r="AL146" i="39"/>
  <c r="AK43" i="39"/>
  <c r="AI444" i="39"/>
  <c r="AI510" i="39" s="1"/>
  <c r="AI508" i="39"/>
  <c r="Z408" i="39"/>
  <c r="Y393" i="39"/>
  <c r="AK458" i="39"/>
  <c r="AJ512" i="39"/>
  <c r="AF351" i="39"/>
  <c r="AF367" i="39" s="1"/>
  <c r="AG159" i="39"/>
  <c r="AG163" i="39" s="1"/>
  <c r="AJ439" i="39"/>
  <c r="AR84" i="39"/>
  <c r="AI116" i="39"/>
  <c r="AQ200" i="39"/>
  <c r="AG117" i="39"/>
  <c r="AH449" i="39"/>
  <c r="AK452" i="39"/>
  <c r="AJ455" i="39"/>
  <c r="AJ503" i="39"/>
  <c r="AH105" i="39"/>
  <c r="AI434" i="39"/>
  <c r="AK463" i="39"/>
  <c r="AK236" i="39"/>
  <c r="AJ291" i="39"/>
  <c r="AO30" i="39"/>
  <c r="AN233" i="39"/>
  <c r="AH386" i="39"/>
  <c r="AH392" i="39"/>
  <c r="AI385" i="39"/>
  <c r="AJ75" i="39"/>
  <c r="AE389" i="39"/>
  <c r="AI314" i="39"/>
  <c r="AI464" i="39"/>
  <c r="AH465" i="39"/>
  <c r="AH466" i="39" s="1"/>
  <c r="AK459" i="39"/>
  <c r="AJ460" i="39"/>
  <c r="AJ118" i="39" s="1"/>
  <c r="AD76" i="39"/>
  <c r="AG487" i="39"/>
  <c r="AG495" i="39" s="1"/>
  <c r="AG73" i="39"/>
  <c r="AG437" i="39" s="1"/>
  <c r="AH123" i="39"/>
  <c r="AI416" i="39"/>
  <c r="AR28" i="39"/>
  <c r="AS29" i="39"/>
  <c r="AR26" i="39"/>
  <c r="AH445" i="39" l="1"/>
  <c r="AH124" i="39" s="1"/>
  <c r="AS188" i="39"/>
  <c r="AS183" i="39"/>
  <c r="AS182" i="39"/>
  <c r="AO180" i="39"/>
  <c r="AP202" i="39"/>
  <c r="AS415" i="39"/>
  <c r="AS411" i="39"/>
  <c r="AS72" i="39"/>
  <c r="AQ203" i="39"/>
  <c r="AF345" i="39"/>
  <c r="AF358" i="39"/>
  <c r="AS333" i="39"/>
  <c r="AR201" i="39"/>
  <c r="AO158" i="39"/>
  <c r="AJ191" i="39"/>
  <c r="AI273" i="39"/>
  <c r="AM162" i="39"/>
  <c r="AI448" i="39"/>
  <c r="AN160" i="39"/>
  <c r="H266" i="39"/>
  <c r="H53" i="39" s="1"/>
  <c r="H325" i="39"/>
  <c r="H324" i="39"/>
  <c r="D266" i="39"/>
  <c r="D53" i="39" s="1"/>
  <c r="D324" i="39"/>
  <c r="D325" i="39"/>
  <c r="F266" i="39"/>
  <c r="F53" i="39" s="1"/>
  <c r="F324" i="39"/>
  <c r="F325" i="39"/>
  <c r="I266" i="39"/>
  <c r="I53" i="39" s="1"/>
  <c r="I325" i="39"/>
  <c r="I324" i="39"/>
  <c r="G266" i="39"/>
  <c r="G53" i="39" s="1"/>
  <c r="G325" i="39"/>
  <c r="G324" i="39"/>
  <c r="AJ508" i="39"/>
  <c r="AJ444" i="39"/>
  <c r="AJ510" i="39" s="1"/>
  <c r="AJ412" i="39"/>
  <c r="AJ122" i="39" s="1"/>
  <c r="Z393" i="39"/>
  <c r="AA408" i="39"/>
  <c r="AL43" i="39"/>
  <c r="AM146" i="39"/>
  <c r="AL458" i="39"/>
  <c r="AK512" i="39"/>
  <c r="AJ509" i="39"/>
  <c r="AN161" i="39"/>
  <c r="AS84" i="39"/>
  <c r="AL459" i="39"/>
  <c r="AK460" i="39"/>
  <c r="AK118" i="39" s="1"/>
  <c r="AE76" i="39"/>
  <c r="AK75" i="39"/>
  <c r="AI392" i="39"/>
  <c r="AI386" i="39"/>
  <c r="AJ385" i="39"/>
  <c r="AL463" i="39"/>
  <c r="AH159" i="39"/>
  <c r="AH163" i="39" s="1"/>
  <c r="AL236" i="39"/>
  <c r="AK291" i="39"/>
  <c r="AI123" i="39"/>
  <c r="AJ416" i="39"/>
  <c r="AH73" i="39"/>
  <c r="AH437" i="39" s="1"/>
  <c r="AF389" i="39"/>
  <c r="AH117" i="39"/>
  <c r="AI449" i="39"/>
  <c r="AP30" i="39"/>
  <c r="AO233" i="39"/>
  <c r="AI105" i="39"/>
  <c r="AJ434" i="39"/>
  <c r="AR200" i="39"/>
  <c r="AH487" i="39"/>
  <c r="AH495" i="39" s="1"/>
  <c r="AK455" i="39"/>
  <c r="AL452" i="39"/>
  <c r="AK503" i="39"/>
  <c r="AK439" i="39"/>
  <c r="AJ464" i="39"/>
  <c r="AI465" i="39"/>
  <c r="AI466" i="39" s="1"/>
  <c r="AG351" i="39"/>
  <c r="AG367" i="39" s="1"/>
  <c r="AJ314" i="39"/>
  <c r="AJ116" i="39"/>
  <c r="AI353" i="39"/>
  <c r="AT29" i="39"/>
  <c r="AS26" i="39"/>
  <c r="AS28" i="39"/>
  <c r="AI445" i="39" l="1"/>
  <c r="AI124" i="39" s="1"/>
  <c r="AQ202" i="39"/>
  <c r="AT188" i="39"/>
  <c r="AP180" i="39"/>
  <c r="AT182" i="39"/>
  <c r="AT183" i="39"/>
  <c r="AT72" i="39"/>
  <c r="AT415" i="39"/>
  <c r="AT411" i="39"/>
  <c r="AR203" i="39"/>
  <c r="AS201" i="39"/>
  <c r="AG345" i="39"/>
  <c r="AG358" i="39"/>
  <c r="AT333" i="39"/>
  <c r="AP158" i="39"/>
  <c r="AK191" i="39"/>
  <c r="AJ273" i="39"/>
  <c r="AN162" i="39"/>
  <c r="AO160" i="39"/>
  <c r="D268" i="39"/>
  <c r="D269" i="39" s="1"/>
  <c r="D46" i="39" s="1"/>
  <c r="I268" i="39"/>
  <c r="I269" i="39" s="1"/>
  <c r="I46" i="39" s="1"/>
  <c r="G268" i="39"/>
  <c r="G269" i="39" s="1"/>
  <c r="G46" i="39" s="1"/>
  <c r="F268" i="39"/>
  <c r="F269" i="39" s="1"/>
  <c r="F46" i="39" s="1"/>
  <c r="H268" i="39"/>
  <c r="H269" i="39" s="1"/>
  <c r="H46" i="39" s="1"/>
  <c r="AK412" i="39"/>
  <c r="AK122" i="39" s="1"/>
  <c r="AJ353" i="39"/>
  <c r="AL512" i="39"/>
  <c r="AM458" i="39"/>
  <c r="AM43" i="39"/>
  <c r="AN146" i="39"/>
  <c r="AK509" i="39"/>
  <c r="AA393" i="39"/>
  <c r="AB408" i="39"/>
  <c r="AK444" i="39"/>
  <c r="AK510" i="39" s="1"/>
  <c r="AK508" i="39"/>
  <c r="AO161" i="39"/>
  <c r="AS200" i="39"/>
  <c r="AL439" i="39"/>
  <c r="AF76" i="39"/>
  <c r="AK314" i="39"/>
  <c r="AK116" i="39"/>
  <c r="AM459" i="39"/>
  <c r="AL460" i="39"/>
  <c r="AL118" i="39" s="1"/>
  <c r="AM452" i="39"/>
  <c r="AL455" i="39"/>
  <c r="AL503" i="39"/>
  <c r="AM236" i="39"/>
  <c r="AL291" i="39"/>
  <c r="AM463" i="39"/>
  <c r="AG389" i="39"/>
  <c r="AI117" i="39"/>
  <c r="AJ449" i="39"/>
  <c r="AH351" i="39"/>
  <c r="AH367" i="39" s="1"/>
  <c r="AT28" i="39"/>
  <c r="AJ105" i="39"/>
  <c r="AK434" i="39"/>
  <c r="AJ386" i="39"/>
  <c r="AJ392" i="39"/>
  <c r="AK385" i="39"/>
  <c r="AL75" i="39"/>
  <c r="AQ30" i="39"/>
  <c r="AP233" i="39"/>
  <c r="AK464" i="39"/>
  <c r="AJ465" i="39"/>
  <c r="AJ466" i="39" s="1"/>
  <c r="AI487" i="39"/>
  <c r="AI495" i="39" s="1"/>
  <c r="AT84" i="39"/>
  <c r="AJ448" i="39"/>
  <c r="AJ123" i="39"/>
  <c r="AK416" i="39"/>
  <c r="AI159" i="39"/>
  <c r="AI163" i="39" s="1"/>
  <c r="AI73" i="39"/>
  <c r="AI437" i="39" s="1"/>
  <c r="AU29" i="39"/>
  <c r="AT26" i="39"/>
  <c r="AJ445" i="39" l="1"/>
  <c r="AJ124" i="39" s="1"/>
  <c r="AQ180" i="39"/>
  <c r="AU188" i="39"/>
  <c r="AU183" i="39"/>
  <c r="AU182" i="39"/>
  <c r="AU72" i="39"/>
  <c r="AT201" i="39"/>
  <c r="AU415" i="39"/>
  <c r="AS203" i="39"/>
  <c r="AR202" i="39"/>
  <c r="AU411" i="39"/>
  <c r="AH345" i="39"/>
  <c r="AH358" i="39"/>
  <c r="AU333" i="39"/>
  <c r="AP160" i="39"/>
  <c r="AQ158" i="39"/>
  <c r="AL191" i="39"/>
  <c r="AK273" i="39"/>
  <c r="AO162" i="39"/>
  <c r="AL412" i="39"/>
  <c r="AL122" i="39" s="1"/>
  <c r="AK448" i="39"/>
  <c r="AN43" i="39"/>
  <c r="AO146" i="39"/>
  <c r="AB393" i="39"/>
  <c r="AC408" i="39"/>
  <c r="AM512" i="39"/>
  <c r="AN458" i="39"/>
  <c r="AL509" i="39"/>
  <c r="AL444" i="39"/>
  <c r="AL510" i="39" s="1"/>
  <c r="AL508" i="39"/>
  <c r="AT200" i="39"/>
  <c r="AL116" i="39"/>
  <c r="AN452" i="39"/>
  <c r="AM455" i="39"/>
  <c r="AM503" i="39"/>
  <c r="AJ73" i="39"/>
  <c r="AJ437" i="39" s="1"/>
  <c r="AJ117" i="39"/>
  <c r="AK449" i="39"/>
  <c r="AN463" i="39"/>
  <c r="AK105" i="39"/>
  <c r="AL434" i="39"/>
  <c r="AL464" i="39"/>
  <c r="AK465" i="39"/>
  <c r="AK466" i="39" s="1"/>
  <c r="AR30" i="39"/>
  <c r="AQ233" i="39"/>
  <c r="AM439" i="39"/>
  <c r="AK353" i="39"/>
  <c r="AJ487" i="39"/>
  <c r="AJ495" i="39" s="1"/>
  <c r="AJ159" i="39"/>
  <c r="AJ163" i="39" s="1"/>
  <c r="AK123" i="39"/>
  <c r="AL416" i="39"/>
  <c r="AM75" i="39"/>
  <c r="AP161" i="39"/>
  <c r="AN459" i="39"/>
  <c r="AM460" i="39"/>
  <c r="AM118" i="39" s="1"/>
  <c r="AU84" i="39"/>
  <c r="AK386" i="39"/>
  <c r="AK392" i="39"/>
  <c r="AL385" i="39"/>
  <c r="AH389" i="39"/>
  <c r="AG76" i="39"/>
  <c r="AN236" i="39"/>
  <c r="AM291" i="39"/>
  <c r="AL314" i="39"/>
  <c r="AI351" i="39"/>
  <c r="AI367" i="39" s="1"/>
  <c r="AV29" i="39"/>
  <c r="AU26" i="39"/>
  <c r="AU28" i="39"/>
  <c r="R70" i="9"/>
  <c r="M72" i="9"/>
  <c r="H74" i="9"/>
  <c r="C71" i="9"/>
  <c r="AK445" i="39" l="1"/>
  <c r="AK124" i="39" s="1"/>
  <c r="AV72" i="39"/>
  <c r="AV188" i="39"/>
  <c r="AR180" i="39"/>
  <c r="AV182" i="39"/>
  <c r="AV183" i="39"/>
  <c r="AT203" i="39"/>
  <c r="AS202" i="39"/>
  <c r="AV415" i="39"/>
  <c r="AV411" i="39"/>
  <c r="AI345" i="39"/>
  <c r="AI358" i="39"/>
  <c r="AP162" i="39"/>
  <c r="AV333" i="39"/>
  <c r="AQ160" i="39"/>
  <c r="AR158" i="39"/>
  <c r="AM191" i="39"/>
  <c r="AL273" i="39"/>
  <c r="AM412" i="39"/>
  <c r="AM122" i="39" s="1"/>
  <c r="AU200" i="39"/>
  <c r="AL353" i="39"/>
  <c r="AM509" i="39"/>
  <c r="AC393" i="39"/>
  <c r="AD408" i="39"/>
  <c r="AM444" i="39"/>
  <c r="AM510" i="39" s="1"/>
  <c r="AM508" i="39"/>
  <c r="AN512" i="39"/>
  <c r="AO458" i="39"/>
  <c r="AO43" i="39"/>
  <c r="AP146" i="39"/>
  <c r="AQ161" i="39"/>
  <c r="AK159" i="39"/>
  <c r="AK163" i="39" s="1"/>
  <c r="AK117" i="39"/>
  <c r="AL449" i="39"/>
  <c r="AM116" i="39"/>
  <c r="AS30" i="39"/>
  <c r="AR233" i="39"/>
  <c r="AO452" i="39"/>
  <c r="AN455" i="39"/>
  <c r="AN503" i="39"/>
  <c r="AI389" i="39"/>
  <c r="AM314" i="39"/>
  <c r="AN439" i="39"/>
  <c r="AM464" i="39"/>
  <c r="AL465" i="39"/>
  <c r="AL466" i="39" s="1"/>
  <c r="AV84" i="39"/>
  <c r="AL105" i="39"/>
  <c r="AM434" i="39"/>
  <c r="AU201" i="39"/>
  <c r="AL123" i="39"/>
  <c r="AM416" i="39"/>
  <c r="AJ351" i="39"/>
  <c r="AJ367" i="39" s="1"/>
  <c r="AO236" i="39"/>
  <c r="AN291" i="39"/>
  <c r="AO459" i="39"/>
  <c r="AN460" i="39"/>
  <c r="AN118" i="39" s="1"/>
  <c r="AN75" i="39"/>
  <c r="AK487" i="39"/>
  <c r="AK495" i="39" s="1"/>
  <c r="AO463" i="39"/>
  <c r="AL386" i="39"/>
  <c r="AL392" i="39"/>
  <c r="AM385" i="39"/>
  <c r="AH76" i="39"/>
  <c r="AV28" i="39"/>
  <c r="AK73" i="39"/>
  <c r="AK437" i="39" s="1"/>
  <c r="AL448" i="39"/>
  <c r="AW29" i="39"/>
  <c r="AV26" i="39"/>
  <c r="N415" i="10"/>
  <c r="E415" i="10"/>
  <c r="F415" i="10"/>
  <c r="G415" i="10"/>
  <c r="H415" i="10"/>
  <c r="I415" i="10"/>
  <c r="J415" i="10"/>
  <c r="K415" i="10"/>
  <c r="L415" i="10"/>
  <c r="M415" i="10"/>
  <c r="D415" i="10"/>
  <c r="AL445" i="39" l="1"/>
  <c r="AL124" i="39" s="1"/>
  <c r="AW72" i="39"/>
  <c r="AW188" i="39"/>
  <c r="AW183" i="39"/>
  <c r="AW182" i="39"/>
  <c r="AS180" i="39"/>
  <c r="AT202" i="39"/>
  <c r="AW415" i="39"/>
  <c r="AQ162" i="39"/>
  <c r="AW411" i="39"/>
  <c r="AR160" i="39"/>
  <c r="AJ345" i="39"/>
  <c r="AJ358" i="39"/>
  <c r="AW333" i="39"/>
  <c r="AS158" i="39"/>
  <c r="AN191" i="39"/>
  <c r="AM273" i="39"/>
  <c r="AV200" i="39"/>
  <c r="AM353" i="39"/>
  <c r="AM448" i="39"/>
  <c r="AD393" i="39"/>
  <c r="AE408" i="39"/>
  <c r="AN444" i="39"/>
  <c r="AN510" i="39" s="1"/>
  <c r="AN508" i="39"/>
  <c r="AR161" i="39"/>
  <c r="AP43" i="39"/>
  <c r="AQ146" i="39"/>
  <c r="AN509" i="39"/>
  <c r="AP458" i="39"/>
  <c r="AO512" i="39"/>
  <c r="AN412" i="39"/>
  <c r="AO412" i="39" s="1"/>
  <c r="AV201" i="39"/>
  <c r="AW84" i="39"/>
  <c r="AU203" i="39"/>
  <c r="AO439" i="39"/>
  <c r="AK351" i="39"/>
  <c r="AK367" i="39" s="1"/>
  <c r="AN314" i="39"/>
  <c r="AN116" i="39"/>
  <c r="AL117" i="39"/>
  <c r="AM449" i="39"/>
  <c r="AO291" i="39"/>
  <c r="AP236" i="39"/>
  <c r="AM105" i="39"/>
  <c r="AN434" i="39"/>
  <c r="AP452" i="39"/>
  <c r="AO455" i="39"/>
  <c r="AO503" i="39"/>
  <c r="AL159" i="39"/>
  <c r="AL163" i="39" s="1"/>
  <c r="AL487" i="39"/>
  <c r="AL495" i="39" s="1"/>
  <c r="AM386" i="39"/>
  <c r="AM392" i="39"/>
  <c r="AN385" i="39"/>
  <c r="AO75" i="39"/>
  <c r="AT30" i="39"/>
  <c r="AS233" i="39"/>
  <c r="AP463" i="39"/>
  <c r="AP459" i="39"/>
  <c r="AO460" i="39"/>
  <c r="AO118" i="39" s="1"/>
  <c r="AJ389" i="39"/>
  <c r="AI76" i="39"/>
  <c r="AL73" i="39"/>
  <c r="AL437" i="39" s="1"/>
  <c r="AM123" i="39"/>
  <c r="AN416" i="39"/>
  <c r="AN464" i="39"/>
  <c r="AM465" i="39"/>
  <c r="AM466" i="39" s="1"/>
  <c r="AX29" i="39"/>
  <c r="AW26" i="39"/>
  <c r="AW28" i="39"/>
  <c r="B31" i="19"/>
  <c r="B23" i="19"/>
  <c r="D7" i="19"/>
  <c r="D9" i="19" s="1"/>
  <c r="E7" i="19"/>
  <c r="E9" i="19" s="1"/>
  <c r="F7" i="19"/>
  <c r="F9" i="19" s="1"/>
  <c r="G7" i="19"/>
  <c r="G9" i="19" s="1"/>
  <c r="C7" i="19"/>
  <c r="C9" i="19" s="1"/>
  <c r="AM445" i="39" l="1"/>
  <c r="AM124" i="39" s="1"/>
  <c r="C19" i="19"/>
  <c r="C12" i="19"/>
  <c r="J194" i="39" s="1"/>
  <c r="C194" i="39" s="1" a="1"/>
  <c r="C194" i="39" s="1"/>
  <c r="C16" i="19"/>
  <c r="C15" i="19"/>
  <c r="J275" i="39" s="1"/>
  <c r="C17" i="19"/>
  <c r="C20" i="19"/>
  <c r="C13" i="19"/>
  <c r="C18" i="19"/>
  <c r="C22" i="19"/>
  <c r="C21" i="19"/>
  <c r="C14" i="19"/>
  <c r="F16" i="19"/>
  <c r="F15" i="19"/>
  <c r="M275" i="39" s="1"/>
  <c r="F13" i="19"/>
  <c r="F14" i="19"/>
  <c r="F12" i="19"/>
  <c r="M194" i="39" s="1"/>
  <c r="F18" i="19"/>
  <c r="F20" i="19"/>
  <c r="F22" i="19"/>
  <c r="F17" i="19"/>
  <c r="F19" i="19"/>
  <c r="F21" i="19"/>
  <c r="E13" i="19"/>
  <c r="E19" i="19"/>
  <c r="E16" i="19"/>
  <c r="E18" i="19"/>
  <c r="E20" i="19"/>
  <c r="E22" i="19"/>
  <c r="E17" i="19"/>
  <c r="E15" i="19"/>
  <c r="L275" i="39" s="1"/>
  <c r="E21" i="19"/>
  <c r="E14" i="19"/>
  <c r="E12" i="19"/>
  <c r="L194" i="39" s="1"/>
  <c r="G19" i="19"/>
  <c r="G21" i="19"/>
  <c r="G16" i="19"/>
  <c r="G15" i="19"/>
  <c r="N275" i="39" s="1"/>
  <c r="G12" i="19"/>
  <c r="N194" i="39" s="1"/>
  <c r="G13" i="19"/>
  <c r="G18" i="19"/>
  <c r="G20" i="19"/>
  <c r="G22" i="19"/>
  <c r="G17" i="19"/>
  <c r="G14" i="19"/>
  <c r="D13" i="19"/>
  <c r="D18" i="19"/>
  <c r="D20" i="19"/>
  <c r="D22" i="19"/>
  <c r="D17" i="19"/>
  <c r="D15" i="19"/>
  <c r="K275" i="39" s="1"/>
  <c r="D21" i="19"/>
  <c r="D16" i="19"/>
  <c r="D14" i="19"/>
  <c r="D12" i="19"/>
  <c r="K194" i="39" s="1"/>
  <c r="D19" i="19"/>
  <c r="AX188" i="39"/>
  <c r="AT180" i="39"/>
  <c r="AX182" i="39"/>
  <c r="AX183" i="39"/>
  <c r="AR162" i="39"/>
  <c r="AX415" i="39"/>
  <c r="AS160" i="39"/>
  <c r="AX26" i="39"/>
  <c r="AX411" i="39"/>
  <c r="AK345" i="39"/>
  <c r="AK358" i="39"/>
  <c r="AW200" i="39"/>
  <c r="AT158" i="39"/>
  <c r="AO191" i="39"/>
  <c r="AN273" i="39"/>
  <c r="AN353" i="39"/>
  <c r="AN122" i="39"/>
  <c r="AN448" i="39"/>
  <c r="AV203" i="39"/>
  <c r="AO509" i="39"/>
  <c r="AQ43" i="39"/>
  <c r="AR146" i="39"/>
  <c r="AP412" i="39"/>
  <c r="AO508" i="39"/>
  <c r="AO444" i="39"/>
  <c r="AO510" i="39" s="1"/>
  <c r="AS161" i="39"/>
  <c r="AF408" i="39"/>
  <c r="AE393" i="39"/>
  <c r="AQ458" i="39"/>
  <c r="AP512" i="39"/>
  <c r="AU202" i="39"/>
  <c r="AX84" i="39"/>
  <c r="AL351" i="39"/>
  <c r="AL367" i="39" s="1"/>
  <c r="AJ76" i="39"/>
  <c r="AQ463" i="39"/>
  <c r="AO122" i="39"/>
  <c r="AN105" i="39"/>
  <c r="AO434" i="39"/>
  <c r="AM159" i="39"/>
  <c r="AM163" i="39" s="1"/>
  <c r="AM487" i="39"/>
  <c r="AM495" i="39" s="1"/>
  <c r="AM117" i="39"/>
  <c r="AN449" i="39"/>
  <c r="AP75" i="39"/>
  <c r="AW201" i="39"/>
  <c r="AP439" i="39"/>
  <c r="AO464" i="39"/>
  <c r="AN465" i="39"/>
  <c r="AN466" i="39" s="1"/>
  <c r="AO116" i="39"/>
  <c r="AQ236" i="39"/>
  <c r="AP291" i="39"/>
  <c r="AQ459" i="39"/>
  <c r="AP460" i="39"/>
  <c r="AP118" i="39" s="1"/>
  <c r="AN386" i="39"/>
  <c r="AN392" i="39"/>
  <c r="AO385" i="39"/>
  <c r="AN123" i="39"/>
  <c r="AO416" i="39"/>
  <c r="AQ452" i="39"/>
  <c r="AP455" i="39"/>
  <c r="AP503" i="39"/>
  <c r="AK389" i="39"/>
  <c r="AM73" i="39"/>
  <c r="AM437" i="39" s="1"/>
  <c r="AU30" i="39"/>
  <c r="AT233" i="39"/>
  <c r="AO314" i="39"/>
  <c r="AX72" i="39"/>
  <c r="AX28" i="39"/>
  <c r="AN445" i="39" l="1"/>
  <c r="AN124" i="39" s="1"/>
  <c r="C275" i="39" a="1"/>
  <c r="C275" i="39" s="1"/>
  <c r="E26" i="19"/>
  <c r="L259" i="39" s="1"/>
  <c r="E28" i="19"/>
  <c r="L261" i="39" s="1"/>
  <c r="E30" i="19"/>
  <c r="L265" i="39" s="1"/>
  <c r="E29" i="19"/>
  <c r="L262" i="39" s="1"/>
  <c r="E27" i="19"/>
  <c r="L260" i="39" s="1"/>
  <c r="K303" i="39"/>
  <c r="K302" i="39"/>
  <c r="K307" i="39"/>
  <c r="K306" i="39"/>
  <c r="N250" i="39"/>
  <c r="O250" i="39" s="1"/>
  <c r="P250" i="39" s="1"/>
  <c r="Q250" i="39" s="1"/>
  <c r="R250" i="39" s="1"/>
  <c r="S250" i="39" s="1"/>
  <c r="T250" i="39" s="1"/>
  <c r="U250" i="39" s="1"/>
  <c r="V250" i="39" s="1"/>
  <c r="W250" i="39" s="1"/>
  <c r="X250" i="39" s="1"/>
  <c r="Y250" i="39" s="1"/>
  <c r="Z250" i="39" s="1"/>
  <c r="AA250" i="39" s="1"/>
  <c r="AB250" i="39" s="1"/>
  <c r="AC250" i="39" s="1"/>
  <c r="AD250" i="39" s="1"/>
  <c r="AE250" i="39" s="1"/>
  <c r="AF250" i="39" s="1"/>
  <c r="AG250" i="39" s="1"/>
  <c r="AH250" i="39" s="1"/>
  <c r="AI250" i="39" s="1"/>
  <c r="AJ250" i="39" s="1"/>
  <c r="AK250" i="39" s="1"/>
  <c r="AL250" i="39" s="1"/>
  <c r="AM250" i="39" s="1"/>
  <c r="AN250" i="39" s="1"/>
  <c r="AO250" i="39" s="1"/>
  <c r="AP250" i="39" s="1"/>
  <c r="AQ250" i="39" s="1"/>
  <c r="AR250" i="39" s="1"/>
  <c r="AS250" i="39" s="1"/>
  <c r="AT250" i="39" s="1"/>
  <c r="AU250" i="39" s="1"/>
  <c r="AV250" i="39" s="1"/>
  <c r="AW250" i="39" s="1"/>
  <c r="AX250" i="39" s="1"/>
  <c r="N252" i="39"/>
  <c r="O252" i="39" s="1"/>
  <c r="P252" i="39" s="1"/>
  <c r="Q252" i="39" s="1"/>
  <c r="R252" i="39" s="1"/>
  <c r="S252" i="39" s="1"/>
  <c r="T252" i="39" s="1"/>
  <c r="U252" i="39" s="1"/>
  <c r="V252" i="39" s="1"/>
  <c r="W252" i="39" s="1"/>
  <c r="X252" i="39" s="1"/>
  <c r="Y252" i="39" s="1"/>
  <c r="Z252" i="39" s="1"/>
  <c r="AA252" i="39" s="1"/>
  <c r="AB252" i="39" s="1"/>
  <c r="AC252" i="39" s="1"/>
  <c r="AD252" i="39" s="1"/>
  <c r="AE252" i="39" s="1"/>
  <c r="AF252" i="39" s="1"/>
  <c r="AG252" i="39" s="1"/>
  <c r="AH252" i="39" s="1"/>
  <c r="AI252" i="39" s="1"/>
  <c r="AJ252" i="39" s="1"/>
  <c r="AK252" i="39" s="1"/>
  <c r="AL252" i="39" s="1"/>
  <c r="AM252" i="39" s="1"/>
  <c r="AN252" i="39" s="1"/>
  <c r="AO252" i="39" s="1"/>
  <c r="AP252" i="39" s="1"/>
  <c r="AQ252" i="39" s="1"/>
  <c r="AR252" i="39" s="1"/>
  <c r="AS252" i="39" s="1"/>
  <c r="AT252" i="39" s="1"/>
  <c r="AU252" i="39" s="1"/>
  <c r="AV252" i="39" s="1"/>
  <c r="AW252" i="39" s="1"/>
  <c r="AX252" i="39" s="1"/>
  <c r="N248" i="39"/>
  <c r="O248" i="39" s="1"/>
  <c r="P248" i="39" s="1"/>
  <c r="Q248" i="39" s="1"/>
  <c r="R248" i="39" s="1"/>
  <c r="S248" i="39" s="1"/>
  <c r="T248" i="39" s="1"/>
  <c r="U248" i="39" s="1"/>
  <c r="V248" i="39" s="1"/>
  <c r="W248" i="39" s="1"/>
  <c r="X248" i="39" s="1"/>
  <c r="Y248" i="39" s="1"/>
  <c r="Z248" i="39" s="1"/>
  <c r="AA248" i="39" s="1"/>
  <c r="AB248" i="39" s="1"/>
  <c r="AC248" i="39" s="1"/>
  <c r="AD248" i="39" s="1"/>
  <c r="AE248" i="39" s="1"/>
  <c r="AF248" i="39" s="1"/>
  <c r="AG248" i="39" s="1"/>
  <c r="AH248" i="39" s="1"/>
  <c r="AI248" i="39" s="1"/>
  <c r="AJ248" i="39" s="1"/>
  <c r="AK248" i="39" s="1"/>
  <c r="AL248" i="39" s="1"/>
  <c r="AM248" i="39" s="1"/>
  <c r="AN248" i="39" s="1"/>
  <c r="AO248" i="39" s="1"/>
  <c r="AP248" i="39" s="1"/>
  <c r="AQ248" i="39" s="1"/>
  <c r="AR248" i="39" s="1"/>
  <c r="AS248" i="39" s="1"/>
  <c r="AT248" i="39" s="1"/>
  <c r="AU248" i="39" s="1"/>
  <c r="AV248" i="39" s="1"/>
  <c r="AW248" i="39" s="1"/>
  <c r="AX248" i="39" s="1"/>
  <c r="N249" i="39"/>
  <c r="O249" i="39" s="1"/>
  <c r="P249" i="39" s="1"/>
  <c r="Q249" i="39" s="1"/>
  <c r="R249" i="39" s="1"/>
  <c r="S249" i="39" s="1"/>
  <c r="T249" i="39" s="1"/>
  <c r="U249" i="39" s="1"/>
  <c r="V249" i="39" s="1"/>
  <c r="W249" i="39" s="1"/>
  <c r="X249" i="39" s="1"/>
  <c r="Y249" i="39" s="1"/>
  <c r="Z249" i="39" s="1"/>
  <c r="AA249" i="39" s="1"/>
  <c r="AB249" i="39" s="1"/>
  <c r="AC249" i="39" s="1"/>
  <c r="AD249" i="39" s="1"/>
  <c r="AE249" i="39" s="1"/>
  <c r="AF249" i="39" s="1"/>
  <c r="AG249" i="39" s="1"/>
  <c r="AH249" i="39" s="1"/>
  <c r="AI249" i="39" s="1"/>
  <c r="AJ249" i="39" s="1"/>
  <c r="AK249" i="39" s="1"/>
  <c r="AL249" i="39" s="1"/>
  <c r="AM249" i="39" s="1"/>
  <c r="AN249" i="39" s="1"/>
  <c r="AO249" i="39" s="1"/>
  <c r="AP249" i="39" s="1"/>
  <c r="AQ249" i="39" s="1"/>
  <c r="AR249" i="39" s="1"/>
  <c r="AS249" i="39" s="1"/>
  <c r="AT249" i="39" s="1"/>
  <c r="AU249" i="39" s="1"/>
  <c r="AV249" i="39" s="1"/>
  <c r="AW249" i="39" s="1"/>
  <c r="AX249" i="39" s="1"/>
  <c r="N251" i="39"/>
  <c r="O251" i="39" s="1"/>
  <c r="P251" i="39" s="1"/>
  <c r="Q251" i="39" s="1"/>
  <c r="R251" i="39" s="1"/>
  <c r="S251" i="39" s="1"/>
  <c r="T251" i="39" s="1"/>
  <c r="U251" i="39" s="1"/>
  <c r="V251" i="39" s="1"/>
  <c r="W251" i="39" s="1"/>
  <c r="X251" i="39" s="1"/>
  <c r="Y251" i="39" s="1"/>
  <c r="Z251" i="39" s="1"/>
  <c r="AA251" i="39" s="1"/>
  <c r="AB251" i="39" s="1"/>
  <c r="AC251" i="39" s="1"/>
  <c r="AD251" i="39" s="1"/>
  <c r="AE251" i="39" s="1"/>
  <c r="AF251" i="39" s="1"/>
  <c r="AG251" i="39" s="1"/>
  <c r="AH251" i="39" s="1"/>
  <c r="AI251" i="39" s="1"/>
  <c r="AJ251" i="39" s="1"/>
  <c r="AK251" i="39" s="1"/>
  <c r="AL251" i="39" s="1"/>
  <c r="AM251" i="39" s="1"/>
  <c r="AN251" i="39" s="1"/>
  <c r="AO251" i="39" s="1"/>
  <c r="AP251" i="39" s="1"/>
  <c r="AQ251" i="39" s="1"/>
  <c r="AR251" i="39" s="1"/>
  <c r="AS251" i="39" s="1"/>
  <c r="AT251" i="39" s="1"/>
  <c r="AU251" i="39" s="1"/>
  <c r="AV251" i="39" s="1"/>
  <c r="AW251" i="39" s="1"/>
  <c r="AX251" i="39" s="1"/>
  <c r="L248" i="39"/>
  <c r="L250" i="39"/>
  <c r="L252" i="39"/>
  <c r="L251" i="39"/>
  <c r="L249" i="39"/>
  <c r="F26" i="19"/>
  <c r="M259" i="39" s="1"/>
  <c r="F28" i="19"/>
  <c r="M261" i="39" s="1"/>
  <c r="F30" i="19"/>
  <c r="M265" i="39" s="1"/>
  <c r="F27" i="19"/>
  <c r="M260" i="39" s="1"/>
  <c r="F29" i="19"/>
  <c r="M262" i="39" s="1"/>
  <c r="K298" i="39"/>
  <c r="K299" i="39"/>
  <c r="M311" i="39"/>
  <c r="M310" i="39"/>
  <c r="M248" i="39"/>
  <c r="M250" i="39"/>
  <c r="M252" i="39"/>
  <c r="M249" i="39"/>
  <c r="M251" i="39"/>
  <c r="J307" i="39"/>
  <c r="J306" i="39"/>
  <c r="K317" i="39"/>
  <c r="K315" i="39"/>
  <c r="K316" i="39" s="1"/>
  <c r="J299" i="39"/>
  <c r="J298" i="39"/>
  <c r="L311" i="39"/>
  <c r="L310" i="39"/>
  <c r="J248" i="39"/>
  <c r="J249" i="39"/>
  <c r="J250" i="39"/>
  <c r="J252" i="39"/>
  <c r="J251" i="39"/>
  <c r="D26" i="19"/>
  <c r="K259" i="39" s="1"/>
  <c r="D28" i="19"/>
  <c r="K261" i="39" s="1"/>
  <c r="D30" i="19"/>
  <c r="K265" i="39" s="1"/>
  <c r="D27" i="19"/>
  <c r="K260" i="39" s="1"/>
  <c r="D29" i="19"/>
  <c r="K262" i="39" s="1"/>
  <c r="K248" i="39"/>
  <c r="K250" i="39"/>
  <c r="K252" i="39"/>
  <c r="K251" i="39"/>
  <c r="K249" i="39"/>
  <c r="L295" i="39"/>
  <c r="L293" i="39"/>
  <c r="L294" i="39" s="1"/>
  <c r="M302" i="39"/>
  <c r="M303" i="39"/>
  <c r="J295" i="39"/>
  <c r="J293" i="39"/>
  <c r="L302" i="39"/>
  <c r="L303" i="39"/>
  <c r="K280" i="39"/>
  <c r="K281" i="39"/>
  <c r="G26" i="19"/>
  <c r="N259" i="39" s="1"/>
  <c r="O259" i="39" s="1"/>
  <c r="P259" i="39" s="1"/>
  <c r="Q259" i="39" s="1"/>
  <c r="R259" i="39" s="1"/>
  <c r="S259" i="39" s="1"/>
  <c r="T259" i="39" s="1"/>
  <c r="U259" i="39" s="1"/>
  <c r="V259" i="39" s="1"/>
  <c r="W259" i="39" s="1"/>
  <c r="X259" i="39" s="1"/>
  <c r="Y259" i="39" s="1"/>
  <c r="Z259" i="39" s="1"/>
  <c r="AA259" i="39" s="1"/>
  <c r="AB259" i="39" s="1"/>
  <c r="AC259" i="39" s="1"/>
  <c r="AD259" i="39" s="1"/>
  <c r="AE259" i="39" s="1"/>
  <c r="AF259" i="39" s="1"/>
  <c r="AG259" i="39" s="1"/>
  <c r="AH259" i="39" s="1"/>
  <c r="AI259" i="39" s="1"/>
  <c r="AJ259" i="39" s="1"/>
  <c r="AK259" i="39" s="1"/>
  <c r="AL259" i="39" s="1"/>
  <c r="AM259" i="39" s="1"/>
  <c r="AN259" i="39" s="1"/>
  <c r="AO259" i="39" s="1"/>
  <c r="AP259" i="39" s="1"/>
  <c r="AQ259" i="39" s="1"/>
  <c r="AR259" i="39" s="1"/>
  <c r="AS259" i="39" s="1"/>
  <c r="AT259" i="39" s="1"/>
  <c r="AU259" i="39" s="1"/>
  <c r="AV259" i="39" s="1"/>
  <c r="AW259" i="39" s="1"/>
  <c r="AX259" i="39" s="1"/>
  <c r="G28" i="19"/>
  <c r="N261" i="39" s="1"/>
  <c r="O261" i="39" s="1"/>
  <c r="P261" i="39" s="1"/>
  <c r="Q261" i="39" s="1"/>
  <c r="R261" i="39" s="1"/>
  <c r="S261" i="39" s="1"/>
  <c r="T261" i="39" s="1"/>
  <c r="U261" i="39" s="1"/>
  <c r="V261" i="39" s="1"/>
  <c r="W261" i="39" s="1"/>
  <c r="X261" i="39" s="1"/>
  <c r="Y261" i="39" s="1"/>
  <c r="Z261" i="39" s="1"/>
  <c r="AA261" i="39" s="1"/>
  <c r="AB261" i="39" s="1"/>
  <c r="AC261" i="39" s="1"/>
  <c r="AD261" i="39" s="1"/>
  <c r="AE261" i="39" s="1"/>
  <c r="AF261" i="39" s="1"/>
  <c r="AG261" i="39" s="1"/>
  <c r="AH261" i="39" s="1"/>
  <c r="AI261" i="39" s="1"/>
  <c r="AJ261" i="39" s="1"/>
  <c r="AK261" i="39" s="1"/>
  <c r="AL261" i="39" s="1"/>
  <c r="AM261" i="39" s="1"/>
  <c r="AN261" i="39" s="1"/>
  <c r="AO261" i="39" s="1"/>
  <c r="AP261" i="39" s="1"/>
  <c r="AQ261" i="39" s="1"/>
  <c r="AR261" i="39" s="1"/>
  <c r="AS261" i="39" s="1"/>
  <c r="AT261" i="39" s="1"/>
  <c r="AU261" i="39" s="1"/>
  <c r="AV261" i="39" s="1"/>
  <c r="AW261" i="39" s="1"/>
  <c r="AX261" i="39" s="1"/>
  <c r="G30" i="19"/>
  <c r="N265" i="39" s="1"/>
  <c r="G29" i="19"/>
  <c r="N262" i="39" s="1"/>
  <c r="O262" i="39" s="1"/>
  <c r="P262" i="39" s="1"/>
  <c r="Q262" i="39" s="1"/>
  <c r="R262" i="39" s="1"/>
  <c r="S262" i="39" s="1"/>
  <c r="T262" i="39" s="1"/>
  <c r="U262" i="39" s="1"/>
  <c r="V262" i="39" s="1"/>
  <c r="W262" i="39" s="1"/>
  <c r="X262" i="39" s="1"/>
  <c r="Y262" i="39" s="1"/>
  <c r="Z262" i="39" s="1"/>
  <c r="AA262" i="39" s="1"/>
  <c r="AB262" i="39" s="1"/>
  <c r="AC262" i="39" s="1"/>
  <c r="AD262" i="39" s="1"/>
  <c r="AE262" i="39" s="1"/>
  <c r="AF262" i="39" s="1"/>
  <c r="AG262" i="39" s="1"/>
  <c r="AH262" i="39" s="1"/>
  <c r="AI262" i="39" s="1"/>
  <c r="AJ262" i="39" s="1"/>
  <c r="AK262" i="39" s="1"/>
  <c r="AL262" i="39" s="1"/>
  <c r="AM262" i="39" s="1"/>
  <c r="AN262" i="39" s="1"/>
  <c r="AO262" i="39" s="1"/>
  <c r="AP262" i="39" s="1"/>
  <c r="AQ262" i="39" s="1"/>
  <c r="AR262" i="39" s="1"/>
  <c r="AS262" i="39" s="1"/>
  <c r="AT262" i="39" s="1"/>
  <c r="AU262" i="39" s="1"/>
  <c r="AV262" i="39" s="1"/>
  <c r="AW262" i="39" s="1"/>
  <c r="AX262" i="39" s="1"/>
  <c r="G27" i="19"/>
  <c r="N260" i="39" s="1"/>
  <c r="O260" i="39" s="1"/>
  <c r="P260" i="39" s="1"/>
  <c r="Q260" i="39" s="1"/>
  <c r="R260" i="39" s="1"/>
  <c r="S260" i="39" s="1"/>
  <c r="T260" i="39" s="1"/>
  <c r="U260" i="39" s="1"/>
  <c r="V260" i="39" s="1"/>
  <c r="W260" i="39" s="1"/>
  <c r="X260" i="39" s="1"/>
  <c r="Y260" i="39" s="1"/>
  <c r="Z260" i="39" s="1"/>
  <c r="AA260" i="39" s="1"/>
  <c r="AB260" i="39" s="1"/>
  <c r="AC260" i="39" s="1"/>
  <c r="AD260" i="39" s="1"/>
  <c r="AE260" i="39" s="1"/>
  <c r="AF260" i="39" s="1"/>
  <c r="AG260" i="39" s="1"/>
  <c r="AH260" i="39" s="1"/>
  <c r="AI260" i="39" s="1"/>
  <c r="AJ260" i="39" s="1"/>
  <c r="AK260" i="39" s="1"/>
  <c r="AL260" i="39" s="1"/>
  <c r="AM260" i="39" s="1"/>
  <c r="AN260" i="39" s="1"/>
  <c r="AO260" i="39" s="1"/>
  <c r="AP260" i="39" s="1"/>
  <c r="AQ260" i="39" s="1"/>
  <c r="AR260" i="39" s="1"/>
  <c r="AS260" i="39" s="1"/>
  <c r="AT260" i="39" s="1"/>
  <c r="AU260" i="39" s="1"/>
  <c r="AV260" i="39" s="1"/>
  <c r="AW260" i="39" s="1"/>
  <c r="AX260" i="39" s="1"/>
  <c r="N280" i="39"/>
  <c r="N281" i="39"/>
  <c r="L317" i="39"/>
  <c r="L315" i="39"/>
  <c r="L316" i="39" s="1"/>
  <c r="M295" i="39"/>
  <c r="M293" i="39"/>
  <c r="M294" i="39" s="1"/>
  <c r="M280" i="39"/>
  <c r="M281" i="39"/>
  <c r="K310" i="39"/>
  <c r="K311" i="39"/>
  <c r="N311" i="39"/>
  <c r="N310" i="39"/>
  <c r="M317" i="39"/>
  <c r="M315" i="39"/>
  <c r="M316" i="39" s="1"/>
  <c r="J280" i="39"/>
  <c r="C280" i="39" s="1" a="1"/>
  <c r="C280" i="39" s="1"/>
  <c r="J281" i="39"/>
  <c r="N317" i="39"/>
  <c r="N315" i="39"/>
  <c r="N316" i="39" s="1"/>
  <c r="N302" i="39"/>
  <c r="N303" i="39"/>
  <c r="L298" i="39"/>
  <c r="L299" i="39"/>
  <c r="M307" i="39"/>
  <c r="M306" i="39"/>
  <c r="J310" i="39"/>
  <c r="J311" i="39"/>
  <c r="N299" i="39"/>
  <c r="N298" i="39"/>
  <c r="N295" i="39"/>
  <c r="N293" i="39"/>
  <c r="L307" i="39"/>
  <c r="L306" i="39"/>
  <c r="C26" i="19"/>
  <c r="J259" i="39" s="1"/>
  <c r="C29" i="19"/>
  <c r="J262" i="39" s="1"/>
  <c r="C28" i="19"/>
  <c r="J261" i="39" s="1"/>
  <c r="C27" i="19"/>
  <c r="J260" i="39" s="1"/>
  <c r="C30" i="19"/>
  <c r="J265" i="39" s="1"/>
  <c r="C265" i="39" s="1" a="1"/>
  <c r="C265" i="39" s="1"/>
  <c r="K295" i="39"/>
  <c r="K293" i="39"/>
  <c r="K294" i="39" s="1"/>
  <c r="N307" i="39"/>
  <c r="N306" i="39"/>
  <c r="L280" i="39"/>
  <c r="L281" i="39"/>
  <c r="M298" i="39"/>
  <c r="M299" i="39"/>
  <c r="J317" i="39"/>
  <c r="J315" i="39"/>
  <c r="C315" i="39" s="1" a="1"/>
  <c r="C315" i="39" s="1"/>
  <c r="J303" i="39"/>
  <c r="J302" i="39"/>
  <c r="AU180" i="39"/>
  <c r="AS162" i="39"/>
  <c r="AX200" i="39"/>
  <c r="AT160" i="39"/>
  <c r="AL345" i="39"/>
  <c r="AL358" i="39"/>
  <c r="AU158" i="39"/>
  <c r="AP191" i="39"/>
  <c r="AO273" i="39"/>
  <c r="AO353" i="39"/>
  <c r="AV202" i="39"/>
  <c r="AR458" i="39"/>
  <c r="AQ512" i="39"/>
  <c r="AR43" i="39"/>
  <c r="AS146" i="39"/>
  <c r="AF393" i="39"/>
  <c r="AG408" i="39"/>
  <c r="AP444" i="39"/>
  <c r="AP510" i="39" s="1"/>
  <c r="AP508" i="39"/>
  <c r="AP509" i="39"/>
  <c r="AP314" i="39"/>
  <c r="AN73" i="39"/>
  <c r="AN437" i="39" s="1"/>
  <c r="AO448" i="39"/>
  <c r="AM351" i="39"/>
  <c r="AM367" i="39" s="1"/>
  <c r="AO105" i="39"/>
  <c r="AP434" i="39"/>
  <c r="AT161" i="39"/>
  <c r="AQ75" i="39"/>
  <c r="AN487" i="39"/>
  <c r="AN495" i="39" s="1"/>
  <c r="AX201" i="39"/>
  <c r="AW203" i="39"/>
  <c r="AP116" i="39"/>
  <c r="AR236" i="39"/>
  <c r="AQ291" i="39"/>
  <c r="AP464" i="39"/>
  <c r="AO465" i="39"/>
  <c r="AO466" i="39" s="1"/>
  <c r="AR463" i="39"/>
  <c r="AR452" i="39"/>
  <c r="AQ455" i="39"/>
  <c r="AQ503" i="39"/>
  <c r="AQ439" i="39"/>
  <c r="AN159" i="39"/>
  <c r="AN163" i="39" s="1"/>
  <c r="AO123" i="39"/>
  <c r="AP416" i="39"/>
  <c r="AK76" i="39"/>
  <c r="AO386" i="39"/>
  <c r="AO392" i="39"/>
  <c r="AP385" i="39"/>
  <c r="AR459" i="39"/>
  <c r="AQ460" i="39"/>
  <c r="AQ118" i="39" s="1"/>
  <c r="AN117" i="39"/>
  <c r="AO449" i="39"/>
  <c r="AP122" i="39"/>
  <c r="AQ412" i="39"/>
  <c r="AL389" i="39"/>
  <c r="AV30" i="39"/>
  <c r="AU233" i="39"/>
  <c r="K48" i="39"/>
  <c r="M195" i="39"/>
  <c r="M48" i="39"/>
  <c r="N276" i="39"/>
  <c r="K276" i="39"/>
  <c r="N48" i="39"/>
  <c r="M276" i="39"/>
  <c r="N253" i="39"/>
  <c r="N255" i="39" s="1"/>
  <c r="J48" i="39"/>
  <c r="D23" i="19"/>
  <c r="G23" i="19"/>
  <c r="F23" i="19"/>
  <c r="C23" i="19"/>
  <c r="AO445" i="39" l="1"/>
  <c r="AO124" i="39" s="1"/>
  <c r="J294" i="39"/>
  <c r="C293" i="39" a="1"/>
  <c r="C293" i="39" s="1"/>
  <c r="C306" i="39" a="1"/>
  <c r="C306" i="39" s="1"/>
  <c r="C302" i="39" a="1"/>
  <c r="C302" i="39" s="1"/>
  <c r="C310" i="39" a="1"/>
  <c r="C310" i="39" s="1"/>
  <c r="K253" i="39"/>
  <c r="K255" i="39" s="1"/>
  <c r="M253" i="39"/>
  <c r="M255" i="39" s="1"/>
  <c r="J253" i="39"/>
  <c r="J255" i="39" s="1"/>
  <c r="AV180" i="39"/>
  <c r="M476" i="39"/>
  <c r="M482" i="39" s="1"/>
  <c r="K476" i="39"/>
  <c r="K482" i="39" s="1"/>
  <c r="N476" i="39"/>
  <c r="N482" i="39" s="1"/>
  <c r="J476" i="39"/>
  <c r="J482" i="39" s="1"/>
  <c r="M97" i="39"/>
  <c r="M98" i="39" s="1"/>
  <c r="K97" i="39"/>
  <c r="K98" i="39" s="1"/>
  <c r="N97" i="39"/>
  <c r="N98" i="39" s="1"/>
  <c r="J97" i="39"/>
  <c r="J98" i="39" s="1"/>
  <c r="AT162" i="39"/>
  <c r="M197" i="39"/>
  <c r="M198" i="39" s="1"/>
  <c r="AU160" i="39"/>
  <c r="AM345" i="39"/>
  <c r="AM358" i="39"/>
  <c r="N294" i="39"/>
  <c r="AV158" i="39"/>
  <c r="AP353" i="39"/>
  <c r="AQ191" i="39"/>
  <c r="AP273" i="39"/>
  <c r="AP448" i="39"/>
  <c r="AQ508" i="39"/>
  <c r="AQ444" i="39"/>
  <c r="AQ510" i="39" s="1"/>
  <c r="AH408" i="39"/>
  <c r="AG393" i="39"/>
  <c r="AQ509" i="39"/>
  <c r="AS43" i="39"/>
  <c r="AT146" i="39"/>
  <c r="AR512" i="39"/>
  <c r="AS458" i="39"/>
  <c r="AN351" i="39"/>
  <c r="AN367" i="39" s="1"/>
  <c r="AO73" i="39"/>
  <c r="AO437" i="39" s="1"/>
  <c r="AP123" i="39"/>
  <c r="AQ416" i="39"/>
  <c r="AO159" i="39"/>
  <c r="AO163" i="39" s="1"/>
  <c r="AM389" i="39"/>
  <c r="AL76" i="39"/>
  <c r="AQ116" i="39"/>
  <c r="AS236" i="39"/>
  <c r="AR291" i="39"/>
  <c r="AO117" i="39"/>
  <c r="AP449" i="39"/>
  <c r="AS452" i="39"/>
  <c r="AR455" i="39"/>
  <c r="AR503" i="39"/>
  <c r="AR75" i="39"/>
  <c r="AS463" i="39"/>
  <c r="AU161" i="39"/>
  <c r="AR439" i="39"/>
  <c r="AP105" i="39"/>
  <c r="AQ434" i="39"/>
  <c r="AQ314" i="39"/>
  <c r="AQ122" i="39"/>
  <c r="AR412" i="39"/>
  <c r="AS459" i="39"/>
  <c r="AR460" i="39"/>
  <c r="AR118" i="39" s="1"/>
  <c r="AO487" i="39"/>
  <c r="AO495" i="39" s="1"/>
  <c r="AP386" i="39"/>
  <c r="AP392" i="39"/>
  <c r="AQ385" i="39"/>
  <c r="AQ464" i="39"/>
  <c r="AP465" i="39"/>
  <c r="AP466" i="39" s="1"/>
  <c r="AX203" i="39"/>
  <c r="AW202" i="39"/>
  <c r="AW180" i="39" s="1"/>
  <c r="AW30" i="39"/>
  <c r="AV233" i="39"/>
  <c r="L253" i="39"/>
  <c r="K225" i="39"/>
  <c r="K35" i="39" s="1"/>
  <c r="J225" i="39"/>
  <c r="J35" i="39" s="1"/>
  <c r="N195" i="39"/>
  <c r="N197" i="39" s="1"/>
  <c r="J276" i="39"/>
  <c r="M225" i="39"/>
  <c r="M35" i="39" s="1"/>
  <c r="M256" i="39"/>
  <c r="K195" i="39"/>
  <c r="K197" i="39" s="1"/>
  <c r="N225" i="39"/>
  <c r="N35" i="39" s="1"/>
  <c r="K256" i="39"/>
  <c r="L48" i="39"/>
  <c r="J195" i="39"/>
  <c r="N256" i="39"/>
  <c r="J316" i="39"/>
  <c r="L276" i="39"/>
  <c r="E23" i="19"/>
  <c r="C31" i="19"/>
  <c r="G31" i="19"/>
  <c r="D31" i="19"/>
  <c r="F31" i="19"/>
  <c r="AP445" i="39" l="1"/>
  <c r="AP124" i="39" s="1"/>
  <c r="J256" i="39"/>
  <c r="N490" i="39"/>
  <c r="N51" i="39"/>
  <c r="K490" i="39"/>
  <c r="K51" i="39"/>
  <c r="M490" i="39"/>
  <c r="M51" i="39"/>
  <c r="L476" i="39"/>
  <c r="L482" i="39" s="1"/>
  <c r="J490" i="39"/>
  <c r="J51" i="39"/>
  <c r="N127" i="39"/>
  <c r="N109" i="39"/>
  <c r="K109" i="39"/>
  <c r="K127" i="39"/>
  <c r="M109" i="39"/>
  <c r="M127" i="39"/>
  <c r="L97" i="39"/>
  <c r="L98" i="39" s="1"/>
  <c r="J109" i="39"/>
  <c r="J127" i="39"/>
  <c r="AU162" i="39"/>
  <c r="AV160" i="39"/>
  <c r="J197" i="39"/>
  <c r="J198" i="39" s="1"/>
  <c r="AN345" i="39"/>
  <c r="AN358" i="39"/>
  <c r="AQ353" i="39"/>
  <c r="L255" i="39"/>
  <c r="L256" i="39" s="1"/>
  <c r="AW158" i="39"/>
  <c r="AR191" i="39"/>
  <c r="AQ273" i="39"/>
  <c r="AR509" i="39"/>
  <c r="AH393" i="39"/>
  <c r="AI408" i="39"/>
  <c r="AR444" i="39"/>
  <c r="AR510" i="39" s="1"/>
  <c r="AR508" i="39"/>
  <c r="AT458" i="39"/>
  <c r="AS512" i="39"/>
  <c r="AT43" i="39"/>
  <c r="AU146" i="39"/>
  <c r="AO351" i="39"/>
  <c r="AO367" i="39" s="1"/>
  <c r="AX202" i="39"/>
  <c r="AR116" i="39"/>
  <c r="AR314" i="39"/>
  <c r="AS439" i="39"/>
  <c r="AS503" i="39"/>
  <c r="AS455" i="39"/>
  <c r="AT452" i="39"/>
  <c r="AM76" i="39"/>
  <c r="AR464" i="39"/>
  <c r="AQ465" i="39"/>
  <c r="AQ466" i="39" s="1"/>
  <c r="AQ392" i="39"/>
  <c r="AQ386" i="39"/>
  <c r="AR385" i="39"/>
  <c r="AP117" i="39"/>
  <c r="AQ449" i="39"/>
  <c r="AP159" i="39"/>
  <c r="AP163" i="39" s="1"/>
  <c r="AT459" i="39"/>
  <c r="AS460" i="39"/>
  <c r="AS118" i="39" s="1"/>
  <c r="AQ105" i="39"/>
  <c r="AR434" i="39"/>
  <c r="AQ123" i="39"/>
  <c r="AR416" i="39"/>
  <c r="AX30" i="39"/>
  <c r="AW233" i="39"/>
  <c r="AP73" i="39"/>
  <c r="AP437" i="39" s="1"/>
  <c r="AR122" i="39"/>
  <c r="AS412" i="39"/>
  <c r="AP487" i="39"/>
  <c r="AP495" i="39" s="1"/>
  <c r="AV161" i="39"/>
  <c r="AQ445" i="39"/>
  <c r="AQ124" i="39" s="1"/>
  <c r="AT463" i="39"/>
  <c r="AS75" i="39"/>
  <c r="AT236" i="39"/>
  <c r="AS291" i="39"/>
  <c r="AQ448" i="39"/>
  <c r="AN389" i="39"/>
  <c r="N324" i="39"/>
  <c r="J266" i="39"/>
  <c r="J53" i="39" s="1"/>
  <c r="K324" i="39"/>
  <c r="J325" i="39"/>
  <c r="K50" i="39"/>
  <c r="K49" i="39"/>
  <c r="K52" i="39" s="1"/>
  <c r="J324" i="39"/>
  <c r="K41" i="39"/>
  <c r="K39" i="39"/>
  <c r="K128" i="39" s="1"/>
  <c r="N325" i="39"/>
  <c r="K198" i="39"/>
  <c r="L195" i="39"/>
  <c r="L197" i="39" s="1"/>
  <c r="N39" i="39"/>
  <c r="N41" i="39"/>
  <c r="O197" i="39"/>
  <c r="P197" i="39" s="1"/>
  <c r="Q197" i="39" s="1"/>
  <c r="R197" i="39" s="1"/>
  <c r="S197" i="39" s="1"/>
  <c r="T197" i="39" s="1"/>
  <c r="U197" i="39" s="1"/>
  <c r="V197" i="39" s="1"/>
  <c r="W197" i="39" s="1"/>
  <c r="X197" i="39" s="1"/>
  <c r="Y197" i="39" s="1"/>
  <c r="Z197" i="39" s="1"/>
  <c r="AA197" i="39" s="1"/>
  <c r="AB197" i="39" s="1"/>
  <c r="AC197" i="39" s="1"/>
  <c r="AD197" i="39" s="1"/>
  <c r="AE197" i="39" s="1"/>
  <c r="AF197" i="39" s="1"/>
  <c r="AG197" i="39" s="1"/>
  <c r="AH197" i="39" s="1"/>
  <c r="AI197" i="39" s="1"/>
  <c r="AJ197" i="39" s="1"/>
  <c r="AK197" i="39" s="1"/>
  <c r="AL197" i="39" s="1"/>
  <c r="AM197" i="39" s="1"/>
  <c r="AN197" i="39" s="1"/>
  <c r="AO197" i="39" s="1"/>
  <c r="AP197" i="39" s="1"/>
  <c r="AQ197" i="39" s="1"/>
  <c r="AR197" i="39" s="1"/>
  <c r="AS197" i="39" s="1"/>
  <c r="AT197" i="39" s="1"/>
  <c r="AU197" i="39" s="1"/>
  <c r="AV197" i="39" s="1"/>
  <c r="AW197" i="39" s="1"/>
  <c r="AX197" i="39" s="1"/>
  <c r="J50" i="39"/>
  <c r="J49" i="39"/>
  <c r="J52" i="39" s="1"/>
  <c r="K266" i="39"/>
  <c r="K53" i="39" s="1"/>
  <c r="M266" i="39"/>
  <c r="M53" i="39" s="1"/>
  <c r="M325" i="39"/>
  <c r="J41" i="39"/>
  <c r="J39" i="39"/>
  <c r="J128" i="39" s="1"/>
  <c r="K325" i="39"/>
  <c r="M324" i="39"/>
  <c r="N266" i="39"/>
  <c r="N53" i="39" s="1"/>
  <c r="M49" i="39"/>
  <c r="M52" i="39" s="1"/>
  <c r="M50" i="39"/>
  <c r="L225" i="39"/>
  <c r="L35" i="39" s="1"/>
  <c r="N49" i="39"/>
  <c r="N52" i="39" s="1"/>
  <c r="N50" i="39"/>
  <c r="M39" i="39"/>
  <c r="M41" i="39"/>
  <c r="E31" i="19"/>
  <c r="N128" i="39" l="1"/>
  <c r="L51" i="39"/>
  <c r="L490" i="39"/>
  <c r="M128" i="39"/>
  <c r="L127" i="39"/>
  <c r="L109" i="39"/>
  <c r="AV162" i="39"/>
  <c r="AX180" i="39"/>
  <c r="AX233" i="39"/>
  <c r="AW160" i="39"/>
  <c r="AO345" i="39"/>
  <c r="AO358" i="39"/>
  <c r="K268" i="39"/>
  <c r="K269" i="39" s="1"/>
  <c r="K46" i="39" s="1"/>
  <c r="N268" i="39"/>
  <c r="N269" i="39" s="1"/>
  <c r="M268" i="39"/>
  <c r="M269" i="39" s="1"/>
  <c r="M46" i="39" s="1"/>
  <c r="J268" i="39"/>
  <c r="J269" i="39" s="1"/>
  <c r="J46" i="39" s="1"/>
  <c r="AX158" i="39"/>
  <c r="AR448" i="39"/>
  <c r="AS191" i="39"/>
  <c r="AR273" i="39"/>
  <c r="AW161" i="39"/>
  <c r="AI393" i="39"/>
  <c r="AJ408" i="39"/>
  <c r="AU458" i="39"/>
  <c r="AT512" i="39"/>
  <c r="AS508" i="39"/>
  <c r="AS444" i="39"/>
  <c r="AS510" i="39" s="1"/>
  <c r="AS509" i="39"/>
  <c r="AU43" i="39"/>
  <c r="AV146" i="39"/>
  <c r="AR445" i="39"/>
  <c r="AR124" i="39" s="1"/>
  <c r="AP351" i="39"/>
  <c r="AP367" i="39" s="1"/>
  <c r="AQ159" i="39"/>
  <c r="AQ163" i="39" s="1"/>
  <c r="AR386" i="39"/>
  <c r="AR392" i="39"/>
  <c r="AS385" i="39"/>
  <c r="AS464" i="39"/>
  <c r="AR465" i="39"/>
  <c r="AR466" i="39" s="1"/>
  <c r="AR353" i="39"/>
  <c r="AT75" i="39"/>
  <c r="AQ117" i="39"/>
  <c r="AR449" i="39"/>
  <c r="AQ73" i="39"/>
  <c r="AQ437" i="39" s="1"/>
  <c r="AS314" i="39"/>
  <c r="AN76" i="39"/>
  <c r="AU463" i="39"/>
  <c r="AU452" i="39"/>
  <c r="AT455" i="39"/>
  <c r="AT503" i="39"/>
  <c r="AR105" i="39"/>
  <c r="AS434" i="39"/>
  <c r="AS116" i="39"/>
  <c r="AU236" i="39"/>
  <c r="AT291" i="39"/>
  <c r="AS122" i="39"/>
  <c r="AQ487" i="39"/>
  <c r="AQ495" i="39" s="1"/>
  <c r="AO389" i="39"/>
  <c r="AR123" i="39"/>
  <c r="AS416" i="39"/>
  <c r="AU459" i="39"/>
  <c r="AT460" i="39"/>
  <c r="AT118" i="39" s="1"/>
  <c r="AT439" i="39"/>
  <c r="N198" i="39"/>
  <c r="N46" i="39" s="1"/>
  <c r="L324" i="39"/>
  <c r="L50" i="39"/>
  <c r="L49" i="39"/>
  <c r="L52" i="39" s="1"/>
  <c r="L198" i="39"/>
  <c r="L266" i="39"/>
  <c r="L268" i="39" s="1"/>
  <c r="L325" i="39"/>
  <c r="L39" i="39"/>
  <c r="L41" i="39"/>
  <c r="J45" i="39"/>
  <c r="J42" i="39"/>
  <c r="K42" i="39"/>
  <c r="K45" i="39"/>
  <c r="N42" i="39"/>
  <c r="N45" i="39"/>
  <c r="M45" i="39"/>
  <c r="M42" i="39"/>
  <c r="P70" i="16"/>
  <c r="C39" i="16"/>
  <c r="D39" i="16"/>
  <c r="E39" i="16"/>
  <c r="F39" i="16"/>
  <c r="G39" i="16"/>
  <c r="H39" i="16"/>
  <c r="I39" i="16"/>
  <c r="J39" i="16"/>
  <c r="K39" i="16"/>
  <c r="L39" i="16"/>
  <c r="M39" i="16"/>
  <c r="N39" i="16"/>
  <c r="O39" i="16"/>
  <c r="P39" i="16"/>
  <c r="B39" i="16"/>
  <c r="A39" i="16"/>
  <c r="P51" i="16"/>
  <c r="P49" i="16"/>
  <c r="P47" i="16"/>
  <c r="P45" i="16"/>
  <c r="P43" i="16"/>
  <c r="P31" i="16"/>
  <c r="P23" i="16"/>
  <c r="P21" i="16"/>
  <c r="P19" i="16"/>
  <c r="P25" i="16"/>
  <c r="G17" i="16"/>
  <c r="H17" i="16"/>
  <c r="I17" i="16"/>
  <c r="J17" i="16"/>
  <c r="K17" i="16"/>
  <c r="L17" i="16"/>
  <c r="M17" i="16"/>
  <c r="N17" i="16"/>
  <c r="O17" i="16"/>
  <c r="P17" i="16"/>
  <c r="F17" i="16"/>
  <c r="A17" i="16"/>
  <c r="P15" i="16"/>
  <c r="P35" i="16"/>
  <c r="P33" i="16"/>
  <c r="P37" i="16"/>
  <c r="P29" i="16"/>
  <c r="P41" i="16"/>
  <c r="P27" i="16"/>
  <c r="L128" i="39" l="1"/>
  <c r="L53" i="39"/>
  <c r="AW162" i="39"/>
  <c r="AX161" i="39"/>
  <c r="AX160" i="39"/>
  <c r="AS448" i="39"/>
  <c r="AP345" i="39"/>
  <c r="AP358" i="39"/>
  <c r="AT191" i="39"/>
  <c r="AS273" i="39"/>
  <c r="AS353" i="39"/>
  <c r="AT444" i="39"/>
  <c r="AT510" i="39" s="1"/>
  <c r="AT508" i="39"/>
  <c r="AT412" i="39"/>
  <c r="AT122" i="39" s="1"/>
  <c r="AV458" i="39"/>
  <c r="AU512" i="39"/>
  <c r="AJ393" i="39"/>
  <c r="AK408" i="39"/>
  <c r="AV43" i="39"/>
  <c r="AW146" i="39"/>
  <c r="AT509" i="39"/>
  <c r="AT116" i="39"/>
  <c r="AV452" i="39"/>
  <c r="AU455" i="39"/>
  <c r="AU503" i="39"/>
  <c r="AS105" i="39"/>
  <c r="AT434" i="39"/>
  <c r="AU75" i="39"/>
  <c r="AR159" i="39"/>
  <c r="AR163" i="39" s="1"/>
  <c r="AV463" i="39"/>
  <c r="AV236" i="39"/>
  <c r="AU291" i="39"/>
  <c r="AR487" i="39"/>
  <c r="AR495" i="39" s="1"/>
  <c r="AQ351" i="39"/>
  <c r="AQ367" i="39" s="1"/>
  <c r="AS123" i="39"/>
  <c r="AT416" i="39"/>
  <c r="AO76" i="39"/>
  <c r="AR73" i="39"/>
  <c r="AR437" i="39" s="1"/>
  <c r="AV459" i="39"/>
  <c r="AU460" i="39"/>
  <c r="AU118" i="39" s="1"/>
  <c r="AS386" i="39"/>
  <c r="AS392" i="39"/>
  <c r="AT385" i="39"/>
  <c r="AU439" i="39"/>
  <c r="AS445" i="39"/>
  <c r="AS124" i="39" s="1"/>
  <c r="AR117" i="39"/>
  <c r="AS449" i="39"/>
  <c r="AT314" i="39"/>
  <c r="AT464" i="39"/>
  <c r="AS465" i="39"/>
  <c r="AS466" i="39" s="1"/>
  <c r="AP389" i="39"/>
  <c r="L269" i="39"/>
  <c r="L46" i="39" s="1"/>
  <c r="L42" i="39"/>
  <c r="L45" i="39"/>
  <c r="E38" i="10"/>
  <c r="F38" i="10"/>
  <c r="G38" i="10"/>
  <c r="H38" i="10"/>
  <c r="D38" i="10"/>
  <c r="B37" i="10"/>
  <c r="B35" i="10"/>
  <c r="B36" i="10"/>
  <c r="AX162" i="39" l="1"/>
  <c r="AT448" i="39"/>
  <c r="AQ345" i="39"/>
  <c r="AQ358" i="39"/>
  <c r="AU191" i="39"/>
  <c r="AT273" i="39"/>
  <c r="AU412" i="39"/>
  <c r="AU122" i="39" s="1"/>
  <c r="AT353" i="39"/>
  <c r="AV512" i="39"/>
  <c r="AW458" i="39"/>
  <c r="AW43" i="39"/>
  <c r="AX146" i="39"/>
  <c r="AT445" i="39"/>
  <c r="AT124" i="39" s="1"/>
  <c r="AU509" i="39"/>
  <c r="AK393" i="39"/>
  <c r="AL408" i="39"/>
  <c r="AU444" i="39"/>
  <c r="AU510" i="39" s="1"/>
  <c r="AU508" i="39"/>
  <c r="AS117" i="39"/>
  <c r="AT449" i="39"/>
  <c r="AW459" i="39"/>
  <c r="AV460" i="39"/>
  <c r="AV118" i="39" s="1"/>
  <c r="AW452" i="39"/>
  <c r="AV455" i="39"/>
  <c r="AV503" i="39"/>
  <c r="AS159" i="39"/>
  <c r="AS163" i="39" s="1"/>
  <c r="AP76" i="39"/>
  <c r="AR351" i="39"/>
  <c r="AR367" i="39" s="1"/>
  <c r="AQ389" i="39"/>
  <c r="AV75" i="39"/>
  <c r="AU314" i="39"/>
  <c r="AU116" i="39"/>
  <c r="AT386" i="39"/>
  <c r="AT392" i="39"/>
  <c r="AU385" i="39"/>
  <c r="AW463" i="39"/>
  <c r="AT123" i="39"/>
  <c r="AU416" i="39"/>
  <c r="AU464" i="39"/>
  <c r="AT465" i="39"/>
  <c r="AT466" i="39" s="1"/>
  <c r="AS73" i="39"/>
  <c r="AS437" i="39" s="1"/>
  <c r="AT105" i="39"/>
  <c r="AU434" i="39"/>
  <c r="AS487" i="39"/>
  <c r="AS495" i="39" s="1"/>
  <c r="AV439" i="39"/>
  <c r="AW236" i="39"/>
  <c r="AV291" i="39"/>
  <c r="D332" i="10"/>
  <c r="E332" i="10" s="1"/>
  <c r="F332" i="10" s="1"/>
  <c r="G332" i="10" s="1"/>
  <c r="H332" i="10" s="1"/>
  <c r="I332" i="10" s="1"/>
  <c r="B330" i="10"/>
  <c r="D268" i="10"/>
  <c r="E268" i="10"/>
  <c r="F268" i="10"/>
  <c r="G268" i="10"/>
  <c r="H268" i="10"/>
  <c r="AR345" i="39" l="1"/>
  <c r="AR358" i="39"/>
  <c r="AV191" i="39"/>
  <c r="AU273" i="39"/>
  <c r="AV412" i="39"/>
  <c r="AW412" i="39" s="1"/>
  <c r="J332" i="10"/>
  <c r="I333" i="10"/>
  <c r="AX43" i="39"/>
  <c r="AU353" i="39"/>
  <c r="AU445" i="39"/>
  <c r="AU124" i="39" s="1"/>
  <c r="AV509" i="39"/>
  <c r="AL393" i="39"/>
  <c r="AM408" i="39"/>
  <c r="AW512" i="39"/>
  <c r="AX458" i="39"/>
  <c r="AV508" i="39"/>
  <c r="AV444" i="39"/>
  <c r="AV510" i="39" s="1"/>
  <c r="AU105" i="39"/>
  <c r="AV434" i="39"/>
  <c r="AX463" i="39"/>
  <c r="AT159" i="39"/>
  <c r="AT163" i="39" s="1"/>
  <c r="AW439" i="39"/>
  <c r="AT487" i="39"/>
  <c r="AT495" i="39" s="1"/>
  <c r="AT73" i="39"/>
  <c r="AT437" i="39" s="1"/>
  <c r="AV314" i="39"/>
  <c r="AW291" i="39"/>
  <c r="AX236" i="39"/>
  <c r="AV464" i="39"/>
  <c r="AU465" i="39"/>
  <c r="AU466" i="39" s="1"/>
  <c r="AV116" i="39"/>
  <c r="AX459" i="39"/>
  <c r="AW460" i="39"/>
  <c r="AW118" i="39" s="1"/>
  <c r="AS351" i="39"/>
  <c r="AS367" i="39" s="1"/>
  <c r="AW75" i="39"/>
  <c r="AX452" i="39"/>
  <c r="AW455" i="39"/>
  <c r="AW503" i="39"/>
  <c r="AT117" i="39"/>
  <c r="AU449" i="39"/>
  <c r="AR389" i="39"/>
  <c r="AQ76" i="39"/>
  <c r="AU123" i="39"/>
  <c r="AV416" i="39"/>
  <c r="AU386" i="39"/>
  <c r="AU392" i="39"/>
  <c r="AV385" i="39"/>
  <c r="AU448" i="39"/>
  <c r="AX512" i="39" l="1"/>
  <c r="AX460" i="39"/>
  <c r="AV122" i="39"/>
  <c r="AS345" i="39"/>
  <c r="AS358" i="39"/>
  <c r="AV353" i="39"/>
  <c r="AW191" i="39"/>
  <c r="AV273" i="39"/>
  <c r="K332" i="10"/>
  <c r="J333" i="10"/>
  <c r="AV448" i="39"/>
  <c r="AW508" i="39"/>
  <c r="AW444" i="39"/>
  <c r="AW510" i="39" s="1"/>
  <c r="AM393" i="39"/>
  <c r="AN408" i="39"/>
  <c r="AX509" i="39"/>
  <c r="AW509" i="39"/>
  <c r="AT351" i="39"/>
  <c r="AT367" i="39" s="1"/>
  <c r="AV123" i="39"/>
  <c r="AW416" i="39"/>
  <c r="AW116" i="39"/>
  <c r="AW314" i="39"/>
  <c r="AX439" i="39"/>
  <c r="AV386" i="39"/>
  <c r="AV392" i="39"/>
  <c r="AW385" i="39"/>
  <c r="AX455" i="39"/>
  <c r="AX503" i="39"/>
  <c r="AS389" i="39"/>
  <c r="AW122" i="39"/>
  <c r="AX412" i="39"/>
  <c r="AV105" i="39"/>
  <c r="AW434" i="39"/>
  <c r="AX75" i="39"/>
  <c r="AR76" i="39"/>
  <c r="AV445" i="39"/>
  <c r="AV124" i="39" s="1"/>
  <c r="AW464" i="39"/>
  <c r="AV465" i="39"/>
  <c r="AV466" i="39" s="1"/>
  <c r="AU487" i="39"/>
  <c r="AU495" i="39" s="1"/>
  <c r="AU73" i="39"/>
  <c r="AU437" i="39" s="1"/>
  <c r="AX291" i="39"/>
  <c r="AU117" i="39"/>
  <c r="AV449" i="39"/>
  <c r="AU159" i="39"/>
  <c r="AU163" i="39" s="1"/>
  <c r="AX118" i="39" l="1"/>
  <c r="AW353" i="39"/>
  <c r="AT345" i="39"/>
  <c r="AT358" i="39"/>
  <c r="AX191" i="39"/>
  <c r="AW273" i="39"/>
  <c r="AW448" i="39"/>
  <c r="L332" i="10"/>
  <c r="K333" i="10"/>
  <c r="AX444" i="39"/>
  <c r="AX508" i="39"/>
  <c r="AN393" i="39"/>
  <c r="AO408" i="39"/>
  <c r="AX116" i="39"/>
  <c r="AW105" i="39"/>
  <c r="AX434" i="39"/>
  <c r="AW123" i="39"/>
  <c r="AX416" i="39"/>
  <c r="AV487" i="39"/>
  <c r="AV495" i="39" s="1"/>
  <c r="AX122" i="39"/>
  <c r="AW386" i="39"/>
  <c r="AW392" i="39"/>
  <c r="AX385" i="39"/>
  <c r="AW445" i="39"/>
  <c r="AW124" i="39" s="1"/>
  <c r="AX314" i="39"/>
  <c r="AS76" i="39"/>
  <c r="AU351" i="39"/>
  <c r="AU367" i="39" s="1"/>
  <c r="AV159" i="39"/>
  <c r="AV163" i="39" s="1"/>
  <c r="AV117" i="39"/>
  <c r="AW449" i="39"/>
  <c r="AX464" i="39"/>
  <c r="AW465" i="39"/>
  <c r="AW466" i="39" s="1"/>
  <c r="AV73" i="39"/>
  <c r="AV437" i="39" s="1"/>
  <c r="AT389" i="39"/>
  <c r="AX465" i="39" l="1"/>
  <c r="AX466" i="39" s="1"/>
  <c r="AX105" i="39"/>
  <c r="AX273" i="39"/>
  <c r="AX123" i="39"/>
  <c r="AX510" i="39"/>
  <c r="AU345" i="39"/>
  <c r="AU358" i="39"/>
  <c r="M332" i="10"/>
  <c r="L333" i="10"/>
  <c r="AO393" i="39"/>
  <c r="AP408" i="39"/>
  <c r="AX445" i="39"/>
  <c r="AW159" i="39"/>
  <c r="AW163" i="39" s="1"/>
  <c r="AW117" i="39"/>
  <c r="AX449" i="39"/>
  <c r="AU389" i="39"/>
  <c r="AW73" i="39"/>
  <c r="AW437" i="39" s="1"/>
  <c r="AW487" i="39"/>
  <c r="AW495" i="39" s="1"/>
  <c r="AX386" i="39"/>
  <c r="AX392" i="39"/>
  <c r="AV351" i="39"/>
  <c r="AV367" i="39" s="1"/>
  <c r="AX353" i="39"/>
  <c r="AX448" i="39"/>
  <c r="AT76" i="39"/>
  <c r="AX487" i="39" l="1"/>
  <c r="AX495" i="39" s="1"/>
  <c r="AX117" i="39"/>
  <c r="AX124" i="39"/>
  <c r="AV345" i="39"/>
  <c r="AV358" i="39"/>
  <c r="N332" i="10"/>
  <c r="N333" i="10" s="1"/>
  <c r="M333" i="10"/>
  <c r="AP393" i="39"/>
  <c r="AQ408" i="39"/>
  <c r="AV389" i="39"/>
  <c r="AU76" i="39"/>
  <c r="AX73" i="39"/>
  <c r="AW351" i="39"/>
  <c r="AW367" i="39" s="1"/>
  <c r="AX159" i="39"/>
  <c r="AX437" i="39" l="1"/>
  <c r="AX163" i="39"/>
  <c r="AW345" i="39"/>
  <c r="AW358" i="39"/>
  <c r="AQ393" i="39"/>
  <c r="AR408" i="39"/>
  <c r="AW389" i="39"/>
  <c r="AV76" i="39"/>
  <c r="AX351" i="39" l="1"/>
  <c r="AS408" i="39"/>
  <c r="AR393" i="39"/>
  <c r="AW76" i="39"/>
  <c r="Y8" i="2"/>
  <c r="AX367" i="39" l="1"/>
  <c r="AX345" i="39"/>
  <c r="AX389" i="39"/>
  <c r="AX358" i="39"/>
  <c r="AS393" i="39"/>
  <c r="AT408" i="39"/>
  <c r="Y18" i="2"/>
  <c r="Y26" i="2"/>
  <c r="Y34" i="2"/>
  <c r="Y42" i="2"/>
  <c r="Y50" i="2"/>
  <c r="Y58" i="2"/>
  <c r="Y66" i="2"/>
  <c r="Y74" i="2"/>
  <c r="Y82" i="2"/>
  <c r="Y90" i="2"/>
  <c r="Y98" i="2"/>
  <c r="Y106" i="2"/>
  <c r="Y118" i="2"/>
  <c r="Y126" i="2"/>
  <c r="Y134" i="2"/>
  <c r="Y142" i="2"/>
  <c r="Y150" i="2"/>
  <c r="Y158" i="2"/>
  <c r="Y166" i="2"/>
  <c r="Y174" i="2"/>
  <c r="Y182" i="2"/>
  <c r="Y190" i="2"/>
  <c r="Y198" i="2"/>
  <c r="Y206" i="2"/>
  <c r="Y157" i="2"/>
  <c r="Y19" i="2"/>
  <c r="Y27" i="2"/>
  <c r="Y35" i="2"/>
  <c r="Y43" i="2"/>
  <c r="Y51" i="2"/>
  <c r="Y59" i="2"/>
  <c r="Y67" i="2"/>
  <c r="Y75" i="2"/>
  <c r="Y83" i="2"/>
  <c r="Y91" i="2"/>
  <c r="Y99" i="2"/>
  <c r="Y107" i="2"/>
  <c r="Y119" i="2"/>
  <c r="Y127" i="2"/>
  <c r="Y135" i="2"/>
  <c r="Y143" i="2"/>
  <c r="Y151" i="2"/>
  <c r="Y159" i="2"/>
  <c r="Y167" i="2"/>
  <c r="Y175" i="2"/>
  <c r="Y183" i="2"/>
  <c r="Y191" i="2"/>
  <c r="Y199" i="2"/>
  <c r="Y207" i="2"/>
  <c r="Y133" i="2"/>
  <c r="Y20" i="2"/>
  <c r="Y28" i="2"/>
  <c r="Y36" i="2"/>
  <c r="Y44" i="2"/>
  <c r="Y52" i="2"/>
  <c r="Y60" i="2"/>
  <c r="Y68" i="2"/>
  <c r="Y76" i="2"/>
  <c r="Y84" i="2"/>
  <c r="Y92" i="2"/>
  <c r="Y100" i="2"/>
  <c r="Y108" i="2"/>
  <c r="Y120" i="2"/>
  <c r="Y128" i="2"/>
  <c r="Y136" i="2"/>
  <c r="Y144" i="2"/>
  <c r="Y152" i="2"/>
  <c r="Y160" i="2"/>
  <c r="Y168" i="2"/>
  <c r="Y176" i="2"/>
  <c r="Y184" i="2"/>
  <c r="Y192" i="2"/>
  <c r="Y200" i="2"/>
  <c r="Y208" i="2"/>
  <c r="Y33" i="2"/>
  <c r="Y97" i="2"/>
  <c r="Y173" i="2"/>
  <c r="Y21" i="2"/>
  <c r="Y29" i="2"/>
  <c r="Y37" i="2"/>
  <c r="Y45" i="2"/>
  <c r="Y53" i="2"/>
  <c r="Y61" i="2"/>
  <c r="Y69" i="2"/>
  <c r="Y77" i="2"/>
  <c r="Y85" i="2"/>
  <c r="Y93" i="2"/>
  <c r="Y101" i="2"/>
  <c r="Y109" i="2"/>
  <c r="Y121" i="2"/>
  <c r="Y129" i="2"/>
  <c r="Y137" i="2"/>
  <c r="Y145" i="2"/>
  <c r="Y153" i="2"/>
  <c r="Y161" i="2"/>
  <c r="Y169" i="2"/>
  <c r="Y177" i="2"/>
  <c r="Y185" i="2"/>
  <c r="Y193" i="2"/>
  <c r="Y201" i="2"/>
  <c r="Y209" i="2"/>
  <c r="Y17" i="2"/>
  <c r="Y57" i="2"/>
  <c r="Y73" i="2"/>
  <c r="Y105" i="2"/>
  <c r="Y141" i="2"/>
  <c r="Y181" i="2"/>
  <c r="Y205" i="2"/>
  <c r="Y22" i="2"/>
  <c r="Y30" i="2"/>
  <c r="Y38" i="2"/>
  <c r="Y46" i="2"/>
  <c r="Y54" i="2"/>
  <c r="Y62" i="2"/>
  <c r="Y70" i="2"/>
  <c r="Y78" i="2"/>
  <c r="Y86" i="2"/>
  <c r="Y94" i="2"/>
  <c r="Y102" i="2"/>
  <c r="Y110" i="2"/>
  <c r="Y122" i="2"/>
  <c r="Y130" i="2"/>
  <c r="Y138" i="2"/>
  <c r="Y146" i="2"/>
  <c r="Y154" i="2"/>
  <c r="Y162" i="2"/>
  <c r="Y170" i="2"/>
  <c r="Y178" i="2"/>
  <c r="Y186" i="2"/>
  <c r="Y194" i="2"/>
  <c r="Y202" i="2"/>
  <c r="Y210" i="2"/>
  <c r="Y49" i="2"/>
  <c r="Y117" i="2"/>
  <c r="Y189" i="2"/>
  <c r="Y15" i="2"/>
  <c r="Y23" i="2"/>
  <c r="Y31" i="2"/>
  <c r="Y39" i="2"/>
  <c r="Y47" i="2"/>
  <c r="Y55" i="2"/>
  <c r="Y63" i="2"/>
  <c r="Y71" i="2"/>
  <c r="Y79" i="2"/>
  <c r="Y87" i="2"/>
  <c r="Y95" i="2"/>
  <c r="Y103" i="2"/>
  <c r="Y115" i="2"/>
  <c r="Y123" i="2"/>
  <c r="Y131" i="2"/>
  <c r="Y139" i="2"/>
  <c r="Y147" i="2"/>
  <c r="Y155" i="2"/>
  <c r="Y163" i="2"/>
  <c r="Y171" i="2"/>
  <c r="Y179" i="2"/>
  <c r="Y187" i="2"/>
  <c r="Y195" i="2"/>
  <c r="Y203" i="2"/>
  <c r="Y25" i="2"/>
  <c r="Y65" i="2"/>
  <c r="Y89" i="2"/>
  <c r="Y125" i="2"/>
  <c r="Y165" i="2"/>
  <c r="Y197" i="2"/>
  <c r="Y16" i="2"/>
  <c r="Y24" i="2"/>
  <c r="Y32" i="2"/>
  <c r="Y40" i="2"/>
  <c r="Y48" i="2"/>
  <c r="Y56" i="2"/>
  <c r="Y64" i="2"/>
  <c r="Y72" i="2"/>
  <c r="Y80" i="2"/>
  <c r="Y88" i="2"/>
  <c r="Y96" i="2"/>
  <c r="Y104" i="2"/>
  <c r="Y116" i="2"/>
  <c r="Y124" i="2"/>
  <c r="Y132" i="2"/>
  <c r="Y140" i="2"/>
  <c r="Y148" i="2"/>
  <c r="Y156" i="2"/>
  <c r="Y164" i="2"/>
  <c r="Y172" i="2"/>
  <c r="Y180" i="2"/>
  <c r="Y188" i="2"/>
  <c r="Y196" i="2"/>
  <c r="Y204" i="2"/>
  <c r="Y81" i="2"/>
  <c r="Y41" i="2"/>
  <c r="Y149" i="2"/>
  <c r="B19" i="16"/>
  <c r="C19" i="16"/>
  <c r="D19" i="16"/>
  <c r="E19" i="16"/>
  <c r="F19" i="16"/>
  <c r="G19" i="16"/>
  <c r="H19" i="16"/>
  <c r="I19" i="16"/>
  <c r="J19" i="16"/>
  <c r="K19" i="16"/>
  <c r="L19" i="16"/>
  <c r="M19" i="16"/>
  <c r="N19" i="16"/>
  <c r="O19" i="16"/>
  <c r="C21" i="16"/>
  <c r="D21" i="16"/>
  <c r="E21" i="16"/>
  <c r="F21" i="16"/>
  <c r="G21" i="16"/>
  <c r="H21" i="16"/>
  <c r="I21" i="16"/>
  <c r="J21" i="16"/>
  <c r="K21" i="16"/>
  <c r="L21" i="16"/>
  <c r="M21" i="16"/>
  <c r="N21" i="16"/>
  <c r="O21" i="16"/>
  <c r="B21" i="16"/>
  <c r="B23" i="16"/>
  <c r="C23" i="16"/>
  <c r="D23" i="16"/>
  <c r="E23" i="16"/>
  <c r="F23" i="16"/>
  <c r="G23" i="16"/>
  <c r="H23" i="16"/>
  <c r="I23" i="16"/>
  <c r="J23" i="16"/>
  <c r="K23" i="16"/>
  <c r="L23" i="16"/>
  <c r="M23" i="16"/>
  <c r="N23" i="16"/>
  <c r="O23" i="16"/>
  <c r="C25" i="16"/>
  <c r="D25" i="16"/>
  <c r="E25" i="16"/>
  <c r="F25" i="16"/>
  <c r="G25" i="16"/>
  <c r="H25" i="16"/>
  <c r="I25" i="16"/>
  <c r="J25" i="16"/>
  <c r="K25" i="16"/>
  <c r="L25" i="16"/>
  <c r="M25" i="16"/>
  <c r="N25" i="16"/>
  <c r="O25" i="16"/>
  <c r="B25" i="16"/>
  <c r="B27" i="16"/>
  <c r="C27" i="16"/>
  <c r="D27" i="16"/>
  <c r="E27" i="16"/>
  <c r="F27" i="16"/>
  <c r="G27" i="16"/>
  <c r="H27" i="16"/>
  <c r="I27" i="16"/>
  <c r="J27" i="16"/>
  <c r="K27" i="16"/>
  <c r="L27" i="16"/>
  <c r="M27" i="16"/>
  <c r="N27" i="16"/>
  <c r="O27" i="16"/>
  <c r="C29" i="16"/>
  <c r="D29" i="16"/>
  <c r="E29" i="16"/>
  <c r="F29" i="16"/>
  <c r="G29" i="16"/>
  <c r="H29" i="16"/>
  <c r="I29" i="16"/>
  <c r="J29" i="16"/>
  <c r="K29" i="16"/>
  <c r="L29" i="16"/>
  <c r="M29" i="16"/>
  <c r="N29" i="16"/>
  <c r="O29" i="16"/>
  <c r="B29" i="16"/>
  <c r="B31" i="16"/>
  <c r="C31" i="16"/>
  <c r="D31" i="16"/>
  <c r="E31" i="16"/>
  <c r="F31" i="16"/>
  <c r="G31" i="16"/>
  <c r="H31" i="16"/>
  <c r="I31" i="16"/>
  <c r="J31" i="16"/>
  <c r="K31" i="16"/>
  <c r="L31" i="16"/>
  <c r="M31" i="16"/>
  <c r="N31" i="16"/>
  <c r="O31" i="16"/>
  <c r="C33" i="16"/>
  <c r="D33" i="16"/>
  <c r="E33" i="16"/>
  <c r="F33" i="16"/>
  <c r="G33" i="16"/>
  <c r="H33" i="16"/>
  <c r="I33" i="16"/>
  <c r="J33" i="16"/>
  <c r="K33" i="16"/>
  <c r="L33" i="16"/>
  <c r="M33" i="16"/>
  <c r="N33" i="16"/>
  <c r="O33" i="16"/>
  <c r="B33" i="16"/>
  <c r="B35" i="16"/>
  <c r="C35" i="16"/>
  <c r="D35" i="16"/>
  <c r="E35" i="16"/>
  <c r="F35" i="16"/>
  <c r="G35" i="16"/>
  <c r="H35" i="16"/>
  <c r="I35" i="16"/>
  <c r="J35" i="16"/>
  <c r="K35" i="16"/>
  <c r="L35" i="16"/>
  <c r="M35" i="16"/>
  <c r="N35" i="16"/>
  <c r="O35" i="16"/>
  <c r="C37" i="16"/>
  <c r="D37" i="16"/>
  <c r="E37" i="16"/>
  <c r="F37" i="16"/>
  <c r="G37" i="16"/>
  <c r="H37" i="16"/>
  <c r="I37" i="16"/>
  <c r="J37" i="16"/>
  <c r="K37" i="16"/>
  <c r="L37" i="16"/>
  <c r="M37" i="16"/>
  <c r="N37" i="16"/>
  <c r="O37" i="16"/>
  <c r="B37" i="16"/>
  <c r="B41" i="16"/>
  <c r="C41" i="16"/>
  <c r="D41" i="16"/>
  <c r="E41" i="16"/>
  <c r="F41" i="16"/>
  <c r="G41" i="16"/>
  <c r="H41" i="16"/>
  <c r="I41" i="16"/>
  <c r="J41" i="16"/>
  <c r="K41" i="16"/>
  <c r="L41" i="16"/>
  <c r="M41" i="16"/>
  <c r="N41" i="16"/>
  <c r="O41" i="16"/>
  <c r="C43" i="16"/>
  <c r="D43" i="16"/>
  <c r="E43" i="16"/>
  <c r="F43" i="16"/>
  <c r="G43" i="16"/>
  <c r="H43" i="16"/>
  <c r="I43" i="16"/>
  <c r="J43" i="16"/>
  <c r="K43" i="16"/>
  <c r="L43" i="16"/>
  <c r="M43" i="16"/>
  <c r="N43" i="16"/>
  <c r="O43" i="16"/>
  <c r="B43" i="16"/>
  <c r="B45" i="16"/>
  <c r="C45" i="16"/>
  <c r="D45" i="16"/>
  <c r="E45" i="16"/>
  <c r="F45" i="16"/>
  <c r="G45" i="16"/>
  <c r="H45" i="16"/>
  <c r="I45" i="16"/>
  <c r="J45" i="16"/>
  <c r="K45" i="16"/>
  <c r="L45" i="16"/>
  <c r="M45" i="16"/>
  <c r="N45" i="16"/>
  <c r="O45" i="16"/>
  <c r="C47" i="16"/>
  <c r="D47" i="16"/>
  <c r="E47" i="16"/>
  <c r="F47" i="16"/>
  <c r="G47" i="16"/>
  <c r="H47" i="16"/>
  <c r="I47" i="16"/>
  <c r="J47" i="16"/>
  <c r="K47" i="16"/>
  <c r="L47" i="16"/>
  <c r="M47" i="16"/>
  <c r="N47" i="16"/>
  <c r="O47" i="16"/>
  <c r="B47" i="16"/>
  <c r="B49" i="16"/>
  <c r="C49" i="16"/>
  <c r="D49" i="16"/>
  <c r="E49" i="16"/>
  <c r="F49" i="16"/>
  <c r="G49" i="16"/>
  <c r="H49" i="16"/>
  <c r="I49" i="16"/>
  <c r="J49" i="16"/>
  <c r="K49" i="16"/>
  <c r="L49" i="16"/>
  <c r="M49" i="16"/>
  <c r="N49" i="16"/>
  <c r="O49" i="16"/>
  <c r="C51" i="16"/>
  <c r="D51" i="16"/>
  <c r="E51" i="16"/>
  <c r="F51" i="16"/>
  <c r="G51" i="16"/>
  <c r="H51" i="16"/>
  <c r="I51" i="16"/>
  <c r="J51" i="16"/>
  <c r="K51" i="16"/>
  <c r="L51" i="16"/>
  <c r="M51" i="16"/>
  <c r="N51" i="16"/>
  <c r="O51" i="16"/>
  <c r="B51" i="16"/>
  <c r="C70" i="16"/>
  <c r="D70" i="16"/>
  <c r="E70" i="16"/>
  <c r="F70" i="16"/>
  <c r="G70" i="16"/>
  <c r="H70" i="16"/>
  <c r="I70" i="16"/>
  <c r="J70" i="16"/>
  <c r="K70" i="16"/>
  <c r="L70" i="16"/>
  <c r="M70" i="16"/>
  <c r="N70" i="16"/>
  <c r="O70" i="16"/>
  <c r="B70" i="16"/>
  <c r="C15" i="16"/>
  <c r="D15" i="16"/>
  <c r="E15" i="16"/>
  <c r="F15" i="16"/>
  <c r="G15" i="16"/>
  <c r="H15" i="16"/>
  <c r="I15" i="16"/>
  <c r="J15" i="16"/>
  <c r="K15" i="16"/>
  <c r="L15" i="16"/>
  <c r="M15" i="16"/>
  <c r="N15" i="16"/>
  <c r="O15" i="16"/>
  <c r="B15" i="16"/>
  <c r="A70" i="16"/>
  <c r="A51" i="16"/>
  <c r="A49" i="16"/>
  <c r="A47" i="16"/>
  <c r="A45" i="16"/>
  <c r="A43" i="16"/>
  <c r="A41" i="16"/>
  <c r="A37" i="16"/>
  <c r="A35" i="16"/>
  <c r="A33" i="16"/>
  <c r="A31" i="16"/>
  <c r="A29" i="16"/>
  <c r="A27" i="16"/>
  <c r="A25" i="16"/>
  <c r="A23" i="16"/>
  <c r="A21" i="16"/>
  <c r="A19" i="16"/>
  <c r="AX76" i="39" l="1"/>
  <c r="AT393" i="39"/>
  <c r="AU408" i="39"/>
  <c r="Y211" i="2"/>
  <c r="Y111" i="2"/>
  <c r="G7" i="4"/>
  <c r="G109" i="4" s="1"/>
  <c r="AV408" i="39" l="1"/>
  <c r="AU393" i="39"/>
  <c r="G11" i="4"/>
  <c r="G119" i="4"/>
  <c r="G122" i="4"/>
  <c r="G82" i="4"/>
  <c r="G38" i="4"/>
  <c r="G14" i="4"/>
  <c r="G142" i="4"/>
  <c r="G47" i="4"/>
  <c r="G105" i="4"/>
  <c r="G139" i="4"/>
  <c r="G100" i="4"/>
  <c r="G51" i="4"/>
  <c r="G64" i="4"/>
  <c r="G44" i="4"/>
  <c r="G56" i="4"/>
  <c r="G138" i="4"/>
  <c r="G83" i="4"/>
  <c r="G29" i="4"/>
  <c r="G98" i="4"/>
  <c r="G61" i="4"/>
  <c r="G137" i="4"/>
  <c r="G114" i="4"/>
  <c r="G60" i="4"/>
  <c r="G102" i="4"/>
  <c r="G35" i="4"/>
  <c r="G121" i="4"/>
  <c r="G123" i="4"/>
  <c r="G87" i="4"/>
  <c r="G108" i="4"/>
  <c r="G27" i="4"/>
  <c r="G62" i="4"/>
  <c r="G40" i="4"/>
  <c r="G133" i="4"/>
  <c r="G89" i="4"/>
  <c r="G36" i="4"/>
  <c r="G17" i="4"/>
  <c r="G45" i="4"/>
  <c r="G74" i="4"/>
  <c r="G26" i="4"/>
  <c r="G10" i="4"/>
  <c r="G104" i="4"/>
  <c r="G120" i="4"/>
  <c r="G18" i="4"/>
  <c r="G128" i="4"/>
  <c r="G88" i="4"/>
  <c r="G66" i="4"/>
  <c r="G144" i="4"/>
  <c r="G96" i="4"/>
  <c r="G80" i="4"/>
  <c r="G112" i="4"/>
  <c r="G58" i="4"/>
  <c r="G34" i="4"/>
  <c r="G50" i="4"/>
  <c r="G42" i="4"/>
  <c r="G136" i="4"/>
  <c r="G21" i="4"/>
  <c r="G70" i="4"/>
  <c r="G67" i="4"/>
  <c r="G41" i="4"/>
  <c r="G107" i="4"/>
  <c r="G129" i="4"/>
  <c r="G31" i="4"/>
  <c r="G73" i="4"/>
  <c r="G125" i="4"/>
  <c r="G145" i="4"/>
  <c r="G86" i="4"/>
  <c r="G37" i="4"/>
  <c r="G134" i="4"/>
  <c r="G140" i="4"/>
  <c r="G95" i="4"/>
  <c r="G85" i="4"/>
  <c r="G59" i="4"/>
  <c r="G135" i="4"/>
  <c r="G12" i="4"/>
  <c r="G101" i="4"/>
  <c r="G75" i="4"/>
  <c r="G126" i="4"/>
  <c r="G115" i="4"/>
  <c r="G97" i="4"/>
  <c r="G143" i="4"/>
  <c r="G69" i="4"/>
  <c r="G92" i="4"/>
  <c r="G132" i="4"/>
  <c r="G23" i="4"/>
  <c r="G48" i="4"/>
  <c r="G130" i="4"/>
  <c r="G55" i="4"/>
  <c r="G141" i="4"/>
  <c r="G91" i="4"/>
  <c r="G39" i="4"/>
  <c r="G53" i="4"/>
  <c r="G19" i="4"/>
  <c r="G124" i="4"/>
  <c r="G106" i="4"/>
  <c r="G111" i="4"/>
  <c r="G13" i="4"/>
  <c r="G110" i="4"/>
  <c r="G33" i="4"/>
  <c r="G54" i="4"/>
  <c r="G20" i="4"/>
  <c r="G84" i="4"/>
  <c r="G81" i="4"/>
  <c r="G117" i="4"/>
  <c r="G30" i="4"/>
  <c r="G16" i="4"/>
  <c r="G52" i="4"/>
  <c r="G25" i="4"/>
  <c r="G32" i="4"/>
  <c r="G116" i="4"/>
  <c r="G94" i="4"/>
  <c r="G57" i="4"/>
  <c r="G63" i="4"/>
  <c r="G103" i="4"/>
  <c r="G49" i="4"/>
  <c r="G22" i="4"/>
  <c r="G24" i="4"/>
  <c r="G68" i="4"/>
  <c r="G65" i="4"/>
  <c r="G131" i="4"/>
  <c r="G93" i="4"/>
  <c r="G113" i="4"/>
  <c r="G118" i="4"/>
  <c r="G43" i="4"/>
  <c r="G72" i="4"/>
  <c r="G90" i="4"/>
  <c r="G127" i="4"/>
  <c r="G99" i="4"/>
  <c r="G46" i="4"/>
  <c r="G71" i="4"/>
  <c r="G15" i="4"/>
  <c r="G28" i="4"/>
  <c r="AV393" i="39" l="1"/>
  <c r="AW408" i="39"/>
  <c r="G146" i="4"/>
  <c r="G76" i="4"/>
  <c r="B163" i="10"/>
  <c r="B164" i="10"/>
  <c r="B165" i="10"/>
  <c r="B166" i="10"/>
  <c r="B167" i="10"/>
  <c r="B168" i="10"/>
  <c r="B170" i="10"/>
  <c r="B171" i="10"/>
  <c r="B172" i="10"/>
  <c r="B173" i="10"/>
  <c r="B174" i="10"/>
  <c r="B175" i="10"/>
  <c r="B177" i="10"/>
  <c r="B178" i="10"/>
  <c r="B180" i="10"/>
  <c r="B181" i="10"/>
  <c r="B182" i="10"/>
  <c r="B183" i="10"/>
  <c r="B184" i="10"/>
  <c r="B185" i="10"/>
  <c r="B186" i="10"/>
  <c r="B187" i="10"/>
  <c r="B188" i="10"/>
  <c r="B189" i="10"/>
  <c r="B190" i="10"/>
  <c r="AW393" i="39" l="1"/>
  <c r="AX408" i="39"/>
  <c r="AX393" i="39" l="1"/>
  <c r="B154" i="10"/>
  <c r="B157" i="10"/>
  <c r="B158" i="10"/>
  <c r="C1" i="11" l="1"/>
  <c r="H404" i="10"/>
  <c r="H405" i="10" s="1"/>
  <c r="G404" i="10"/>
  <c r="G405" i="10" s="1"/>
  <c r="F404" i="10"/>
  <c r="F405" i="10" s="1"/>
  <c r="E404" i="10"/>
  <c r="E405" i="10" s="1"/>
  <c r="D404" i="10"/>
  <c r="D405" i="10" s="1"/>
  <c r="B404" i="10"/>
  <c r="B403" i="10"/>
  <c r="B402" i="10"/>
  <c r="B401" i="10"/>
  <c r="B399" i="10"/>
  <c r="H398" i="10"/>
  <c r="G398" i="10"/>
  <c r="F398" i="10"/>
  <c r="E398" i="10"/>
  <c r="D398" i="10"/>
  <c r="B398" i="10"/>
  <c r="B397" i="10"/>
  <c r="B396" i="10"/>
  <c r="B395" i="10"/>
  <c r="H394" i="10"/>
  <c r="H400" i="10" s="1"/>
  <c r="G394" i="10"/>
  <c r="F394" i="10"/>
  <c r="E394" i="10"/>
  <c r="D394" i="10"/>
  <c r="B394" i="10"/>
  <c r="B393" i="10"/>
  <c r="B392" i="10"/>
  <c r="B391" i="10"/>
  <c r="B390" i="10"/>
  <c r="B389" i="10"/>
  <c r="B388" i="10"/>
  <c r="B387" i="10"/>
  <c r="H384" i="10"/>
  <c r="G384" i="10"/>
  <c r="F384" i="10"/>
  <c r="E384" i="10"/>
  <c r="D384" i="10"/>
  <c r="B383" i="10"/>
  <c r="B382" i="10"/>
  <c r="B381" i="10"/>
  <c r="H379" i="10"/>
  <c r="G379" i="10"/>
  <c r="F379" i="10"/>
  <c r="E379" i="10"/>
  <c r="D379" i="10"/>
  <c r="B378" i="10"/>
  <c r="B377" i="10"/>
  <c r="B376" i="10"/>
  <c r="B375" i="10"/>
  <c r="B374" i="10"/>
  <c r="H372" i="10"/>
  <c r="G372" i="10"/>
  <c r="F372" i="10"/>
  <c r="E372" i="10"/>
  <c r="D372" i="10"/>
  <c r="B371" i="10"/>
  <c r="B370" i="10"/>
  <c r="B367" i="10"/>
  <c r="B366" i="10"/>
  <c r="B365" i="10"/>
  <c r="D364" i="10"/>
  <c r="E364" i="10" s="1"/>
  <c r="B364" i="10"/>
  <c r="B363" i="10"/>
  <c r="B362" i="10"/>
  <c r="B361" i="10"/>
  <c r="B360" i="10"/>
  <c r="B359" i="10"/>
  <c r="B358" i="10"/>
  <c r="H356" i="10"/>
  <c r="G356" i="10"/>
  <c r="F356" i="10"/>
  <c r="E356" i="10"/>
  <c r="D356" i="10"/>
  <c r="B355" i="10"/>
  <c r="B354" i="10"/>
  <c r="B353" i="10"/>
  <c r="D350" i="10"/>
  <c r="E350" i="10" s="1"/>
  <c r="F350" i="10" s="1"/>
  <c r="G350" i="10" s="1"/>
  <c r="H350" i="10" s="1"/>
  <c r="I350" i="10" s="1"/>
  <c r="J350" i="10" s="1"/>
  <c r="K350" i="10" s="1"/>
  <c r="L350" i="10" s="1"/>
  <c r="M350" i="10" s="1"/>
  <c r="N350" i="10" s="1"/>
  <c r="B350" i="10"/>
  <c r="B349" i="10"/>
  <c r="B348" i="10"/>
  <c r="B347" i="10"/>
  <c r="B346" i="10"/>
  <c r="B345" i="10"/>
  <c r="D344" i="10"/>
  <c r="E344" i="10" s="1"/>
  <c r="B344" i="10"/>
  <c r="B343" i="10"/>
  <c r="B342" i="10"/>
  <c r="B341" i="10"/>
  <c r="B340" i="10"/>
  <c r="H338" i="10"/>
  <c r="G338" i="10"/>
  <c r="F338" i="10"/>
  <c r="E338" i="10"/>
  <c r="D338" i="10"/>
  <c r="B337" i="10"/>
  <c r="B336" i="10"/>
  <c r="B335" i="10"/>
  <c r="D333" i="10"/>
  <c r="B332" i="10"/>
  <c r="B331" i="10"/>
  <c r="B329" i="10"/>
  <c r="B328" i="10"/>
  <c r="B327" i="10"/>
  <c r="B326" i="10"/>
  <c r="B325" i="10"/>
  <c r="B323" i="10"/>
  <c r="B322" i="10"/>
  <c r="H320" i="10"/>
  <c r="G320" i="10"/>
  <c r="F320" i="10"/>
  <c r="E320" i="10"/>
  <c r="D320" i="10"/>
  <c r="B319" i="10"/>
  <c r="B318" i="10"/>
  <c r="H316" i="10"/>
  <c r="G316" i="10"/>
  <c r="F316" i="10"/>
  <c r="E316" i="10"/>
  <c r="D316" i="10"/>
  <c r="B315" i="10"/>
  <c r="B314" i="10"/>
  <c r="B313" i="10"/>
  <c r="B312" i="10"/>
  <c r="H310" i="10"/>
  <c r="G310" i="10"/>
  <c r="F310" i="10"/>
  <c r="E310" i="10"/>
  <c r="D310" i="10"/>
  <c r="B309" i="10"/>
  <c r="B308" i="10"/>
  <c r="B307" i="10"/>
  <c r="B306" i="10"/>
  <c r="H304" i="10"/>
  <c r="G304" i="10"/>
  <c r="F304" i="10"/>
  <c r="E304" i="10"/>
  <c r="D304" i="10"/>
  <c r="B303" i="10"/>
  <c r="B302" i="10"/>
  <c r="B301" i="10"/>
  <c r="B300" i="10"/>
  <c r="H298" i="10"/>
  <c r="G298" i="10"/>
  <c r="F298" i="10"/>
  <c r="E298" i="10"/>
  <c r="D298" i="10"/>
  <c r="B293" i="10"/>
  <c r="H291" i="10"/>
  <c r="G291" i="10"/>
  <c r="F291" i="10"/>
  <c r="E291" i="10"/>
  <c r="D291" i="10"/>
  <c r="B290" i="10"/>
  <c r="B289" i="10"/>
  <c r="B288" i="10"/>
  <c r="B287" i="10"/>
  <c r="B286" i="10"/>
  <c r="H284" i="10"/>
  <c r="G284" i="10"/>
  <c r="F284" i="10"/>
  <c r="E284" i="10"/>
  <c r="D284" i="10"/>
  <c r="B283" i="10"/>
  <c r="B282" i="10"/>
  <c r="B281" i="10"/>
  <c r="H279" i="10"/>
  <c r="G279" i="10"/>
  <c r="F279" i="10"/>
  <c r="E279" i="10"/>
  <c r="D279" i="10"/>
  <c r="B278" i="10"/>
  <c r="B277" i="10"/>
  <c r="B276" i="10"/>
  <c r="H274" i="10"/>
  <c r="G274" i="10"/>
  <c r="F274" i="10"/>
  <c r="E274" i="10"/>
  <c r="D274" i="10"/>
  <c r="B273" i="10"/>
  <c r="B272" i="10"/>
  <c r="B271" i="10"/>
  <c r="B270" i="10"/>
  <c r="B267" i="10"/>
  <c r="B266" i="10"/>
  <c r="B265" i="10"/>
  <c r="H263" i="10"/>
  <c r="G263" i="10"/>
  <c r="F263" i="10"/>
  <c r="E263" i="10"/>
  <c r="D263" i="10"/>
  <c r="B262" i="10"/>
  <c r="B261" i="10"/>
  <c r="B260" i="10"/>
  <c r="H258" i="10"/>
  <c r="G258" i="10"/>
  <c r="F258" i="10"/>
  <c r="E258" i="10"/>
  <c r="D258" i="10"/>
  <c r="B257" i="10"/>
  <c r="B256" i="10"/>
  <c r="B255" i="10"/>
  <c r="H253" i="10"/>
  <c r="G253" i="10"/>
  <c r="F253" i="10"/>
  <c r="E253" i="10"/>
  <c r="D253" i="10"/>
  <c r="B252" i="10"/>
  <c r="B251" i="10"/>
  <c r="B250" i="10"/>
  <c r="B249" i="10"/>
  <c r="B248" i="10"/>
  <c r="B247" i="10"/>
  <c r="B246" i="10"/>
  <c r="B245" i="10"/>
  <c r="B244" i="10"/>
  <c r="B243" i="10"/>
  <c r="H241" i="10"/>
  <c r="G241" i="10"/>
  <c r="F241" i="10"/>
  <c r="E241" i="10"/>
  <c r="D241" i="10"/>
  <c r="B240" i="10"/>
  <c r="B239" i="10"/>
  <c r="B238" i="10"/>
  <c r="B237" i="10"/>
  <c r="H236" i="10"/>
  <c r="G236" i="10"/>
  <c r="F236" i="10"/>
  <c r="E236" i="10"/>
  <c r="D236" i="10"/>
  <c r="B235" i="10"/>
  <c r="B234" i="10"/>
  <c r="B233" i="10"/>
  <c r="H231" i="10"/>
  <c r="G231" i="10"/>
  <c r="F231" i="10"/>
  <c r="E231" i="10"/>
  <c r="D231" i="10"/>
  <c r="B230" i="10"/>
  <c r="B229" i="10"/>
  <c r="B228" i="10"/>
  <c r="H226" i="10"/>
  <c r="G226" i="10"/>
  <c r="F226" i="10"/>
  <c r="E226" i="10"/>
  <c r="D226" i="10"/>
  <c r="B225" i="10"/>
  <c r="B224" i="10"/>
  <c r="B223" i="10"/>
  <c r="B222" i="10"/>
  <c r="B221" i="10"/>
  <c r="B220" i="10"/>
  <c r="B217" i="10"/>
  <c r="B216" i="10"/>
  <c r="B215" i="10"/>
  <c r="B214" i="10"/>
  <c r="B213" i="10"/>
  <c r="B212" i="10"/>
  <c r="B211" i="10"/>
  <c r="B210" i="10"/>
  <c r="B209" i="10"/>
  <c r="B208" i="10"/>
  <c r="B207" i="10"/>
  <c r="B206" i="10"/>
  <c r="H205" i="10"/>
  <c r="G205" i="10"/>
  <c r="F205" i="10"/>
  <c r="E205" i="10"/>
  <c r="D205" i="10"/>
  <c r="B204" i="10"/>
  <c r="B203" i="10"/>
  <c r="H200" i="10"/>
  <c r="G200" i="10"/>
  <c r="F200" i="10"/>
  <c r="E200" i="10"/>
  <c r="D200" i="10"/>
  <c r="B200" i="10"/>
  <c r="H199" i="10"/>
  <c r="G199" i="10"/>
  <c r="F199" i="10"/>
  <c r="E199" i="10"/>
  <c r="D199" i="10"/>
  <c r="B198" i="10"/>
  <c r="B197" i="10"/>
  <c r="B196" i="10"/>
  <c r="B195" i="10"/>
  <c r="B194" i="10"/>
  <c r="B193" i="10"/>
  <c r="B192" i="10"/>
  <c r="H191" i="10"/>
  <c r="G191" i="10"/>
  <c r="F191" i="10"/>
  <c r="E191" i="10"/>
  <c r="D191" i="10"/>
  <c r="H179" i="10"/>
  <c r="G179" i="10"/>
  <c r="F179" i="10"/>
  <c r="E179" i="10"/>
  <c r="D179" i="10"/>
  <c r="H176" i="10"/>
  <c r="G176" i="10"/>
  <c r="F176" i="10"/>
  <c r="E176" i="10"/>
  <c r="D176" i="10"/>
  <c r="H169" i="10"/>
  <c r="G169" i="10"/>
  <c r="F169" i="10"/>
  <c r="E169" i="10"/>
  <c r="D169" i="10"/>
  <c r="H161" i="10"/>
  <c r="G161" i="10"/>
  <c r="F161" i="10"/>
  <c r="E161" i="10"/>
  <c r="D161" i="10"/>
  <c r="B160" i="10"/>
  <c r="H156" i="10"/>
  <c r="B156" i="10"/>
  <c r="B155" i="10"/>
  <c r="G153" i="10"/>
  <c r="F153" i="10"/>
  <c r="B153" i="10"/>
  <c r="H152" i="10"/>
  <c r="G152" i="10"/>
  <c r="F152" i="10"/>
  <c r="E152" i="10"/>
  <c r="D152" i="10"/>
  <c r="B152" i="10"/>
  <c r="B151" i="10"/>
  <c r="B150" i="10"/>
  <c r="B149" i="10"/>
  <c r="B148" i="10"/>
  <c r="B147" i="10"/>
  <c r="B145" i="10"/>
  <c r="B143" i="10"/>
  <c r="H142" i="10"/>
  <c r="G142" i="10"/>
  <c r="F142" i="10"/>
  <c r="E142" i="10"/>
  <c r="D142" i="10"/>
  <c r="B142" i="10"/>
  <c r="B141" i="10"/>
  <c r="B140" i="10"/>
  <c r="B139" i="10"/>
  <c r="B138" i="10"/>
  <c r="B137" i="10"/>
  <c r="B136" i="10"/>
  <c r="B135" i="10"/>
  <c r="B134" i="10"/>
  <c r="H133" i="10"/>
  <c r="G133" i="10"/>
  <c r="F133" i="10"/>
  <c r="E133" i="10"/>
  <c r="D133" i="10"/>
  <c r="D144" i="10" s="1"/>
  <c r="B133" i="10"/>
  <c r="B132" i="10"/>
  <c r="B131" i="10"/>
  <c r="B130" i="10"/>
  <c r="B129" i="10"/>
  <c r="B128" i="10"/>
  <c r="B127" i="10"/>
  <c r="B126" i="10"/>
  <c r="B125" i="10"/>
  <c r="B124" i="10"/>
  <c r="B123" i="10"/>
  <c r="B122" i="10"/>
  <c r="B121" i="10"/>
  <c r="B120" i="10"/>
  <c r="H117" i="10"/>
  <c r="G117" i="10"/>
  <c r="F117" i="10"/>
  <c r="E117" i="10"/>
  <c r="D117" i="10"/>
  <c r="B117" i="10"/>
  <c r="B116" i="10"/>
  <c r="B115" i="10"/>
  <c r="B114" i="10"/>
  <c r="B113" i="10"/>
  <c r="B112" i="10"/>
  <c r="B111" i="10"/>
  <c r="H110" i="10"/>
  <c r="G110" i="10"/>
  <c r="F110" i="10"/>
  <c r="E110" i="10"/>
  <c r="D110" i="10"/>
  <c r="B110" i="10"/>
  <c r="B109" i="10"/>
  <c r="B108" i="10"/>
  <c r="B107" i="10"/>
  <c r="B106" i="10"/>
  <c r="B105" i="10"/>
  <c r="B104" i="10"/>
  <c r="B103" i="10"/>
  <c r="B100" i="10"/>
  <c r="B99" i="10"/>
  <c r="H98" i="10"/>
  <c r="G98" i="10"/>
  <c r="F98" i="10"/>
  <c r="E98" i="10"/>
  <c r="D98" i="10"/>
  <c r="B98" i="10"/>
  <c r="B97" i="10"/>
  <c r="B96" i="10"/>
  <c r="B95" i="10"/>
  <c r="B94" i="10"/>
  <c r="B93" i="10"/>
  <c r="B92" i="10"/>
  <c r="B91" i="10"/>
  <c r="H90" i="10"/>
  <c r="G90" i="10"/>
  <c r="F90" i="10"/>
  <c r="E90" i="10"/>
  <c r="D90" i="10"/>
  <c r="B90" i="10"/>
  <c r="B89" i="10"/>
  <c r="B88" i="10"/>
  <c r="B87" i="10"/>
  <c r="B86" i="10"/>
  <c r="B85" i="10"/>
  <c r="B84" i="10"/>
  <c r="H83" i="10"/>
  <c r="G83" i="10"/>
  <c r="F83" i="10"/>
  <c r="E83" i="10"/>
  <c r="D83" i="10"/>
  <c r="B83" i="10"/>
  <c r="B82" i="10"/>
  <c r="B81" i="10"/>
  <c r="B80" i="10"/>
  <c r="H79" i="10"/>
  <c r="H84" i="10" s="1"/>
  <c r="G79" i="10"/>
  <c r="F79" i="10"/>
  <c r="E79" i="10"/>
  <c r="D79" i="10"/>
  <c r="B79" i="10"/>
  <c r="B78" i="10"/>
  <c r="B77" i="10"/>
  <c r="B76" i="10"/>
  <c r="B75" i="10"/>
  <c r="B74" i="10"/>
  <c r="H72" i="10"/>
  <c r="G72" i="10"/>
  <c r="F72" i="10"/>
  <c r="E72" i="10"/>
  <c r="D72" i="10"/>
  <c r="B71" i="10"/>
  <c r="B70" i="10"/>
  <c r="B69" i="10"/>
  <c r="B68" i="10"/>
  <c r="B67" i="10"/>
  <c r="B66" i="10"/>
  <c r="B65" i="10"/>
  <c r="B64" i="10"/>
  <c r="B63" i="10"/>
  <c r="B62" i="10"/>
  <c r="B61" i="10"/>
  <c r="B60" i="10"/>
  <c r="B59" i="10"/>
  <c r="B58" i="10"/>
  <c r="B57" i="10"/>
  <c r="H55" i="10"/>
  <c r="G55" i="10"/>
  <c r="F55" i="10"/>
  <c r="E55" i="10"/>
  <c r="D55" i="10"/>
  <c r="B54" i="10"/>
  <c r="B53" i="10"/>
  <c r="B52" i="10"/>
  <c r="B51" i="10"/>
  <c r="B50" i="10"/>
  <c r="B49" i="10"/>
  <c r="B48" i="10"/>
  <c r="B47" i="10"/>
  <c r="B46" i="10"/>
  <c r="B45" i="10"/>
  <c r="B44" i="10"/>
  <c r="B43" i="10"/>
  <c r="B42" i="10"/>
  <c r="B41" i="10"/>
  <c r="B40" i="10"/>
  <c r="B33" i="10"/>
  <c r="B32" i="10"/>
  <c r="B29" i="10"/>
  <c r="B28" i="10"/>
  <c r="B27" i="10"/>
  <c r="H26" i="10"/>
  <c r="H34" i="10" s="1"/>
  <c r="G26" i="10"/>
  <c r="G34" i="10" s="1"/>
  <c r="F26" i="10"/>
  <c r="F34" i="10" s="1"/>
  <c r="E26" i="10"/>
  <c r="E34" i="10" s="1"/>
  <c r="D26" i="10"/>
  <c r="D34" i="10" s="1"/>
  <c r="B26" i="10"/>
  <c r="B25" i="10"/>
  <c r="B24" i="10"/>
  <c r="H23" i="10"/>
  <c r="G23" i="10"/>
  <c r="F23" i="10"/>
  <c r="E23" i="10"/>
  <c r="D23" i="10"/>
  <c r="B23" i="10"/>
  <c r="B22" i="10"/>
  <c r="B21" i="10"/>
  <c r="B20" i="10"/>
  <c r="B19" i="10"/>
  <c r="B18" i="10"/>
  <c r="B17" i="10"/>
  <c r="B16" i="10"/>
  <c r="B15" i="10"/>
  <c r="H14" i="10"/>
  <c r="G14" i="10"/>
  <c r="F14" i="10"/>
  <c r="E14" i="10"/>
  <c r="D14" i="10"/>
  <c r="B14" i="10"/>
  <c r="B13" i="10"/>
  <c r="B12" i="10"/>
  <c r="B11" i="10"/>
  <c r="E76" i="39" l="1"/>
  <c r="F76" i="39"/>
  <c r="H80" i="39"/>
  <c r="G76" i="39"/>
  <c r="H31" i="10"/>
  <c r="H76" i="39"/>
  <c r="F77" i="39"/>
  <c r="G77" i="39"/>
  <c r="D76" i="39"/>
  <c r="J7" i="39"/>
  <c r="J8" i="39" s="1"/>
  <c r="I7" i="39"/>
  <c r="I8" i="39" s="1"/>
  <c r="M7" i="39"/>
  <c r="M8" i="39" s="1"/>
  <c r="N7" i="39"/>
  <c r="N8" i="39" s="1"/>
  <c r="L7" i="39"/>
  <c r="L8" i="39" s="1"/>
  <c r="K7" i="39"/>
  <c r="K8" i="39" s="1"/>
  <c r="F400" i="10"/>
  <c r="D30" i="10"/>
  <c r="G31" i="10"/>
  <c r="D400" i="10"/>
  <c r="E400" i="10"/>
  <c r="F31" i="10"/>
  <c r="F84" i="10"/>
  <c r="F91" i="10" s="1"/>
  <c r="F99" i="10" s="1"/>
  <c r="F101" i="10" s="1"/>
  <c r="F144" i="10"/>
  <c r="G84" i="10"/>
  <c r="G91" i="10" s="1"/>
  <c r="G99" i="10" s="1"/>
  <c r="G101" i="10" s="1"/>
  <c r="G144" i="10"/>
  <c r="H144" i="10"/>
  <c r="D31" i="10"/>
  <c r="G400" i="10"/>
  <c r="E31" i="10"/>
  <c r="H103" i="10"/>
  <c r="H118" i="10" s="1"/>
  <c r="H91" i="10"/>
  <c r="H99" i="10" s="1"/>
  <c r="H101" i="10" s="1"/>
  <c r="E84" i="10"/>
  <c r="E103" i="10" s="1"/>
  <c r="E118" i="10" s="1"/>
  <c r="D154" i="10"/>
  <c r="D157" i="10" s="1"/>
  <c r="D159" i="10" s="1"/>
  <c r="E154" i="10"/>
  <c r="E157" i="10" s="1"/>
  <c r="E159" i="10" s="1"/>
  <c r="F154" i="10"/>
  <c r="F157" i="10" s="1"/>
  <c r="F159" i="10" s="1"/>
  <c r="G154" i="10"/>
  <c r="G157" i="10" s="1"/>
  <c r="G159" i="10" s="1"/>
  <c r="D351" i="10"/>
  <c r="H154" i="10"/>
  <c r="H157" i="10" s="1"/>
  <c r="H159" i="10" s="1"/>
  <c r="E144" i="10"/>
  <c r="E30" i="10"/>
  <c r="F30" i="10"/>
  <c r="D84" i="10"/>
  <c r="D103" i="10" s="1"/>
  <c r="D118" i="10" s="1"/>
  <c r="E368" i="10"/>
  <c r="F364" i="10"/>
  <c r="F344" i="10"/>
  <c r="E351" i="10"/>
  <c r="G30" i="10"/>
  <c r="D368" i="10"/>
  <c r="H30" i="10"/>
  <c r="E91" i="10" l="1"/>
  <c r="E99" i="10" s="1"/>
  <c r="E101" i="10" s="1"/>
  <c r="F78" i="39"/>
  <c r="F351" i="39"/>
  <c r="D78" i="39"/>
  <c r="D351" i="39"/>
  <c r="F392" i="39"/>
  <c r="F394" i="39"/>
  <c r="H78" i="39"/>
  <c r="H351" i="39"/>
  <c r="D91" i="10"/>
  <c r="D99" i="10" s="1"/>
  <c r="D101" i="10" s="1"/>
  <c r="G392" i="39"/>
  <c r="G394" i="39"/>
  <c r="C394" i="39" s="1" a="1"/>
  <c r="C394" i="39" s="1"/>
  <c r="E351" i="39"/>
  <c r="E78" i="39"/>
  <c r="G78" i="39"/>
  <c r="G351" i="39"/>
  <c r="G103" i="10"/>
  <c r="G118" i="10" s="1"/>
  <c r="F103" i="10"/>
  <c r="F118" i="10" s="1"/>
  <c r="F351" i="10"/>
  <c r="G344" i="10"/>
  <c r="F368" i="10"/>
  <c r="G364" i="10"/>
  <c r="E333" i="10"/>
  <c r="Q53" i="9"/>
  <c r="J53" i="9"/>
  <c r="C53" i="9"/>
  <c r="D59" i="9"/>
  <c r="E59" i="9" s="1"/>
  <c r="D58" i="9"/>
  <c r="E58" i="9" s="1"/>
  <c r="D57" i="9"/>
  <c r="E57" i="9" s="1"/>
  <c r="D56" i="9"/>
  <c r="E56" i="9" s="1"/>
  <c r="F395" i="39" l="1"/>
  <c r="F397" i="39" s="1"/>
  <c r="F398" i="39" s="1"/>
  <c r="E81" i="39"/>
  <c r="E82" i="39" s="1"/>
  <c r="E83" i="39" s="1"/>
  <c r="D81" i="39"/>
  <c r="D82" i="39" s="1"/>
  <c r="D83" i="39" s="1"/>
  <c r="G395" i="39"/>
  <c r="G397" i="39" s="1"/>
  <c r="G398" i="39" s="1"/>
  <c r="F81" i="39"/>
  <c r="F82" i="39" s="1"/>
  <c r="F83" i="39" s="1"/>
  <c r="H81" i="39"/>
  <c r="H82" i="39" s="1"/>
  <c r="H83" i="39" s="1"/>
  <c r="G81" i="39"/>
  <c r="G82" i="39" s="1"/>
  <c r="G83" i="39" s="1"/>
  <c r="D353" i="39"/>
  <c r="D354" i="39" s="1"/>
  <c r="D367" i="39"/>
  <c r="D368" i="39" s="1"/>
  <c r="D369" i="39" s="1"/>
  <c r="D372" i="39" s="1"/>
  <c r="D373" i="39" s="1"/>
  <c r="D358" i="39"/>
  <c r="D359" i="39" s="1"/>
  <c r="D360" i="39" s="1"/>
  <c r="D363" i="39" s="1"/>
  <c r="D364" i="39" s="1"/>
  <c r="D345" i="39"/>
  <c r="D346" i="39" s="1"/>
  <c r="D347" i="39" s="1"/>
  <c r="F358" i="39"/>
  <c r="F359" i="39" s="1"/>
  <c r="F360" i="39" s="1"/>
  <c r="F363" i="39" s="1"/>
  <c r="F364" i="39" s="1"/>
  <c r="F367" i="39"/>
  <c r="F368" i="39" s="1"/>
  <c r="F369" i="39" s="1"/>
  <c r="F372" i="39" s="1"/>
  <c r="F373" i="39" s="1"/>
  <c r="F353" i="39"/>
  <c r="F354" i="39" s="1"/>
  <c r="F345" i="39"/>
  <c r="F346" i="39" s="1"/>
  <c r="F347" i="39" s="1"/>
  <c r="H345" i="39"/>
  <c r="H346" i="39" s="1"/>
  <c r="H347" i="39" s="1"/>
  <c r="H367" i="39"/>
  <c r="H368" i="39" s="1"/>
  <c r="H369" i="39" s="1"/>
  <c r="H372" i="39" s="1"/>
  <c r="H373" i="39" s="1"/>
  <c r="H358" i="39"/>
  <c r="H359" i="39" s="1"/>
  <c r="H360" i="39" s="1"/>
  <c r="H363" i="39" s="1"/>
  <c r="H364" i="39" s="1"/>
  <c r="H353" i="39"/>
  <c r="H354" i="39" s="1"/>
  <c r="G367" i="39"/>
  <c r="G368" i="39" s="1"/>
  <c r="G369" i="39" s="1"/>
  <c r="G372" i="39" s="1"/>
  <c r="G373" i="39" s="1"/>
  <c r="G353" i="39"/>
  <c r="G354" i="39" s="1"/>
  <c r="G345" i="39"/>
  <c r="G346" i="39" s="1"/>
  <c r="G347" i="39" s="1"/>
  <c r="G358" i="39"/>
  <c r="G359" i="39" s="1"/>
  <c r="G360" i="39" s="1"/>
  <c r="G363" i="39" s="1"/>
  <c r="G364" i="39" s="1"/>
  <c r="E345" i="39"/>
  <c r="E346" i="39" s="1"/>
  <c r="E347" i="39" s="1"/>
  <c r="E367" i="39"/>
  <c r="E368" i="39" s="1"/>
  <c r="E369" i="39" s="1"/>
  <c r="E372" i="39" s="1"/>
  <c r="E373" i="39" s="1"/>
  <c r="E353" i="39"/>
  <c r="E354" i="39" s="1"/>
  <c r="E358" i="39"/>
  <c r="E359" i="39" s="1"/>
  <c r="E360" i="39" s="1"/>
  <c r="E363" i="39" s="1"/>
  <c r="E364" i="39" s="1"/>
  <c r="G351" i="10"/>
  <c r="H344" i="10"/>
  <c r="I344" i="10" s="1"/>
  <c r="F333" i="10"/>
  <c r="G368" i="10"/>
  <c r="H364" i="10"/>
  <c r="I364" i="10" s="1"/>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D56" i="39" l="1"/>
  <c r="D58" i="39" s="1"/>
  <c r="H63" i="39"/>
  <c r="H65" i="39" s="1"/>
  <c r="H66" i="39" s="1"/>
  <c r="F63" i="39"/>
  <c r="F65" i="39" s="1"/>
  <c r="F66" i="39" s="1"/>
  <c r="E63" i="39"/>
  <c r="E65" i="39" s="1"/>
  <c r="E66" i="39" s="1"/>
  <c r="G63" i="39"/>
  <c r="G65" i="39" s="1"/>
  <c r="G66" i="39" s="1"/>
  <c r="D63" i="39"/>
  <c r="D65" i="39" s="1"/>
  <c r="D66" i="39" s="1"/>
  <c r="E56" i="39"/>
  <c r="E58" i="39" s="1"/>
  <c r="F56" i="39"/>
  <c r="F58" i="39" s="1"/>
  <c r="G56" i="39"/>
  <c r="G58" i="39" s="1"/>
  <c r="H56" i="39"/>
  <c r="H58" i="39" s="1"/>
  <c r="I351" i="10"/>
  <c r="J344" i="10"/>
  <c r="I368" i="10"/>
  <c r="J364" i="10"/>
  <c r="H351" i="10"/>
  <c r="H368" i="10"/>
  <c r="G333" i="10"/>
  <c r="U13" i="2"/>
  <c r="U12" i="2"/>
  <c r="F60" i="39" l="1"/>
  <c r="F7" i="39"/>
  <c r="F8" i="39" s="1"/>
  <c r="E60" i="39"/>
  <c r="E7" i="39"/>
  <c r="E8" i="39" s="1"/>
  <c r="H60" i="39"/>
  <c r="H7" i="39"/>
  <c r="H8" i="39" s="1"/>
  <c r="G61" i="39"/>
  <c r="G7" i="39"/>
  <c r="G8" i="39" s="1"/>
  <c r="D61" i="39"/>
  <c r="E61" i="39"/>
  <c r="D60" i="39"/>
  <c r="D7" i="39" s="1"/>
  <c r="D8" i="39" s="1"/>
  <c r="H61" i="39"/>
  <c r="G60" i="39"/>
  <c r="F61" i="39"/>
  <c r="K344" i="10"/>
  <c r="J351" i="10"/>
  <c r="K364" i="10"/>
  <c r="J368" i="10"/>
  <c r="H333" i="10"/>
  <c r="U8" i="2"/>
  <c r="V8" i="2"/>
  <c r="W8" i="2"/>
  <c r="X8" i="2"/>
  <c r="C15" i="2"/>
  <c r="D15" i="2"/>
  <c r="E15" i="2"/>
  <c r="F15" i="2"/>
  <c r="G15" i="2"/>
  <c r="H15" i="2"/>
  <c r="I15" i="2"/>
  <c r="J15" i="2"/>
  <c r="K15" i="2"/>
  <c r="L15" i="2"/>
  <c r="M15" i="2"/>
  <c r="N15" i="2"/>
  <c r="O15" i="2"/>
  <c r="P15" i="2"/>
  <c r="Q15" i="2"/>
  <c r="R15" i="2"/>
  <c r="C16" i="2"/>
  <c r="D16" i="2"/>
  <c r="E16" i="2"/>
  <c r="F16" i="2"/>
  <c r="G16" i="2"/>
  <c r="H16" i="2"/>
  <c r="I16" i="2"/>
  <c r="J16" i="2"/>
  <c r="K16" i="2"/>
  <c r="L16" i="2"/>
  <c r="M16" i="2"/>
  <c r="N16" i="2"/>
  <c r="O16" i="2"/>
  <c r="P16" i="2"/>
  <c r="Q16" i="2"/>
  <c r="R16" i="2"/>
  <c r="C17" i="2"/>
  <c r="D17" i="2"/>
  <c r="E17" i="2"/>
  <c r="F17" i="2"/>
  <c r="G17" i="2"/>
  <c r="H17" i="2"/>
  <c r="I17" i="2"/>
  <c r="J17" i="2"/>
  <c r="K17" i="2"/>
  <c r="L17" i="2"/>
  <c r="M17" i="2"/>
  <c r="N17" i="2"/>
  <c r="O17" i="2"/>
  <c r="P17" i="2"/>
  <c r="Q17" i="2"/>
  <c r="R17" i="2"/>
  <c r="C18" i="2"/>
  <c r="D18" i="2"/>
  <c r="E18" i="2"/>
  <c r="F18" i="2"/>
  <c r="G18" i="2"/>
  <c r="H18" i="2"/>
  <c r="I18" i="2"/>
  <c r="J18" i="2"/>
  <c r="K18" i="2"/>
  <c r="L18" i="2"/>
  <c r="M18" i="2"/>
  <c r="N18" i="2"/>
  <c r="O18" i="2"/>
  <c r="P18" i="2"/>
  <c r="Q18" i="2"/>
  <c r="R18" i="2"/>
  <c r="C19" i="2"/>
  <c r="D19" i="2"/>
  <c r="E19" i="2"/>
  <c r="F19" i="2"/>
  <c r="G19" i="2"/>
  <c r="H19" i="2"/>
  <c r="I19" i="2"/>
  <c r="J19" i="2"/>
  <c r="K19" i="2"/>
  <c r="L19" i="2"/>
  <c r="M19" i="2"/>
  <c r="N19" i="2"/>
  <c r="O19" i="2"/>
  <c r="P19" i="2"/>
  <c r="Q19" i="2"/>
  <c r="R19" i="2"/>
  <c r="C20" i="2"/>
  <c r="D20" i="2"/>
  <c r="E20" i="2"/>
  <c r="F20" i="2"/>
  <c r="G20" i="2"/>
  <c r="H20" i="2"/>
  <c r="I20" i="2"/>
  <c r="J20" i="2"/>
  <c r="K20" i="2"/>
  <c r="L20" i="2"/>
  <c r="M20" i="2"/>
  <c r="N20" i="2"/>
  <c r="O20" i="2"/>
  <c r="P20" i="2"/>
  <c r="Q20" i="2"/>
  <c r="R20" i="2"/>
  <c r="C21" i="2"/>
  <c r="D21" i="2"/>
  <c r="E21" i="2"/>
  <c r="F21" i="2"/>
  <c r="G21" i="2"/>
  <c r="H21" i="2"/>
  <c r="I21" i="2"/>
  <c r="J21" i="2"/>
  <c r="K21" i="2"/>
  <c r="L21" i="2"/>
  <c r="M21" i="2"/>
  <c r="N21" i="2"/>
  <c r="O21" i="2"/>
  <c r="P21" i="2"/>
  <c r="Q21" i="2"/>
  <c r="R21" i="2"/>
  <c r="C22" i="2"/>
  <c r="D22" i="2"/>
  <c r="E22" i="2"/>
  <c r="F22" i="2"/>
  <c r="G22" i="2"/>
  <c r="H22" i="2"/>
  <c r="I22" i="2"/>
  <c r="J22" i="2"/>
  <c r="K22" i="2"/>
  <c r="L22" i="2"/>
  <c r="M22" i="2"/>
  <c r="N22" i="2"/>
  <c r="O22" i="2"/>
  <c r="P22" i="2"/>
  <c r="Q22" i="2"/>
  <c r="R22" i="2"/>
  <c r="C23" i="2"/>
  <c r="D23" i="2"/>
  <c r="E23" i="2"/>
  <c r="F23" i="2"/>
  <c r="G23" i="2"/>
  <c r="H23" i="2"/>
  <c r="I23" i="2"/>
  <c r="J23" i="2"/>
  <c r="K23" i="2"/>
  <c r="L23" i="2"/>
  <c r="M23" i="2"/>
  <c r="N23" i="2"/>
  <c r="O23" i="2"/>
  <c r="P23" i="2"/>
  <c r="Q23" i="2"/>
  <c r="R23" i="2"/>
  <c r="C24" i="2"/>
  <c r="D24" i="2"/>
  <c r="E24" i="2"/>
  <c r="F24" i="2"/>
  <c r="G24" i="2"/>
  <c r="H24" i="2"/>
  <c r="I24" i="2"/>
  <c r="J24" i="2"/>
  <c r="K24" i="2"/>
  <c r="L24" i="2"/>
  <c r="M24" i="2"/>
  <c r="N24" i="2"/>
  <c r="O24" i="2"/>
  <c r="P24" i="2"/>
  <c r="Q24" i="2"/>
  <c r="R24" i="2"/>
  <c r="C25" i="2"/>
  <c r="D25" i="2"/>
  <c r="E25" i="2"/>
  <c r="F25" i="2"/>
  <c r="G25" i="2"/>
  <c r="H25" i="2"/>
  <c r="I25" i="2"/>
  <c r="J25" i="2"/>
  <c r="K25" i="2"/>
  <c r="L25" i="2"/>
  <c r="M25" i="2"/>
  <c r="N25" i="2"/>
  <c r="O25" i="2"/>
  <c r="P25" i="2"/>
  <c r="Q25" i="2"/>
  <c r="R25" i="2"/>
  <c r="C26" i="2"/>
  <c r="D26" i="2"/>
  <c r="E26" i="2"/>
  <c r="F26" i="2"/>
  <c r="G26" i="2"/>
  <c r="H26" i="2"/>
  <c r="I26" i="2"/>
  <c r="J26" i="2"/>
  <c r="K26" i="2"/>
  <c r="L26" i="2"/>
  <c r="M26" i="2"/>
  <c r="N26" i="2"/>
  <c r="O26" i="2"/>
  <c r="P26" i="2"/>
  <c r="Q26" i="2"/>
  <c r="R26" i="2"/>
  <c r="C27" i="2"/>
  <c r="D27" i="2"/>
  <c r="E27" i="2"/>
  <c r="F27" i="2"/>
  <c r="G27" i="2"/>
  <c r="H27" i="2"/>
  <c r="I27" i="2"/>
  <c r="J27" i="2"/>
  <c r="K27" i="2"/>
  <c r="L27" i="2"/>
  <c r="M27" i="2"/>
  <c r="N27" i="2"/>
  <c r="O27" i="2"/>
  <c r="P27" i="2"/>
  <c r="Q27" i="2"/>
  <c r="R27" i="2"/>
  <c r="C28" i="2"/>
  <c r="D28" i="2"/>
  <c r="E28" i="2"/>
  <c r="F28" i="2"/>
  <c r="G28" i="2"/>
  <c r="H28" i="2"/>
  <c r="I28" i="2"/>
  <c r="J28" i="2"/>
  <c r="K28" i="2"/>
  <c r="L28" i="2"/>
  <c r="M28" i="2"/>
  <c r="N28" i="2"/>
  <c r="O28" i="2"/>
  <c r="P28" i="2"/>
  <c r="Q28" i="2"/>
  <c r="R28" i="2"/>
  <c r="C29" i="2"/>
  <c r="D29" i="2"/>
  <c r="E29" i="2"/>
  <c r="F29" i="2"/>
  <c r="G29" i="2"/>
  <c r="H29" i="2"/>
  <c r="I29" i="2"/>
  <c r="J29" i="2"/>
  <c r="K29" i="2"/>
  <c r="L29" i="2"/>
  <c r="M29" i="2"/>
  <c r="N29" i="2"/>
  <c r="O29" i="2"/>
  <c r="P29" i="2"/>
  <c r="Q29" i="2"/>
  <c r="R29" i="2"/>
  <c r="C30" i="2"/>
  <c r="D30" i="2"/>
  <c r="E30" i="2"/>
  <c r="F30" i="2"/>
  <c r="G30" i="2"/>
  <c r="H30" i="2"/>
  <c r="I30" i="2"/>
  <c r="J30" i="2"/>
  <c r="K30" i="2"/>
  <c r="L30" i="2"/>
  <c r="M30" i="2"/>
  <c r="N30" i="2"/>
  <c r="O30" i="2"/>
  <c r="P30" i="2"/>
  <c r="Q30" i="2"/>
  <c r="R30" i="2"/>
  <c r="C31" i="2"/>
  <c r="D31" i="2"/>
  <c r="E31" i="2"/>
  <c r="F31" i="2"/>
  <c r="G31" i="2"/>
  <c r="H31" i="2"/>
  <c r="I31" i="2"/>
  <c r="J31" i="2"/>
  <c r="K31" i="2"/>
  <c r="L31" i="2"/>
  <c r="M31" i="2"/>
  <c r="N31" i="2"/>
  <c r="O31" i="2"/>
  <c r="P31" i="2"/>
  <c r="Q31" i="2"/>
  <c r="R31" i="2"/>
  <c r="C32" i="2"/>
  <c r="D32" i="2"/>
  <c r="E32" i="2"/>
  <c r="F32" i="2"/>
  <c r="G32" i="2"/>
  <c r="H32" i="2"/>
  <c r="I32" i="2"/>
  <c r="J32" i="2"/>
  <c r="K32" i="2"/>
  <c r="L32" i="2"/>
  <c r="M32" i="2"/>
  <c r="N32" i="2"/>
  <c r="O32" i="2"/>
  <c r="P32" i="2"/>
  <c r="Q32" i="2"/>
  <c r="R32" i="2"/>
  <c r="C33" i="2"/>
  <c r="D33" i="2"/>
  <c r="E33" i="2"/>
  <c r="F33" i="2"/>
  <c r="G33" i="2"/>
  <c r="H33" i="2"/>
  <c r="I33" i="2"/>
  <c r="J33" i="2"/>
  <c r="K33" i="2"/>
  <c r="L33" i="2"/>
  <c r="M33" i="2"/>
  <c r="N33" i="2"/>
  <c r="O33" i="2"/>
  <c r="P33" i="2"/>
  <c r="Q33" i="2"/>
  <c r="R33" i="2"/>
  <c r="C34" i="2"/>
  <c r="D34" i="2"/>
  <c r="E34" i="2"/>
  <c r="F34" i="2"/>
  <c r="G34" i="2"/>
  <c r="H34" i="2"/>
  <c r="I34" i="2"/>
  <c r="J34" i="2"/>
  <c r="K34" i="2"/>
  <c r="L34" i="2"/>
  <c r="M34" i="2"/>
  <c r="N34" i="2"/>
  <c r="O34" i="2"/>
  <c r="P34" i="2"/>
  <c r="Q34" i="2"/>
  <c r="R34" i="2"/>
  <c r="C35" i="2"/>
  <c r="D35" i="2"/>
  <c r="E35" i="2"/>
  <c r="F35" i="2"/>
  <c r="G35" i="2"/>
  <c r="H35" i="2"/>
  <c r="I35" i="2"/>
  <c r="J35" i="2"/>
  <c r="K35" i="2"/>
  <c r="L35" i="2"/>
  <c r="M35" i="2"/>
  <c r="N35" i="2"/>
  <c r="O35" i="2"/>
  <c r="P35" i="2"/>
  <c r="Q35" i="2"/>
  <c r="R35" i="2"/>
  <c r="C36" i="2"/>
  <c r="D36" i="2"/>
  <c r="E36" i="2"/>
  <c r="F36" i="2"/>
  <c r="G36" i="2"/>
  <c r="H36" i="2"/>
  <c r="I36" i="2"/>
  <c r="J36" i="2"/>
  <c r="K36" i="2"/>
  <c r="L36" i="2"/>
  <c r="M36" i="2"/>
  <c r="N36" i="2"/>
  <c r="O36" i="2"/>
  <c r="P36" i="2"/>
  <c r="Q36" i="2"/>
  <c r="R36" i="2"/>
  <c r="C37" i="2"/>
  <c r="D37" i="2"/>
  <c r="E37" i="2"/>
  <c r="F37" i="2"/>
  <c r="G37" i="2"/>
  <c r="H37" i="2"/>
  <c r="I37" i="2"/>
  <c r="J37" i="2"/>
  <c r="K37" i="2"/>
  <c r="L37" i="2"/>
  <c r="M37" i="2"/>
  <c r="N37" i="2"/>
  <c r="O37" i="2"/>
  <c r="P37" i="2"/>
  <c r="Q37" i="2"/>
  <c r="R37" i="2"/>
  <c r="C38" i="2"/>
  <c r="D38" i="2"/>
  <c r="E38" i="2"/>
  <c r="F38" i="2"/>
  <c r="G38" i="2"/>
  <c r="H38" i="2"/>
  <c r="I38" i="2"/>
  <c r="J38" i="2"/>
  <c r="K38" i="2"/>
  <c r="L38" i="2"/>
  <c r="M38" i="2"/>
  <c r="N38" i="2"/>
  <c r="O38" i="2"/>
  <c r="P38" i="2"/>
  <c r="Q38" i="2"/>
  <c r="R38" i="2"/>
  <c r="C39" i="2"/>
  <c r="D39" i="2"/>
  <c r="E39" i="2"/>
  <c r="F39" i="2"/>
  <c r="G39" i="2"/>
  <c r="H39" i="2"/>
  <c r="I39" i="2"/>
  <c r="J39" i="2"/>
  <c r="K39" i="2"/>
  <c r="L39" i="2"/>
  <c r="M39" i="2"/>
  <c r="N39" i="2"/>
  <c r="O39" i="2"/>
  <c r="P39" i="2"/>
  <c r="Q39" i="2"/>
  <c r="R39" i="2"/>
  <c r="C40" i="2"/>
  <c r="D40" i="2"/>
  <c r="E40" i="2"/>
  <c r="F40" i="2"/>
  <c r="G40" i="2"/>
  <c r="H40" i="2"/>
  <c r="I40" i="2"/>
  <c r="J40" i="2"/>
  <c r="K40" i="2"/>
  <c r="L40" i="2"/>
  <c r="M40" i="2"/>
  <c r="N40" i="2"/>
  <c r="O40" i="2"/>
  <c r="P40" i="2"/>
  <c r="Q40" i="2"/>
  <c r="R40" i="2"/>
  <c r="C41" i="2"/>
  <c r="D41" i="2"/>
  <c r="E41" i="2"/>
  <c r="F41" i="2"/>
  <c r="G41" i="2"/>
  <c r="H41" i="2"/>
  <c r="I41" i="2"/>
  <c r="J41" i="2"/>
  <c r="K41" i="2"/>
  <c r="L41" i="2"/>
  <c r="M41" i="2"/>
  <c r="N41" i="2"/>
  <c r="O41" i="2"/>
  <c r="P41" i="2"/>
  <c r="Q41" i="2"/>
  <c r="R41" i="2"/>
  <c r="C42" i="2"/>
  <c r="D42" i="2"/>
  <c r="E42" i="2"/>
  <c r="F42" i="2"/>
  <c r="G42" i="2"/>
  <c r="H42" i="2"/>
  <c r="I42" i="2"/>
  <c r="J42" i="2"/>
  <c r="K42" i="2"/>
  <c r="L42" i="2"/>
  <c r="M42" i="2"/>
  <c r="N42" i="2"/>
  <c r="O42" i="2"/>
  <c r="P42" i="2"/>
  <c r="Q42" i="2"/>
  <c r="R42" i="2"/>
  <c r="C43" i="2"/>
  <c r="D43" i="2"/>
  <c r="E43" i="2"/>
  <c r="F43" i="2"/>
  <c r="G43" i="2"/>
  <c r="H43" i="2"/>
  <c r="I43" i="2"/>
  <c r="J43" i="2"/>
  <c r="K43" i="2"/>
  <c r="L43" i="2"/>
  <c r="M43" i="2"/>
  <c r="N43" i="2"/>
  <c r="O43" i="2"/>
  <c r="P43" i="2"/>
  <c r="Q43" i="2"/>
  <c r="R43" i="2"/>
  <c r="C44" i="2"/>
  <c r="D44" i="2"/>
  <c r="E44" i="2"/>
  <c r="F44" i="2"/>
  <c r="G44" i="2"/>
  <c r="H44" i="2"/>
  <c r="I44" i="2"/>
  <c r="J44" i="2"/>
  <c r="K44" i="2"/>
  <c r="L44" i="2"/>
  <c r="M44" i="2"/>
  <c r="N44" i="2"/>
  <c r="O44" i="2"/>
  <c r="P44" i="2"/>
  <c r="Q44" i="2"/>
  <c r="R44" i="2"/>
  <c r="C45" i="2"/>
  <c r="D45" i="2"/>
  <c r="E45" i="2"/>
  <c r="F45" i="2"/>
  <c r="G45" i="2"/>
  <c r="H45" i="2"/>
  <c r="I45" i="2"/>
  <c r="J45" i="2"/>
  <c r="K45" i="2"/>
  <c r="L45" i="2"/>
  <c r="M45" i="2"/>
  <c r="N45" i="2"/>
  <c r="O45" i="2"/>
  <c r="P45" i="2"/>
  <c r="Q45" i="2"/>
  <c r="R45" i="2"/>
  <c r="C46" i="2"/>
  <c r="D46" i="2"/>
  <c r="E46" i="2"/>
  <c r="F46" i="2"/>
  <c r="G46" i="2"/>
  <c r="H46" i="2"/>
  <c r="I46" i="2"/>
  <c r="J46" i="2"/>
  <c r="K46" i="2"/>
  <c r="L46" i="2"/>
  <c r="M46" i="2"/>
  <c r="N46" i="2"/>
  <c r="O46" i="2"/>
  <c r="P46" i="2"/>
  <c r="Q46" i="2"/>
  <c r="R46" i="2"/>
  <c r="C47" i="2"/>
  <c r="D47" i="2"/>
  <c r="E47" i="2"/>
  <c r="F47" i="2"/>
  <c r="G47" i="2"/>
  <c r="H47" i="2"/>
  <c r="I47" i="2"/>
  <c r="J47" i="2"/>
  <c r="K47" i="2"/>
  <c r="L47" i="2"/>
  <c r="M47" i="2"/>
  <c r="N47" i="2"/>
  <c r="O47" i="2"/>
  <c r="P47" i="2"/>
  <c r="Q47" i="2"/>
  <c r="R47" i="2"/>
  <c r="C48" i="2"/>
  <c r="D48" i="2"/>
  <c r="E48" i="2"/>
  <c r="F48" i="2"/>
  <c r="G48" i="2"/>
  <c r="H48" i="2"/>
  <c r="I48" i="2"/>
  <c r="J48" i="2"/>
  <c r="K48" i="2"/>
  <c r="L48" i="2"/>
  <c r="M48" i="2"/>
  <c r="N48" i="2"/>
  <c r="O48" i="2"/>
  <c r="P48" i="2"/>
  <c r="Q48" i="2"/>
  <c r="R48" i="2"/>
  <c r="C49" i="2"/>
  <c r="D49" i="2"/>
  <c r="E49" i="2"/>
  <c r="F49" i="2"/>
  <c r="G49" i="2"/>
  <c r="H49" i="2"/>
  <c r="I49" i="2"/>
  <c r="J49" i="2"/>
  <c r="K49" i="2"/>
  <c r="L49" i="2"/>
  <c r="M49" i="2"/>
  <c r="N49" i="2"/>
  <c r="O49" i="2"/>
  <c r="P49" i="2"/>
  <c r="Q49" i="2"/>
  <c r="R49" i="2"/>
  <c r="C50" i="2"/>
  <c r="D50" i="2"/>
  <c r="E50" i="2"/>
  <c r="F50" i="2"/>
  <c r="G50" i="2"/>
  <c r="H50" i="2"/>
  <c r="I50" i="2"/>
  <c r="J50" i="2"/>
  <c r="K50" i="2"/>
  <c r="L50" i="2"/>
  <c r="M50" i="2"/>
  <c r="N50" i="2"/>
  <c r="O50" i="2"/>
  <c r="P50" i="2"/>
  <c r="Q50" i="2"/>
  <c r="R50" i="2"/>
  <c r="C51" i="2"/>
  <c r="D51" i="2"/>
  <c r="E51" i="2"/>
  <c r="F51" i="2"/>
  <c r="G51" i="2"/>
  <c r="H51" i="2"/>
  <c r="I51" i="2"/>
  <c r="J51" i="2"/>
  <c r="K51" i="2"/>
  <c r="L51" i="2"/>
  <c r="M51" i="2"/>
  <c r="N51" i="2"/>
  <c r="O51" i="2"/>
  <c r="P51" i="2"/>
  <c r="Q51" i="2"/>
  <c r="R51" i="2"/>
  <c r="C52" i="2"/>
  <c r="D52" i="2"/>
  <c r="E52" i="2"/>
  <c r="F52" i="2"/>
  <c r="G52" i="2"/>
  <c r="H52" i="2"/>
  <c r="I52" i="2"/>
  <c r="J52" i="2"/>
  <c r="K52" i="2"/>
  <c r="L52" i="2"/>
  <c r="M52" i="2"/>
  <c r="N52" i="2"/>
  <c r="O52" i="2"/>
  <c r="P52" i="2"/>
  <c r="Q52" i="2"/>
  <c r="R52" i="2"/>
  <c r="C53" i="2"/>
  <c r="D53" i="2"/>
  <c r="E53" i="2"/>
  <c r="F53" i="2"/>
  <c r="G53" i="2"/>
  <c r="H53" i="2"/>
  <c r="I53" i="2"/>
  <c r="J53" i="2"/>
  <c r="K53" i="2"/>
  <c r="L53" i="2"/>
  <c r="M53" i="2"/>
  <c r="N53" i="2"/>
  <c r="O53" i="2"/>
  <c r="P53" i="2"/>
  <c r="Q53" i="2"/>
  <c r="R53" i="2"/>
  <c r="C54" i="2"/>
  <c r="D54" i="2"/>
  <c r="E54" i="2"/>
  <c r="F54" i="2"/>
  <c r="G54" i="2"/>
  <c r="H54" i="2"/>
  <c r="I54" i="2"/>
  <c r="J54" i="2"/>
  <c r="K54" i="2"/>
  <c r="L54" i="2"/>
  <c r="M54" i="2"/>
  <c r="N54" i="2"/>
  <c r="O54" i="2"/>
  <c r="P54" i="2"/>
  <c r="Q54" i="2"/>
  <c r="R54" i="2"/>
  <c r="C55" i="2"/>
  <c r="D55" i="2"/>
  <c r="E55" i="2"/>
  <c r="F55" i="2"/>
  <c r="G55" i="2"/>
  <c r="H55" i="2"/>
  <c r="I55" i="2"/>
  <c r="J55" i="2"/>
  <c r="K55" i="2"/>
  <c r="L55" i="2"/>
  <c r="M55" i="2"/>
  <c r="N55" i="2"/>
  <c r="O55" i="2"/>
  <c r="P55" i="2"/>
  <c r="Q55" i="2"/>
  <c r="R55" i="2"/>
  <c r="C56" i="2"/>
  <c r="D56" i="2"/>
  <c r="E56" i="2"/>
  <c r="F56" i="2"/>
  <c r="G56" i="2"/>
  <c r="H56" i="2"/>
  <c r="I56" i="2"/>
  <c r="J56" i="2"/>
  <c r="K56" i="2"/>
  <c r="L56" i="2"/>
  <c r="M56" i="2"/>
  <c r="N56" i="2"/>
  <c r="O56" i="2"/>
  <c r="P56" i="2"/>
  <c r="Q56" i="2"/>
  <c r="R56" i="2"/>
  <c r="C57" i="2"/>
  <c r="D57" i="2"/>
  <c r="E57" i="2"/>
  <c r="F57" i="2"/>
  <c r="G57" i="2"/>
  <c r="H57" i="2"/>
  <c r="I57" i="2"/>
  <c r="J57" i="2"/>
  <c r="K57" i="2"/>
  <c r="L57" i="2"/>
  <c r="M57" i="2"/>
  <c r="N57" i="2"/>
  <c r="O57" i="2"/>
  <c r="P57" i="2"/>
  <c r="Q57" i="2"/>
  <c r="R57" i="2"/>
  <c r="C58" i="2"/>
  <c r="D58" i="2"/>
  <c r="E58" i="2"/>
  <c r="F58" i="2"/>
  <c r="G58" i="2"/>
  <c r="H58" i="2"/>
  <c r="I58" i="2"/>
  <c r="J58" i="2"/>
  <c r="K58" i="2"/>
  <c r="L58" i="2"/>
  <c r="M58" i="2"/>
  <c r="N58" i="2"/>
  <c r="O58" i="2"/>
  <c r="P58" i="2"/>
  <c r="Q58" i="2"/>
  <c r="R58" i="2"/>
  <c r="C59" i="2"/>
  <c r="D59" i="2"/>
  <c r="E59" i="2"/>
  <c r="F59" i="2"/>
  <c r="G59" i="2"/>
  <c r="H59" i="2"/>
  <c r="I59" i="2"/>
  <c r="J59" i="2"/>
  <c r="K59" i="2"/>
  <c r="L59" i="2"/>
  <c r="M59" i="2"/>
  <c r="N59" i="2"/>
  <c r="O59" i="2"/>
  <c r="P59" i="2"/>
  <c r="Q59" i="2"/>
  <c r="R59" i="2"/>
  <c r="C60" i="2"/>
  <c r="D60" i="2"/>
  <c r="E60" i="2"/>
  <c r="F60" i="2"/>
  <c r="G60" i="2"/>
  <c r="H60" i="2"/>
  <c r="I60" i="2"/>
  <c r="J60" i="2"/>
  <c r="K60" i="2"/>
  <c r="L60" i="2"/>
  <c r="M60" i="2"/>
  <c r="N60" i="2"/>
  <c r="O60" i="2"/>
  <c r="P60" i="2"/>
  <c r="Q60" i="2"/>
  <c r="R60" i="2"/>
  <c r="C61" i="2"/>
  <c r="D61" i="2"/>
  <c r="E61" i="2"/>
  <c r="F61" i="2"/>
  <c r="G61" i="2"/>
  <c r="H61" i="2"/>
  <c r="I61" i="2"/>
  <c r="J61" i="2"/>
  <c r="K61" i="2"/>
  <c r="L61" i="2"/>
  <c r="M61" i="2"/>
  <c r="N61" i="2"/>
  <c r="O61" i="2"/>
  <c r="P61" i="2"/>
  <c r="Q61" i="2"/>
  <c r="R61" i="2"/>
  <c r="C62" i="2"/>
  <c r="D62" i="2"/>
  <c r="E62" i="2"/>
  <c r="F62" i="2"/>
  <c r="G62" i="2"/>
  <c r="H62" i="2"/>
  <c r="I62" i="2"/>
  <c r="J62" i="2"/>
  <c r="K62" i="2"/>
  <c r="L62" i="2"/>
  <c r="M62" i="2"/>
  <c r="N62" i="2"/>
  <c r="O62" i="2"/>
  <c r="P62" i="2"/>
  <c r="Q62" i="2"/>
  <c r="R62" i="2"/>
  <c r="C63" i="2"/>
  <c r="D63" i="2"/>
  <c r="E63" i="2"/>
  <c r="F63" i="2"/>
  <c r="G63" i="2"/>
  <c r="H63" i="2"/>
  <c r="I63" i="2"/>
  <c r="J63" i="2"/>
  <c r="K63" i="2"/>
  <c r="L63" i="2"/>
  <c r="M63" i="2"/>
  <c r="N63" i="2"/>
  <c r="O63" i="2"/>
  <c r="P63" i="2"/>
  <c r="Q63" i="2"/>
  <c r="R63" i="2"/>
  <c r="C64" i="2"/>
  <c r="D64" i="2"/>
  <c r="E64" i="2"/>
  <c r="F64" i="2"/>
  <c r="G64" i="2"/>
  <c r="H64" i="2"/>
  <c r="I64" i="2"/>
  <c r="J64" i="2"/>
  <c r="K64" i="2"/>
  <c r="L64" i="2"/>
  <c r="M64" i="2"/>
  <c r="N64" i="2"/>
  <c r="O64" i="2"/>
  <c r="P64" i="2"/>
  <c r="Q64" i="2"/>
  <c r="R64" i="2"/>
  <c r="C65" i="2"/>
  <c r="D65" i="2"/>
  <c r="E65" i="2"/>
  <c r="F65" i="2"/>
  <c r="G65" i="2"/>
  <c r="H65" i="2"/>
  <c r="I65" i="2"/>
  <c r="J65" i="2"/>
  <c r="K65" i="2"/>
  <c r="L65" i="2"/>
  <c r="M65" i="2"/>
  <c r="N65" i="2"/>
  <c r="O65" i="2"/>
  <c r="P65" i="2"/>
  <c r="Q65" i="2"/>
  <c r="R65" i="2"/>
  <c r="C66" i="2"/>
  <c r="D66" i="2"/>
  <c r="E66" i="2"/>
  <c r="F66" i="2"/>
  <c r="G66" i="2"/>
  <c r="H66" i="2"/>
  <c r="I66" i="2"/>
  <c r="J66" i="2"/>
  <c r="K66" i="2"/>
  <c r="L66" i="2"/>
  <c r="M66" i="2"/>
  <c r="N66" i="2"/>
  <c r="O66" i="2"/>
  <c r="P66" i="2"/>
  <c r="Q66" i="2"/>
  <c r="R66" i="2"/>
  <c r="C67" i="2"/>
  <c r="D67" i="2"/>
  <c r="E67" i="2"/>
  <c r="F67" i="2"/>
  <c r="G67" i="2"/>
  <c r="H67" i="2"/>
  <c r="I67" i="2"/>
  <c r="J67" i="2"/>
  <c r="K67" i="2"/>
  <c r="L67" i="2"/>
  <c r="M67" i="2"/>
  <c r="N67" i="2"/>
  <c r="O67" i="2"/>
  <c r="P67" i="2"/>
  <c r="Q67" i="2"/>
  <c r="R67" i="2"/>
  <c r="C68" i="2"/>
  <c r="D68" i="2"/>
  <c r="E68" i="2"/>
  <c r="F68" i="2"/>
  <c r="G68" i="2"/>
  <c r="H68" i="2"/>
  <c r="I68" i="2"/>
  <c r="J68" i="2"/>
  <c r="K68" i="2"/>
  <c r="L68" i="2"/>
  <c r="M68" i="2"/>
  <c r="N68" i="2"/>
  <c r="O68" i="2"/>
  <c r="P68" i="2"/>
  <c r="Q68" i="2"/>
  <c r="R68" i="2"/>
  <c r="C69" i="2"/>
  <c r="D69" i="2"/>
  <c r="E69" i="2"/>
  <c r="F69" i="2"/>
  <c r="G69" i="2"/>
  <c r="H69" i="2"/>
  <c r="I69" i="2"/>
  <c r="J69" i="2"/>
  <c r="K69" i="2"/>
  <c r="L69" i="2"/>
  <c r="M69" i="2"/>
  <c r="N69" i="2"/>
  <c r="O69" i="2"/>
  <c r="P69" i="2"/>
  <c r="Q69" i="2"/>
  <c r="R69" i="2"/>
  <c r="C70" i="2"/>
  <c r="D70" i="2"/>
  <c r="E70" i="2"/>
  <c r="F70" i="2"/>
  <c r="G70" i="2"/>
  <c r="H70" i="2"/>
  <c r="I70" i="2"/>
  <c r="J70" i="2"/>
  <c r="K70" i="2"/>
  <c r="L70" i="2"/>
  <c r="M70" i="2"/>
  <c r="N70" i="2"/>
  <c r="O70" i="2"/>
  <c r="P70" i="2"/>
  <c r="Q70" i="2"/>
  <c r="R70" i="2"/>
  <c r="C71" i="2"/>
  <c r="D71" i="2"/>
  <c r="E71" i="2"/>
  <c r="F71" i="2"/>
  <c r="G71" i="2"/>
  <c r="H71" i="2"/>
  <c r="I71" i="2"/>
  <c r="J71" i="2"/>
  <c r="K71" i="2"/>
  <c r="L71" i="2"/>
  <c r="M71" i="2"/>
  <c r="N71" i="2"/>
  <c r="O71" i="2"/>
  <c r="P71" i="2"/>
  <c r="Q71" i="2"/>
  <c r="R71" i="2"/>
  <c r="C72" i="2"/>
  <c r="D72" i="2"/>
  <c r="E72" i="2"/>
  <c r="F72" i="2"/>
  <c r="G72" i="2"/>
  <c r="H72" i="2"/>
  <c r="I72" i="2"/>
  <c r="J72" i="2"/>
  <c r="K72" i="2"/>
  <c r="L72" i="2"/>
  <c r="M72" i="2"/>
  <c r="N72" i="2"/>
  <c r="O72" i="2"/>
  <c r="P72" i="2"/>
  <c r="Q72" i="2"/>
  <c r="R72" i="2"/>
  <c r="C73" i="2"/>
  <c r="D73" i="2"/>
  <c r="E73" i="2"/>
  <c r="F73" i="2"/>
  <c r="G73" i="2"/>
  <c r="H73" i="2"/>
  <c r="I73" i="2"/>
  <c r="J73" i="2"/>
  <c r="K73" i="2"/>
  <c r="L73" i="2"/>
  <c r="M73" i="2"/>
  <c r="N73" i="2"/>
  <c r="O73" i="2"/>
  <c r="P73" i="2"/>
  <c r="Q73" i="2"/>
  <c r="R73" i="2"/>
  <c r="C74" i="2"/>
  <c r="D74" i="2"/>
  <c r="E74" i="2"/>
  <c r="F74" i="2"/>
  <c r="G74" i="2"/>
  <c r="H74" i="2"/>
  <c r="I74" i="2"/>
  <c r="J74" i="2"/>
  <c r="K74" i="2"/>
  <c r="L74" i="2"/>
  <c r="M74" i="2"/>
  <c r="N74" i="2"/>
  <c r="O74" i="2"/>
  <c r="P74" i="2"/>
  <c r="Q74" i="2"/>
  <c r="R74" i="2"/>
  <c r="C75" i="2"/>
  <c r="D75" i="2"/>
  <c r="E75" i="2"/>
  <c r="F75" i="2"/>
  <c r="G75" i="2"/>
  <c r="H75" i="2"/>
  <c r="I75" i="2"/>
  <c r="J75" i="2"/>
  <c r="K75" i="2"/>
  <c r="L75" i="2"/>
  <c r="M75" i="2"/>
  <c r="N75" i="2"/>
  <c r="O75" i="2"/>
  <c r="P75" i="2"/>
  <c r="Q75" i="2"/>
  <c r="R75" i="2"/>
  <c r="C76" i="2"/>
  <c r="D76" i="2"/>
  <c r="E76" i="2"/>
  <c r="F76" i="2"/>
  <c r="G76" i="2"/>
  <c r="H76" i="2"/>
  <c r="I76" i="2"/>
  <c r="J76" i="2"/>
  <c r="K76" i="2"/>
  <c r="L76" i="2"/>
  <c r="M76" i="2"/>
  <c r="N76" i="2"/>
  <c r="O76" i="2"/>
  <c r="P76" i="2"/>
  <c r="Q76" i="2"/>
  <c r="R76" i="2"/>
  <c r="C77" i="2"/>
  <c r="D77" i="2"/>
  <c r="E77" i="2"/>
  <c r="F77" i="2"/>
  <c r="G77" i="2"/>
  <c r="H77" i="2"/>
  <c r="I77" i="2"/>
  <c r="J77" i="2"/>
  <c r="K77" i="2"/>
  <c r="L77" i="2"/>
  <c r="M77" i="2"/>
  <c r="N77" i="2"/>
  <c r="O77" i="2"/>
  <c r="P77" i="2"/>
  <c r="Q77" i="2"/>
  <c r="R77" i="2"/>
  <c r="C78" i="2"/>
  <c r="D78" i="2"/>
  <c r="E78" i="2"/>
  <c r="F78" i="2"/>
  <c r="G78" i="2"/>
  <c r="H78" i="2"/>
  <c r="I78" i="2"/>
  <c r="J78" i="2"/>
  <c r="K78" i="2"/>
  <c r="L78" i="2"/>
  <c r="M78" i="2"/>
  <c r="N78" i="2"/>
  <c r="O78" i="2"/>
  <c r="P78" i="2"/>
  <c r="Q78" i="2"/>
  <c r="R78" i="2"/>
  <c r="C79" i="2"/>
  <c r="D79" i="2"/>
  <c r="E79" i="2"/>
  <c r="F79" i="2"/>
  <c r="G79" i="2"/>
  <c r="H79" i="2"/>
  <c r="I79" i="2"/>
  <c r="J79" i="2"/>
  <c r="K79" i="2"/>
  <c r="L79" i="2"/>
  <c r="M79" i="2"/>
  <c r="N79" i="2"/>
  <c r="O79" i="2"/>
  <c r="P79" i="2"/>
  <c r="Q79" i="2"/>
  <c r="R79" i="2"/>
  <c r="C80" i="2"/>
  <c r="D80" i="2"/>
  <c r="E80" i="2"/>
  <c r="F80" i="2"/>
  <c r="G80" i="2"/>
  <c r="H80" i="2"/>
  <c r="I80" i="2"/>
  <c r="J80" i="2"/>
  <c r="K80" i="2"/>
  <c r="L80" i="2"/>
  <c r="M80" i="2"/>
  <c r="N80" i="2"/>
  <c r="O80" i="2"/>
  <c r="P80" i="2"/>
  <c r="Q80" i="2"/>
  <c r="R80" i="2"/>
  <c r="C81" i="2"/>
  <c r="D81" i="2"/>
  <c r="E81" i="2"/>
  <c r="F81" i="2"/>
  <c r="G81" i="2"/>
  <c r="H81" i="2"/>
  <c r="I81" i="2"/>
  <c r="J81" i="2"/>
  <c r="K81" i="2"/>
  <c r="L81" i="2"/>
  <c r="M81" i="2"/>
  <c r="N81" i="2"/>
  <c r="O81" i="2"/>
  <c r="P81" i="2"/>
  <c r="Q81" i="2"/>
  <c r="R81" i="2"/>
  <c r="C82" i="2"/>
  <c r="D82" i="2"/>
  <c r="E82" i="2"/>
  <c r="F82" i="2"/>
  <c r="G82" i="2"/>
  <c r="H82" i="2"/>
  <c r="I82" i="2"/>
  <c r="J82" i="2"/>
  <c r="K82" i="2"/>
  <c r="L82" i="2"/>
  <c r="M82" i="2"/>
  <c r="N82" i="2"/>
  <c r="O82" i="2"/>
  <c r="P82" i="2"/>
  <c r="Q82" i="2"/>
  <c r="R82" i="2"/>
  <c r="C83" i="2"/>
  <c r="D83" i="2"/>
  <c r="E83" i="2"/>
  <c r="F83" i="2"/>
  <c r="G83" i="2"/>
  <c r="H83" i="2"/>
  <c r="I83" i="2"/>
  <c r="J83" i="2"/>
  <c r="K83" i="2"/>
  <c r="L83" i="2"/>
  <c r="M83" i="2"/>
  <c r="N83" i="2"/>
  <c r="O83" i="2"/>
  <c r="P83" i="2"/>
  <c r="Q83" i="2"/>
  <c r="R83" i="2"/>
  <c r="C84" i="2"/>
  <c r="D84" i="2"/>
  <c r="E84" i="2"/>
  <c r="F84" i="2"/>
  <c r="G84" i="2"/>
  <c r="H84" i="2"/>
  <c r="I84" i="2"/>
  <c r="J84" i="2"/>
  <c r="K84" i="2"/>
  <c r="L84" i="2"/>
  <c r="M84" i="2"/>
  <c r="N84" i="2"/>
  <c r="O84" i="2"/>
  <c r="P84" i="2"/>
  <c r="Q84" i="2"/>
  <c r="R84" i="2"/>
  <c r="C85" i="2"/>
  <c r="D85" i="2"/>
  <c r="E85" i="2"/>
  <c r="F85" i="2"/>
  <c r="G85" i="2"/>
  <c r="H85" i="2"/>
  <c r="I85" i="2"/>
  <c r="J85" i="2"/>
  <c r="K85" i="2"/>
  <c r="L85" i="2"/>
  <c r="M85" i="2"/>
  <c r="N85" i="2"/>
  <c r="O85" i="2"/>
  <c r="P85" i="2"/>
  <c r="Q85" i="2"/>
  <c r="R85" i="2"/>
  <c r="C86" i="2"/>
  <c r="D86" i="2"/>
  <c r="E86" i="2"/>
  <c r="F86" i="2"/>
  <c r="G86" i="2"/>
  <c r="H86" i="2"/>
  <c r="I86" i="2"/>
  <c r="J86" i="2"/>
  <c r="K86" i="2"/>
  <c r="L86" i="2"/>
  <c r="M86" i="2"/>
  <c r="N86" i="2"/>
  <c r="O86" i="2"/>
  <c r="P86" i="2"/>
  <c r="Q86" i="2"/>
  <c r="R86" i="2"/>
  <c r="C87" i="2"/>
  <c r="D87" i="2"/>
  <c r="E87" i="2"/>
  <c r="F87" i="2"/>
  <c r="G87" i="2"/>
  <c r="H87" i="2"/>
  <c r="I87" i="2"/>
  <c r="J87" i="2"/>
  <c r="K87" i="2"/>
  <c r="L87" i="2"/>
  <c r="M87" i="2"/>
  <c r="N87" i="2"/>
  <c r="O87" i="2"/>
  <c r="P87" i="2"/>
  <c r="Q87" i="2"/>
  <c r="R87" i="2"/>
  <c r="C88" i="2"/>
  <c r="D88" i="2"/>
  <c r="E88" i="2"/>
  <c r="F88" i="2"/>
  <c r="G88" i="2"/>
  <c r="H88" i="2"/>
  <c r="I88" i="2"/>
  <c r="J88" i="2"/>
  <c r="K88" i="2"/>
  <c r="L88" i="2"/>
  <c r="M88" i="2"/>
  <c r="N88" i="2"/>
  <c r="O88" i="2"/>
  <c r="P88" i="2"/>
  <c r="Q88" i="2"/>
  <c r="R88" i="2"/>
  <c r="C89" i="2"/>
  <c r="D89" i="2"/>
  <c r="E89" i="2"/>
  <c r="F89" i="2"/>
  <c r="G89" i="2"/>
  <c r="H89" i="2"/>
  <c r="I89" i="2"/>
  <c r="J89" i="2"/>
  <c r="K89" i="2"/>
  <c r="L89" i="2"/>
  <c r="M89" i="2"/>
  <c r="N89" i="2"/>
  <c r="O89" i="2"/>
  <c r="P89" i="2"/>
  <c r="Q89" i="2"/>
  <c r="R89" i="2"/>
  <c r="C90" i="2"/>
  <c r="D90" i="2"/>
  <c r="E90" i="2"/>
  <c r="F90" i="2"/>
  <c r="G90" i="2"/>
  <c r="H90" i="2"/>
  <c r="I90" i="2"/>
  <c r="J90" i="2"/>
  <c r="K90" i="2"/>
  <c r="L90" i="2"/>
  <c r="M90" i="2"/>
  <c r="N90" i="2"/>
  <c r="O90" i="2"/>
  <c r="P90" i="2"/>
  <c r="Q90" i="2"/>
  <c r="R90" i="2"/>
  <c r="C91" i="2"/>
  <c r="D91" i="2"/>
  <c r="E91" i="2"/>
  <c r="F91" i="2"/>
  <c r="G91" i="2"/>
  <c r="H91" i="2"/>
  <c r="I91" i="2"/>
  <c r="J91" i="2"/>
  <c r="K91" i="2"/>
  <c r="L91" i="2"/>
  <c r="M91" i="2"/>
  <c r="N91" i="2"/>
  <c r="O91" i="2"/>
  <c r="P91" i="2"/>
  <c r="Q91" i="2"/>
  <c r="R91" i="2"/>
  <c r="C92" i="2"/>
  <c r="D92" i="2"/>
  <c r="E92" i="2"/>
  <c r="F92" i="2"/>
  <c r="G92" i="2"/>
  <c r="H92" i="2"/>
  <c r="I92" i="2"/>
  <c r="J92" i="2"/>
  <c r="K92" i="2"/>
  <c r="L92" i="2"/>
  <c r="M92" i="2"/>
  <c r="N92" i="2"/>
  <c r="O92" i="2"/>
  <c r="P92" i="2"/>
  <c r="Q92" i="2"/>
  <c r="R92" i="2"/>
  <c r="C93" i="2"/>
  <c r="D93" i="2"/>
  <c r="E93" i="2"/>
  <c r="F93" i="2"/>
  <c r="G93" i="2"/>
  <c r="H93" i="2"/>
  <c r="I93" i="2"/>
  <c r="J93" i="2"/>
  <c r="K93" i="2"/>
  <c r="L93" i="2"/>
  <c r="M93" i="2"/>
  <c r="N93" i="2"/>
  <c r="O93" i="2"/>
  <c r="P93" i="2"/>
  <c r="Q93" i="2"/>
  <c r="R93" i="2"/>
  <c r="C94" i="2"/>
  <c r="D94" i="2"/>
  <c r="E94" i="2"/>
  <c r="F94" i="2"/>
  <c r="G94" i="2"/>
  <c r="H94" i="2"/>
  <c r="I94" i="2"/>
  <c r="J94" i="2"/>
  <c r="K94" i="2"/>
  <c r="L94" i="2"/>
  <c r="M94" i="2"/>
  <c r="N94" i="2"/>
  <c r="O94" i="2"/>
  <c r="P94" i="2"/>
  <c r="Q94" i="2"/>
  <c r="R94" i="2"/>
  <c r="C95" i="2"/>
  <c r="D95" i="2"/>
  <c r="E95" i="2"/>
  <c r="F95" i="2"/>
  <c r="G95" i="2"/>
  <c r="H95" i="2"/>
  <c r="I95" i="2"/>
  <c r="J95" i="2"/>
  <c r="K95" i="2"/>
  <c r="L95" i="2"/>
  <c r="M95" i="2"/>
  <c r="N95" i="2"/>
  <c r="O95" i="2"/>
  <c r="P95" i="2"/>
  <c r="Q95" i="2"/>
  <c r="R95" i="2"/>
  <c r="C96" i="2"/>
  <c r="D96" i="2"/>
  <c r="E96" i="2"/>
  <c r="F96" i="2"/>
  <c r="G96" i="2"/>
  <c r="H96" i="2"/>
  <c r="I96" i="2"/>
  <c r="J96" i="2"/>
  <c r="K96" i="2"/>
  <c r="L96" i="2"/>
  <c r="M96" i="2"/>
  <c r="N96" i="2"/>
  <c r="O96" i="2"/>
  <c r="P96" i="2"/>
  <c r="Q96" i="2"/>
  <c r="R96" i="2"/>
  <c r="C97" i="2"/>
  <c r="D97" i="2"/>
  <c r="E97" i="2"/>
  <c r="F97" i="2"/>
  <c r="G97" i="2"/>
  <c r="H97" i="2"/>
  <c r="I97" i="2"/>
  <c r="J97" i="2"/>
  <c r="K97" i="2"/>
  <c r="L97" i="2"/>
  <c r="M97" i="2"/>
  <c r="N97" i="2"/>
  <c r="O97" i="2"/>
  <c r="P97" i="2"/>
  <c r="Q97" i="2"/>
  <c r="R97" i="2"/>
  <c r="C98" i="2"/>
  <c r="D98" i="2"/>
  <c r="E98" i="2"/>
  <c r="F98" i="2"/>
  <c r="G98" i="2"/>
  <c r="H98" i="2"/>
  <c r="I98" i="2"/>
  <c r="J98" i="2"/>
  <c r="K98" i="2"/>
  <c r="L98" i="2"/>
  <c r="M98" i="2"/>
  <c r="N98" i="2"/>
  <c r="O98" i="2"/>
  <c r="P98" i="2"/>
  <c r="Q98" i="2"/>
  <c r="R98" i="2"/>
  <c r="C99" i="2"/>
  <c r="D99" i="2"/>
  <c r="E99" i="2"/>
  <c r="F99" i="2"/>
  <c r="G99" i="2"/>
  <c r="H99" i="2"/>
  <c r="I99" i="2"/>
  <c r="J99" i="2"/>
  <c r="K99" i="2"/>
  <c r="L99" i="2"/>
  <c r="M99" i="2"/>
  <c r="N99" i="2"/>
  <c r="O99" i="2"/>
  <c r="P99" i="2"/>
  <c r="Q99" i="2"/>
  <c r="R99" i="2"/>
  <c r="C100" i="2"/>
  <c r="D100" i="2"/>
  <c r="E100" i="2"/>
  <c r="F100" i="2"/>
  <c r="G100" i="2"/>
  <c r="H100" i="2"/>
  <c r="I100" i="2"/>
  <c r="J100" i="2"/>
  <c r="K100" i="2"/>
  <c r="L100" i="2"/>
  <c r="M100" i="2"/>
  <c r="N100" i="2"/>
  <c r="O100" i="2"/>
  <c r="P100" i="2"/>
  <c r="Q100" i="2"/>
  <c r="R100" i="2"/>
  <c r="C101" i="2"/>
  <c r="D101" i="2"/>
  <c r="E101" i="2"/>
  <c r="F101" i="2"/>
  <c r="G101" i="2"/>
  <c r="H101" i="2"/>
  <c r="I101" i="2"/>
  <c r="J101" i="2"/>
  <c r="K101" i="2"/>
  <c r="L101" i="2"/>
  <c r="M101" i="2"/>
  <c r="N101" i="2"/>
  <c r="O101" i="2"/>
  <c r="P101" i="2"/>
  <c r="Q101" i="2"/>
  <c r="R101" i="2"/>
  <c r="C102" i="2"/>
  <c r="D102" i="2"/>
  <c r="E102" i="2"/>
  <c r="F102" i="2"/>
  <c r="G102" i="2"/>
  <c r="H102" i="2"/>
  <c r="I102" i="2"/>
  <c r="J102" i="2"/>
  <c r="K102" i="2"/>
  <c r="L102" i="2"/>
  <c r="M102" i="2"/>
  <c r="N102" i="2"/>
  <c r="O102" i="2"/>
  <c r="P102" i="2"/>
  <c r="Q102" i="2"/>
  <c r="R102" i="2"/>
  <c r="C103" i="2"/>
  <c r="D103" i="2"/>
  <c r="E103" i="2"/>
  <c r="F103" i="2"/>
  <c r="G103" i="2"/>
  <c r="H103" i="2"/>
  <c r="I103" i="2"/>
  <c r="J103" i="2"/>
  <c r="K103" i="2"/>
  <c r="L103" i="2"/>
  <c r="M103" i="2"/>
  <c r="N103" i="2"/>
  <c r="O103" i="2"/>
  <c r="P103" i="2"/>
  <c r="Q103" i="2"/>
  <c r="R103" i="2"/>
  <c r="C104" i="2"/>
  <c r="D104" i="2"/>
  <c r="E104" i="2"/>
  <c r="F104" i="2"/>
  <c r="G104" i="2"/>
  <c r="H104" i="2"/>
  <c r="I104" i="2"/>
  <c r="J104" i="2"/>
  <c r="K104" i="2"/>
  <c r="L104" i="2"/>
  <c r="M104" i="2"/>
  <c r="N104" i="2"/>
  <c r="O104" i="2"/>
  <c r="P104" i="2"/>
  <c r="Q104" i="2"/>
  <c r="R104" i="2"/>
  <c r="C105" i="2"/>
  <c r="D105" i="2"/>
  <c r="E105" i="2"/>
  <c r="F105" i="2"/>
  <c r="G105" i="2"/>
  <c r="H105" i="2"/>
  <c r="I105" i="2"/>
  <c r="J105" i="2"/>
  <c r="K105" i="2"/>
  <c r="L105" i="2"/>
  <c r="M105" i="2"/>
  <c r="N105" i="2"/>
  <c r="O105" i="2"/>
  <c r="P105" i="2"/>
  <c r="Q105" i="2"/>
  <c r="R105" i="2"/>
  <c r="C106" i="2"/>
  <c r="D106" i="2"/>
  <c r="E106" i="2"/>
  <c r="F106" i="2"/>
  <c r="G106" i="2"/>
  <c r="H106" i="2"/>
  <c r="I106" i="2"/>
  <c r="J106" i="2"/>
  <c r="K106" i="2"/>
  <c r="L106" i="2"/>
  <c r="M106" i="2"/>
  <c r="N106" i="2"/>
  <c r="O106" i="2"/>
  <c r="P106" i="2"/>
  <c r="Q106" i="2"/>
  <c r="R106" i="2"/>
  <c r="C107" i="2"/>
  <c r="D107" i="2"/>
  <c r="E107" i="2"/>
  <c r="F107" i="2"/>
  <c r="G107" i="2"/>
  <c r="H107" i="2"/>
  <c r="I107" i="2"/>
  <c r="J107" i="2"/>
  <c r="K107" i="2"/>
  <c r="L107" i="2"/>
  <c r="M107" i="2"/>
  <c r="N107" i="2"/>
  <c r="O107" i="2"/>
  <c r="P107" i="2"/>
  <c r="Q107" i="2"/>
  <c r="R107" i="2"/>
  <c r="C108" i="2"/>
  <c r="D108" i="2"/>
  <c r="E108" i="2"/>
  <c r="F108" i="2"/>
  <c r="G108" i="2"/>
  <c r="H108" i="2"/>
  <c r="I108" i="2"/>
  <c r="J108" i="2"/>
  <c r="K108" i="2"/>
  <c r="L108" i="2"/>
  <c r="M108" i="2"/>
  <c r="N108" i="2"/>
  <c r="O108" i="2"/>
  <c r="P108" i="2"/>
  <c r="Q108" i="2"/>
  <c r="R108" i="2"/>
  <c r="C109" i="2"/>
  <c r="D109" i="2"/>
  <c r="E109" i="2"/>
  <c r="F109" i="2"/>
  <c r="G109" i="2"/>
  <c r="H109" i="2"/>
  <c r="I109" i="2"/>
  <c r="J109" i="2"/>
  <c r="K109" i="2"/>
  <c r="L109" i="2"/>
  <c r="M109" i="2"/>
  <c r="N109" i="2"/>
  <c r="O109" i="2"/>
  <c r="P109" i="2"/>
  <c r="Q109" i="2"/>
  <c r="R109" i="2"/>
  <c r="C110" i="2"/>
  <c r="D110" i="2"/>
  <c r="E110" i="2"/>
  <c r="F110" i="2"/>
  <c r="G110" i="2"/>
  <c r="H110" i="2"/>
  <c r="I110" i="2"/>
  <c r="J110" i="2"/>
  <c r="K110" i="2"/>
  <c r="L110" i="2"/>
  <c r="M110" i="2"/>
  <c r="N110" i="2"/>
  <c r="O110" i="2"/>
  <c r="P110" i="2"/>
  <c r="Q110" i="2"/>
  <c r="R110" i="2"/>
  <c r="C111" i="2"/>
  <c r="C115" i="2"/>
  <c r="D115" i="2"/>
  <c r="E115" i="2"/>
  <c r="F115" i="2"/>
  <c r="G115" i="2"/>
  <c r="H115" i="2"/>
  <c r="I115" i="2"/>
  <c r="J115" i="2"/>
  <c r="K115" i="2"/>
  <c r="L115" i="2"/>
  <c r="M115" i="2"/>
  <c r="N115" i="2"/>
  <c r="O115" i="2"/>
  <c r="P115" i="2"/>
  <c r="Q115" i="2"/>
  <c r="R115" i="2"/>
  <c r="C116" i="2"/>
  <c r="D116" i="2"/>
  <c r="E116" i="2"/>
  <c r="F116" i="2"/>
  <c r="G116" i="2"/>
  <c r="H116" i="2"/>
  <c r="I116" i="2"/>
  <c r="J116" i="2"/>
  <c r="K116" i="2"/>
  <c r="L116" i="2"/>
  <c r="M116" i="2"/>
  <c r="N116" i="2"/>
  <c r="O116" i="2"/>
  <c r="P116" i="2"/>
  <c r="Q116" i="2"/>
  <c r="R116" i="2"/>
  <c r="C117" i="2"/>
  <c r="D117" i="2"/>
  <c r="E117" i="2"/>
  <c r="F117" i="2"/>
  <c r="G117" i="2"/>
  <c r="H117" i="2"/>
  <c r="I117" i="2"/>
  <c r="J117" i="2"/>
  <c r="K117" i="2"/>
  <c r="L117" i="2"/>
  <c r="M117" i="2"/>
  <c r="N117" i="2"/>
  <c r="O117" i="2"/>
  <c r="P117" i="2"/>
  <c r="Q117" i="2"/>
  <c r="R117" i="2"/>
  <c r="C118" i="2"/>
  <c r="D118" i="2"/>
  <c r="E118" i="2"/>
  <c r="F118" i="2"/>
  <c r="G118" i="2"/>
  <c r="H118" i="2"/>
  <c r="I118" i="2"/>
  <c r="J118" i="2"/>
  <c r="K118" i="2"/>
  <c r="L118" i="2"/>
  <c r="M118" i="2"/>
  <c r="N118" i="2"/>
  <c r="O118" i="2"/>
  <c r="P118" i="2"/>
  <c r="Q118" i="2"/>
  <c r="R118" i="2"/>
  <c r="C119" i="2"/>
  <c r="D119" i="2"/>
  <c r="E119" i="2"/>
  <c r="F119" i="2"/>
  <c r="G119" i="2"/>
  <c r="H119" i="2"/>
  <c r="I119" i="2"/>
  <c r="J119" i="2"/>
  <c r="K119" i="2"/>
  <c r="L119" i="2"/>
  <c r="M119" i="2"/>
  <c r="N119" i="2"/>
  <c r="O119" i="2"/>
  <c r="P119" i="2"/>
  <c r="Q119" i="2"/>
  <c r="R119" i="2"/>
  <c r="C120" i="2"/>
  <c r="D120" i="2"/>
  <c r="E120" i="2"/>
  <c r="F120" i="2"/>
  <c r="G120" i="2"/>
  <c r="H120" i="2"/>
  <c r="I120" i="2"/>
  <c r="J120" i="2"/>
  <c r="K120" i="2"/>
  <c r="L120" i="2"/>
  <c r="M120" i="2"/>
  <c r="N120" i="2"/>
  <c r="O120" i="2"/>
  <c r="P120" i="2"/>
  <c r="Q120" i="2"/>
  <c r="R120" i="2"/>
  <c r="C121" i="2"/>
  <c r="D121" i="2"/>
  <c r="E121" i="2"/>
  <c r="F121" i="2"/>
  <c r="G121" i="2"/>
  <c r="H121" i="2"/>
  <c r="I121" i="2"/>
  <c r="J121" i="2"/>
  <c r="K121" i="2"/>
  <c r="L121" i="2"/>
  <c r="M121" i="2"/>
  <c r="N121" i="2"/>
  <c r="O121" i="2"/>
  <c r="P121" i="2"/>
  <c r="Q121" i="2"/>
  <c r="R121" i="2"/>
  <c r="C122" i="2"/>
  <c r="D122" i="2"/>
  <c r="E122" i="2"/>
  <c r="F122" i="2"/>
  <c r="G122" i="2"/>
  <c r="H122" i="2"/>
  <c r="I122" i="2"/>
  <c r="J122" i="2"/>
  <c r="K122" i="2"/>
  <c r="L122" i="2"/>
  <c r="M122" i="2"/>
  <c r="N122" i="2"/>
  <c r="O122" i="2"/>
  <c r="P122" i="2"/>
  <c r="Q122" i="2"/>
  <c r="R122" i="2"/>
  <c r="C123" i="2"/>
  <c r="D123" i="2"/>
  <c r="E123" i="2"/>
  <c r="F123" i="2"/>
  <c r="G123" i="2"/>
  <c r="H123" i="2"/>
  <c r="I123" i="2"/>
  <c r="J123" i="2"/>
  <c r="K123" i="2"/>
  <c r="L123" i="2"/>
  <c r="M123" i="2"/>
  <c r="N123" i="2"/>
  <c r="O123" i="2"/>
  <c r="P123" i="2"/>
  <c r="Q123" i="2"/>
  <c r="R123" i="2"/>
  <c r="C124" i="2"/>
  <c r="D124" i="2"/>
  <c r="E124" i="2"/>
  <c r="F124" i="2"/>
  <c r="G124" i="2"/>
  <c r="H124" i="2"/>
  <c r="I124" i="2"/>
  <c r="J124" i="2"/>
  <c r="K124" i="2"/>
  <c r="L124" i="2"/>
  <c r="M124" i="2"/>
  <c r="N124" i="2"/>
  <c r="O124" i="2"/>
  <c r="P124" i="2"/>
  <c r="Q124" i="2"/>
  <c r="R124" i="2"/>
  <c r="C125" i="2"/>
  <c r="D125" i="2"/>
  <c r="E125" i="2"/>
  <c r="F125" i="2"/>
  <c r="G125" i="2"/>
  <c r="H125" i="2"/>
  <c r="I125" i="2"/>
  <c r="J125" i="2"/>
  <c r="K125" i="2"/>
  <c r="L125" i="2"/>
  <c r="M125" i="2"/>
  <c r="N125" i="2"/>
  <c r="O125" i="2"/>
  <c r="P125" i="2"/>
  <c r="Q125" i="2"/>
  <c r="R125" i="2"/>
  <c r="C126" i="2"/>
  <c r="D126" i="2"/>
  <c r="E126" i="2"/>
  <c r="F126" i="2"/>
  <c r="G126" i="2"/>
  <c r="H126" i="2"/>
  <c r="I126" i="2"/>
  <c r="J126" i="2"/>
  <c r="K126" i="2"/>
  <c r="L126" i="2"/>
  <c r="M126" i="2"/>
  <c r="N126" i="2"/>
  <c r="O126" i="2"/>
  <c r="P126" i="2"/>
  <c r="Q126" i="2"/>
  <c r="R126" i="2"/>
  <c r="C127" i="2"/>
  <c r="D127" i="2"/>
  <c r="E127" i="2"/>
  <c r="F127" i="2"/>
  <c r="G127" i="2"/>
  <c r="H127" i="2"/>
  <c r="I127" i="2"/>
  <c r="J127" i="2"/>
  <c r="K127" i="2"/>
  <c r="L127" i="2"/>
  <c r="M127" i="2"/>
  <c r="N127" i="2"/>
  <c r="O127" i="2"/>
  <c r="P127" i="2"/>
  <c r="Q127" i="2"/>
  <c r="R127" i="2"/>
  <c r="C128" i="2"/>
  <c r="D128" i="2"/>
  <c r="E128" i="2"/>
  <c r="F128" i="2"/>
  <c r="G128" i="2"/>
  <c r="H128" i="2"/>
  <c r="I128" i="2"/>
  <c r="J128" i="2"/>
  <c r="K128" i="2"/>
  <c r="L128" i="2"/>
  <c r="M128" i="2"/>
  <c r="N128" i="2"/>
  <c r="O128" i="2"/>
  <c r="P128" i="2"/>
  <c r="Q128" i="2"/>
  <c r="R128" i="2"/>
  <c r="C129" i="2"/>
  <c r="D129" i="2"/>
  <c r="E129" i="2"/>
  <c r="F129" i="2"/>
  <c r="G129" i="2"/>
  <c r="H129" i="2"/>
  <c r="I129" i="2"/>
  <c r="J129" i="2"/>
  <c r="K129" i="2"/>
  <c r="L129" i="2"/>
  <c r="M129" i="2"/>
  <c r="N129" i="2"/>
  <c r="O129" i="2"/>
  <c r="P129" i="2"/>
  <c r="Q129" i="2"/>
  <c r="R129" i="2"/>
  <c r="C130" i="2"/>
  <c r="D130" i="2"/>
  <c r="E130" i="2"/>
  <c r="F130" i="2"/>
  <c r="G130" i="2"/>
  <c r="H130" i="2"/>
  <c r="I130" i="2"/>
  <c r="J130" i="2"/>
  <c r="K130" i="2"/>
  <c r="L130" i="2"/>
  <c r="M130" i="2"/>
  <c r="N130" i="2"/>
  <c r="O130" i="2"/>
  <c r="P130" i="2"/>
  <c r="Q130" i="2"/>
  <c r="R130" i="2"/>
  <c r="C131" i="2"/>
  <c r="D131" i="2"/>
  <c r="E131" i="2"/>
  <c r="F131" i="2"/>
  <c r="G131" i="2"/>
  <c r="H131" i="2"/>
  <c r="I131" i="2"/>
  <c r="J131" i="2"/>
  <c r="K131" i="2"/>
  <c r="L131" i="2"/>
  <c r="M131" i="2"/>
  <c r="N131" i="2"/>
  <c r="O131" i="2"/>
  <c r="P131" i="2"/>
  <c r="Q131" i="2"/>
  <c r="R131" i="2"/>
  <c r="C132" i="2"/>
  <c r="D132" i="2"/>
  <c r="E132" i="2"/>
  <c r="F132" i="2"/>
  <c r="G132" i="2"/>
  <c r="H132" i="2"/>
  <c r="I132" i="2"/>
  <c r="J132" i="2"/>
  <c r="K132" i="2"/>
  <c r="L132" i="2"/>
  <c r="M132" i="2"/>
  <c r="N132" i="2"/>
  <c r="O132" i="2"/>
  <c r="P132" i="2"/>
  <c r="Q132" i="2"/>
  <c r="R132" i="2"/>
  <c r="C133" i="2"/>
  <c r="D133" i="2"/>
  <c r="E133" i="2"/>
  <c r="F133" i="2"/>
  <c r="G133" i="2"/>
  <c r="H133" i="2"/>
  <c r="I133" i="2"/>
  <c r="J133" i="2"/>
  <c r="K133" i="2"/>
  <c r="L133" i="2"/>
  <c r="M133" i="2"/>
  <c r="N133" i="2"/>
  <c r="O133" i="2"/>
  <c r="P133" i="2"/>
  <c r="Q133" i="2"/>
  <c r="R133" i="2"/>
  <c r="C134" i="2"/>
  <c r="D134" i="2"/>
  <c r="E134" i="2"/>
  <c r="F134" i="2"/>
  <c r="G134" i="2"/>
  <c r="H134" i="2"/>
  <c r="I134" i="2"/>
  <c r="J134" i="2"/>
  <c r="K134" i="2"/>
  <c r="L134" i="2"/>
  <c r="M134" i="2"/>
  <c r="N134" i="2"/>
  <c r="O134" i="2"/>
  <c r="P134" i="2"/>
  <c r="Q134" i="2"/>
  <c r="R134" i="2"/>
  <c r="C135" i="2"/>
  <c r="D135" i="2"/>
  <c r="E135" i="2"/>
  <c r="F135" i="2"/>
  <c r="G135" i="2"/>
  <c r="H135" i="2"/>
  <c r="I135" i="2"/>
  <c r="J135" i="2"/>
  <c r="K135" i="2"/>
  <c r="L135" i="2"/>
  <c r="M135" i="2"/>
  <c r="N135" i="2"/>
  <c r="O135" i="2"/>
  <c r="P135" i="2"/>
  <c r="Q135" i="2"/>
  <c r="R135" i="2"/>
  <c r="C136" i="2"/>
  <c r="D136" i="2"/>
  <c r="E136" i="2"/>
  <c r="F136" i="2"/>
  <c r="G136" i="2"/>
  <c r="H136" i="2"/>
  <c r="I136" i="2"/>
  <c r="J136" i="2"/>
  <c r="K136" i="2"/>
  <c r="L136" i="2"/>
  <c r="M136" i="2"/>
  <c r="N136" i="2"/>
  <c r="O136" i="2"/>
  <c r="P136" i="2"/>
  <c r="Q136" i="2"/>
  <c r="R136" i="2"/>
  <c r="C137" i="2"/>
  <c r="D137" i="2"/>
  <c r="E137" i="2"/>
  <c r="F137" i="2"/>
  <c r="G137" i="2"/>
  <c r="H137" i="2"/>
  <c r="I137" i="2"/>
  <c r="J137" i="2"/>
  <c r="K137" i="2"/>
  <c r="L137" i="2"/>
  <c r="M137" i="2"/>
  <c r="N137" i="2"/>
  <c r="O137" i="2"/>
  <c r="P137" i="2"/>
  <c r="Q137" i="2"/>
  <c r="R137" i="2"/>
  <c r="C138" i="2"/>
  <c r="D138" i="2"/>
  <c r="E138" i="2"/>
  <c r="F138" i="2"/>
  <c r="G138" i="2"/>
  <c r="H138" i="2"/>
  <c r="I138" i="2"/>
  <c r="J138" i="2"/>
  <c r="K138" i="2"/>
  <c r="L138" i="2"/>
  <c r="M138" i="2"/>
  <c r="N138" i="2"/>
  <c r="O138" i="2"/>
  <c r="P138" i="2"/>
  <c r="Q138" i="2"/>
  <c r="R138" i="2"/>
  <c r="C139" i="2"/>
  <c r="D139" i="2"/>
  <c r="E139" i="2"/>
  <c r="F139" i="2"/>
  <c r="G139" i="2"/>
  <c r="H139" i="2"/>
  <c r="I139" i="2"/>
  <c r="J139" i="2"/>
  <c r="K139" i="2"/>
  <c r="L139" i="2"/>
  <c r="M139" i="2"/>
  <c r="N139" i="2"/>
  <c r="O139" i="2"/>
  <c r="P139" i="2"/>
  <c r="Q139" i="2"/>
  <c r="R139" i="2"/>
  <c r="C140" i="2"/>
  <c r="D140" i="2"/>
  <c r="E140" i="2"/>
  <c r="F140" i="2"/>
  <c r="G140" i="2"/>
  <c r="H140" i="2"/>
  <c r="I140" i="2"/>
  <c r="J140" i="2"/>
  <c r="K140" i="2"/>
  <c r="L140" i="2"/>
  <c r="M140" i="2"/>
  <c r="N140" i="2"/>
  <c r="O140" i="2"/>
  <c r="P140" i="2"/>
  <c r="Q140" i="2"/>
  <c r="R140" i="2"/>
  <c r="C141" i="2"/>
  <c r="D141" i="2"/>
  <c r="E141" i="2"/>
  <c r="F141" i="2"/>
  <c r="G141" i="2"/>
  <c r="H141" i="2"/>
  <c r="I141" i="2"/>
  <c r="J141" i="2"/>
  <c r="K141" i="2"/>
  <c r="L141" i="2"/>
  <c r="M141" i="2"/>
  <c r="N141" i="2"/>
  <c r="O141" i="2"/>
  <c r="P141" i="2"/>
  <c r="Q141" i="2"/>
  <c r="R141" i="2"/>
  <c r="C142" i="2"/>
  <c r="D142" i="2"/>
  <c r="E142" i="2"/>
  <c r="F142" i="2"/>
  <c r="G142" i="2"/>
  <c r="H142" i="2"/>
  <c r="I142" i="2"/>
  <c r="J142" i="2"/>
  <c r="K142" i="2"/>
  <c r="L142" i="2"/>
  <c r="M142" i="2"/>
  <c r="N142" i="2"/>
  <c r="O142" i="2"/>
  <c r="P142" i="2"/>
  <c r="Q142" i="2"/>
  <c r="R142" i="2"/>
  <c r="C143" i="2"/>
  <c r="D143" i="2"/>
  <c r="E143" i="2"/>
  <c r="F143" i="2"/>
  <c r="G143" i="2"/>
  <c r="H143" i="2"/>
  <c r="I143" i="2"/>
  <c r="J143" i="2"/>
  <c r="K143" i="2"/>
  <c r="L143" i="2"/>
  <c r="M143" i="2"/>
  <c r="N143" i="2"/>
  <c r="O143" i="2"/>
  <c r="P143" i="2"/>
  <c r="Q143" i="2"/>
  <c r="R143" i="2"/>
  <c r="C144" i="2"/>
  <c r="D144" i="2"/>
  <c r="E144" i="2"/>
  <c r="F144" i="2"/>
  <c r="G144" i="2"/>
  <c r="H144" i="2"/>
  <c r="I144" i="2"/>
  <c r="J144" i="2"/>
  <c r="K144" i="2"/>
  <c r="L144" i="2"/>
  <c r="M144" i="2"/>
  <c r="N144" i="2"/>
  <c r="O144" i="2"/>
  <c r="P144" i="2"/>
  <c r="Q144" i="2"/>
  <c r="R144" i="2"/>
  <c r="C145" i="2"/>
  <c r="D145" i="2"/>
  <c r="E145" i="2"/>
  <c r="F145" i="2"/>
  <c r="G145" i="2"/>
  <c r="H145" i="2"/>
  <c r="I145" i="2"/>
  <c r="J145" i="2"/>
  <c r="K145" i="2"/>
  <c r="L145" i="2"/>
  <c r="M145" i="2"/>
  <c r="N145" i="2"/>
  <c r="O145" i="2"/>
  <c r="P145" i="2"/>
  <c r="Q145" i="2"/>
  <c r="R145" i="2"/>
  <c r="C146" i="2"/>
  <c r="D146" i="2"/>
  <c r="E146" i="2"/>
  <c r="F146" i="2"/>
  <c r="G146" i="2"/>
  <c r="H146" i="2"/>
  <c r="I146" i="2"/>
  <c r="J146" i="2"/>
  <c r="K146" i="2"/>
  <c r="L146" i="2"/>
  <c r="M146" i="2"/>
  <c r="N146" i="2"/>
  <c r="O146" i="2"/>
  <c r="P146" i="2"/>
  <c r="Q146" i="2"/>
  <c r="R146" i="2"/>
  <c r="C147" i="2"/>
  <c r="D147" i="2"/>
  <c r="E147" i="2"/>
  <c r="F147" i="2"/>
  <c r="G147" i="2"/>
  <c r="H147" i="2"/>
  <c r="I147" i="2"/>
  <c r="J147" i="2"/>
  <c r="K147" i="2"/>
  <c r="L147" i="2"/>
  <c r="M147" i="2"/>
  <c r="N147" i="2"/>
  <c r="O147" i="2"/>
  <c r="P147" i="2"/>
  <c r="Q147" i="2"/>
  <c r="R147" i="2"/>
  <c r="C148" i="2"/>
  <c r="D148" i="2"/>
  <c r="E148" i="2"/>
  <c r="F148" i="2"/>
  <c r="G148" i="2"/>
  <c r="H148" i="2"/>
  <c r="I148" i="2"/>
  <c r="J148" i="2"/>
  <c r="K148" i="2"/>
  <c r="L148" i="2"/>
  <c r="M148" i="2"/>
  <c r="N148" i="2"/>
  <c r="O148" i="2"/>
  <c r="P148" i="2"/>
  <c r="Q148" i="2"/>
  <c r="R148" i="2"/>
  <c r="C149" i="2"/>
  <c r="D149" i="2"/>
  <c r="E149" i="2"/>
  <c r="F149" i="2"/>
  <c r="G149" i="2"/>
  <c r="H149" i="2"/>
  <c r="I149" i="2"/>
  <c r="J149" i="2"/>
  <c r="K149" i="2"/>
  <c r="L149" i="2"/>
  <c r="M149" i="2"/>
  <c r="N149" i="2"/>
  <c r="O149" i="2"/>
  <c r="P149" i="2"/>
  <c r="Q149" i="2"/>
  <c r="R149" i="2"/>
  <c r="C150" i="2"/>
  <c r="D150" i="2"/>
  <c r="E150" i="2"/>
  <c r="F150" i="2"/>
  <c r="G150" i="2"/>
  <c r="H150" i="2"/>
  <c r="I150" i="2"/>
  <c r="J150" i="2"/>
  <c r="K150" i="2"/>
  <c r="L150" i="2"/>
  <c r="M150" i="2"/>
  <c r="N150" i="2"/>
  <c r="O150" i="2"/>
  <c r="P150" i="2"/>
  <c r="Q150" i="2"/>
  <c r="R150" i="2"/>
  <c r="C151" i="2"/>
  <c r="D151" i="2"/>
  <c r="E151" i="2"/>
  <c r="F151" i="2"/>
  <c r="G151" i="2"/>
  <c r="H151" i="2"/>
  <c r="I151" i="2"/>
  <c r="J151" i="2"/>
  <c r="K151" i="2"/>
  <c r="L151" i="2"/>
  <c r="M151" i="2"/>
  <c r="N151" i="2"/>
  <c r="O151" i="2"/>
  <c r="P151" i="2"/>
  <c r="Q151" i="2"/>
  <c r="R151" i="2"/>
  <c r="C152" i="2"/>
  <c r="D152" i="2"/>
  <c r="E152" i="2"/>
  <c r="F152" i="2"/>
  <c r="G152" i="2"/>
  <c r="H152" i="2"/>
  <c r="I152" i="2"/>
  <c r="J152" i="2"/>
  <c r="K152" i="2"/>
  <c r="L152" i="2"/>
  <c r="M152" i="2"/>
  <c r="N152" i="2"/>
  <c r="O152" i="2"/>
  <c r="P152" i="2"/>
  <c r="Q152" i="2"/>
  <c r="R152" i="2"/>
  <c r="C153" i="2"/>
  <c r="D153" i="2"/>
  <c r="E153" i="2"/>
  <c r="F153" i="2"/>
  <c r="G153" i="2"/>
  <c r="H153" i="2"/>
  <c r="I153" i="2"/>
  <c r="J153" i="2"/>
  <c r="K153" i="2"/>
  <c r="L153" i="2"/>
  <c r="M153" i="2"/>
  <c r="N153" i="2"/>
  <c r="O153" i="2"/>
  <c r="P153" i="2"/>
  <c r="Q153" i="2"/>
  <c r="R153" i="2"/>
  <c r="C154" i="2"/>
  <c r="D154" i="2"/>
  <c r="E154" i="2"/>
  <c r="F154" i="2"/>
  <c r="G154" i="2"/>
  <c r="H154" i="2"/>
  <c r="I154" i="2"/>
  <c r="J154" i="2"/>
  <c r="K154" i="2"/>
  <c r="L154" i="2"/>
  <c r="M154" i="2"/>
  <c r="N154" i="2"/>
  <c r="O154" i="2"/>
  <c r="P154" i="2"/>
  <c r="Q154" i="2"/>
  <c r="R154" i="2"/>
  <c r="C155" i="2"/>
  <c r="D155" i="2"/>
  <c r="E155" i="2"/>
  <c r="F155" i="2"/>
  <c r="G155" i="2"/>
  <c r="H155" i="2"/>
  <c r="I155" i="2"/>
  <c r="J155" i="2"/>
  <c r="K155" i="2"/>
  <c r="L155" i="2"/>
  <c r="M155" i="2"/>
  <c r="N155" i="2"/>
  <c r="O155" i="2"/>
  <c r="P155" i="2"/>
  <c r="Q155" i="2"/>
  <c r="R155" i="2"/>
  <c r="C156" i="2"/>
  <c r="D156" i="2"/>
  <c r="E156" i="2"/>
  <c r="F156" i="2"/>
  <c r="G156" i="2"/>
  <c r="H156" i="2"/>
  <c r="I156" i="2"/>
  <c r="J156" i="2"/>
  <c r="K156" i="2"/>
  <c r="L156" i="2"/>
  <c r="M156" i="2"/>
  <c r="N156" i="2"/>
  <c r="O156" i="2"/>
  <c r="P156" i="2"/>
  <c r="Q156" i="2"/>
  <c r="R156" i="2"/>
  <c r="C157" i="2"/>
  <c r="D157" i="2"/>
  <c r="E157" i="2"/>
  <c r="F157" i="2"/>
  <c r="G157" i="2"/>
  <c r="H157" i="2"/>
  <c r="I157" i="2"/>
  <c r="J157" i="2"/>
  <c r="K157" i="2"/>
  <c r="L157" i="2"/>
  <c r="M157" i="2"/>
  <c r="N157" i="2"/>
  <c r="O157" i="2"/>
  <c r="P157" i="2"/>
  <c r="Q157" i="2"/>
  <c r="R157" i="2"/>
  <c r="C158" i="2"/>
  <c r="D158" i="2"/>
  <c r="E158" i="2"/>
  <c r="F158" i="2"/>
  <c r="G158" i="2"/>
  <c r="H158" i="2"/>
  <c r="I158" i="2"/>
  <c r="J158" i="2"/>
  <c r="K158" i="2"/>
  <c r="L158" i="2"/>
  <c r="M158" i="2"/>
  <c r="N158" i="2"/>
  <c r="O158" i="2"/>
  <c r="P158" i="2"/>
  <c r="Q158" i="2"/>
  <c r="R158" i="2"/>
  <c r="C159" i="2"/>
  <c r="D159" i="2"/>
  <c r="E159" i="2"/>
  <c r="F159" i="2"/>
  <c r="G159" i="2"/>
  <c r="H159" i="2"/>
  <c r="I159" i="2"/>
  <c r="J159" i="2"/>
  <c r="K159" i="2"/>
  <c r="L159" i="2"/>
  <c r="M159" i="2"/>
  <c r="N159" i="2"/>
  <c r="O159" i="2"/>
  <c r="P159" i="2"/>
  <c r="Q159" i="2"/>
  <c r="R159" i="2"/>
  <c r="C160" i="2"/>
  <c r="D160" i="2"/>
  <c r="E160" i="2"/>
  <c r="F160" i="2"/>
  <c r="G160" i="2"/>
  <c r="H160" i="2"/>
  <c r="I160" i="2"/>
  <c r="J160" i="2"/>
  <c r="K160" i="2"/>
  <c r="L160" i="2"/>
  <c r="M160" i="2"/>
  <c r="N160" i="2"/>
  <c r="O160" i="2"/>
  <c r="P160" i="2"/>
  <c r="Q160" i="2"/>
  <c r="R160" i="2"/>
  <c r="C161" i="2"/>
  <c r="D161" i="2"/>
  <c r="E161" i="2"/>
  <c r="F161" i="2"/>
  <c r="G161" i="2"/>
  <c r="H161" i="2"/>
  <c r="I161" i="2"/>
  <c r="J161" i="2"/>
  <c r="K161" i="2"/>
  <c r="L161" i="2"/>
  <c r="M161" i="2"/>
  <c r="N161" i="2"/>
  <c r="O161" i="2"/>
  <c r="P161" i="2"/>
  <c r="Q161" i="2"/>
  <c r="R161" i="2"/>
  <c r="C162" i="2"/>
  <c r="D162" i="2"/>
  <c r="E162" i="2"/>
  <c r="F162" i="2"/>
  <c r="G162" i="2"/>
  <c r="H162" i="2"/>
  <c r="I162" i="2"/>
  <c r="J162" i="2"/>
  <c r="K162" i="2"/>
  <c r="L162" i="2"/>
  <c r="M162" i="2"/>
  <c r="N162" i="2"/>
  <c r="O162" i="2"/>
  <c r="P162" i="2"/>
  <c r="Q162" i="2"/>
  <c r="R162" i="2"/>
  <c r="C163" i="2"/>
  <c r="D163" i="2"/>
  <c r="E163" i="2"/>
  <c r="F163" i="2"/>
  <c r="G163" i="2"/>
  <c r="H163" i="2"/>
  <c r="I163" i="2"/>
  <c r="J163" i="2"/>
  <c r="K163" i="2"/>
  <c r="L163" i="2"/>
  <c r="M163" i="2"/>
  <c r="N163" i="2"/>
  <c r="O163" i="2"/>
  <c r="P163" i="2"/>
  <c r="Q163" i="2"/>
  <c r="R163" i="2"/>
  <c r="C164" i="2"/>
  <c r="D164" i="2"/>
  <c r="E164" i="2"/>
  <c r="F164" i="2"/>
  <c r="G164" i="2"/>
  <c r="H164" i="2"/>
  <c r="I164" i="2"/>
  <c r="J164" i="2"/>
  <c r="K164" i="2"/>
  <c r="L164" i="2"/>
  <c r="M164" i="2"/>
  <c r="N164" i="2"/>
  <c r="O164" i="2"/>
  <c r="P164" i="2"/>
  <c r="Q164" i="2"/>
  <c r="R164" i="2"/>
  <c r="C165" i="2"/>
  <c r="D165" i="2"/>
  <c r="E165" i="2"/>
  <c r="F165" i="2"/>
  <c r="G165" i="2"/>
  <c r="H165" i="2"/>
  <c r="I165" i="2"/>
  <c r="J165" i="2"/>
  <c r="K165" i="2"/>
  <c r="L165" i="2"/>
  <c r="M165" i="2"/>
  <c r="N165" i="2"/>
  <c r="O165" i="2"/>
  <c r="P165" i="2"/>
  <c r="Q165" i="2"/>
  <c r="R165" i="2"/>
  <c r="C166" i="2"/>
  <c r="D166" i="2"/>
  <c r="E166" i="2"/>
  <c r="F166" i="2"/>
  <c r="G166" i="2"/>
  <c r="H166" i="2"/>
  <c r="I166" i="2"/>
  <c r="J166" i="2"/>
  <c r="K166" i="2"/>
  <c r="L166" i="2"/>
  <c r="M166" i="2"/>
  <c r="N166" i="2"/>
  <c r="O166" i="2"/>
  <c r="P166" i="2"/>
  <c r="Q166" i="2"/>
  <c r="R166" i="2"/>
  <c r="C167" i="2"/>
  <c r="D167" i="2"/>
  <c r="E167" i="2"/>
  <c r="F167" i="2"/>
  <c r="G167" i="2"/>
  <c r="H167" i="2"/>
  <c r="I167" i="2"/>
  <c r="J167" i="2"/>
  <c r="K167" i="2"/>
  <c r="L167" i="2"/>
  <c r="M167" i="2"/>
  <c r="N167" i="2"/>
  <c r="O167" i="2"/>
  <c r="P167" i="2"/>
  <c r="Q167" i="2"/>
  <c r="R167" i="2"/>
  <c r="C168" i="2"/>
  <c r="D168" i="2"/>
  <c r="E168" i="2"/>
  <c r="F168" i="2"/>
  <c r="G168" i="2"/>
  <c r="H168" i="2"/>
  <c r="I168" i="2"/>
  <c r="J168" i="2"/>
  <c r="K168" i="2"/>
  <c r="L168" i="2"/>
  <c r="M168" i="2"/>
  <c r="N168" i="2"/>
  <c r="O168" i="2"/>
  <c r="P168" i="2"/>
  <c r="Q168" i="2"/>
  <c r="R168" i="2"/>
  <c r="C169" i="2"/>
  <c r="D169" i="2"/>
  <c r="E169" i="2"/>
  <c r="F169" i="2"/>
  <c r="G169" i="2"/>
  <c r="H169" i="2"/>
  <c r="I169" i="2"/>
  <c r="J169" i="2"/>
  <c r="K169" i="2"/>
  <c r="L169" i="2"/>
  <c r="M169" i="2"/>
  <c r="N169" i="2"/>
  <c r="O169" i="2"/>
  <c r="P169" i="2"/>
  <c r="Q169" i="2"/>
  <c r="R169" i="2"/>
  <c r="C170" i="2"/>
  <c r="D170" i="2"/>
  <c r="E170" i="2"/>
  <c r="F170" i="2"/>
  <c r="G170" i="2"/>
  <c r="H170" i="2"/>
  <c r="I170" i="2"/>
  <c r="J170" i="2"/>
  <c r="K170" i="2"/>
  <c r="L170" i="2"/>
  <c r="M170" i="2"/>
  <c r="N170" i="2"/>
  <c r="O170" i="2"/>
  <c r="P170" i="2"/>
  <c r="Q170" i="2"/>
  <c r="R170" i="2"/>
  <c r="C171" i="2"/>
  <c r="D171" i="2"/>
  <c r="E171" i="2"/>
  <c r="F171" i="2"/>
  <c r="G171" i="2"/>
  <c r="H171" i="2"/>
  <c r="I171" i="2"/>
  <c r="J171" i="2"/>
  <c r="K171" i="2"/>
  <c r="L171" i="2"/>
  <c r="M171" i="2"/>
  <c r="N171" i="2"/>
  <c r="O171" i="2"/>
  <c r="P171" i="2"/>
  <c r="Q171" i="2"/>
  <c r="R171" i="2"/>
  <c r="C172" i="2"/>
  <c r="D172" i="2"/>
  <c r="E172" i="2"/>
  <c r="F172" i="2"/>
  <c r="G172" i="2"/>
  <c r="H172" i="2"/>
  <c r="I172" i="2"/>
  <c r="J172" i="2"/>
  <c r="K172" i="2"/>
  <c r="L172" i="2"/>
  <c r="M172" i="2"/>
  <c r="N172" i="2"/>
  <c r="O172" i="2"/>
  <c r="P172" i="2"/>
  <c r="Q172" i="2"/>
  <c r="R172" i="2"/>
  <c r="C173" i="2"/>
  <c r="D173" i="2"/>
  <c r="E173" i="2"/>
  <c r="F173" i="2"/>
  <c r="G173" i="2"/>
  <c r="H173" i="2"/>
  <c r="I173" i="2"/>
  <c r="J173" i="2"/>
  <c r="K173" i="2"/>
  <c r="L173" i="2"/>
  <c r="M173" i="2"/>
  <c r="N173" i="2"/>
  <c r="O173" i="2"/>
  <c r="P173" i="2"/>
  <c r="Q173" i="2"/>
  <c r="R173" i="2"/>
  <c r="C174" i="2"/>
  <c r="D174" i="2"/>
  <c r="E174" i="2"/>
  <c r="F174" i="2"/>
  <c r="G174" i="2"/>
  <c r="H174" i="2"/>
  <c r="I174" i="2"/>
  <c r="J174" i="2"/>
  <c r="K174" i="2"/>
  <c r="L174" i="2"/>
  <c r="M174" i="2"/>
  <c r="N174" i="2"/>
  <c r="O174" i="2"/>
  <c r="P174" i="2"/>
  <c r="Q174" i="2"/>
  <c r="R174" i="2"/>
  <c r="C175" i="2"/>
  <c r="D175" i="2"/>
  <c r="E175" i="2"/>
  <c r="F175" i="2"/>
  <c r="G175" i="2"/>
  <c r="H175" i="2"/>
  <c r="I175" i="2"/>
  <c r="J175" i="2"/>
  <c r="K175" i="2"/>
  <c r="L175" i="2"/>
  <c r="M175" i="2"/>
  <c r="N175" i="2"/>
  <c r="O175" i="2"/>
  <c r="P175" i="2"/>
  <c r="Q175" i="2"/>
  <c r="R175" i="2"/>
  <c r="C176" i="2"/>
  <c r="D176" i="2"/>
  <c r="E176" i="2"/>
  <c r="F176" i="2"/>
  <c r="G176" i="2"/>
  <c r="H176" i="2"/>
  <c r="I176" i="2"/>
  <c r="J176" i="2"/>
  <c r="K176" i="2"/>
  <c r="L176" i="2"/>
  <c r="M176" i="2"/>
  <c r="N176" i="2"/>
  <c r="O176" i="2"/>
  <c r="P176" i="2"/>
  <c r="Q176" i="2"/>
  <c r="R176" i="2"/>
  <c r="C177" i="2"/>
  <c r="D177" i="2"/>
  <c r="E177" i="2"/>
  <c r="F177" i="2"/>
  <c r="G177" i="2"/>
  <c r="H177" i="2"/>
  <c r="I177" i="2"/>
  <c r="J177" i="2"/>
  <c r="K177" i="2"/>
  <c r="L177" i="2"/>
  <c r="M177" i="2"/>
  <c r="N177" i="2"/>
  <c r="O177" i="2"/>
  <c r="P177" i="2"/>
  <c r="Q177" i="2"/>
  <c r="R177" i="2"/>
  <c r="C178" i="2"/>
  <c r="D178" i="2"/>
  <c r="E178" i="2"/>
  <c r="F178" i="2"/>
  <c r="G178" i="2"/>
  <c r="H178" i="2"/>
  <c r="I178" i="2"/>
  <c r="J178" i="2"/>
  <c r="K178" i="2"/>
  <c r="L178" i="2"/>
  <c r="M178" i="2"/>
  <c r="N178" i="2"/>
  <c r="O178" i="2"/>
  <c r="P178" i="2"/>
  <c r="Q178" i="2"/>
  <c r="R178" i="2"/>
  <c r="C179" i="2"/>
  <c r="D179" i="2"/>
  <c r="E179" i="2"/>
  <c r="F179" i="2"/>
  <c r="G179" i="2"/>
  <c r="H179" i="2"/>
  <c r="I179" i="2"/>
  <c r="J179" i="2"/>
  <c r="K179" i="2"/>
  <c r="L179" i="2"/>
  <c r="M179" i="2"/>
  <c r="N179" i="2"/>
  <c r="O179" i="2"/>
  <c r="P179" i="2"/>
  <c r="Q179" i="2"/>
  <c r="R179" i="2"/>
  <c r="C180" i="2"/>
  <c r="D180" i="2"/>
  <c r="E180" i="2"/>
  <c r="F180" i="2"/>
  <c r="G180" i="2"/>
  <c r="H180" i="2"/>
  <c r="I180" i="2"/>
  <c r="J180" i="2"/>
  <c r="K180" i="2"/>
  <c r="L180" i="2"/>
  <c r="M180" i="2"/>
  <c r="N180" i="2"/>
  <c r="O180" i="2"/>
  <c r="P180" i="2"/>
  <c r="Q180" i="2"/>
  <c r="R180" i="2"/>
  <c r="C181" i="2"/>
  <c r="D181" i="2"/>
  <c r="E181" i="2"/>
  <c r="F181" i="2"/>
  <c r="G181" i="2"/>
  <c r="H181" i="2"/>
  <c r="I181" i="2"/>
  <c r="J181" i="2"/>
  <c r="K181" i="2"/>
  <c r="L181" i="2"/>
  <c r="M181" i="2"/>
  <c r="N181" i="2"/>
  <c r="O181" i="2"/>
  <c r="P181" i="2"/>
  <c r="Q181" i="2"/>
  <c r="R181" i="2"/>
  <c r="C182" i="2"/>
  <c r="D182" i="2"/>
  <c r="E182" i="2"/>
  <c r="F182" i="2"/>
  <c r="G182" i="2"/>
  <c r="H182" i="2"/>
  <c r="I182" i="2"/>
  <c r="J182" i="2"/>
  <c r="K182" i="2"/>
  <c r="L182" i="2"/>
  <c r="M182" i="2"/>
  <c r="N182" i="2"/>
  <c r="O182" i="2"/>
  <c r="P182" i="2"/>
  <c r="Q182" i="2"/>
  <c r="R182" i="2"/>
  <c r="C183" i="2"/>
  <c r="D183" i="2"/>
  <c r="E183" i="2"/>
  <c r="F183" i="2"/>
  <c r="G183" i="2"/>
  <c r="H183" i="2"/>
  <c r="I183" i="2"/>
  <c r="J183" i="2"/>
  <c r="K183" i="2"/>
  <c r="L183" i="2"/>
  <c r="M183" i="2"/>
  <c r="N183" i="2"/>
  <c r="O183" i="2"/>
  <c r="P183" i="2"/>
  <c r="Q183" i="2"/>
  <c r="R183" i="2"/>
  <c r="C184" i="2"/>
  <c r="D184" i="2"/>
  <c r="E184" i="2"/>
  <c r="F184" i="2"/>
  <c r="G184" i="2"/>
  <c r="H184" i="2"/>
  <c r="I184" i="2"/>
  <c r="J184" i="2"/>
  <c r="K184" i="2"/>
  <c r="L184" i="2"/>
  <c r="M184" i="2"/>
  <c r="N184" i="2"/>
  <c r="O184" i="2"/>
  <c r="P184" i="2"/>
  <c r="Q184" i="2"/>
  <c r="R184" i="2"/>
  <c r="C185" i="2"/>
  <c r="D185" i="2"/>
  <c r="E185" i="2"/>
  <c r="F185" i="2"/>
  <c r="G185" i="2"/>
  <c r="H185" i="2"/>
  <c r="I185" i="2"/>
  <c r="J185" i="2"/>
  <c r="K185" i="2"/>
  <c r="L185" i="2"/>
  <c r="M185" i="2"/>
  <c r="N185" i="2"/>
  <c r="O185" i="2"/>
  <c r="P185" i="2"/>
  <c r="Q185" i="2"/>
  <c r="R185" i="2"/>
  <c r="C186" i="2"/>
  <c r="D186" i="2"/>
  <c r="E186" i="2"/>
  <c r="F186" i="2"/>
  <c r="G186" i="2"/>
  <c r="H186" i="2"/>
  <c r="I186" i="2"/>
  <c r="J186" i="2"/>
  <c r="K186" i="2"/>
  <c r="L186" i="2"/>
  <c r="M186" i="2"/>
  <c r="N186" i="2"/>
  <c r="O186" i="2"/>
  <c r="P186" i="2"/>
  <c r="Q186" i="2"/>
  <c r="R186" i="2"/>
  <c r="C187" i="2"/>
  <c r="D187" i="2"/>
  <c r="E187" i="2"/>
  <c r="F187" i="2"/>
  <c r="G187" i="2"/>
  <c r="H187" i="2"/>
  <c r="I187" i="2"/>
  <c r="J187" i="2"/>
  <c r="K187" i="2"/>
  <c r="L187" i="2"/>
  <c r="M187" i="2"/>
  <c r="N187" i="2"/>
  <c r="O187" i="2"/>
  <c r="P187" i="2"/>
  <c r="Q187" i="2"/>
  <c r="R187" i="2"/>
  <c r="C188" i="2"/>
  <c r="D188" i="2"/>
  <c r="E188" i="2"/>
  <c r="F188" i="2"/>
  <c r="G188" i="2"/>
  <c r="H188" i="2"/>
  <c r="I188" i="2"/>
  <c r="J188" i="2"/>
  <c r="K188" i="2"/>
  <c r="L188" i="2"/>
  <c r="M188" i="2"/>
  <c r="N188" i="2"/>
  <c r="O188" i="2"/>
  <c r="P188" i="2"/>
  <c r="Q188" i="2"/>
  <c r="R188" i="2"/>
  <c r="C189" i="2"/>
  <c r="D189" i="2"/>
  <c r="E189" i="2"/>
  <c r="F189" i="2"/>
  <c r="G189" i="2"/>
  <c r="H189" i="2"/>
  <c r="I189" i="2"/>
  <c r="J189" i="2"/>
  <c r="K189" i="2"/>
  <c r="L189" i="2"/>
  <c r="M189" i="2"/>
  <c r="N189" i="2"/>
  <c r="O189" i="2"/>
  <c r="P189" i="2"/>
  <c r="Q189" i="2"/>
  <c r="R189" i="2"/>
  <c r="C190" i="2"/>
  <c r="D190" i="2"/>
  <c r="E190" i="2"/>
  <c r="F190" i="2"/>
  <c r="G190" i="2"/>
  <c r="H190" i="2"/>
  <c r="I190" i="2"/>
  <c r="J190" i="2"/>
  <c r="K190" i="2"/>
  <c r="L190" i="2"/>
  <c r="M190" i="2"/>
  <c r="N190" i="2"/>
  <c r="O190" i="2"/>
  <c r="P190" i="2"/>
  <c r="Q190" i="2"/>
  <c r="R190" i="2"/>
  <c r="C191" i="2"/>
  <c r="D191" i="2"/>
  <c r="E191" i="2"/>
  <c r="F191" i="2"/>
  <c r="G191" i="2"/>
  <c r="H191" i="2"/>
  <c r="I191" i="2"/>
  <c r="J191" i="2"/>
  <c r="K191" i="2"/>
  <c r="L191" i="2"/>
  <c r="M191" i="2"/>
  <c r="N191" i="2"/>
  <c r="O191" i="2"/>
  <c r="P191" i="2"/>
  <c r="Q191" i="2"/>
  <c r="R191" i="2"/>
  <c r="C192" i="2"/>
  <c r="D192" i="2"/>
  <c r="E192" i="2"/>
  <c r="F192" i="2"/>
  <c r="G192" i="2"/>
  <c r="H192" i="2"/>
  <c r="I192" i="2"/>
  <c r="J192" i="2"/>
  <c r="K192" i="2"/>
  <c r="L192" i="2"/>
  <c r="M192" i="2"/>
  <c r="N192" i="2"/>
  <c r="O192" i="2"/>
  <c r="P192" i="2"/>
  <c r="Q192" i="2"/>
  <c r="R192" i="2"/>
  <c r="C193" i="2"/>
  <c r="D193" i="2"/>
  <c r="E193" i="2"/>
  <c r="F193" i="2"/>
  <c r="G193" i="2"/>
  <c r="H193" i="2"/>
  <c r="I193" i="2"/>
  <c r="J193" i="2"/>
  <c r="K193" i="2"/>
  <c r="L193" i="2"/>
  <c r="M193" i="2"/>
  <c r="N193" i="2"/>
  <c r="O193" i="2"/>
  <c r="P193" i="2"/>
  <c r="Q193" i="2"/>
  <c r="R193" i="2"/>
  <c r="C194" i="2"/>
  <c r="D194" i="2"/>
  <c r="E194" i="2"/>
  <c r="F194" i="2"/>
  <c r="G194" i="2"/>
  <c r="H194" i="2"/>
  <c r="I194" i="2"/>
  <c r="J194" i="2"/>
  <c r="K194" i="2"/>
  <c r="L194" i="2"/>
  <c r="M194" i="2"/>
  <c r="N194" i="2"/>
  <c r="O194" i="2"/>
  <c r="P194" i="2"/>
  <c r="Q194" i="2"/>
  <c r="R194" i="2"/>
  <c r="C195" i="2"/>
  <c r="D195" i="2"/>
  <c r="E195" i="2"/>
  <c r="F195" i="2"/>
  <c r="G195" i="2"/>
  <c r="H195" i="2"/>
  <c r="I195" i="2"/>
  <c r="J195" i="2"/>
  <c r="K195" i="2"/>
  <c r="L195" i="2"/>
  <c r="M195" i="2"/>
  <c r="N195" i="2"/>
  <c r="O195" i="2"/>
  <c r="P195" i="2"/>
  <c r="Q195" i="2"/>
  <c r="R195" i="2"/>
  <c r="C196" i="2"/>
  <c r="D196" i="2"/>
  <c r="E196" i="2"/>
  <c r="F196" i="2"/>
  <c r="G196" i="2"/>
  <c r="H196" i="2"/>
  <c r="I196" i="2"/>
  <c r="J196" i="2"/>
  <c r="K196" i="2"/>
  <c r="L196" i="2"/>
  <c r="M196" i="2"/>
  <c r="N196" i="2"/>
  <c r="O196" i="2"/>
  <c r="P196" i="2"/>
  <c r="Q196" i="2"/>
  <c r="R196" i="2"/>
  <c r="C197" i="2"/>
  <c r="D197" i="2"/>
  <c r="E197" i="2"/>
  <c r="F197" i="2"/>
  <c r="G197" i="2"/>
  <c r="H197" i="2"/>
  <c r="I197" i="2"/>
  <c r="J197" i="2"/>
  <c r="K197" i="2"/>
  <c r="L197" i="2"/>
  <c r="M197" i="2"/>
  <c r="N197" i="2"/>
  <c r="O197" i="2"/>
  <c r="P197" i="2"/>
  <c r="Q197" i="2"/>
  <c r="R197" i="2"/>
  <c r="C198" i="2"/>
  <c r="D198" i="2"/>
  <c r="E198" i="2"/>
  <c r="F198" i="2"/>
  <c r="G198" i="2"/>
  <c r="H198" i="2"/>
  <c r="I198" i="2"/>
  <c r="J198" i="2"/>
  <c r="K198" i="2"/>
  <c r="L198" i="2"/>
  <c r="M198" i="2"/>
  <c r="N198" i="2"/>
  <c r="O198" i="2"/>
  <c r="P198" i="2"/>
  <c r="Q198" i="2"/>
  <c r="R198" i="2"/>
  <c r="C199" i="2"/>
  <c r="D199" i="2"/>
  <c r="E199" i="2"/>
  <c r="F199" i="2"/>
  <c r="G199" i="2"/>
  <c r="H199" i="2"/>
  <c r="I199" i="2"/>
  <c r="J199" i="2"/>
  <c r="K199" i="2"/>
  <c r="L199" i="2"/>
  <c r="M199" i="2"/>
  <c r="N199" i="2"/>
  <c r="O199" i="2"/>
  <c r="P199" i="2"/>
  <c r="Q199" i="2"/>
  <c r="R199" i="2"/>
  <c r="C200" i="2"/>
  <c r="D200" i="2"/>
  <c r="E200" i="2"/>
  <c r="F200" i="2"/>
  <c r="G200" i="2"/>
  <c r="H200" i="2"/>
  <c r="I200" i="2"/>
  <c r="J200" i="2"/>
  <c r="K200" i="2"/>
  <c r="L200" i="2"/>
  <c r="M200" i="2"/>
  <c r="N200" i="2"/>
  <c r="O200" i="2"/>
  <c r="P200" i="2"/>
  <c r="Q200" i="2"/>
  <c r="R200" i="2"/>
  <c r="C201" i="2"/>
  <c r="D201" i="2"/>
  <c r="E201" i="2"/>
  <c r="F201" i="2"/>
  <c r="G201" i="2"/>
  <c r="H201" i="2"/>
  <c r="I201" i="2"/>
  <c r="J201" i="2"/>
  <c r="K201" i="2"/>
  <c r="L201" i="2"/>
  <c r="M201" i="2"/>
  <c r="N201" i="2"/>
  <c r="O201" i="2"/>
  <c r="P201" i="2"/>
  <c r="Q201" i="2"/>
  <c r="R201" i="2"/>
  <c r="C202" i="2"/>
  <c r="D202" i="2"/>
  <c r="E202" i="2"/>
  <c r="F202" i="2"/>
  <c r="G202" i="2"/>
  <c r="H202" i="2"/>
  <c r="I202" i="2"/>
  <c r="J202" i="2"/>
  <c r="K202" i="2"/>
  <c r="L202" i="2"/>
  <c r="M202" i="2"/>
  <c r="N202" i="2"/>
  <c r="O202" i="2"/>
  <c r="P202" i="2"/>
  <c r="Q202" i="2"/>
  <c r="R202" i="2"/>
  <c r="C203" i="2"/>
  <c r="D203" i="2"/>
  <c r="E203" i="2"/>
  <c r="F203" i="2"/>
  <c r="G203" i="2"/>
  <c r="H203" i="2"/>
  <c r="I203" i="2"/>
  <c r="J203" i="2"/>
  <c r="K203" i="2"/>
  <c r="L203" i="2"/>
  <c r="M203" i="2"/>
  <c r="N203" i="2"/>
  <c r="O203" i="2"/>
  <c r="P203" i="2"/>
  <c r="Q203" i="2"/>
  <c r="R203" i="2"/>
  <c r="C204" i="2"/>
  <c r="D204" i="2"/>
  <c r="E204" i="2"/>
  <c r="F204" i="2"/>
  <c r="G204" i="2"/>
  <c r="H204" i="2"/>
  <c r="I204" i="2"/>
  <c r="J204" i="2"/>
  <c r="K204" i="2"/>
  <c r="L204" i="2"/>
  <c r="M204" i="2"/>
  <c r="N204" i="2"/>
  <c r="O204" i="2"/>
  <c r="P204" i="2"/>
  <c r="Q204" i="2"/>
  <c r="R204" i="2"/>
  <c r="C205" i="2"/>
  <c r="D205" i="2"/>
  <c r="E205" i="2"/>
  <c r="F205" i="2"/>
  <c r="G205" i="2"/>
  <c r="H205" i="2"/>
  <c r="I205" i="2"/>
  <c r="J205" i="2"/>
  <c r="K205" i="2"/>
  <c r="L205" i="2"/>
  <c r="M205" i="2"/>
  <c r="N205" i="2"/>
  <c r="O205" i="2"/>
  <c r="P205" i="2"/>
  <c r="Q205" i="2"/>
  <c r="R205" i="2"/>
  <c r="C206" i="2"/>
  <c r="D206" i="2"/>
  <c r="E206" i="2"/>
  <c r="F206" i="2"/>
  <c r="G206" i="2"/>
  <c r="H206" i="2"/>
  <c r="I206" i="2"/>
  <c r="J206" i="2"/>
  <c r="K206" i="2"/>
  <c r="L206" i="2"/>
  <c r="M206" i="2"/>
  <c r="N206" i="2"/>
  <c r="O206" i="2"/>
  <c r="P206" i="2"/>
  <c r="Q206" i="2"/>
  <c r="R206" i="2"/>
  <c r="C207" i="2"/>
  <c r="D207" i="2"/>
  <c r="E207" i="2"/>
  <c r="F207" i="2"/>
  <c r="G207" i="2"/>
  <c r="H207" i="2"/>
  <c r="I207" i="2"/>
  <c r="J207" i="2"/>
  <c r="K207" i="2"/>
  <c r="L207" i="2"/>
  <c r="M207" i="2"/>
  <c r="N207" i="2"/>
  <c r="O207" i="2"/>
  <c r="P207" i="2"/>
  <c r="Q207" i="2"/>
  <c r="R207" i="2"/>
  <c r="C208" i="2"/>
  <c r="D208" i="2"/>
  <c r="E208" i="2"/>
  <c r="F208" i="2"/>
  <c r="G208" i="2"/>
  <c r="H208" i="2"/>
  <c r="I208" i="2"/>
  <c r="J208" i="2"/>
  <c r="K208" i="2"/>
  <c r="L208" i="2"/>
  <c r="M208" i="2"/>
  <c r="N208" i="2"/>
  <c r="O208" i="2"/>
  <c r="P208" i="2"/>
  <c r="Q208" i="2"/>
  <c r="R208" i="2"/>
  <c r="C209" i="2"/>
  <c r="D209" i="2"/>
  <c r="E209" i="2"/>
  <c r="F209" i="2"/>
  <c r="G209" i="2"/>
  <c r="H209" i="2"/>
  <c r="I209" i="2"/>
  <c r="J209" i="2"/>
  <c r="K209" i="2"/>
  <c r="L209" i="2"/>
  <c r="M209" i="2"/>
  <c r="N209" i="2"/>
  <c r="O209" i="2"/>
  <c r="P209" i="2"/>
  <c r="Q209" i="2"/>
  <c r="R209" i="2"/>
  <c r="C210" i="2"/>
  <c r="D210" i="2"/>
  <c r="E210" i="2"/>
  <c r="F210" i="2"/>
  <c r="G210" i="2"/>
  <c r="H210" i="2"/>
  <c r="I210" i="2"/>
  <c r="J210" i="2"/>
  <c r="K210" i="2"/>
  <c r="L210" i="2"/>
  <c r="M210" i="2"/>
  <c r="N210" i="2"/>
  <c r="O210" i="2"/>
  <c r="P210" i="2"/>
  <c r="Q210" i="2"/>
  <c r="R210"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110" i="2"/>
  <c r="B39" i="2"/>
  <c r="B38" i="2"/>
  <c r="B37" i="2"/>
  <c r="B36" i="2"/>
  <c r="B35" i="2"/>
  <c r="B34" i="2"/>
  <c r="B33" i="2"/>
  <c r="B32" i="2"/>
  <c r="B31" i="2"/>
  <c r="B30" i="2"/>
  <c r="B29" i="2"/>
  <c r="B28" i="2"/>
  <c r="B27" i="2"/>
  <c r="B26" i="2"/>
  <c r="B25" i="2"/>
  <c r="B24" i="2"/>
  <c r="B23" i="2"/>
  <c r="B22" i="2"/>
  <c r="B21" i="2"/>
  <c r="B20" i="2"/>
  <c r="B19" i="2"/>
  <c r="B18" i="2"/>
  <c r="B17" i="2"/>
  <c r="B16" i="2"/>
  <c r="B15" i="2"/>
  <c r="L364" i="10" l="1"/>
  <c r="K368" i="10"/>
  <c r="L344" i="10"/>
  <c r="K351" i="10"/>
  <c r="J111" i="2"/>
  <c r="C211" i="2"/>
  <c r="R111" i="2"/>
  <c r="E111" i="2"/>
  <c r="C251" i="2"/>
  <c r="C250" i="2"/>
  <c r="C249" i="2"/>
  <c r="C248" i="2"/>
  <c r="C247" i="2"/>
  <c r="C246" i="2"/>
  <c r="C245" i="2"/>
  <c r="C244" i="2"/>
  <c r="C243" i="2"/>
  <c r="D111" i="2"/>
  <c r="F211" i="2"/>
  <c r="G111" i="2"/>
  <c r="H211" i="2"/>
  <c r="E211" i="2"/>
  <c r="D211" i="2"/>
  <c r="K211" i="2"/>
  <c r="F111" i="2"/>
  <c r="M111" i="2"/>
  <c r="L211" i="2"/>
  <c r="G211" i="2"/>
  <c r="I111" i="2"/>
  <c r="H111" i="2"/>
  <c r="K111" i="2"/>
  <c r="N211" i="2"/>
  <c r="M211" i="2"/>
  <c r="P211" i="2"/>
  <c r="Q111" i="2"/>
  <c r="O111" i="2"/>
  <c r="N111" i="2"/>
  <c r="J211" i="2"/>
  <c r="R211" i="2"/>
  <c r="O211" i="2"/>
  <c r="I211" i="2"/>
  <c r="B7" i="2"/>
  <c r="M6" i="2"/>
  <c r="E6" i="2"/>
  <c r="M7" i="2"/>
  <c r="E7" i="2"/>
  <c r="L6" i="2"/>
  <c r="D6" i="2"/>
  <c r="L7" i="2"/>
  <c r="D7" i="2"/>
  <c r="L111" i="2"/>
  <c r="K6" i="2"/>
  <c r="C6" i="2"/>
  <c r="K7" i="2"/>
  <c r="C7" i="2"/>
  <c r="R6" i="2"/>
  <c r="J6" i="2"/>
  <c r="R7" i="2"/>
  <c r="J7" i="2"/>
  <c r="Q6" i="2"/>
  <c r="I6" i="2"/>
  <c r="Q7" i="2"/>
  <c r="I7" i="2"/>
  <c r="P111" i="2"/>
  <c r="P6" i="2"/>
  <c r="H6" i="2"/>
  <c r="P7" i="2"/>
  <c r="H7" i="2"/>
  <c r="O6" i="2"/>
  <c r="G6" i="2"/>
  <c r="O7" i="2"/>
  <c r="G7" i="2"/>
  <c r="Q211" i="2"/>
  <c r="N6" i="2"/>
  <c r="F6" i="2"/>
  <c r="N7" i="2"/>
  <c r="F7" i="2"/>
  <c r="X17" i="2"/>
  <c r="X25" i="2"/>
  <c r="X33" i="2"/>
  <c r="X41" i="2"/>
  <c r="X49" i="2"/>
  <c r="X57" i="2"/>
  <c r="X65" i="2"/>
  <c r="X73" i="2"/>
  <c r="X81" i="2"/>
  <c r="X89" i="2"/>
  <c r="X97" i="2"/>
  <c r="X105" i="2"/>
  <c r="X117" i="2"/>
  <c r="X125" i="2"/>
  <c r="X133" i="2"/>
  <c r="X141" i="2"/>
  <c r="X149" i="2"/>
  <c r="X22" i="2"/>
  <c r="X30" i="2"/>
  <c r="X38" i="2"/>
  <c r="X46" i="2"/>
  <c r="X54" i="2"/>
  <c r="X62" i="2"/>
  <c r="X70" i="2"/>
  <c r="X78" i="2"/>
  <c r="X86" i="2"/>
  <c r="X94" i="2"/>
  <c r="X102" i="2"/>
  <c r="X110" i="2"/>
  <c r="X122" i="2"/>
  <c r="X130" i="2"/>
  <c r="X138" i="2"/>
  <c r="X146" i="2"/>
  <c r="X154" i="2"/>
  <c r="X19" i="2"/>
  <c r="X27" i="2"/>
  <c r="X35" i="2"/>
  <c r="X43" i="2"/>
  <c r="X51" i="2"/>
  <c r="X59" i="2"/>
  <c r="X67" i="2"/>
  <c r="X75" i="2"/>
  <c r="X83" i="2"/>
  <c r="X91" i="2"/>
  <c r="X99" i="2"/>
  <c r="X107" i="2"/>
  <c r="X119" i="2"/>
  <c r="X127" i="2"/>
  <c r="X135" i="2"/>
  <c r="X143" i="2"/>
  <c r="X151" i="2"/>
  <c r="X16" i="2"/>
  <c r="X24" i="2"/>
  <c r="X32" i="2"/>
  <c r="X40" i="2"/>
  <c r="X48" i="2"/>
  <c r="X56" i="2"/>
  <c r="X64" i="2"/>
  <c r="X72" i="2"/>
  <c r="X80" i="2"/>
  <c r="X88" i="2"/>
  <c r="X96" i="2"/>
  <c r="X104" i="2"/>
  <c r="X116" i="2"/>
  <c r="X124" i="2"/>
  <c r="X132" i="2"/>
  <c r="X140" i="2"/>
  <c r="X148" i="2"/>
  <c r="X21" i="2"/>
  <c r="X29" i="2"/>
  <c r="X37" i="2"/>
  <c r="X45" i="2"/>
  <c r="X53" i="2"/>
  <c r="X61" i="2"/>
  <c r="X69" i="2"/>
  <c r="X77" i="2"/>
  <c r="X85" i="2"/>
  <c r="X93" i="2"/>
  <c r="X101" i="2"/>
  <c r="X109" i="2"/>
  <c r="X121" i="2"/>
  <c r="X129" i="2"/>
  <c r="X137" i="2"/>
  <c r="X145" i="2"/>
  <c r="X153" i="2"/>
  <c r="X18" i="2"/>
  <c r="X26" i="2"/>
  <c r="X34" i="2"/>
  <c r="X42" i="2"/>
  <c r="X50" i="2"/>
  <c r="X58" i="2"/>
  <c r="X66" i="2"/>
  <c r="X74" i="2"/>
  <c r="X82" i="2"/>
  <c r="X90" i="2"/>
  <c r="X98" i="2"/>
  <c r="X106" i="2"/>
  <c r="X118" i="2"/>
  <c r="X126" i="2"/>
  <c r="X134" i="2"/>
  <c r="X142" i="2"/>
  <c r="X150" i="2"/>
  <c r="X15" i="2"/>
  <c r="X23" i="2"/>
  <c r="X31" i="2"/>
  <c r="X39" i="2"/>
  <c r="X47" i="2"/>
  <c r="X55" i="2"/>
  <c r="X63" i="2"/>
  <c r="X71" i="2"/>
  <c r="X79" i="2"/>
  <c r="X87" i="2"/>
  <c r="X95" i="2"/>
  <c r="X103" i="2"/>
  <c r="X115" i="2"/>
  <c r="X123" i="2"/>
  <c r="X131" i="2"/>
  <c r="X139" i="2"/>
  <c r="X147" i="2"/>
  <c r="X155" i="2"/>
  <c r="X20" i="2"/>
  <c r="X28" i="2"/>
  <c r="X36" i="2"/>
  <c r="X44" i="2"/>
  <c r="X52" i="2"/>
  <c r="X60" i="2"/>
  <c r="X68" i="2"/>
  <c r="X76" i="2"/>
  <c r="X84" i="2"/>
  <c r="X92" i="2"/>
  <c r="X100" i="2"/>
  <c r="X108" i="2"/>
  <c r="X120" i="2"/>
  <c r="X128" i="2"/>
  <c r="X136" i="2"/>
  <c r="X144" i="2"/>
  <c r="X152" i="2"/>
  <c r="X157" i="2"/>
  <c r="X165" i="2"/>
  <c r="X173" i="2"/>
  <c r="X181" i="2"/>
  <c r="X189" i="2"/>
  <c r="X197" i="2"/>
  <c r="X205" i="2"/>
  <c r="X162" i="2"/>
  <c r="X170" i="2"/>
  <c r="X178" i="2"/>
  <c r="X186" i="2"/>
  <c r="X194" i="2"/>
  <c r="X202" i="2"/>
  <c r="X210" i="2"/>
  <c r="X159" i="2"/>
  <c r="X167" i="2"/>
  <c r="X175" i="2"/>
  <c r="X183" i="2"/>
  <c r="X191" i="2"/>
  <c r="X199" i="2"/>
  <c r="X207" i="2"/>
  <c r="X156" i="2"/>
  <c r="X164" i="2"/>
  <c r="X172" i="2"/>
  <c r="X180" i="2"/>
  <c r="X188" i="2"/>
  <c r="X196" i="2"/>
  <c r="X204" i="2"/>
  <c r="X161" i="2"/>
  <c r="X169" i="2"/>
  <c r="X177" i="2"/>
  <c r="X185" i="2"/>
  <c r="X193" i="2"/>
  <c r="X201" i="2"/>
  <c r="X209" i="2"/>
  <c r="X158" i="2"/>
  <c r="X166" i="2"/>
  <c r="X174" i="2"/>
  <c r="X182" i="2"/>
  <c r="X190" i="2"/>
  <c r="X198" i="2"/>
  <c r="X206" i="2"/>
  <c r="X163" i="2"/>
  <c r="X171" i="2"/>
  <c r="X179" i="2"/>
  <c r="X187" i="2"/>
  <c r="X195" i="2"/>
  <c r="X203" i="2"/>
  <c r="X160" i="2"/>
  <c r="X168" i="2"/>
  <c r="X176" i="2"/>
  <c r="X184" i="2"/>
  <c r="X192" i="2"/>
  <c r="X200" i="2"/>
  <c r="X208" i="2"/>
  <c r="W22" i="2"/>
  <c r="W30" i="2"/>
  <c r="W38" i="2"/>
  <c r="W46" i="2"/>
  <c r="W54" i="2"/>
  <c r="W62" i="2"/>
  <c r="W70" i="2"/>
  <c r="W78" i="2"/>
  <c r="W86" i="2"/>
  <c r="W94" i="2"/>
  <c r="W102" i="2"/>
  <c r="W110" i="2"/>
  <c r="W122" i="2"/>
  <c r="W130" i="2"/>
  <c r="W138" i="2"/>
  <c r="W146" i="2"/>
  <c r="W154" i="2"/>
  <c r="W19" i="2"/>
  <c r="W27" i="2"/>
  <c r="W35" i="2"/>
  <c r="W43" i="2"/>
  <c r="W51" i="2"/>
  <c r="W59" i="2"/>
  <c r="W67" i="2"/>
  <c r="W75" i="2"/>
  <c r="W83" i="2"/>
  <c r="W91" i="2"/>
  <c r="W99" i="2"/>
  <c r="W107" i="2"/>
  <c r="W119" i="2"/>
  <c r="W127" i="2"/>
  <c r="W135" i="2"/>
  <c r="W143" i="2"/>
  <c r="W151" i="2"/>
  <c r="W16" i="2"/>
  <c r="W24" i="2"/>
  <c r="W32" i="2"/>
  <c r="W40" i="2"/>
  <c r="W48" i="2"/>
  <c r="W56" i="2"/>
  <c r="W64" i="2"/>
  <c r="W72" i="2"/>
  <c r="W80" i="2"/>
  <c r="W88" i="2"/>
  <c r="W96" i="2"/>
  <c r="W104" i="2"/>
  <c r="W116" i="2"/>
  <c r="W124" i="2"/>
  <c r="W132" i="2"/>
  <c r="W140" i="2"/>
  <c r="W148" i="2"/>
  <c r="W156" i="2"/>
  <c r="W21" i="2"/>
  <c r="W29" i="2"/>
  <c r="W37" i="2"/>
  <c r="W45" i="2"/>
  <c r="W53" i="2"/>
  <c r="W61" i="2"/>
  <c r="W69" i="2"/>
  <c r="W77" i="2"/>
  <c r="W85" i="2"/>
  <c r="W93" i="2"/>
  <c r="W101" i="2"/>
  <c r="W109" i="2"/>
  <c r="W121" i="2"/>
  <c r="W129" i="2"/>
  <c r="W137" i="2"/>
  <c r="W145" i="2"/>
  <c r="W153" i="2"/>
  <c r="W18" i="2"/>
  <c r="W26" i="2"/>
  <c r="W34" i="2"/>
  <c r="W42" i="2"/>
  <c r="W50" i="2"/>
  <c r="W58" i="2"/>
  <c r="W66" i="2"/>
  <c r="W74" i="2"/>
  <c r="W82" i="2"/>
  <c r="W90" i="2"/>
  <c r="W98" i="2"/>
  <c r="W106" i="2"/>
  <c r="W118" i="2"/>
  <c r="W126" i="2"/>
  <c r="W134" i="2"/>
  <c r="W142" i="2"/>
  <c r="W150" i="2"/>
  <c r="W15" i="2"/>
  <c r="W23" i="2"/>
  <c r="W31" i="2"/>
  <c r="W39" i="2"/>
  <c r="W47" i="2"/>
  <c r="W55" i="2"/>
  <c r="W63" i="2"/>
  <c r="W71" i="2"/>
  <c r="W79" i="2"/>
  <c r="W87" i="2"/>
  <c r="W95" i="2"/>
  <c r="W103" i="2"/>
  <c r="W115" i="2"/>
  <c r="W123" i="2"/>
  <c r="W131" i="2"/>
  <c r="W139" i="2"/>
  <c r="W147" i="2"/>
  <c r="W155" i="2"/>
  <c r="W20" i="2"/>
  <c r="W28" i="2"/>
  <c r="W36" i="2"/>
  <c r="W44" i="2"/>
  <c r="W52" i="2"/>
  <c r="W60" i="2"/>
  <c r="W68" i="2"/>
  <c r="W76" i="2"/>
  <c r="W84" i="2"/>
  <c r="W92" i="2"/>
  <c r="W100" i="2"/>
  <c r="W108" i="2"/>
  <c r="W120" i="2"/>
  <c r="W128" i="2"/>
  <c r="W136" i="2"/>
  <c r="W144" i="2"/>
  <c r="W152" i="2"/>
  <c r="W17" i="2"/>
  <c r="W25" i="2"/>
  <c r="W33" i="2"/>
  <c r="W41" i="2"/>
  <c r="W49" i="2"/>
  <c r="W57" i="2"/>
  <c r="W65" i="2"/>
  <c r="W73" i="2"/>
  <c r="W81" i="2"/>
  <c r="W89" i="2"/>
  <c r="W97" i="2"/>
  <c r="W105" i="2"/>
  <c r="W117" i="2"/>
  <c r="W125" i="2"/>
  <c r="W133" i="2"/>
  <c r="W141" i="2"/>
  <c r="W149" i="2"/>
  <c r="W162" i="2"/>
  <c r="W170" i="2"/>
  <c r="W178" i="2"/>
  <c r="W186" i="2"/>
  <c r="W194" i="2"/>
  <c r="W202" i="2"/>
  <c r="W210" i="2"/>
  <c r="W159" i="2"/>
  <c r="W167" i="2"/>
  <c r="W175" i="2"/>
  <c r="W183" i="2"/>
  <c r="W191" i="2"/>
  <c r="W199" i="2"/>
  <c r="W207" i="2"/>
  <c r="W164" i="2"/>
  <c r="W172" i="2"/>
  <c r="W180" i="2"/>
  <c r="W188" i="2"/>
  <c r="W196" i="2"/>
  <c r="W204" i="2"/>
  <c r="W161" i="2"/>
  <c r="W169" i="2"/>
  <c r="W177" i="2"/>
  <c r="W185" i="2"/>
  <c r="W193" i="2"/>
  <c r="W201" i="2"/>
  <c r="W209" i="2"/>
  <c r="W158" i="2"/>
  <c r="W166" i="2"/>
  <c r="W174" i="2"/>
  <c r="W182" i="2"/>
  <c r="W190" i="2"/>
  <c r="W198" i="2"/>
  <c r="W206" i="2"/>
  <c r="W163" i="2"/>
  <c r="W171" i="2"/>
  <c r="W179" i="2"/>
  <c r="W187" i="2"/>
  <c r="W195" i="2"/>
  <c r="W203" i="2"/>
  <c r="W160" i="2"/>
  <c r="W168" i="2"/>
  <c r="W176" i="2"/>
  <c r="W184" i="2"/>
  <c r="W192" i="2"/>
  <c r="W200" i="2"/>
  <c r="W208" i="2"/>
  <c r="W157" i="2"/>
  <c r="W165" i="2"/>
  <c r="W173" i="2"/>
  <c r="W181" i="2"/>
  <c r="W189" i="2"/>
  <c r="W197" i="2"/>
  <c r="W205" i="2"/>
  <c r="V19" i="2"/>
  <c r="V27" i="2"/>
  <c r="V35" i="2"/>
  <c r="V43" i="2"/>
  <c r="V51" i="2"/>
  <c r="V59" i="2"/>
  <c r="V67" i="2"/>
  <c r="V75" i="2"/>
  <c r="V83" i="2"/>
  <c r="V91" i="2"/>
  <c r="V99" i="2"/>
  <c r="V107" i="2"/>
  <c r="V119" i="2"/>
  <c r="V127" i="2"/>
  <c r="V135" i="2"/>
  <c r="V143" i="2"/>
  <c r="V151" i="2"/>
  <c r="V16" i="2"/>
  <c r="V24" i="2"/>
  <c r="V32" i="2"/>
  <c r="V40" i="2"/>
  <c r="V48" i="2"/>
  <c r="V56" i="2"/>
  <c r="V64" i="2"/>
  <c r="V72" i="2"/>
  <c r="V80" i="2"/>
  <c r="V88" i="2"/>
  <c r="V96" i="2"/>
  <c r="V104" i="2"/>
  <c r="V116" i="2"/>
  <c r="V124" i="2"/>
  <c r="V132" i="2"/>
  <c r="V140" i="2"/>
  <c r="V148" i="2"/>
  <c r="V156" i="2"/>
  <c r="V21" i="2"/>
  <c r="V29" i="2"/>
  <c r="V37" i="2"/>
  <c r="V45" i="2"/>
  <c r="V53" i="2"/>
  <c r="V61" i="2"/>
  <c r="V69" i="2"/>
  <c r="V77" i="2"/>
  <c r="V85" i="2"/>
  <c r="V93" i="2"/>
  <c r="V101" i="2"/>
  <c r="V109" i="2"/>
  <c r="V121" i="2"/>
  <c r="V129" i="2"/>
  <c r="V137" i="2"/>
  <c r="V145" i="2"/>
  <c r="V153" i="2"/>
  <c r="V18" i="2"/>
  <c r="V26" i="2"/>
  <c r="V34" i="2"/>
  <c r="V42" i="2"/>
  <c r="V50" i="2"/>
  <c r="V58" i="2"/>
  <c r="V66" i="2"/>
  <c r="V74" i="2"/>
  <c r="V82" i="2"/>
  <c r="V90" i="2"/>
  <c r="V98" i="2"/>
  <c r="V106" i="2"/>
  <c r="V118" i="2"/>
  <c r="V126" i="2"/>
  <c r="V134" i="2"/>
  <c r="V142" i="2"/>
  <c r="V150" i="2"/>
  <c r="V15" i="2"/>
  <c r="V23" i="2"/>
  <c r="V31" i="2"/>
  <c r="V39" i="2"/>
  <c r="V47" i="2"/>
  <c r="V55" i="2"/>
  <c r="V63" i="2"/>
  <c r="V71" i="2"/>
  <c r="V79" i="2"/>
  <c r="V87" i="2"/>
  <c r="V95" i="2"/>
  <c r="V103" i="2"/>
  <c r="V115" i="2"/>
  <c r="V123" i="2"/>
  <c r="V131" i="2"/>
  <c r="V139" i="2"/>
  <c r="V147" i="2"/>
  <c r="V155" i="2"/>
  <c r="V20" i="2"/>
  <c r="V28" i="2"/>
  <c r="V36" i="2"/>
  <c r="V44" i="2"/>
  <c r="V52" i="2"/>
  <c r="V60" i="2"/>
  <c r="V68" i="2"/>
  <c r="V76" i="2"/>
  <c r="V84" i="2"/>
  <c r="V92" i="2"/>
  <c r="V100" i="2"/>
  <c r="V108" i="2"/>
  <c r="V120" i="2"/>
  <c r="V128" i="2"/>
  <c r="V136" i="2"/>
  <c r="V144" i="2"/>
  <c r="V152" i="2"/>
  <c r="V17" i="2"/>
  <c r="V25" i="2"/>
  <c r="V33" i="2"/>
  <c r="V41" i="2"/>
  <c r="V49" i="2"/>
  <c r="V57" i="2"/>
  <c r="V65" i="2"/>
  <c r="V73" i="2"/>
  <c r="V81" i="2"/>
  <c r="V89" i="2"/>
  <c r="V97" i="2"/>
  <c r="V105" i="2"/>
  <c r="V117" i="2"/>
  <c r="V125" i="2"/>
  <c r="V133" i="2"/>
  <c r="V141" i="2"/>
  <c r="V149" i="2"/>
  <c r="V22" i="2"/>
  <c r="V30" i="2"/>
  <c r="V38" i="2"/>
  <c r="V46" i="2"/>
  <c r="V54" i="2"/>
  <c r="V62" i="2"/>
  <c r="V70" i="2"/>
  <c r="V78" i="2"/>
  <c r="V86" i="2"/>
  <c r="V94" i="2"/>
  <c r="V102" i="2"/>
  <c r="V110" i="2"/>
  <c r="V122" i="2"/>
  <c r="V130" i="2"/>
  <c r="V138" i="2"/>
  <c r="V146" i="2"/>
  <c r="V154" i="2"/>
  <c r="V159" i="2"/>
  <c r="V167" i="2"/>
  <c r="V175" i="2"/>
  <c r="V183" i="2"/>
  <c r="V191" i="2"/>
  <c r="V199" i="2"/>
  <c r="V207" i="2"/>
  <c r="V164" i="2"/>
  <c r="V172" i="2"/>
  <c r="V180" i="2"/>
  <c r="V188" i="2"/>
  <c r="V196" i="2"/>
  <c r="V204" i="2"/>
  <c r="V161" i="2"/>
  <c r="V169" i="2"/>
  <c r="V177" i="2"/>
  <c r="V185" i="2"/>
  <c r="V193" i="2"/>
  <c r="V201" i="2"/>
  <c r="V209" i="2"/>
  <c r="V158" i="2"/>
  <c r="V166" i="2"/>
  <c r="V174" i="2"/>
  <c r="V182" i="2"/>
  <c r="V190" i="2"/>
  <c r="V198" i="2"/>
  <c r="V206" i="2"/>
  <c r="V163" i="2"/>
  <c r="V171" i="2"/>
  <c r="V179" i="2"/>
  <c r="V187" i="2"/>
  <c r="V195" i="2"/>
  <c r="V203" i="2"/>
  <c r="V160" i="2"/>
  <c r="V168" i="2"/>
  <c r="V176" i="2"/>
  <c r="V184" i="2"/>
  <c r="V192" i="2"/>
  <c r="V200" i="2"/>
  <c r="V208" i="2"/>
  <c r="V157" i="2"/>
  <c r="V165" i="2"/>
  <c r="V173" i="2"/>
  <c r="V181" i="2"/>
  <c r="V189" i="2"/>
  <c r="V197" i="2"/>
  <c r="V205" i="2"/>
  <c r="V162" i="2"/>
  <c r="V170" i="2"/>
  <c r="V178" i="2"/>
  <c r="V186" i="2"/>
  <c r="V194" i="2"/>
  <c r="V202" i="2"/>
  <c r="V210" i="2"/>
  <c r="U16" i="2"/>
  <c r="U24" i="2"/>
  <c r="U32" i="2"/>
  <c r="U40" i="2"/>
  <c r="U48" i="2"/>
  <c r="U56" i="2"/>
  <c r="U64" i="2"/>
  <c r="U72" i="2"/>
  <c r="U80" i="2"/>
  <c r="U88" i="2"/>
  <c r="U96" i="2"/>
  <c r="U104" i="2"/>
  <c r="U116" i="2"/>
  <c r="U124" i="2"/>
  <c r="U132" i="2"/>
  <c r="U140" i="2"/>
  <c r="U148" i="2"/>
  <c r="U156" i="2"/>
  <c r="U21" i="2"/>
  <c r="U29" i="2"/>
  <c r="U37" i="2"/>
  <c r="U45" i="2"/>
  <c r="U53" i="2"/>
  <c r="U61" i="2"/>
  <c r="U69" i="2"/>
  <c r="U77" i="2"/>
  <c r="U85" i="2"/>
  <c r="U93" i="2"/>
  <c r="U101" i="2"/>
  <c r="U109" i="2"/>
  <c r="U121" i="2"/>
  <c r="U129" i="2"/>
  <c r="U137" i="2"/>
  <c r="U145" i="2"/>
  <c r="U153" i="2"/>
  <c r="U18" i="2"/>
  <c r="U26" i="2"/>
  <c r="U34" i="2"/>
  <c r="U42" i="2"/>
  <c r="U50" i="2"/>
  <c r="U58" i="2"/>
  <c r="U66" i="2"/>
  <c r="U74" i="2"/>
  <c r="U82" i="2"/>
  <c r="U90" i="2"/>
  <c r="U98" i="2"/>
  <c r="U106" i="2"/>
  <c r="U118" i="2"/>
  <c r="U126" i="2"/>
  <c r="U134" i="2"/>
  <c r="U142" i="2"/>
  <c r="U150" i="2"/>
  <c r="U15" i="2"/>
  <c r="U23" i="2"/>
  <c r="U31" i="2"/>
  <c r="U39" i="2"/>
  <c r="U47" i="2"/>
  <c r="U55" i="2"/>
  <c r="U63" i="2"/>
  <c r="U71" i="2"/>
  <c r="U79" i="2"/>
  <c r="U87" i="2"/>
  <c r="U95" i="2"/>
  <c r="U103" i="2"/>
  <c r="U115" i="2"/>
  <c r="U123" i="2"/>
  <c r="U131" i="2"/>
  <c r="U139" i="2"/>
  <c r="U147" i="2"/>
  <c r="U155" i="2"/>
  <c r="U20" i="2"/>
  <c r="U28" i="2"/>
  <c r="U36" i="2"/>
  <c r="U44" i="2"/>
  <c r="U52" i="2"/>
  <c r="U60" i="2"/>
  <c r="U68" i="2"/>
  <c r="U76" i="2"/>
  <c r="U84" i="2"/>
  <c r="U92" i="2"/>
  <c r="U100" i="2"/>
  <c r="U108" i="2"/>
  <c r="U120" i="2"/>
  <c r="U128" i="2"/>
  <c r="U136" i="2"/>
  <c r="U144" i="2"/>
  <c r="U152" i="2"/>
  <c r="U17" i="2"/>
  <c r="U25" i="2"/>
  <c r="U33" i="2"/>
  <c r="U41" i="2"/>
  <c r="U49" i="2"/>
  <c r="U57" i="2"/>
  <c r="U65" i="2"/>
  <c r="U73" i="2"/>
  <c r="U81" i="2"/>
  <c r="U89" i="2"/>
  <c r="U97" i="2"/>
  <c r="U105" i="2"/>
  <c r="U117" i="2"/>
  <c r="U125" i="2"/>
  <c r="U133" i="2"/>
  <c r="U141" i="2"/>
  <c r="U149" i="2"/>
  <c r="U22" i="2"/>
  <c r="U30" i="2"/>
  <c r="U38" i="2"/>
  <c r="U46" i="2"/>
  <c r="U54" i="2"/>
  <c r="U62" i="2"/>
  <c r="U70" i="2"/>
  <c r="U78" i="2"/>
  <c r="U86" i="2"/>
  <c r="U94" i="2"/>
  <c r="U102" i="2"/>
  <c r="U110" i="2"/>
  <c r="U122" i="2"/>
  <c r="U130" i="2"/>
  <c r="U138" i="2"/>
  <c r="U146" i="2"/>
  <c r="U154" i="2"/>
  <c r="U19" i="2"/>
  <c r="U27" i="2"/>
  <c r="U35" i="2"/>
  <c r="U43" i="2"/>
  <c r="U51" i="2"/>
  <c r="U59" i="2"/>
  <c r="U67" i="2"/>
  <c r="U75" i="2"/>
  <c r="U83" i="2"/>
  <c r="U91" i="2"/>
  <c r="U99" i="2"/>
  <c r="U107" i="2"/>
  <c r="U119" i="2"/>
  <c r="U127" i="2"/>
  <c r="U135" i="2"/>
  <c r="U143" i="2"/>
  <c r="U151" i="2"/>
  <c r="U164" i="2"/>
  <c r="U172" i="2"/>
  <c r="U180" i="2"/>
  <c r="U188" i="2"/>
  <c r="U196" i="2"/>
  <c r="U204" i="2"/>
  <c r="U161" i="2"/>
  <c r="U169" i="2"/>
  <c r="U177" i="2"/>
  <c r="U185" i="2"/>
  <c r="U193" i="2"/>
  <c r="U201" i="2"/>
  <c r="U209" i="2"/>
  <c r="U158" i="2"/>
  <c r="U166" i="2"/>
  <c r="U174" i="2"/>
  <c r="U182" i="2"/>
  <c r="U190" i="2"/>
  <c r="U198" i="2"/>
  <c r="U206" i="2"/>
  <c r="U163" i="2"/>
  <c r="U171" i="2"/>
  <c r="U179" i="2"/>
  <c r="U187" i="2"/>
  <c r="U195" i="2"/>
  <c r="U203" i="2"/>
  <c r="U160" i="2"/>
  <c r="U168" i="2"/>
  <c r="U176" i="2"/>
  <c r="U184" i="2"/>
  <c r="U192" i="2"/>
  <c r="U200" i="2"/>
  <c r="U208" i="2"/>
  <c r="U157" i="2"/>
  <c r="U165" i="2"/>
  <c r="U173" i="2"/>
  <c r="U181" i="2"/>
  <c r="U189" i="2"/>
  <c r="U197" i="2"/>
  <c r="U205" i="2"/>
  <c r="U162" i="2"/>
  <c r="U170" i="2"/>
  <c r="U178" i="2"/>
  <c r="U186" i="2"/>
  <c r="U194" i="2"/>
  <c r="U202" i="2"/>
  <c r="U210" i="2"/>
  <c r="U159" i="2"/>
  <c r="U167" i="2"/>
  <c r="U175" i="2"/>
  <c r="U183" i="2"/>
  <c r="U191" i="2"/>
  <c r="U199" i="2"/>
  <c r="U207" i="2"/>
  <c r="M344" i="10" l="1"/>
  <c r="L351" i="10"/>
  <c r="L368" i="10"/>
  <c r="M364" i="10"/>
  <c r="C7" i="4"/>
  <c r="C42" i="4" s="1"/>
  <c r="B7" i="4"/>
  <c r="B41" i="4" s="1"/>
  <c r="D7" i="4"/>
  <c r="D43" i="4" s="1"/>
  <c r="E7" i="4"/>
  <c r="E44" i="4" s="1"/>
  <c r="F7" i="4"/>
  <c r="F45" i="4" s="1"/>
  <c r="X7" i="2"/>
  <c r="U211" i="2"/>
  <c r="U111" i="2"/>
  <c r="U6" i="2"/>
  <c r="V6" i="2"/>
  <c r="V211" i="2"/>
  <c r="V111" i="2"/>
  <c r="W211" i="2"/>
  <c r="W111" i="2"/>
  <c r="W6" i="2"/>
  <c r="X6" i="2"/>
  <c r="X111" i="2"/>
  <c r="U7" i="2"/>
  <c r="X211" i="2"/>
  <c r="V7" i="2"/>
  <c r="W7" i="2"/>
  <c r="B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B111" i="2"/>
  <c r="B6" i="2"/>
  <c r="X4" i="2"/>
  <c r="W4" i="2"/>
  <c r="V4" i="2"/>
  <c r="U4" i="2"/>
  <c r="R4" i="2"/>
  <c r="Q4" i="2"/>
  <c r="P4" i="2"/>
  <c r="O4" i="2"/>
  <c r="N4" i="2"/>
  <c r="M4" i="2"/>
  <c r="L4" i="2"/>
  <c r="K4" i="2"/>
  <c r="J4" i="2"/>
  <c r="I4" i="2"/>
  <c r="H4" i="2"/>
  <c r="G4" i="2"/>
  <c r="F4" i="2"/>
  <c r="E4" i="2"/>
  <c r="D4" i="2"/>
  <c r="C4" i="2"/>
  <c r="B4" i="2"/>
  <c r="N364" i="10" l="1"/>
  <c r="N368" i="10" s="1"/>
  <c r="M368" i="10"/>
  <c r="N344" i="10"/>
  <c r="N351" i="10" s="1"/>
  <c r="M351" i="10"/>
  <c r="E65" i="4"/>
  <c r="C89" i="4"/>
  <c r="C128" i="4"/>
  <c r="C65" i="4"/>
  <c r="C81" i="4"/>
  <c r="C15" i="4"/>
  <c r="C112" i="4"/>
  <c r="C62" i="4"/>
  <c r="C45" i="4"/>
  <c r="C100" i="4"/>
  <c r="C32" i="4"/>
  <c r="C64" i="4"/>
  <c r="C18" i="4"/>
  <c r="C86" i="4"/>
  <c r="C72" i="4"/>
  <c r="C145" i="4"/>
  <c r="C26" i="4"/>
  <c r="C37" i="4"/>
  <c r="C39" i="4"/>
  <c r="C113" i="4"/>
  <c r="C133" i="4"/>
  <c r="C75" i="4"/>
  <c r="C19" i="4"/>
  <c r="E48" i="4"/>
  <c r="B25" i="4"/>
  <c r="E20" i="4"/>
  <c r="B51" i="4"/>
  <c r="E102" i="4"/>
  <c r="B66" i="4"/>
  <c r="B14" i="4"/>
  <c r="B72" i="4"/>
  <c r="E34" i="4"/>
  <c r="E121" i="4"/>
  <c r="B45" i="4"/>
  <c r="B27" i="4"/>
  <c r="C35" i="4"/>
  <c r="E23" i="4"/>
  <c r="E80" i="4"/>
  <c r="E29" i="4"/>
  <c r="B89" i="4"/>
  <c r="E111" i="4"/>
  <c r="E25" i="4"/>
  <c r="B30" i="4"/>
  <c r="B16" i="4"/>
  <c r="B36" i="4"/>
  <c r="B131" i="4"/>
  <c r="E12" i="4"/>
  <c r="E31" i="4"/>
  <c r="E108" i="4"/>
  <c r="B40" i="4"/>
  <c r="E116" i="4"/>
  <c r="B83" i="4"/>
  <c r="E93" i="4"/>
  <c r="B19" i="4"/>
  <c r="B69" i="4"/>
  <c r="B127" i="4"/>
  <c r="B137" i="4"/>
  <c r="E103" i="4"/>
  <c r="E73" i="4"/>
  <c r="E139" i="4"/>
  <c r="E105" i="4"/>
  <c r="B67" i="4"/>
  <c r="B61" i="4"/>
  <c r="B122" i="4"/>
  <c r="E54" i="4"/>
  <c r="E89" i="4"/>
  <c r="B73" i="4"/>
  <c r="B29" i="4"/>
  <c r="E45" i="4"/>
  <c r="B105" i="4"/>
  <c r="B99" i="4"/>
  <c r="E40" i="4"/>
  <c r="B62" i="4"/>
  <c r="B26" i="4"/>
  <c r="E28" i="4"/>
  <c r="B56" i="4"/>
  <c r="B49" i="4"/>
  <c r="C27" i="4"/>
  <c r="C123" i="4"/>
  <c r="B65" i="4"/>
  <c r="B100" i="4"/>
  <c r="E70" i="4"/>
  <c r="E58" i="4"/>
  <c r="E137" i="4"/>
  <c r="B94" i="4"/>
  <c r="B87" i="4"/>
  <c r="C16" i="4"/>
  <c r="B47" i="4"/>
  <c r="B21" i="4"/>
  <c r="B10" i="4"/>
  <c r="B42" i="4"/>
  <c r="B145" i="4"/>
  <c r="B64" i="4"/>
  <c r="B82" i="4"/>
  <c r="B31" i="4"/>
  <c r="B117" i="4"/>
  <c r="B88" i="4"/>
  <c r="B110" i="4"/>
  <c r="B18" i="4"/>
  <c r="B13" i="4"/>
  <c r="B20" i="4"/>
  <c r="C94" i="4"/>
  <c r="B39" i="4"/>
  <c r="B98" i="4"/>
  <c r="B119" i="4"/>
  <c r="E69" i="4"/>
  <c r="C36" i="4"/>
  <c r="C136" i="4"/>
  <c r="B125" i="4"/>
  <c r="B57" i="4"/>
  <c r="B118" i="4"/>
  <c r="B97" i="4"/>
  <c r="C116" i="4"/>
  <c r="B28" i="4"/>
  <c r="C25" i="4"/>
  <c r="B33" i="4"/>
  <c r="B46" i="4"/>
  <c r="B141" i="4"/>
  <c r="B113" i="4"/>
  <c r="B48" i="4"/>
  <c r="F100" i="4"/>
  <c r="F42" i="4"/>
  <c r="F86" i="4"/>
  <c r="E51" i="4"/>
  <c r="E134" i="4"/>
  <c r="D89" i="4"/>
  <c r="D118" i="4"/>
  <c r="F50" i="4"/>
  <c r="F56" i="4"/>
  <c r="E17" i="4"/>
  <c r="D17" i="4"/>
  <c r="D113" i="4"/>
  <c r="F96" i="4"/>
  <c r="E85" i="4"/>
  <c r="E83" i="4"/>
  <c r="D42" i="4"/>
  <c r="F69" i="4"/>
  <c r="D82" i="4"/>
  <c r="F63" i="4"/>
  <c r="D72" i="4"/>
  <c r="B58" i="4"/>
  <c r="D87" i="4"/>
  <c r="C108" i="4"/>
  <c r="D109" i="4"/>
  <c r="C111" i="4"/>
  <c r="B109" i="4"/>
  <c r="B53" i="4"/>
  <c r="B108" i="4"/>
  <c r="F48" i="4"/>
  <c r="D138" i="4"/>
  <c r="F14" i="4"/>
  <c r="F99" i="4"/>
  <c r="F40" i="4"/>
  <c r="F80" i="4"/>
  <c r="F106" i="4"/>
  <c r="D40" i="4"/>
  <c r="D123" i="4"/>
  <c r="F94" i="4"/>
  <c r="D70" i="4"/>
  <c r="D126" i="4"/>
  <c r="D14" i="4"/>
  <c r="D80" i="4"/>
  <c r="F55" i="4"/>
  <c r="D33" i="4"/>
  <c r="D88" i="4"/>
  <c r="F90" i="4"/>
  <c r="D61" i="4"/>
  <c r="D16" i="4"/>
  <c r="D140" i="4"/>
  <c r="F83" i="4"/>
  <c r="D51" i="4"/>
  <c r="F125" i="4"/>
  <c r="F31" i="4"/>
  <c r="F137" i="4"/>
  <c r="D31" i="4"/>
  <c r="D136" i="4"/>
  <c r="F39" i="4"/>
  <c r="F109" i="4"/>
  <c r="D59" i="4"/>
  <c r="D131" i="4"/>
  <c r="F22" i="4"/>
  <c r="D47" i="4"/>
  <c r="D67" i="4"/>
  <c r="D141" i="4"/>
  <c r="D22" i="4"/>
  <c r="D111" i="4"/>
  <c r="D96" i="4"/>
  <c r="D104" i="4"/>
  <c r="C10" i="4"/>
  <c r="D19" i="4"/>
  <c r="F34" i="4"/>
  <c r="F20" i="4"/>
  <c r="E42" i="4"/>
  <c r="D20" i="4"/>
  <c r="F28" i="4"/>
  <c r="F114" i="4"/>
  <c r="E144" i="4"/>
  <c r="D97" i="4"/>
  <c r="D144" i="4"/>
  <c r="F11" i="4"/>
  <c r="D85" i="4"/>
  <c r="D105" i="4"/>
  <c r="D108" i="4"/>
  <c r="E64" i="4"/>
  <c r="D11" i="4"/>
  <c r="D116" i="4"/>
  <c r="D63" i="4"/>
  <c r="D119" i="4"/>
  <c r="D114" i="4"/>
  <c r="B38" i="4"/>
  <c r="B80" i="4"/>
  <c r="B44" i="4"/>
  <c r="B95" i="4"/>
  <c r="B90" i="4"/>
  <c r="B12" i="4"/>
  <c r="D133" i="4"/>
  <c r="F23" i="4"/>
  <c r="F139" i="4"/>
  <c r="D73" i="4"/>
  <c r="D29" i="4"/>
  <c r="F25" i="4"/>
  <c r="F127" i="4"/>
  <c r="D48" i="4"/>
  <c r="F75" i="4"/>
  <c r="D56" i="4"/>
  <c r="D121" i="4"/>
  <c r="F44" i="4"/>
  <c r="D75" i="4"/>
  <c r="D90" i="4"/>
  <c r="D124" i="4"/>
  <c r="D127" i="4"/>
  <c r="D28" i="4"/>
  <c r="F111" i="4"/>
  <c r="F59" i="4"/>
  <c r="D62" i="4"/>
  <c r="D26" i="4"/>
  <c r="F132" i="4"/>
  <c r="D37" i="4"/>
  <c r="F112" i="4"/>
  <c r="D36" i="4"/>
  <c r="D94" i="4"/>
  <c r="D134" i="4"/>
  <c r="F82" i="4"/>
  <c r="D55" i="4"/>
  <c r="D64" i="4"/>
  <c r="D41" i="4"/>
  <c r="D137" i="4"/>
  <c r="D60" i="4"/>
  <c r="F62" i="4"/>
  <c r="F91" i="4"/>
  <c r="D50" i="4"/>
  <c r="F12" i="4"/>
  <c r="F73" i="4"/>
  <c r="F116" i="4"/>
  <c r="F97" i="4"/>
  <c r="D100" i="4"/>
  <c r="D125" i="4"/>
  <c r="F53" i="4"/>
  <c r="D39" i="4"/>
  <c r="D34" i="4"/>
  <c r="F135" i="4"/>
  <c r="D25" i="4"/>
  <c r="D45" i="4"/>
  <c r="F120" i="4"/>
  <c r="D91" i="4"/>
  <c r="D30" i="4"/>
  <c r="C68" i="4"/>
  <c r="C12" i="4"/>
  <c r="C21" i="4"/>
  <c r="C117" i="4"/>
  <c r="C51" i="4"/>
  <c r="F58" i="4"/>
  <c r="F140" i="4"/>
  <c r="C28" i="4"/>
  <c r="C34" i="4"/>
  <c r="F130" i="4"/>
  <c r="E53" i="4"/>
  <c r="F27" i="4"/>
  <c r="C102" i="4"/>
  <c r="C126" i="4"/>
  <c r="C61" i="4"/>
  <c r="C134" i="4"/>
  <c r="D57" i="4"/>
  <c r="C60" i="4"/>
  <c r="C69" i="4"/>
  <c r="C63" i="4"/>
  <c r="C57" i="4"/>
  <c r="B111" i="4"/>
  <c r="B142" i="4"/>
  <c r="Y4" i="2"/>
  <c r="C17" i="4"/>
  <c r="C23" i="4"/>
  <c r="E66" i="4"/>
  <c r="E127" i="4"/>
  <c r="F16" i="4"/>
  <c r="C44" i="4"/>
  <c r="C53" i="4"/>
  <c r="C131" i="4"/>
  <c r="F98" i="4"/>
  <c r="D112" i="4"/>
  <c r="C99" i="4"/>
  <c r="C139" i="4"/>
  <c r="D84" i="4"/>
  <c r="C66" i="4"/>
  <c r="C83" i="4"/>
  <c r="B22" i="4"/>
  <c r="B135" i="4"/>
  <c r="B143" i="4"/>
  <c r="B144" i="4"/>
  <c r="B115" i="4"/>
  <c r="C24" i="4"/>
  <c r="B84" i="4"/>
  <c r="B63" i="4"/>
  <c r="C124" i="4"/>
  <c r="C95" i="4"/>
  <c r="B116" i="4"/>
  <c r="B114" i="4"/>
  <c r="C103" i="4"/>
  <c r="C71" i="4"/>
  <c r="C40" i="4"/>
  <c r="C70" i="4"/>
  <c r="C130" i="4"/>
  <c r="F93" i="4"/>
  <c r="F133" i="4"/>
  <c r="C82" i="4"/>
  <c r="C91" i="4"/>
  <c r="C144" i="4"/>
  <c r="D98" i="4"/>
  <c r="C52" i="4"/>
  <c r="C58" i="4"/>
  <c r="C104" i="4"/>
  <c r="C14" i="4"/>
  <c r="C80" i="4"/>
  <c r="B11" i="4"/>
  <c r="B112" i="4"/>
  <c r="B107" i="4"/>
  <c r="B104" i="4"/>
  <c r="B133" i="4"/>
  <c r="C13" i="4"/>
  <c r="B101" i="4"/>
  <c r="B81" i="4"/>
  <c r="B54" i="4"/>
  <c r="B139" i="4"/>
  <c r="C54" i="4"/>
  <c r="C114" i="4"/>
  <c r="C122" i="4"/>
  <c r="C59" i="4"/>
  <c r="C143" i="4"/>
  <c r="C33" i="4"/>
  <c r="C50" i="4"/>
  <c r="F123" i="4"/>
  <c r="D49" i="4"/>
  <c r="C90" i="4"/>
  <c r="C96" i="4"/>
  <c r="C98" i="4"/>
  <c r="C67" i="4"/>
  <c r="C31" i="4"/>
  <c r="B75" i="4"/>
  <c r="B130" i="4"/>
  <c r="B120" i="4"/>
  <c r="B24" i="4"/>
  <c r="B52" i="4"/>
  <c r="B60" i="4"/>
  <c r="B32" i="4"/>
  <c r="C120" i="4"/>
  <c r="C92" i="4"/>
  <c r="C127" i="4"/>
  <c r="C20" i="4"/>
  <c r="C135" i="4"/>
  <c r="C97" i="4"/>
  <c r="C110" i="4"/>
  <c r="E52" i="4"/>
  <c r="C22" i="4"/>
  <c r="C41" i="4"/>
  <c r="C47" i="4"/>
  <c r="F65" i="4"/>
  <c r="E118" i="4"/>
  <c r="C87" i="4"/>
  <c r="C105" i="4"/>
  <c r="C138" i="4"/>
  <c r="C129" i="4"/>
  <c r="B71" i="4"/>
  <c r="B37" i="4"/>
  <c r="C125" i="4"/>
  <c r="C43" i="4"/>
  <c r="C132" i="4"/>
  <c r="C73" i="4"/>
  <c r="C29" i="4"/>
  <c r="C140" i="4"/>
  <c r="C48" i="4"/>
  <c r="C115" i="4"/>
  <c r="F19" i="4"/>
  <c r="E22" i="4"/>
  <c r="F74" i="4"/>
  <c r="E109" i="4"/>
  <c r="C11" i="4"/>
  <c r="C88" i="4"/>
  <c r="C30" i="4"/>
  <c r="C85" i="4"/>
  <c r="F144" i="4"/>
  <c r="C38" i="4"/>
  <c r="C93" i="4"/>
  <c r="B132" i="4"/>
  <c r="B140" i="4"/>
  <c r="C56" i="4"/>
  <c r="C118" i="4"/>
  <c r="B102" i="4"/>
  <c r="B96" i="4"/>
  <c r="B138" i="4"/>
  <c r="C101" i="4"/>
  <c r="B93" i="4"/>
  <c r="B92" i="4"/>
  <c r="C142" i="4"/>
  <c r="B106" i="4"/>
  <c r="C84" i="4"/>
  <c r="B34" i="4"/>
  <c r="B59" i="4"/>
  <c r="E74" i="4"/>
  <c r="E72" i="4"/>
  <c r="F60" i="4"/>
  <c r="F35" i="4"/>
  <c r="E18" i="4"/>
  <c r="E38" i="4"/>
  <c r="E110" i="4"/>
  <c r="F81" i="4"/>
  <c r="E15" i="4"/>
  <c r="E46" i="4"/>
  <c r="E120" i="4"/>
  <c r="E128" i="4"/>
  <c r="D103" i="4"/>
  <c r="D130" i="4"/>
  <c r="F51" i="4"/>
  <c r="F129" i="4"/>
  <c r="E92" i="4"/>
  <c r="F17" i="4"/>
  <c r="F119" i="4"/>
  <c r="E62" i="4"/>
  <c r="E136" i="4"/>
  <c r="F67" i="4"/>
  <c r="F145" i="4"/>
  <c r="E59" i="4"/>
  <c r="E129" i="4"/>
  <c r="F47" i="4"/>
  <c r="F64" i="4"/>
  <c r="E96" i="4"/>
  <c r="E14" i="4"/>
  <c r="E119" i="4"/>
  <c r="D139" i="4"/>
  <c r="F66" i="4"/>
  <c r="F41" i="4"/>
  <c r="F143" i="4"/>
  <c r="E82" i="4"/>
  <c r="E91" i="4"/>
  <c r="D93" i="4"/>
  <c r="D102" i="4"/>
  <c r="F101" i="4"/>
  <c r="F115" i="4"/>
  <c r="E63" i="4"/>
  <c r="E61" i="4"/>
  <c r="D101" i="4"/>
  <c r="D99" i="4"/>
  <c r="E71" i="4"/>
  <c r="E27" i="4"/>
  <c r="E115" i="4"/>
  <c r="D38" i="4"/>
  <c r="D132" i="4"/>
  <c r="F32" i="4"/>
  <c r="E84" i="4"/>
  <c r="E125" i="4"/>
  <c r="D68" i="4"/>
  <c r="D24" i="4"/>
  <c r="D122" i="4"/>
  <c r="C74" i="4"/>
  <c r="B123" i="4"/>
  <c r="C109" i="4"/>
  <c r="E133" i="4"/>
  <c r="D54" i="4"/>
  <c r="D143" i="4"/>
  <c r="C46" i="4"/>
  <c r="B121" i="4"/>
  <c r="B124" i="4"/>
  <c r="B17" i="4"/>
  <c r="F37" i="4"/>
  <c r="F89" i="4"/>
  <c r="F142" i="4"/>
  <c r="F70" i="4"/>
  <c r="F124" i="4"/>
  <c r="E100" i="4"/>
  <c r="E141" i="4"/>
  <c r="F88" i="4"/>
  <c r="F105" i="4"/>
  <c r="E50" i="4"/>
  <c r="E97" i="4"/>
  <c r="E142" i="4"/>
  <c r="D86" i="4"/>
  <c r="F85" i="4"/>
  <c r="F102" i="4"/>
  <c r="E47" i="4"/>
  <c r="E67" i="4"/>
  <c r="E124" i="4"/>
  <c r="D83" i="4"/>
  <c r="F104" i="4"/>
  <c r="F30" i="4"/>
  <c r="F110" i="4"/>
  <c r="E33" i="4"/>
  <c r="E114" i="4"/>
  <c r="D44" i="4"/>
  <c r="D53" i="4"/>
  <c r="F13" i="4"/>
  <c r="F52" i="4"/>
  <c r="F128" i="4"/>
  <c r="E101" i="4"/>
  <c r="E99" i="4"/>
  <c r="D52" i="4"/>
  <c r="D58" i="4"/>
  <c r="F24" i="4"/>
  <c r="E60" i="4"/>
  <c r="E16" i="4"/>
  <c r="D71" i="4"/>
  <c r="D27" i="4"/>
  <c r="D145" i="4"/>
  <c r="C121" i="4"/>
  <c r="F68" i="4"/>
  <c r="F131" i="4"/>
  <c r="E35" i="4"/>
  <c r="E138" i="4"/>
  <c r="D106" i="4"/>
  <c r="D13" i="4"/>
  <c r="D135" i="4"/>
  <c r="C49" i="4"/>
  <c r="C55" i="4"/>
  <c r="B50" i="4"/>
  <c r="C141" i="4"/>
  <c r="B91" i="4"/>
  <c r="B85" i="4"/>
  <c r="B43" i="4"/>
  <c r="B55" i="4"/>
  <c r="B128" i="4"/>
  <c r="C119" i="4"/>
  <c r="B35" i="4"/>
  <c r="B74" i="4"/>
  <c r="B136" i="4"/>
  <c r="B103" i="4"/>
  <c r="E113" i="4"/>
  <c r="D92" i="4"/>
  <c r="D110" i="4"/>
  <c r="C137" i="4"/>
  <c r="B15" i="4"/>
  <c r="B134" i="4"/>
  <c r="B129" i="4"/>
  <c r="B70" i="4"/>
  <c r="E126" i="4"/>
  <c r="D81" i="4"/>
  <c r="D115" i="4"/>
  <c r="E88" i="4"/>
  <c r="E86" i="4"/>
  <c r="F36" i="4"/>
  <c r="F117" i="4"/>
  <c r="E56" i="4"/>
  <c r="F72" i="4"/>
  <c r="E104" i="4"/>
  <c r="E11" i="4"/>
  <c r="E132" i="4"/>
  <c r="F49" i="4"/>
  <c r="F138" i="4"/>
  <c r="E90" i="4"/>
  <c r="E122" i="4"/>
  <c r="F57" i="4"/>
  <c r="F136" i="4"/>
  <c r="E112" i="4"/>
  <c r="D69" i="4"/>
  <c r="F29" i="4"/>
  <c r="F103" i="4"/>
  <c r="F108" i="4"/>
  <c r="E68" i="4"/>
  <c r="E24" i="4"/>
  <c r="E123" i="4"/>
  <c r="D95" i="4"/>
  <c r="D107" i="4"/>
  <c r="E43" i="4"/>
  <c r="E131" i="4"/>
  <c r="D32" i="4"/>
  <c r="D128" i="4"/>
  <c r="E39" i="4"/>
  <c r="E37" i="4"/>
  <c r="F61" i="4"/>
  <c r="F33" i="4"/>
  <c r="F122" i="4"/>
  <c r="E36" i="4"/>
  <c r="E94" i="4"/>
  <c r="F107" i="4"/>
  <c r="E55" i="4"/>
  <c r="E75" i="4"/>
  <c r="E145" i="4"/>
  <c r="F10" i="4"/>
  <c r="F87" i="4"/>
  <c r="F118" i="4"/>
  <c r="E41" i="4"/>
  <c r="E135" i="4"/>
  <c r="F21" i="4"/>
  <c r="F95" i="4"/>
  <c r="F141" i="4"/>
  <c r="E98" i="4"/>
  <c r="E117" i="4"/>
  <c r="D66" i="4"/>
  <c r="F26" i="4"/>
  <c r="F54" i="4"/>
  <c r="F121" i="4"/>
  <c r="E106" i="4"/>
  <c r="E13" i="4"/>
  <c r="D15" i="4"/>
  <c r="D46" i="4"/>
  <c r="D10" i="4"/>
  <c r="D120" i="4"/>
  <c r="E81" i="4"/>
  <c r="D23" i="4"/>
  <c r="D21" i="4"/>
  <c r="F38" i="4"/>
  <c r="E10" i="4"/>
  <c r="E30" i="4"/>
  <c r="E140" i="4"/>
  <c r="F18" i="4"/>
  <c r="F46" i="4"/>
  <c r="F113" i="4"/>
  <c r="E49" i="4"/>
  <c r="E130" i="4"/>
  <c r="F15" i="4"/>
  <c r="F92" i="4"/>
  <c r="F134" i="4"/>
  <c r="E57" i="4"/>
  <c r="D129" i="4"/>
  <c r="E32" i="4"/>
  <c r="D12" i="4"/>
  <c r="D18" i="4"/>
  <c r="C106" i="4"/>
  <c r="B126" i="4"/>
  <c r="B68" i="4"/>
  <c r="B23" i="4"/>
  <c r="C107" i="4"/>
  <c r="B86" i="4"/>
  <c r="E19" i="4"/>
  <c r="E107" i="4"/>
  <c r="F71" i="4"/>
  <c r="F84" i="4"/>
  <c r="F126" i="4"/>
  <c r="E87" i="4"/>
  <c r="E143" i="4"/>
  <c r="F43" i="4"/>
  <c r="E26" i="4"/>
  <c r="E95" i="4"/>
  <c r="D35" i="4"/>
  <c r="D74" i="4"/>
  <c r="D142" i="4"/>
  <c r="E21" i="4"/>
  <c r="D65" i="4"/>
  <c r="D117" i="4"/>
  <c r="F5" i="2"/>
  <c r="N5" i="2"/>
  <c r="V5" i="2"/>
  <c r="Y6" i="2"/>
  <c r="Y7" i="2"/>
  <c r="Z119" i="2"/>
  <c r="Z121" i="2"/>
  <c r="Z141" i="2"/>
  <c r="Z151" i="2"/>
  <c r="Z153" i="2"/>
  <c r="Z155" i="2"/>
  <c r="Z165" i="2"/>
  <c r="Z170" i="2"/>
  <c r="Z193" i="2"/>
  <c r="Z198" i="2"/>
  <c r="Z202" i="2"/>
  <c r="Z34" i="2"/>
  <c r="Z44" i="2"/>
  <c r="Z49" i="2"/>
  <c r="Z60" i="2"/>
  <c r="Z69" i="2"/>
  <c r="Z115" i="2"/>
  <c r="Z140" i="2"/>
  <c r="Z145" i="2"/>
  <c r="Z149" i="2"/>
  <c r="Z162" i="2"/>
  <c r="Z174" i="2"/>
  <c r="Z177" i="2"/>
  <c r="Z180" i="2"/>
  <c r="Z187" i="2"/>
  <c r="Z194" i="2"/>
  <c r="Z203" i="2"/>
  <c r="Z209" i="2"/>
  <c r="Z16" i="2"/>
  <c r="Z19" i="2"/>
  <c r="Z38" i="2"/>
  <c r="Z42" i="2"/>
  <c r="Z52" i="2"/>
  <c r="Z55" i="2"/>
  <c r="Z58" i="2"/>
  <c r="Z64" i="2"/>
  <c r="Z125" i="2"/>
  <c r="Z127" i="2"/>
  <c r="Z132" i="2"/>
  <c r="Z134" i="2"/>
  <c r="Z137" i="2"/>
  <c r="Z183" i="2"/>
  <c r="Z190" i="2"/>
  <c r="Z195" i="2"/>
  <c r="Z204" i="2"/>
  <c r="Z28" i="2"/>
  <c r="Z35" i="2"/>
  <c r="Z50" i="2"/>
  <c r="Z67" i="2"/>
  <c r="Z72" i="2"/>
  <c r="Z116" i="2"/>
  <c r="Z122" i="2"/>
  <c r="Z128" i="2"/>
  <c r="Z130" i="2"/>
  <c r="Z138" i="2"/>
  <c r="Z143" i="2"/>
  <c r="Z146" i="2"/>
  <c r="Z152" i="2"/>
  <c r="Z156" i="2"/>
  <c r="Z159" i="2"/>
  <c r="Z163" i="2"/>
  <c r="Z166" i="2"/>
  <c r="Z168" i="2"/>
  <c r="Z171" i="2"/>
  <c r="Z175" i="2"/>
  <c r="Z178" i="2"/>
  <c r="Z181" i="2"/>
  <c r="Z191" i="2"/>
  <c r="Z199" i="2"/>
  <c r="Z207" i="2"/>
  <c r="Z210" i="2"/>
  <c r="Z17" i="2"/>
  <c r="Z20" i="2"/>
  <c r="Z31" i="2"/>
  <c r="Z40" i="2"/>
  <c r="Z56" i="2"/>
  <c r="Z61" i="2"/>
  <c r="Z70" i="2"/>
  <c r="Z117" i="2"/>
  <c r="Z120" i="2"/>
  <c r="Z123" i="2"/>
  <c r="Z135" i="2"/>
  <c r="Z147" i="2"/>
  <c r="Z157" i="2"/>
  <c r="Z164" i="2"/>
  <c r="Z188" i="2"/>
  <c r="Z196" i="2"/>
  <c r="Z23" i="2"/>
  <c r="Z26" i="2"/>
  <c r="Z29" i="2"/>
  <c r="Z32" i="2"/>
  <c r="Z36" i="2"/>
  <c r="Z43" i="2"/>
  <c r="Z45" i="2"/>
  <c r="Z47" i="2"/>
  <c r="Z53" i="2"/>
  <c r="Z68" i="2"/>
  <c r="Z126" i="2"/>
  <c r="Z142" i="2"/>
  <c r="Z148" i="2"/>
  <c r="Z150" i="2"/>
  <c r="Z154" i="2"/>
  <c r="Z160" i="2"/>
  <c r="Z172" i="2"/>
  <c r="Z182" i="2"/>
  <c r="Z184" i="2"/>
  <c r="Z200" i="2"/>
  <c r="Z205" i="2"/>
  <c r="Z21" i="2"/>
  <c r="Z51" i="2"/>
  <c r="Z57" i="2"/>
  <c r="Z59" i="2"/>
  <c r="Z62" i="2"/>
  <c r="Z65" i="2"/>
  <c r="Z118" i="2"/>
  <c r="Z131" i="2"/>
  <c r="Z133" i="2"/>
  <c r="Z136" i="2"/>
  <c r="Z144" i="2"/>
  <c r="Z167" i="2"/>
  <c r="Z179" i="2"/>
  <c r="Z185" i="2"/>
  <c r="Z192" i="2"/>
  <c r="Z197" i="2"/>
  <c r="Z208" i="2"/>
  <c r="Z18" i="2"/>
  <c r="Z24" i="2"/>
  <c r="Z33" i="2"/>
  <c r="Z37" i="2"/>
  <c r="Z48" i="2"/>
  <c r="Z71" i="2"/>
  <c r="Z173" i="2"/>
  <c r="Z201" i="2"/>
  <c r="Z41" i="2"/>
  <c r="Z63" i="2"/>
  <c r="Z82" i="2"/>
  <c r="Z87" i="2"/>
  <c r="Z100" i="2"/>
  <c r="Z108" i="2"/>
  <c r="Z176" i="2"/>
  <c r="Z206" i="2"/>
  <c r="Z22" i="2"/>
  <c r="Z66" i="2"/>
  <c r="Z79" i="2"/>
  <c r="Z93" i="2"/>
  <c r="Z96" i="2"/>
  <c r="Z104" i="2"/>
  <c r="Z25" i="2"/>
  <c r="Z46" i="2"/>
  <c r="Z75" i="2"/>
  <c r="Z90" i="2"/>
  <c r="Z101" i="2"/>
  <c r="Z105" i="2"/>
  <c r="Z109" i="2"/>
  <c r="Z139" i="2"/>
  <c r="Z158" i="2"/>
  <c r="Z27" i="2"/>
  <c r="Z76" i="2"/>
  <c r="Z80" i="2"/>
  <c r="Z83" i="2"/>
  <c r="Z88" i="2"/>
  <c r="Z97" i="2"/>
  <c r="Z102" i="2"/>
  <c r="Z129" i="2"/>
  <c r="Z103" i="2"/>
  <c r="Z161" i="2"/>
  <c r="Z186" i="2"/>
  <c r="Z30" i="2"/>
  <c r="Z73" i="2"/>
  <c r="Z77" i="2"/>
  <c r="Z84" i="2"/>
  <c r="Z91" i="2"/>
  <c r="Z94" i="2"/>
  <c r="Z106" i="2"/>
  <c r="Z110" i="2"/>
  <c r="Z74" i="2"/>
  <c r="Z92" i="2"/>
  <c r="Z124" i="2"/>
  <c r="Z189" i="2"/>
  <c r="Z54" i="2"/>
  <c r="Z85" i="2"/>
  <c r="Z98" i="2"/>
  <c r="Z169" i="2"/>
  <c r="Z39" i="2"/>
  <c r="Z99" i="2"/>
  <c r="Z78" i="2"/>
  <c r="Z86" i="2"/>
  <c r="Z89" i="2"/>
  <c r="Z95" i="2"/>
  <c r="Z15" i="2"/>
  <c r="Z81" i="2"/>
  <c r="Z107" i="2"/>
  <c r="K5" i="2"/>
  <c r="D5" i="2"/>
  <c r="L5" i="2"/>
  <c r="I5" i="2"/>
  <c r="Q5" i="2"/>
  <c r="C5" i="2"/>
  <c r="E5" i="2"/>
  <c r="M5" i="2"/>
  <c r="U5" i="2"/>
  <c r="G5" i="2"/>
  <c r="O5" i="2"/>
  <c r="W5" i="2"/>
  <c r="H5" i="2"/>
  <c r="P5" i="2"/>
  <c r="X5" i="2"/>
  <c r="J5" i="2"/>
  <c r="R5" i="2"/>
  <c r="H139" i="4" l="1"/>
  <c r="H93" i="4"/>
  <c r="H40" i="4"/>
  <c r="H69" i="4"/>
  <c r="H14" i="4"/>
  <c r="H23" i="4"/>
  <c r="H53" i="4"/>
  <c r="H31" i="4"/>
  <c r="Y5" i="2"/>
  <c r="H106" i="4"/>
  <c r="H96" i="4"/>
  <c r="H140" i="4"/>
  <c r="H91" i="4"/>
  <c r="H44" i="4"/>
  <c r="H113" i="4"/>
  <c r="H83" i="4"/>
  <c r="H74" i="4"/>
  <c r="H73" i="4"/>
  <c r="H42" i="4"/>
  <c r="H137" i="4"/>
  <c r="H127" i="4"/>
  <c r="H94" i="4"/>
  <c r="D146" i="4"/>
  <c r="H100" i="4"/>
  <c r="H34" i="4"/>
  <c r="H20" i="4"/>
  <c r="H62" i="4"/>
  <c r="H126" i="4"/>
  <c r="C146" i="4"/>
  <c r="H103" i="4"/>
  <c r="H86" i="4"/>
  <c r="C4" i="4"/>
  <c r="C6" i="4" s="1"/>
  <c r="H134" i="4"/>
  <c r="E146" i="4"/>
  <c r="H87" i="4"/>
  <c r="H114" i="4"/>
  <c r="H65" i="4"/>
  <c r="B146" i="4"/>
  <c r="H24" i="4"/>
  <c r="H48" i="4"/>
  <c r="H98" i="4"/>
  <c r="H111" i="4"/>
  <c r="H68" i="4"/>
  <c r="H26" i="4"/>
  <c r="H97" i="4"/>
  <c r="H72" i="4"/>
  <c r="B4" i="4"/>
  <c r="B6" i="4" s="1"/>
  <c r="H105" i="4"/>
  <c r="H37" i="4"/>
  <c r="C76" i="4"/>
  <c r="H32" i="4"/>
  <c r="H143" i="4"/>
  <c r="H47" i="4"/>
  <c r="H122" i="4"/>
  <c r="H71" i="4"/>
  <c r="H15" i="4"/>
  <c r="E76" i="4"/>
  <c r="E4" i="4"/>
  <c r="H12" i="4"/>
  <c r="H57" i="4"/>
  <c r="H55" i="4"/>
  <c r="H58" i="4"/>
  <c r="F146" i="4"/>
  <c r="H38" i="4"/>
  <c r="H95" i="4"/>
  <c r="H123" i="4"/>
  <c r="H112" i="4"/>
  <c r="H52" i="4"/>
  <c r="H110" i="4"/>
  <c r="H85" i="4"/>
  <c r="H41" i="4"/>
  <c r="B76" i="4"/>
  <c r="H75" i="4"/>
  <c r="H80" i="4"/>
  <c r="H45" i="4"/>
  <c r="H121" i="4"/>
  <c r="H21" i="4"/>
  <c r="H108" i="4"/>
  <c r="H28" i="4"/>
  <c r="H13" i="4"/>
  <c r="H30" i="4"/>
  <c r="H124" i="4"/>
  <c r="H115" i="4"/>
  <c r="H66" i="4"/>
  <c r="H129" i="4"/>
  <c r="H50" i="4"/>
  <c r="H43" i="4"/>
  <c r="H27" i="4"/>
  <c r="H120" i="4"/>
  <c r="H54" i="4"/>
  <c r="H107" i="4"/>
  <c r="H109" i="4"/>
  <c r="H138" i="4"/>
  <c r="H117" i="4"/>
  <c r="H59" i="4"/>
  <c r="H133" i="4"/>
  <c r="H56" i="4"/>
  <c r="H131" i="4"/>
  <c r="H104" i="4"/>
  <c r="H70" i="4"/>
  <c r="H101" i="4"/>
  <c r="H145" i="4"/>
  <c r="H51" i="4"/>
  <c r="H35" i="4"/>
  <c r="H130" i="4"/>
  <c r="H46" i="4"/>
  <c r="H25" i="4"/>
  <c r="H49" i="4"/>
  <c r="H36" i="4"/>
  <c r="H90" i="4"/>
  <c r="H142" i="4"/>
  <c r="H67" i="4"/>
  <c r="H116" i="4"/>
  <c r="H60" i="4"/>
  <c r="H82" i="4"/>
  <c r="H29" i="4"/>
  <c r="H39" i="4"/>
  <c r="H125" i="4"/>
  <c r="H18" i="4"/>
  <c r="H135" i="4"/>
  <c r="D4" i="4"/>
  <c r="D76" i="4"/>
  <c r="H118" i="4"/>
  <c r="H89" i="4"/>
  <c r="H84" i="4"/>
  <c r="H92" i="4"/>
  <c r="H99" i="4"/>
  <c r="F76" i="4"/>
  <c r="F4" i="4"/>
  <c r="H33" i="4"/>
  <c r="H136" i="4"/>
  <c r="H144" i="4"/>
  <c r="H19" i="4"/>
  <c r="H88" i="4"/>
  <c r="H64" i="4"/>
  <c r="H119" i="4"/>
  <c r="H81" i="4"/>
  <c r="H16" i="4"/>
  <c r="H22" i="4"/>
  <c r="H11" i="4"/>
  <c r="H141" i="4"/>
  <c r="H61" i="4"/>
  <c r="H128" i="4"/>
  <c r="H102" i="4"/>
  <c r="H17" i="4"/>
  <c r="H63" i="4"/>
  <c r="H132" i="4"/>
  <c r="AA84" i="2"/>
  <c r="AA139" i="2"/>
  <c r="AA104" i="2"/>
  <c r="AA71" i="2"/>
  <c r="AA118" i="2"/>
  <c r="AA32" i="2"/>
  <c r="AA147" i="2"/>
  <c r="AA181" i="2"/>
  <c r="AA156" i="2"/>
  <c r="AA116" i="2"/>
  <c r="AA190" i="2"/>
  <c r="AA203" i="2"/>
  <c r="AA145" i="2"/>
  <c r="AA202" i="2"/>
  <c r="AA77" i="2"/>
  <c r="AA97" i="2"/>
  <c r="AA96" i="2"/>
  <c r="AA48" i="2"/>
  <c r="AA185" i="2"/>
  <c r="AA65" i="2"/>
  <c r="AA184" i="2"/>
  <c r="AA135" i="2"/>
  <c r="AA31" i="2"/>
  <c r="AA55" i="2"/>
  <c r="AA194" i="2"/>
  <c r="AA121" i="2"/>
  <c r="AA124" i="2"/>
  <c r="AA129" i="2"/>
  <c r="AA158" i="2"/>
  <c r="AA173" i="2"/>
  <c r="AA176" i="2"/>
  <c r="AA189" i="2"/>
  <c r="AA206" i="2"/>
  <c r="AA15" i="2"/>
  <c r="AA22" i="2"/>
  <c r="AA30" i="2"/>
  <c r="AA39" i="2"/>
  <c r="AA46" i="2"/>
  <c r="AA54" i="2"/>
  <c r="AA63" i="2"/>
  <c r="AA119" i="2"/>
  <c r="AA141" i="2"/>
  <c r="AA151" i="2"/>
  <c r="AA153" i="2"/>
  <c r="AA155" i="2"/>
  <c r="AA170" i="2"/>
  <c r="AA198" i="2"/>
  <c r="AA49" i="2"/>
  <c r="AA60" i="2"/>
  <c r="AA69" i="2"/>
  <c r="AA115" i="2"/>
  <c r="AA140" i="2"/>
  <c r="AA177" i="2"/>
  <c r="AA16" i="2"/>
  <c r="AA38" i="2"/>
  <c r="AA52" i="2"/>
  <c r="AA58" i="2"/>
  <c r="AA125" i="2"/>
  <c r="AA132" i="2"/>
  <c r="AA183" i="2"/>
  <c r="AA204" i="2"/>
  <c r="AA35" i="2"/>
  <c r="AA50" i="2"/>
  <c r="AA72" i="2"/>
  <c r="AA143" i="2"/>
  <c r="AA152" i="2"/>
  <c r="AA166" i="2"/>
  <c r="AA168" i="2"/>
  <c r="AA171" i="2"/>
  <c r="AA175" i="2"/>
  <c r="AA178" i="2"/>
  <c r="AA191" i="2"/>
  <c r="AA207" i="2"/>
  <c r="AA210" i="2"/>
  <c r="AA17" i="2"/>
  <c r="AA40" i="2"/>
  <c r="AA56" i="2"/>
  <c r="AA61" i="2"/>
  <c r="AA117" i="2"/>
  <c r="AA157" i="2"/>
  <c r="AA164" i="2"/>
  <c r="AA196" i="2"/>
  <c r="AA29" i="2"/>
  <c r="AA36" i="2"/>
  <c r="AA47" i="2"/>
  <c r="AA53" i="2"/>
  <c r="AA68" i="2"/>
  <c r="AA126" i="2"/>
  <c r="AA142" i="2"/>
  <c r="AA148" i="2"/>
  <c r="AA200" i="2"/>
  <c r="AA59" i="2"/>
  <c r="AA131" i="2"/>
  <c r="AA92" i="2"/>
  <c r="AA133" i="2"/>
  <c r="AA100" i="2"/>
  <c r="AA108" i="2"/>
  <c r="AA208" i="2"/>
  <c r="AA79" i="2"/>
  <c r="AA105" i="2"/>
  <c r="AA109" i="2"/>
  <c r="AA86" i="2"/>
  <c r="AA80" i="2"/>
  <c r="AA102" i="2"/>
  <c r="AA91" i="2"/>
  <c r="AA94" i="2"/>
  <c r="AA106" i="2"/>
  <c r="AA110" i="2"/>
  <c r="AA78" i="2"/>
  <c r="AA89" i="2"/>
  <c r="AA144" i="2"/>
  <c r="AA167" i="2"/>
  <c r="AA192" i="2"/>
  <c r="AA98" i="2"/>
  <c r="AA95" i="2"/>
  <c r="AA99" i="2"/>
  <c r="AA73" i="2"/>
  <c r="AA88" i="2"/>
  <c r="AA93" i="2"/>
  <c r="AA87" i="2"/>
  <c r="AA37" i="2"/>
  <c r="AA179" i="2"/>
  <c r="AA62" i="2"/>
  <c r="AB62" i="2" s="1"/>
  <c r="AA182" i="2"/>
  <c r="AA26" i="2"/>
  <c r="AA123" i="2"/>
  <c r="AA20" i="2"/>
  <c r="AA146" i="2"/>
  <c r="AA67" i="2"/>
  <c r="AA137" i="2"/>
  <c r="AA187" i="2"/>
  <c r="Z211" i="2"/>
  <c r="AA193" i="2"/>
  <c r="AA107" i="2"/>
  <c r="AA74" i="2"/>
  <c r="Z6" i="2"/>
  <c r="AA83" i="2"/>
  <c r="AA101" i="2"/>
  <c r="AA82" i="2"/>
  <c r="AA33" i="2"/>
  <c r="AA172" i="2"/>
  <c r="AA23" i="2"/>
  <c r="AA120" i="2"/>
  <c r="AA134" i="2"/>
  <c r="AA42" i="2"/>
  <c r="AA180" i="2"/>
  <c r="AA81" i="2"/>
  <c r="AA169" i="2"/>
  <c r="AA186" i="2"/>
  <c r="AA90" i="2"/>
  <c r="AA66" i="2"/>
  <c r="AA24" i="2"/>
  <c r="AA57" i="2"/>
  <c r="AA160" i="2"/>
  <c r="AA138" i="2"/>
  <c r="AA165" i="2"/>
  <c r="Z111" i="2"/>
  <c r="Z7" i="2"/>
  <c r="Z4" i="2"/>
  <c r="AA161" i="2"/>
  <c r="AA76" i="2"/>
  <c r="AA75" i="2"/>
  <c r="AA41" i="2"/>
  <c r="AA18" i="2"/>
  <c r="AA136" i="2"/>
  <c r="AA51" i="2"/>
  <c r="AA154" i="2"/>
  <c r="AA45" i="2"/>
  <c r="AA188" i="2"/>
  <c r="AA70" i="2"/>
  <c r="AA130" i="2"/>
  <c r="AA28" i="2"/>
  <c r="AA127" i="2"/>
  <c r="AA19" i="2"/>
  <c r="AA174" i="2"/>
  <c r="AA85" i="2"/>
  <c r="AA103" i="2"/>
  <c r="AA27" i="2"/>
  <c r="AA201" i="2"/>
  <c r="AA21" i="2"/>
  <c r="AA150" i="2"/>
  <c r="AA43" i="2"/>
  <c r="AA199" i="2"/>
  <c r="AA163" i="2"/>
  <c r="AA128" i="2"/>
  <c r="AA162" i="2"/>
  <c r="AA44" i="2"/>
  <c r="AA25" i="2"/>
  <c r="AA197" i="2"/>
  <c r="AA205" i="2"/>
  <c r="AA159" i="2"/>
  <c r="AA122" i="2"/>
  <c r="AA195" i="2"/>
  <c r="AA64" i="2"/>
  <c r="AA209" i="2"/>
  <c r="AA149" i="2"/>
  <c r="AA34" i="2"/>
  <c r="T6" i="1"/>
  <c r="U6" i="1"/>
  <c r="V6" i="1"/>
  <c r="W6" i="1"/>
  <c r="X6" i="1"/>
  <c r="Y6" i="1"/>
  <c r="Z6" i="1"/>
  <c r="AA6" i="1"/>
  <c r="AB6" i="1"/>
  <c r="AC6" i="1"/>
  <c r="AD6" i="1"/>
  <c r="AE6" i="1"/>
  <c r="AF7" i="1" s="1"/>
  <c r="AF6" i="1"/>
  <c r="AG6" i="1"/>
  <c r="AH6" i="1"/>
  <c r="AI6" i="1"/>
  <c r="AJ7" i="1" s="1"/>
  <c r="T8" i="1"/>
  <c r="U8" i="1"/>
  <c r="U9" i="1" s="1"/>
  <c r="V8" i="1"/>
  <c r="W8" i="1"/>
  <c r="X8" i="1"/>
  <c r="Y8" i="1"/>
  <c r="Z8" i="1"/>
  <c r="AA8" i="1"/>
  <c r="AB8" i="1"/>
  <c r="AC8" i="1"/>
  <c r="AD8" i="1"/>
  <c r="AE8" i="1"/>
  <c r="AF8" i="1"/>
  <c r="AG8" i="1"/>
  <c r="AH8" i="1"/>
  <c r="AI8" i="1"/>
  <c r="T111" i="1"/>
  <c r="U111" i="1"/>
  <c r="V111" i="1"/>
  <c r="W111" i="1"/>
  <c r="X111" i="1"/>
  <c r="Y111" i="1"/>
  <c r="Z111" i="1"/>
  <c r="AA111" i="1"/>
  <c r="AB111" i="1"/>
  <c r="AC111" i="1"/>
  <c r="AD111" i="1"/>
  <c r="AE111" i="1"/>
  <c r="AF111" i="1"/>
  <c r="AG111" i="1"/>
  <c r="AH111" i="1"/>
  <c r="AI111" i="1"/>
  <c r="T211" i="1"/>
  <c r="U211" i="1"/>
  <c r="V211" i="1"/>
  <c r="W211" i="1"/>
  <c r="X211" i="1"/>
  <c r="Y211" i="1"/>
  <c r="Z211" i="1"/>
  <c r="AA211" i="1"/>
  <c r="AB211" i="1"/>
  <c r="AC211" i="1"/>
  <c r="AD211" i="1"/>
  <c r="AE211" i="1"/>
  <c r="AF211" i="1"/>
  <c r="AG211" i="1"/>
  <c r="AH211" i="1"/>
  <c r="AI211" i="1"/>
  <c r="D6" i="1"/>
  <c r="E6" i="1"/>
  <c r="E7" i="1" s="1"/>
  <c r="F6" i="1"/>
  <c r="G6" i="1"/>
  <c r="H6" i="1"/>
  <c r="I6" i="1"/>
  <c r="J6" i="1"/>
  <c r="K7" i="1" s="1"/>
  <c r="K6" i="1"/>
  <c r="L6" i="1"/>
  <c r="M6" i="1"/>
  <c r="M7" i="1" s="1"/>
  <c r="N6" i="1"/>
  <c r="O6" i="1"/>
  <c r="P6" i="1"/>
  <c r="Q6" i="1"/>
  <c r="R6" i="1"/>
  <c r="S6" i="1"/>
  <c r="D8" i="1"/>
  <c r="E8" i="1"/>
  <c r="F8" i="1"/>
  <c r="G8" i="1"/>
  <c r="H8" i="1"/>
  <c r="I8" i="1"/>
  <c r="J8" i="1"/>
  <c r="K8" i="1"/>
  <c r="L8" i="1"/>
  <c r="M8" i="1"/>
  <c r="N8" i="1"/>
  <c r="O8" i="1"/>
  <c r="P8" i="1"/>
  <c r="Q8" i="1"/>
  <c r="R8" i="1"/>
  <c r="S8" i="1"/>
  <c r="C6" i="1"/>
  <c r="D7" i="1" s="1"/>
  <c r="C8" i="1"/>
  <c r="B8" i="1"/>
  <c r="B6" i="1"/>
  <c r="C211" i="1"/>
  <c r="D211" i="1"/>
  <c r="E211" i="1"/>
  <c r="F211" i="1"/>
  <c r="G211" i="1"/>
  <c r="H211" i="1"/>
  <c r="I211" i="1"/>
  <c r="J211" i="1"/>
  <c r="K211" i="1"/>
  <c r="L211" i="1"/>
  <c r="M211" i="1"/>
  <c r="N211" i="1"/>
  <c r="O211" i="1"/>
  <c r="P211" i="1"/>
  <c r="Q211" i="1"/>
  <c r="R211" i="1"/>
  <c r="S211" i="1"/>
  <c r="B211" i="1"/>
  <c r="C111" i="1"/>
  <c r="D111" i="1"/>
  <c r="E111" i="1"/>
  <c r="F111" i="1"/>
  <c r="G111" i="1"/>
  <c r="H111" i="1"/>
  <c r="I111" i="1"/>
  <c r="J111" i="1"/>
  <c r="K111" i="1"/>
  <c r="L111" i="1"/>
  <c r="M111" i="1"/>
  <c r="N111" i="1"/>
  <c r="O111" i="1"/>
  <c r="P111" i="1"/>
  <c r="Q111" i="1"/>
  <c r="R111" i="1"/>
  <c r="S111" i="1"/>
  <c r="B111"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1"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1"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 i="1"/>
  <c r="A9" i="1"/>
  <c r="AE7" i="1" l="1"/>
  <c r="X7" i="1"/>
  <c r="T9" i="1"/>
  <c r="AI9" i="1"/>
  <c r="AJ9" i="1"/>
  <c r="AE9" i="1"/>
  <c r="Z351" i="1"/>
  <c r="AC7" i="1"/>
  <c r="N9" i="1"/>
  <c r="G9" i="1"/>
  <c r="AH7" i="1"/>
  <c r="Y7" i="1"/>
  <c r="K9" i="1"/>
  <c r="AB9" i="1"/>
  <c r="AC9" i="1"/>
  <c r="AA9" i="1"/>
  <c r="O18" i="39"/>
  <c r="O21" i="39"/>
  <c r="AF9" i="1"/>
  <c r="X9" i="1"/>
  <c r="AI7" i="1"/>
  <c r="AA7" i="1"/>
  <c r="Z7" i="1"/>
  <c r="E9" i="1"/>
  <c r="S7" i="1"/>
  <c r="P7" i="1"/>
  <c r="H7" i="1"/>
  <c r="T7" i="1"/>
  <c r="C9" i="1"/>
  <c r="AC10" i="1"/>
  <c r="AC12" i="1" s="1"/>
  <c r="U10" i="1"/>
  <c r="AB10" i="1"/>
  <c r="AB12" i="1" s="1"/>
  <c r="T10" i="1"/>
  <c r="T12" i="1" s="1"/>
  <c r="P9" i="1"/>
  <c r="H9" i="1"/>
  <c r="AD7" i="1"/>
  <c r="V7" i="1"/>
  <c r="AI10" i="1"/>
  <c r="AA10" i="1"/>
  <c r="AA12" i="1" s="1"/>
  <c r="V10" i="1"/>
  <c r="V12" i="1" s="1"/>
  <c r="V9" i="1"/>
  <c r="AH10" i="1"/>
  <c r="AH12" i="1" s="1"/>
  <c r="Z10" i="1"/>
  <c r="Z12" i="1" s="1"/>
  <c r="AG7" i="1"/>
  <c r="AG10" i="1"/>
  <c r="AG12" i="1" s="1"/>
  <c r="Y10" i="1"/>
  <c r="Y12" i="1" s="1"/>
  <c r="AD10" i="1"/>
  <c r="AD12" i="1" s="1"/>
  <c r="N7" i="1"/>
  <c r="G7" i="1"/>
  <c r="AH281" i="1"/>
  <c r="Z281" i="1"/>
  <c r="AE10" i="1"/>
  <c r="W10" i="1"/>
  <c r="W12" i="1" s="1"/>
  <c r="AH351" i="1"/>
  <c r="I139" i="4"/>
  <c r="I69" i="4"/>
  <c r="AB201" i="2"/>
  <c r="AB130" i="2"/>
  <c r="AB81" i="2"/>
  <c r="AB82" i="2"/>
  <c r="I40" i="4"/>
  <c r="I14" i="4"/>
  <c r="I93" i="4"/>
  <c r="I23" i="4"/>
  <c r="I53" i="4"/>
  <c r="I31" i="4"/>
  <c r="I24" i="4"/>
  <c r="I44" i="4"/>
  <c r="I94" i="4"/>
  <c r="I103" i="4"/>
  <c r="I72" i="4"/>
  <c r="I100" i="4"/>
  <c r="I140" i="4"/>
  <c r="I86" i="4"/>
  <c r="I137" i="4"/>
  <c r="I83" i="4"/>
  <c r="I114" i="4"/>
  <c r="I106" i="4"/>
  <c r="I74" i="4"/>
  <c r="I91" i="4"/>
  <c r="I20" i="4"/>
  <c r="I73" i="4"/>
  <c r="I109" i="4"/>
  <c r="I127" i="4"/>
  <c r="I142" i="4"/>
  <c r="I141" i="4"/>
  <c r="I37" i="4"/>
  <c r="I48" i="4"/>
  <c r="I38" i="4"/>
  <c r="I32" i="4"/>
  <c r="I68" i="4"/>
  <c r="I34" i="4"/>
  <c r="I126" i="4"/>
  <c r="I97" i="4"/>
  <c r="I143" i="4"/>
  <c r="I26" i="4"/>
  <c r="AB162" i="2"/>
  <c r="AB27" i="2"/>
  <c r="AB160" i="2"/>
  <c r="AB101" i="2"/>
  <c r="AB137" i="2"/>
  <c r="AB179" i="2"/>
  <c r="AB128" i="2"/>
  <c r="AB76" i="2"/>
  <c r="AB83" i="2"/>
  <c r="AB67" i="2"/>
  <c r="I98" i="4"/>
  <c r="AB122" i="2"/>
  <c r="AB163" i="2"/>
  <c r="AB85" i="2"/>
  <c r="AB161" i="2"/>
  <c r="AB24" i="2"/>
  <c r="AB134" i="2"/>
  <c r="AB146" i="2"/>
  <c r="I63" i="4"/>
  <c r="C5" i="4"/>
  <c r="AB199" i="2"/>
  <c r="AB154" i="2"/>
  <c r="AB66" i="2"/>
  <c r="AB20" i="2"/>
  <c r="I17" i="4"/>
  <c r="I110" i="4"/>
  <c r="I55" i="4"/>
  <c r="AB19" i="2"/>
  <c r="AB90" i="2"/>
  <c r="AB23" i="2"/>
  <c r="I47" i="4"/>
  <c r="I135" i="4"/>
  <c r="AB197" i="2"/>
  <c r="AB127" i="2"/>
  <c r="AB186" i="2"/>
  <c r="AB172" i="2"/>
  <c r="I117" i="4"/>
  <c r="I43" i="4"/>
  <c r="AB149" i="2"/>
  <c r="AB21" i="2"/>
  <c r="AB28" i="2"/>
  <c r="AB18" i="2"/>
  <c r="AB165" i="2"/>
  <c r="AB169" i="2"/>
  <c r="AB99" i="2"/>
  <c r="AB78" i="2"/>
  <c r="AB109" i="2"/>
  <c r="AB131" i="2"/>
  <c r="I105" i="4"/>
  <c r="I134" i="4"/>
  <c r="I64" i="4"/>
  <c r="I101" i="4"/>
  <c r="U12" i="1"/>
  <c r="F7" i="1"/>
  <c r="AD9" i="1"/>
  <c r="AG281" i="1"/>
  <c r="Y281" i="1"/>
  <c r="I11" i="4"/>
  <c r="I88" i="4"/>
  <c r="H10" i="4"/>
  <c r="G4" i="4"/>
  <c r="I18" i="4"/>
  <c r="I115" i="4"/>
  <c r="I45" i="4"/>
  <c r="C7" i="1"/>
  <c r="D9" i="1"/>
  <c r="M9" i="1"/>
  <c r="AB281" i="1"/>
  <c r="T281" i="1"/>
  <c r="AC351" i="1"/>
  <c r="U351" i="1"/>
  <c r="AB70" i="2"/>
  <c r="AB75" i="2"/>
  <c r="I19" i="4"/>
  <c r="I99" i="4"/>
  <c r="I89" i="4"/>
  <c r="I125" i="4"/>
  <c r="I82" i="4"/>
  <c r="I90" i="4"/>
  <c r="I130" i="4"/>
  <c r="I131" i="4"/>
  <c r="I107" i="4"/>
  <c r="I87" i="4"/>
  <c r="I124" i="4"/>
  <c r="I52" i="4"/>
  <c r="I57" i="4"/>
  <c r="I62" i="4"/>
  <c r="L9" i="1"/>
  <c r="O7" i="1"/>
  <c r="L7" i="1"/>
  <c r="AE281" i="1"/>
  <c r="W281" i="1"/>
  <c r="AF351" i="1"/>
  <c r="X351" i="1"/>
  <c r="I102" i="4"/>
  <c r="I22" i="4"/>
  <c r="I144" i="4"/>
  <c r="I92" i="4"/>
  <c r="I39" i="4"/>
  <c r="I60" i="4"/>
  <c r="I36" i="4"/>
  <c r="I35" i="4"/>
  <c r="I56" i="4"/>
  <c r="I54" i="4"/>
  <c r="I30" i="4"/>
  <c r="I80" i="4"/>
  <c r="H146" i="4"/>
  <c r="I112" i="4"/>
  <c r="I12" i="4"/>
  <c r="O9" i="1"/>
  <c r="W7" i="1"/>
  <c r="AI351" i="1"/>
  <c r="AA351" i="1"/>
  <c r="I128" i="4"/>
  <c r="I16" i="4"/>
  <c r="I136" i="4"/>
  <c r="I84" i="4"/>
  <c r="I116" i="4"/>
  <c r="I49" i="4"/>
  <c r="I51" i="4"/>
  <c r="I133" i="4"/>
  <c r="I120" i="4"/>
  <c r="I50" i="4"/>
  <c r="I13" i="4"/>
  <c r="I75" i="4"/>
  <c r="I123" i="4"/>
  <c r="E6" i="4"/>
  <c r="E5" i="4"/>
  <c r="I96" i="4"/>
  <c r="F9" i="1"/>
  <c r="Q9" i="1"/>
  <c r="I9" i="1"/>
  <c r="Q7" i="1"/>
  <c r="I7" i="1"/>
  <c r="AG9" i="1"/>
  <c r="Y9" i="1"/>
  <c r="AC281" i="1"/>
  <c r="U281" i="1"/>
  <c r="AD351" i="1"/>
  <c r="V351" i="1"/>
  <c r="Z5" i="2"/>
  <c r="I132" i="4"/>
  <c r="I65" i="4"/>
  <c r="I81" i="4"/>
  <c r="I42" i="4"/>
  <c r="J42" i="4" s="1"/>
  <c r="I118" i="4"/>
  <c r="I29" i="4"/>
  <c r="I67" i="4"/>
  <c r="I25" i="4"/>
  <c r="I145" i="4"/>
  <c r="I59" i="4"/>
  <c r="I113" i="4"/>
  <c r="I28" i="4"/>
  <c r="I95" i="4"/>
  <c r="W9" i="1"/>
  <c r="U7" i="1"/>
  <c r="AF281" i="1"/>
  <c r="X281" i="1"/>
  <c r="AG351" i="1"/>
  <c r="Y351" i="1"/>
  <c r="I119" i="4"/>
  <c r="I33" i="4"/>
  <c r="I108" i="4"/>
  <c r="I15" i="4"/>
  <c r="AI281" i="1"/>
  <c r="AA281" i="1"/>
  <c r="AB351" i="1"/>
  <c r="T351" i="1"/>
  <c r="I61" i="4"/>
  <c r="F6" i="4"/>
  <c r="F5" i="4"/>
  <c r="I111" i="4"/>
  <c r="D6" i="4"/>
  <c r="D5" i="4"/>
  <c r="I46" i="4"/>
  <c r="I70" i="4"/>
  <c r="I138" i="4"/>
  <c r="I27" i="4"/>
  <c r="I129" i="4"/>
  <c r="I21" i="4"/>
  <c r="I41" i="4"/>
  <c r="I122" i="4"/>
  <c r="AD281" i="1"/>
  <c r="V281" i="1"/>
  <c r="AE351" i="1"/>
  <c r="W351" i="1"/>
  <c r="AF10" i="1"/>
  <c r="AF12" i="1" s="1"/>
  <c r="X10" i="1"/>
  <c r="X12" i="1" s="1"/>
  <c r="I104" i="4"/>
  <c r="I66" i="4"/>
  <c r="I121" i="4"/>
  <c r="I85" i="4"/>
  <c r="I58" i="4"/>
  <c r="I71" i="4"/>
  <c r="AB34" i="2"/>
  <c r="AB89" i="2"/>
  <c r="AB86" i="2"/>
  <c r="AB92" i="2"/>
  <c r="AB61" i="2"/>
  <c r="AB175" i="2"/>
  <c r="AB35" i="2"/>
  <c r="AB16" i="2"/>
  <c r="AB170" i="2"/>
  <c r="AB173" i="2"/>
  <c r="AB31" i="2"/>
  <c r="AB147" i="2"/>
  <c r="AB42" i="2"/>
  <c r="AB47" i="2"/>
  <c r="AB56" i="2"/>
  <c r="AB171" i="2"/>
  <c r="AB177" i="2"/>
  <c r="AB155" i="2"/>
  <c r="AB39" i="2"/>
  <c r="AB158" i="2"/>
  <c r="AB135" i="2"/>
  <c r="AB202" i="2"/>
  <c r="AB167" i="2"/>
  <c r="AB25" i="2"/>
  <c r="AB129" i="2"/>
  <c r="AB22" i="2"/>
  <c r="AB44" i="2"/>
  <c r="AB46" i="2"/>
  <c r="AB141" i="2"/>
  <c r="AB153" i="2"/>
  <c r="AB174" i="2"/>
  <c r="AB187" i="2"/>
  <c r="AB209" i="2"/>
  <c r="AB64" i="2"/>
  <c r="AB140" i="2"/>
  <c r="AB195" i="2"/>
  <c r="AB38" i="2"/>
  <c r="AB58" i="2"/>
  <c r="AB138" i="2"/>
  <c r="AB159" i="2"/>
  <c r="AB204" i="2"/>
  <c r="AB120" i="2"/>
  <c r="AB152" i="2"/>
  <c r="AB168" i="2"/>
  <c r="AB188" i="2"/>
  <c r="AB207" i="2"/>
  <c r="AB210" i="2"/>
  <c r="AB43" i="2"/>
  <c r="AB45" i="2"/>
  <c r="AB150" i="2"/>
  <c r="AB182" i="2"/>
  <c r="AB205" i="2"/>
  <c r="AB29" i="2"/>
  <c r="AB51" i="2"/>
  <c r="AC51" i="2" s="1"/>
  <c r="AB53" i="2"/>
  <c r="AB57" i="2"/>
  <c r="AB74" i="2"/>
  <c r="AB103" i="2"/>
  <c r="AB136" i="2"/>
  <c r="AB96" i="2"/>
  <c r="AB88" i="2"/>
  <c r="AB97" i="2"/>
  <c r="AC97" i="2" s="1"/>
  <c r="AB148" i="2"/>
  <c r="AB73" i="2"/>
  <c r="AB77" i="2"/>
  <c r="AB102" i="2"/>
  <c r="AB37" i="2"/>
  <c r="AB91" i="2"/>
  <c r="AB106" i="2"/>
  <c r="AB104" i="2"/>
  <c r="AC104" i="2" s="1"/>
  <c r="AB110" i="2"/>
  <c r="AB105" i="2"/>
  <c r="AB59" i="2"/>
  <c r="AB36" i="2"/>
  <c r="AB40" i="2"/>
  <c r="AB183" i="2"/>
  <c r="AB30" i="2"/>
  <c r="AA6" i="2"/>
  <c r="AB184" i="2"/>
  <c r="AB145" i="2"/>
  <c r="AB32" i="2"/>
  <c r="AB95" i="2"/>
  <c r="AB79" i="2"/>
  <c r="AB200" i="2"/>
  <c r="AB17" i="2"/>
  <c r="AB166" i="2"/>
  <c r="AC166" i="2" s="1"/>
  <c r="AB132" i="2"/>
  <c r="AB115" i="2"/>
  <c r="AA211" i="2"/>
  <c r="AB151" i="2"/>
  <c r="AB124" i="2"/>
  <c r="AB65" i="2"/>
  <c r="AB203" i="2"/>
  <c r="AB118" i="2"/>
  <c r="AB98" i="2"/>
  <c r="AB94" i="2"/>
  <c r="AB208" i="2"/>
  <c r="AB196" i="2"/>
  <c r="AB125" i="2"/>
  <c r="AB69" i="2"/>
  <c r="AB15" i="2"/>
  <c r="AA111" i="2"/>
  <c r="AA7" i="2"/>
  <c r="AA4" i="2"/>
  <c r="AA5" i="2" s="1"/>
  <c r="AB121" i="2"/>
  <c r="AB185" i="2"/>
  <c r="AB190" i="2"/>
  <c r="AB71" i="2"/>
  <c r="AB87" i="2"/>
  <c r="AB192" i="2"/>
  <c r="AB108" i="2"/>
  <c r="AB142" i="2"/>
  <c r="AB164" i="2"/>
  <c r="AB143" i="2"/>
  <c r="AB60" i="2"/>
  <c r="AB119" i="2"/>
  <c r="AB206" i="2"/>
  <c r="AB194" i="2"/>
  <c r="AB48" i="2"/>
  <c r="AB116" i="2"/>
  <c r="AB41" i="2"/>
  <c r="AB107" i="2"/>
  <c r="AB123" i="2"/>
  <c r="AB93" i="2"/>
  <c r="AB100" i="2"/>
  <c r="AB126" i="2"/>
  <c r="AB157" i="2"/>
  <c r="AB191" i="2"/>
  <c r="AB72" i="2"/>
  <c r="AB52" i="2"/>
  <c r="AB49" i="2"/>
  <c r="AB63" i="2"/>
  <c r="AB189" i="2"/>
  <c r="AB55" i="2"/>
  <c r="AB156" i="2"/>
  <c r="AB139" i="2"/>
  <c r="AB180" i="2"/>
  <c r="AB33" i="2"/>
  <c r="AB193" i="2"/>
  <c r="AB26" i="2"/>
  <c r="AB144" i="2"/>
  <c r="AB80" i="2"/>
  <c r="AB133" i="2"/>
  <c r="AB68" i="2"/>
  <c r="AB117" i="2"/>
  <c r="AB178" i="2"/>
  <c r="AB50" i="2"/>
  <c r="AB198" i="2"/>
  <c r="AB54" i="2"/>
  <c r="AB176" i="2"/>
  <c r="AB181" i="2"/>
  <c r="AB84" i="2"/>
  <c r="AE12" i="1"/>
  <c r="AH9" i="1"/>
  <c r="Z9" i="1"/>
  <c r="AB7" i="1"/>
  <c r="S9" i="1"/>
  <c r="R9" i="1"/>
  <c r="J9" i="1"/>
  <c r="R7" i="1"/>
  <c r="J7" i="1"/>
  <c r="P253" i="39" l="1"/>
  <c r="P263" i="39"/>
  <c r="U11" i="1"/>
  <c r="AC11" i="1"/>
  <c r="V11" i="1"/>
  <c r="AB11" i="1"/>
  <c r="AD11" i="1"/>
  <c r="AH11" i="1"/>
  <c r="AI11" i="1"/>
  <c r="AA11" i="1"/>
  <c r="P18" i="39"/>
  <c r="O19" i="39"/>
  <c r="AE11" i="1"/>
  <c r="O22" i="39"/>
  <c r="P21" i="39"/>
  <c r="Z11" i="1"/>
  <c r="O263" i="39"/>
  <c r="O253" i="39"/>
  <c r="AC207" i="2"/>
  <c r="W11" i="1"/>
  <c r="J65" i="4"/>
  <c r="AI12" i="1"/>
  <c r="J69" i="4"/>
  <c r="AC118" i="2"/>
  <c r="J23" i="4"/>
  <c r="J61" i="4"/>
  <c r="AC58" i="2"/>
  <c r="J127" i="4"/>
  <c r="J62" i="4"/>
  <c r="J44" i="4"/>
  <c r="J14" i="4"/>
  <c r="J103" i="4"/>
  <c r="J93" i="4"/>
  <c r="J24" i="4"/>
  <c r="J72" i="4"/>
  <c r="J86" i="4"/>
  <c r="J100" i="4"/>
  <c r="J105" i="4"/>
  <c r="AC108" i="2"/>
  <c r="J115" i="4"/>
  <c r="J137" i="4"/>
  <c r="AC101" i="2"/>
  <c r="J113" i="4"/>
  <c r="AC180" i="2"/>
  <c r="AC117" i="2"/>
  <c r="AC94" i="2"/>
  <c r="AC145" i="2"/>
  <c r="AC105" i="2"/>
  <c r="AC73" i="2"/>
  <c r="AC57" i="2"/>
  <c r="AC159" i="2"/>
  <c r="J96" i="4"/>
  <c r="J136" i="4"/>
  <c r="AC17" i="2"/>
  <c r="J70" i="4"/>
  <c r="J84" i="4"/>
  <c r="AC100" i="2"/>
  <c r="AC49" i="2"/>
  <c r="J20" i="4"/>
  <c r="AC189" i="2"/>
  <c r="AC87" i="2"/>
  <c r="AC123" i="2"/>
  <c r="AC178" i="2"/>
  <c r="AC203" i="2"/>
  <c r="J91" i="4"/>
  <c r="J110" i="4"/>
  <c r="AC98" i="2"/>
  <c r="AC75" i="2"/>
  <c r="J88" i="4"/>
  <c r="AC133" i="2"/>
  <c r="AC85" i="2"/>
  <c r="AC52" i="2"/>
  <c r="AC107" i="2"/>
  <c r="AC169" i="2"/>
  <c r="AC146" i="2"/>
  <c r="AC124" i="2"/>
  <c r="AC79" i="2"/>
  <c r="AC106" i="2"/>
  <c r="AC88" i="2"/>
  <c r="AC29" i="2"/>
  <c r="AC202" i="2"/>
  <c r="AC176" i="2"/>
  <c r="AC199" i="2"/>
  <c r="AC72" i="2"/>
  <c r="AC81" i="2"/>
  <c r="AC165" i="2"/>
  <c r="AC186" i="2"/>
  <c r="AC151" i="2"/>
  <c r="AC95" i="2"/>
  <c r="AC183" i="2"/>
  <c r="AC91" i="2"/>
  <c r="AC96" i="2"/>
  <c r="AC205" i="2"/>
  <c r="J26" i="4"/>
  <c r="AC54" i="2"/>
  <c r="AC144" i="2"/>
  <c r="AC69" i="2"/>
  <c r="AC18" i="2"/>
  <c r="AC67" i="2"/>
  <c r="J97" i="4"/>
  <c r="J46" i="4"/>
  <c r="AC157" i="2"/>
  <c r="AC163" i="2"/>
  <c r="AC164" i="2"/>
  <c r="AC190" i="2"/>
  <c r="AC125" i="2"/>
  <c r="AC130" i="2"/>
  <c r="AC28" i="2"/>
  <c r="AC156" i="2"/>
  <c r="AC50" i="2"/>
  <c r="AC193" i="2"/>
  <c r="AC116" i="2"/>
  <c r="AC142" i="2"/>
  <c r="AC185" i="2"/>
  <c r="AC196" i="2"/>
  <c r="AC162" i="2"/>
  <c r="AC132" i="2"/>
  <c r="AC59" i="2"/>
  <c r="AC77" i="2"/>
  <c r="AC84" i="2"/>
  <c r="AC68" i="2"/>
  <c r="AC160" i="2"/>
  <c r="AC63" i="2"/>
  <c r="AC93" i="2"/>
  <c r="AC194" i="2"/>
  <c r="AC192" i="2"/>
  <c r="AC121" i="2"/>
  <c r="AC201" i="2"/>
  <c r="AC90" i="2"/>
  <c r="J17" i="4"/>
  <c r="J104" i="4"/>
  <c r="J87" i="4"/>
  <c r="J122" i="4"/>
  <c r="AC21" i="2"/>
  <c r="AC20" i="2"/>
  <c r="AC26" i="2"/>
  <c r="AC139" i="2"/>
  <c r="AC191" i="2"/>
  <c r="AC122" i="2"/>
  <c r="AC23" i="2"/>
  <c r="AC200" i="2"/>
  <c r="AC184" i="2"/>
  <c r="AC110" i="2"/>
  <c r="AC148" i="2"/>
  <c r="AC53" i="2"/>
  <c r="AC210" i="2"/>
  <c r="AC138" i="2"/>
  <c r="AC174" i="2"/>
  <c r="AC167" i="2"/>
  <c r="J58" i="4"/>
  <c r="J129" i="4"/>
  <c r="J47" i="4"/>
  <c r="J119" i="4"/>
  <c r="J112" i="4"/>
  <c r="J55" i="4"/>
  <c r="J15" i="4"/>
  <c r="J99" i="4"/>
  <c r="J98" i="4"/>
  <c r="J41" i="4"/>
  <c r="J50" i="4"/>
  <c r="J21" i="4"/>
  <c r="J111" i="4"/>
  <c r="J81" i="4"/>
  <c r="J128" i="4"/>
  <c r="J56" i="4"/>
  <c r="J144" i="4"/>
  <c r="J131" i="4"/>
  <c r="J63" i="4"/>
  <c r="J45" i="4"/>
  <c r="J139" i="4"/>
  <c r="J53" i="4"/>
  <c r="J31" i="4"/>
  <c r="K31" i="4" s="1"/>
  <c r="J120" i="4"/>
  <c r="AC55" i="2"/>
  <c r="J74" i="4"/>
  <c r="J38" i="4"/>
  <c r="J33" i="4"/>
  <c r="J59" i="4"/>
  <c r="J133" i="4"/>
  <c r="J35" i="4"/>
  <c r="J22" i="4"/>
  <c r="J130" i="4"/>
  <c r="J11" i="4"/>
  <c r="J32" i="4"/>
  <c r="J143" i="4"/>
  <c r="J71" i="4"/>
  <c r="J135" i="4"/>
  <c r="J27" i="4"/>
  <c r="J108" i="4"/>
  <c r="J145" i="4"/>
  <c r="J132" i="4"/>
  <c r="J51" i="4"/>
  <c r="J12" i="4"/>
  <c r="J36" i="4"/>
  <c r="J102" i="4"/>
  <c r="J90" i="4"/>
  <c r="J37" i="4"/>
  <c r="J126" i="4"/>
  <c r="J138" i="4"/>
  <c r="J64" i="4"/>
  <c r="J73" i="4"/>
  <c r="J25" i="4"/>
  <c r="J49" i="4"/>
  <c r="J60" i="4"/>
  <c r="J57" i="4"/>
  <c r="J82" i="4"/>
  <c r="J109" i="4"/>
  <c r="X11" i="1"/>
  <c r="Y11" i="1"/>
  <c r="J34" i="4"/>
  <c r="J85" i="4"/>
  <c r="J141" i="4"/>
  <c r="J117" i="4"/>
  <c r="J67" i="4"/>
  <c r="J123" i="4"/>
  <c r="J116" i="4"/>
  <c r="K116" i="4" s="1"/>
  <c r="J39" i="4"/>
  <c r="J52" i="4"/>
  <c r="J125" i="4"/>
  <c r="J18" i="4"/>
  <c r="AG11" i="1"/>
  <c r="J48" i="4"/>
  <c r="AC80" i="2"/>
  <c r="J121" i="4"/>
  <c r="J101" i="4"/>
  <c r="J29" i="4"/>
  <c r="J75" i="4"/>
  <c r="J80" i="4"/>
  <c r="I146" i="4"/>
  <c r="J124" i="4"/>
  <c r="J89" i="4"/>
  <c r="AF11" i="1"/>
  <c r="J140" i="4"/>
  <c r="J83" i="4"/>
  <c r="AC60" i="2"/>
  <c r="J66" i="4"/>
  <c r="J142" i="4"/>
  <c r="J95" i="4"/>
  <c r="J118" i="4"/>
  <c r="J13" i="4"/>
  <c r="J30" i="4"/>
  <c r="G5" i="4"/>
  <c r="G6" i="4"/>
  <c r="J40" i="4"/>
  <c r="J134" i="4"/>
  <c r="J94" i="4"/>
  <c r="J106" i="4"/>
  <c r="J43" i="4"/>
  <c r="J28" i="4"/>
  <c r="J16" i="4"/>
  <c r="J54" i="4"/>
  <c r="J92" i="4"/>
  <c r="J107" i="4"/>
  <c r="J19" i="4"/>
  <c r="I10" i="4"/>
  <c r="H4" i="4"/>
  <c r="H76" i="4"/>
  <c r="J68" i="4"/>
  <c r="J114" i="4"/>
  <c r="AC115" i="2"/>
  <c r="AB211" i="2"/>
  <c r="AC43" i="2"/>
  <c r="AC187" i="2"/>
  <c r="AC25" i="2"/>
  <c r="AC127" i="2"/>
  <c r="AC171" i="2"/>
  <c r="AC31" i="2"/>
  <c r="AC92" i="2"/>
  <c r="AB6" i="2"/>
  <c r="AC56" i="2"/>
  <c r="AC173" i="2"/>
  <c r="AC86" i="2"/>
  <c r="AC208" i="2"/>
  <c r="AC27" i="2"/>
  <c r="AC158" i="2"/>
  <c r="AC206" i="2"/>
  <c r="AC30" i="2"/>
  <c r="AC34" i="2"/>
  <c r="AC119" i="2"/>
  <c r="AC149" i="2"/>
  <c r="AC155" i="2"/>
  <c r="AC170" i="2"/>
  <c r="AC198" i="2"/>
  <c r="AC42" i="2"/>
  <c r="AC46" i="2"/>
  <c r="AC153" i="2"/>
  <c r="AC128" i="2"/>
  <c r="AC181" i="2"/>
  <c r="AC70" i="2"/>
  <c r="AC135" i="2"/>
  <c r="AC143" i="2"/>
  <c r="AC40" i="2"/>
  <c r="AC120" i="2"/>
  <c r="AC154" i="2"/>
  <c r="AC172" i="2"/>
  <c r="AC65" i="2"/>
  <c r="AC182" i="2"/>
  <c r="AC48" i="2"/>
  <c r="AC71" i="2"/>
  <c r="AC33" i="2"/>
  <c r="AC126" i="2"/>
  <c r="AC102" i="2"/>
  <c r="AC47" i="2"/>
  <c r="AC89" i="2"/>
  <c r="AC41" i="2"/>
  <c r="AC188" i="2"/>
  <c r="AC38" i="2"/>
  <c r="AC141" i="2"/>
  <c r="AC179" i="2"/>
  <c r="AC131" i="2"/>
  <c r="AC24" i="2"/>
  <c r="AC16" i="2"/>
  <c r="AC82" i="2"/>
  <c r="AC15" i="2"/>
  <c r="AB111" i="2"/>
  <c r="AB7" i="2"/>
  <c r="AB4" i="2"/>
  <c r="AB5" i="2" s="1"/>
  <c r="AC32" i="2"/>
  <c r="AC168" i="2"/>
  <c r="AC195" i="2"/>
  <c r="AC137" i="2"/>
  <c r="AC109" i="2"/>
  <c r="AC161" i="2"/>
  <c r="AC76" i="2"/>
  <c r="AC37" i="2"/>
  <c r="AC136" i="2"/>
  <c r="AC152" i="2"/>
  <c r="AC140" i="2"/>
  <c r="AC44" i="2"/>
  <c r="AC83" i="2"/>
  <c r="AC39" i="2"/>
  <c r="AC78" i="2"/>
  <c r="AC19" i="2"/>
  <c r="AC35" i="2"/>
  <c r="AC197" i="2"/>
  <c r="AC36" i="2"/>
  <c r="AC103" i="2"/>
  <c r="AC150" i="2"/>
  <c r="AC64" i="2"/>
  <c r="AC22" i="2"/>
  <c r="AC134" i="2"/>
  <c r="AC99" i="2"/>
  <c r="AC147" i="2"/>
  <c r="AC175" i="2"/>
  <c r="AC74" i="2"/>
  <c r="AC45" i="2"/>
  <c r="AC204" i="2"/>
  <c r="AC209" i="2"/>
  <c r="AC129" i="2"/>
  <c r="AC66" i="2"/>
  <c r="AC177" i="2"/>
  <c r="AC62" i="2"/>
  <c r="K42" i="4" s="1"/>
  <c r="AC61" i="2"/>
  <c r="O186" i="39" l="1"/>
  <c r="O184" i="39"/>
  <c r="O185" i="39"/>
  <c r="Q263" i="39"/>
  <c r="Q253" i="39"/>
  <c r="O137" i="39"/>
  <c r="O167" i="39"/>
  <c r="O152" i="39"/>
  <c r="O147" i="39"/>
  <c r="O44" i="39"/>
  <c r="O144" i="39"/>
  <c r="O175" i="39"/>
  <c r="O255" i="39"/>
  <c r="P255" i="39" s="1"/>
  <c r="O254" i="39"/>
  <c r="P254" i="39" s="1"/>
  <c r="Q18" i="39"/>
  <c r="P19" i="39"/>
  <c r="Q21" i="39"/>
  <c r="P22" i="39"/>
  <c r="O16" i="39"/>
  <c r="O181" i="39" s="1"/>
  <c r="K65" i="4"/>
  <c r="K23" i="4"/>
  <c r="K61" i="4"/>
  <c r="K38" i="4"/>
  <c r="K103" i="4"/>
  <c r="K72" i="4"/>
  <c r="K34" i="4"/>
  <c r="K14" i="4"/>
  <c r="K128" i="4"/>
  <c r="K95" i="4"/>
  <c r="K68" i="4"/>
  <c r="K24" i="4"/>
  <c r="K142" i="4"/>
  <c r="K74" i="4"/>
  <c r="K115" i="4"/>
  <c r="K110" i="4"/>
  <c r="AD192" i="2"/>
  <c r="K83" i="4"/>
  <c r="K100" i="4"/>
  <c r="K104" i="4"/>
  <c r="K86" i="4"/>
  <c r="K20" i="4"/>
  <c r="K137" i="4"/>
  <c r="K105" i="4"/>
  <c r="K89" i="4"/>
  <c r="K53" i="4"/>
  <c r="K37" i="4"/>
  <c r="K29" i="4"/>
  <c r="AD67" i="2"/>
  <c r="K57" i="4"/>
  <c r="K133" i="4"/>
  <c r="AD209" i="2"/>
  <c r="K47" i="4"/>
  <c r="AD204" i="2"/>
  <c r="K130" i="4"/>
  <c r="AD63" i="2"/>
  <c r="K43" i="4"/>
  <c r="K136" i="4"/>
  <c r="K55" i="4"/>
  <c r="AD107" i="2"/>
  <c r="K92" i="4"/>
  <c r="K140" i="4"/>
  <c r="K67" i="4"/>
  <c r="K109" i="4"/>
  <c r="AD93" i="2"/>
  <c r="K113" i="4"/>
  <c r="K88" i="4"/>
  <c r="AD22" i="2"/>
  <c r="AD96" i="2"/>
  <c r="AD17" i="2"/>
  <c r="K117" i="4"/>
  <c r="K96" i="4"/>
  <c r="K82" i="4"/>
  <c r="AD177" i="2"/>
  <c r="AD185" i="2"/>
  <c r="AD100" i="2"/>
  <c r="K59" i="4"/>
  <c r="K144" i="4"/>
  <c r="AD26" i="2"/>
  <c r="AD116" i="2"/>
  <c r="K106" i="4"/>
  <c r="K94" i="4"/>
  <c r="AD134" i="2"/>
  <c r="AD152" i="2"/>
  <c r="K114" i="4"/>
  <c r="K134" i="4"/>
  <c r="K101" i="4"/>
  <c r="K71" i="4"/>
  <c r="K139" i="4"/>
  <c r="AD89" i="2"/>
  <c r="AD181" i="2"/>
  <c r="AD149" i="2"/>
  <c r="AD75" i="2"/>
  <c r="AD103" i="2"/>
  <c r="AD20" i="2"/>
  <c r="K70" i="4"/>
  <c r="K98" i="4"/>
  <c r="K64" i="4"/>
  <c r="K39" i="4"/>
  <c r="K30" i="4"/>
  <c r="K143" i="4"/>
  <c r="K26" i="4"/>
  <c r="K107" i="4"/>
  <c r="K49" i="4"/>
  <c r="K32" i="4"/>
  <c r="AD18" i="2"/>
  <c r="AD49" i="2"/>
  <c r="AD50" i="2"/>
  <c r="AD84" i="2"/>
  <c r="AD205" i="2"/>
  <c r="AD139" i="2"/>
  <c r="AD16" i="2"/>
  <c r="K119" i="4"/>
  <c r="AD203" i="2"/>
  <c r="AD175" i="2"/>
  <c r="AD23" i="2"/>
  <c r="K21" i="4"/>
  <c r="K73" i="4"/>
  <c r="K135" i="4"/>
  <c r="K112" i="4"/>
  <c r="AD77" i="2"/>
  <c r="AD151" i="2"/>
  <c r="AD78" i="2"/>
  <c r="AD145" i="2"/>
  <c r="AD156" i="2"/>
  <c r="AD79" i="2"/>
  <c r="AD137" i="2"/>
  <c r="AD72" i="2"/>
  <c r="AD182" i="2"/>
  <c r="K52" i="4"/>
  <c r="K124" i="4"/>
  <c r="K126" i="4"/>
  <c r="K35" i="4"/>
  <c r="AD61" i="2"/>
  <c r="AD74" i="2"/>
  <c r="AD123" i="2"/>
  <c r="AD99" i="2"/>
  <c r="AD95" i="2"/>
  <c r="AD133" i="2"/>
  <c r="AD186" i="2"/>
  <c r="K111" i="4"/>
  <c r="AD55" i="2"/>
  <c r="AD179" i="2"/>
  <c r="AD165" i="2"/>
  <c r="K141" i="4"/>
  <c r="AD109" i="2"/>
  <c r="AD200" i="2"/>
  <c r="AD117" i="2"/>
  <c r="AD141" i="2"/>
  <c r="K48" i="4"/>
  <c r="AD130" i="2"/>
  <c r="AD80" i="2"/>
  <c r="AD125" i="2"/>
  <c r="AD189" i="2"/>
  <c r="AD195" i="2"/>
  <c r="AD81" i="2"/>
  <c r="AD188" i="2"/>
  <c r="AD178" i="2"/>
  <c r="AD71" i="2"/>
  <c r="AD143" i="2"/>
  <c r="AD198" i="2"/>
  <c r="AD158" i="2"/>
  <c r="K54" i="4"/>
  <c r="AD66" i="2"/>
  <c r="AD64" i="2"/>
  <c r="AD129" i="2"/>
  <c r="AD196" i="2"/>
  <c r="AD176" i="2"/>
  <c r="AD108" i="2"/>
  <c r="AD19" i="2"/>
  <c r="K17" i="4"/>
  <c r="AD180" i="2"/>
  <c r="AD168" i="2"/>
  <c r="AD82" i="2"/>
  <c r="AD106" i="2"/>
  <c r="AD193" i="2"/>
  <c r="AD48" i="2"/>
  <c r="AD170" i="2"/>
  <c r="AD194" i="2"/>
  <c r="AD147" i="2"/>
  <c r="AD184" i="2"/>
  <c r="AD160" i="2"/>
  <c r="AD124" i="2"/>
  <c r="AD76" i="2"/>
  <c r="AD91" i="2"/>
  <c r="AD163" i="2"/>
  <c r="L113" i="4" s="1"/>
  <c r="AD131" i="2"/>
  <c r="AD146" i="2"/>
  <c r="K122" i="4"/>
  <c r="K33" i="4"/>
  <c r="K40" i="4"/>
  <c r="K28" i="4"/>
  <c r="K36" i="4"/>
  <c r="K75" i="4"/>
  <c r="K132" i="4"/>
  <c r="K22" i="4"/>
  <c r="K129" i="4"/>
  <c r="K145" i="4"/>
  <c r="K97" i="4"/>
  <c r="AD83" i="2"/>
  <c r="K63" i="4"/>
  <c r="K16" i="4"/>
  <c r="K99" i="4"/>
  <c r="K138" i="4"/>
  <c r="K90" i="4"/>
  <c r="K81" i="4"/>
  <c r="K69" i="4"/>
  <c r="AD65" i="2"/>
  <c r="K50" i="4"/>
  <c r="K87" i="4"/>
  <c r="K66" i="4"/>
  <c r="K46" i="4"/>
  <c r="K123" i="4"/>
  <c r="K85" i="4"/>
  <c r="K62" i="4"/>
  <c r="K108" i="4"/>
  <c r="H6" i="4"/>
  <c r="H5" i="4"/>
  <c r="K121" i="4"/>
  <c r="K60" i="4"/>
  <c r="K58" i="4"/>
  <c r="K102" i="4"/>
  <c r="K27" i="4"/>
  <c r="K44" i="4"/>
  <c r="K93" i="4"/>
  <c r="J10" i="4"/>
  <c r="I76" i="4"/>
  <c r="I4" i="4"/>
  <c r="K18" i="4"/>
  <c r="K11" i="4"/>
  <c r="K45" i="4"/>
  <c r="K91" i="4"/>
  <c r="K19" i="4"/>
  <c r="K41" i="4"/>
  <c r="K13" i="4"/>
  <c r="K80" i="4"/>
  <c r="J146" i="4"/>
  <c r="K12" i="4"/>
  <c r="K131" i="4"/>
  <c r="AD135" i="2"/>
  <c r="K118" i="4"/>
  <c r="K15" i="4"/>
  <c r="K84" i="4"/>
  <c r="K125" i="4"/>
  <c r="K25" i="4"/>
  <c r="K51" i="4"/>
  <c r="K120" i="4"/>
  <c r="K56" i="4"/>
  <c r="K127" i="4"/>
  <c r="AD45" i="2"/>
  <c r="AD36" i="2"/>
  <c r="AD33" i="2"/>
  <c r="AD42" i="2"/>
  <c r="AD97" i="2"/>
  <c r="AD191" i="2"/>
  <c r="AD210" i="2"/>
  <c r="AD94" i="2"/>
  <c r="AD159" i="2"/>
  <c r="AD201" i="2"/>
  <c r="AD104" i="2"/>
  <c r="AD86" i="2"/>
  <c r="AD53" i="2"/>
  <c r="AD92" i="2"/>
  <c r="AD121" i="2"/>
  <c r="AD37" i="2"/>
  <c r="AD27" i="2"/>
  <c r="AD21" i="2"/>
  <c r="AD173" i="2"/>
  <c r="AD110" i="2"/>
  <c r="AD43" i="2"/>
  <c r="AD87" i="2"/>
  <c r="AD70" i="2"/>
  <c r="AD155" i="2"/>
  <c r="AD208" i="2"/>
  <c r="AD166" i="2"/>
  <c r="L116" i="4" s="1"/>
  <c r="AD56" i="2"/>
  <c r="AD31" i="2"/>
  <c r="AD73" i="2"/>
  <c r="AD38" i="2"/>
  <c r="AD136" i="2"/>
  <c r="AD148" i="2"/>
  <c r="AD39" i="2"/>
  <c r="AD206" i="2"/>
  <c r="AD52" i="2"/>
  <c r="AD140" i="2"/>
  <c r="AD183" i="2"/>
  <c r="AD199" i="2"/>
  <c r="AD32" i="2"/>
  <c r="AD164" i="2"/>
  <c r="AD40" i="2"/>
  <c r="AD62" i="2"/>
  <c r="AD68" i="2"/>
  <c r="AD150" i="2"/>
  <c r="AD142" i="2"/>
  <c r="AD57" i="2"/>
  <c r="AD197" i="2"/>
  <c r="AD59" i="2"/>
  <c r="AD190" i="2"/>
  <c r="AD118" i="2"/>
  <c r="AD202" i="2"/>
  <c r="AD171" i="2"/>
  <c r="AD105" i="2"/>
  <c r="AD85" i="2"/>
  <c r="AD44" i="2"/>
  <c r="AD47" i="2"/>
  <c r="AD172" i="2"/>
  <c r="AD128" i="2"/>
  <c r="AD119" i="2"/>
  <c r="AD58" i="2"/>
  <c r="AD98" i="2"/>
  <c r="AD167" i="2"/>
  <c r="AD28" i="2"/>
  <c r="AD127" i="2"/>
  <c r="AD90" i="2"/>
  <c r="AD144" i="2"/>
  <c r="AD35" i="2"/>
  <c r="AD15" i="2"/>
  <c r="AC111" i="2"/>
  <c r="AC7" i="2"/>
  <c r="AC4" i="2"/>
  <c r="AC5" i="2" s="1"/>
  <c r="AD29" i="2"/>
  <c r="AD41" i="2"/>
  <c r="AD102" i="2"/>
  <c r="AD154" i="2"/>
  <c r="AD153" i="2"/>
  <c r="AD34" i="2"/>
  <c r="AD207" i="2"/>
  <c r="AD169" i="2"/>
  <c r="AD174" i="2"/>
  <c r="AD132" i="2"/>
  <c r="AD25" i="2"/>
  <c r="AD54" i="2"/>
  <c r="AD69" i="2"/>
  <c r="AD161" i="2"/>
  <c r="AD122" i="2"/>
  <c r="AD24" i="2"/>
  <c r="AD88" i="2"/>
  <c r="AD157" i="2"/>
  <c r="AD126" i="2"/>
  <c r="AD120" i="2"/>
  <c r="AD46" i="2"/>
  <c r="AD30" i="2"/>
  <c r="AC6" i="2"/>
  <c r="AD51" i="2"/>
  <c r="L31" i="4" s="1"/>
  <c r="AD60" i="2"/>
  <c r="AD138" i="2"/>
  <c r="AD162" i="2"/>
  <c r="AD187" i="2"/>
  <c r="AD115" i="2"/>
  <c r="AC211" i="2"/>
  <c r="AD101" i="2"/>
  <c r="P152" i="39" l="1"/>
  <c r="P185" i="39"/>
  <c r="P184" i="39"/>
  <c r="P186" i="39"/>
  <c r="P167" i="39"/>
  <c r="P168" i="39" s="1"/>
  <c r="P171" i="39" s="1"/>
  <c r="P137" i="39"/>
  <c r="P175" i="39"/>
  <c r="Q254" i="39"/>
  <c r="Q255" i="39"/>
  <c r="P144" i="39"/>
  <c r="P145" i="39" s="1"/>
  <c r="P44" i="39"/>
  <c r="P147" i="39"/>
  <c r="P256" i="39"/>
  <c r="R253" i="39"/>
  <c r="R263" i="39"/>
  <c r="AE57" i="2"/>
  <c r="O256" i="39"/>
  <c r="Q19" i="39"/>
  <c r="R18" i="39"/>
  <c r="O471" i="39"/>
  <c r="O176" i="39"/>
  <c r="O177" i="39" s="1"/>
  <c r="O168" i="39"/>
  <c r="O171" i="39" s="1"/>
  <c r="O470" i="39"/>
  <c r="O89" i="39"/>
  <c r="O145" i="39"/>
  <c r="O148" i="39" s="1"/>
  <c r="Q22" i="39"/>
  <c r="R21" i="39"/>
  <c r="O17" i="39"/>
  <c r="O11" i="39"/>
  <c r="O20" i="39"/>
  <c r="P16" i="39"/>
  <c r="P181" i="39" s="1"/>
  <c r="L23" i="4"/>
  <c r="AE85" i="2"/>
  <c r="L61" i="4"/>
  <c r="AE199" i="2"/>
  <c r="L99" i="4"/>
  <c r="L93" i="4"/>
  <c r="L72" i="4"/>
  <c r="L128" i="4"/>
  <c r="L24" i="4"/>
  <c r="L43" i="4"/>
  <c r="L73" i="4"/>
  <c r="L14" i="4"/>
  <c r="L109" i="4"/>
  <c r="L142" i="4"/>
  <c r="L127" i="4"/>
  <c r="L60" i="4"/>
  <c r="L143" i="4"/>
  <c r="L47" i="4"/>
  <c r="L89" i="4"/>
  <c r="L86" i="4"/>
  <c r="L20" i="4"/>
  <c r="L114" i="4"/>
  <c r="L74" i="4"/>
  <c r="L83" i="4"/>
  <c r="L110" i="4"/>
  <c r="L102" i="4"/>
  <c r="L57" i="4"/>
  <c r="L95" i="4"/>
  <c r="L115" i="4"/>
  <c r="L141" i="4"/>
  <c r="L30" i="4"/>
  <c r="L53" i="4"/>
  <c r="L105" i="4"/>
  <c r="L117" i="4"/>
  <c r="L130" i="4"/>
  <c r="L134" i="4"/>
  <c r="L67" i="4"/>
  <c r="L98" i="4"/>
  <c r="L106" i="4"/>
  <c r="L32" i="4"/>
  <c r="L139" i="4"/>
  <c r="L29" i="4"/>
  <c r="L33" i="4"/>
  <c r="L96" i="4"/>
  <c r="L55" i="4"/>
  <c r="L70" i="4"/>
  <c r="L51" i="4"/>
  <c r="L135" i="4"/>
  <c r="L64" i="4"/>
  <c r="L71" i="4"/>
  <c r="L21" i="4"/>
  <c r="L140" i="4"/>
  <c r="AE125" i="2"/>
  <c r="L136" i="4"/>
  <c r="L62" i="4"/>
  <c r="L91" i="4"/>
  <c r="L48" i="4"/>
  <c r="L41" i="4"/>
  <c r="L144" i="4"/>
  <c r="L118" i="4"/>
  <c r="L44" i="4"/>
  <c r="L28" i="4"/>
  <c r="L35" i="4"/>
  <c r="L59" i="4"/>
  <c r="L101" i="4"/>
  <c r="L132" i="4"/>
  <c r="L126" i="4"/>
  <c r="L131" i="4"/>
  <c r="L69" i="4"/>
  <c r="AE174" i="2"/>
  <c r="L39" i="4"/>
  <c r="L84" i="4"/>
  <c r="L138" i="4"/>
  <c r="L54" i="4"/>
  <c r="AE172" i="2"/>
  <c r="AE29" i="2"/>
  <c r="L17" i="4"/>
  <c r="L52" i="4"/>
  <c r="AE46" i="2"/>
  <c r="AE69" i="2"/>
  <c r="L58" i="4"/>
  <c r="L120" i="4"/>
  <c r="L125" i="4"/>
  <c r="L108" i="4"/>
  <c r="L87" i="4"/>
  <c r="AE154" i="2"/>
  <c r="AE105" i="2"/>
  <c r="AE183" i="2"/>
  <c r="AE144" i="2"/>
  <c r="AE202" i="2"/>
  <c r="AE205" i="2"/>
  <c r="AE122" i="2"/>
  <c r="AE28" i="2"/>
  <c r="AE82" i="2"/>
  <c r="L46" i="4"/>
  <c r="L81" i="4"/>
  <c r="AE24" i="2"/>
  <c r="AE101" i="2"/>
  <c r="AE149" i="2"/>
  <c r="L56" i="4"/>
  <c r="AE54" i="2"/>
  <c r="AE91" i="2"/>
  <c r="AE142" i="2"/>
  <c r="AE25" i="2"/>
  <c r="AE102" i="2"/>
  <c r="L97" i="4"/>
  <c r="L129" i="4"/>
  <c r="L40" i="4"/>
  <c r="AE161" i="2"/>
  <c r="AE132" i="2"/>
  <c r="AE76" i="2"/>
  <c r="AE127" i="2"/>
  <c r="AE47" i="2"/>
  <c r="AE171" i="2"/>
  <c r="AE150" i="2"/>
  <c r="AE120" i="2"/>
  <c r="AE169" i="2"/>
  <c r="AE108" i="2"/>
  <c r="AE118" i="2"/>
  <c r="AE62" i="2"/>
  <c r="AE126" i="2"/>
  <c r="AE93" i="2"/>
  <c r="AE207" i="2"/>
  <c r="AE26" i="2"/>
  <c r="AE98" i="2"/>
  <c r="AE124" i="2"/>
  <c r="AE187" i="2"/>
  <c r="AE19" i="2"/>
  <c r="AE16" i="2"/>
  <c r="AE157" i="2"/>
  <c r="AE185" i="2"/>
  <c r="AE58" i="2"/>
  <c r="L45" i="4"/>
  <c r="AE20" i="2"/>
  <c r="AE162" i="2"/>
  <c r="AE175" i="2"/>
  <c r="AE88" i="2"/>
  <c r="AE192" i="2"/>
  <c r="AE153" i="2"/>
  <c r="AE204" i="2"/>
  <c r="AE119" i="2"/>
  <c r="L12" i="4"/>
  <c r="L65" i="4"/>
  <c r="L121" i="4"/>
  <c r="L82" i="4"/>
  <c r="L63" i="4"/>
  <c r="L103" i="4"/>
  <c r="L13" i="4"/>
  <c r="L124" i="4"/>
  <c r="L145" i="4"/>
  <c r="L111" i="4"/>
  <c r="AE138" i="2"/>
  <c r="L88" i="4"/>
  <c r="L38" i="4"/>
  <c r="L49" i="4"/>
  <c r="L11" i="4"/>
  <c r="L27" i="4"/>
  <c r="L122" i="4"/>
  <c r="AE60" i="2"/>
  <c r="L34" i="4"/>
  <c r="I6" i="4"/>
  <c r="I5" i="4"/>
  <c r="L66" i="4"/>
  <c r="L133" i="4"/>
  <c r="L15" i="4"/>
  <c r="L36" i="4"/>
  <c r="L75" i="4"/>
  <c r="L26" i="4"/>
  <c r="L37" i="4"/>
  <c r="M37" i="4" s="1"/>
  <c r="L112" i="4"/>
  <c r="K10" i="4"/>
  <c r="J76" i="4"/>
  <c r="J4" i="4"/>
  <c r="L94" i="4"/>
  <c r="L119" i="4"/>
  <c r="L137" i="4"/>
  <c r="L25" i="4"/>
  <c r="L80" i="4"/>
  <c r="K146" i="4"/>
  <c r="L85" i="4"/>
  <c r="L50" i="4"/>
  <c r="L90" i="4"/>
  <c r="L16" i="4"/>
  <c r="L22" i="4"/>
  <c r="L104" i="4"/>
  <c r="L42" i="4"/>
  <c r="L107" i="4"/>
  <c r="L19" i="4"/>
  <c r="L18" i="4"/>
  <c r="L123" i="4"/>
  <c r="L68" i="4"/>
  <c r="L92" i="4"/>
  <c r="L100" i="4"/>
  <c r="AE133" i="2"/>
  <c r="AE186" i="2"/>
  <c r="AE66" i="2"/>
  <c r="AE121" i="2"/>
  <c r="AE136" i="2"/>
  <c r="AE145" i="2"/>
  <c r="AE158" i="2"/>
  <c r="AE50" i="2"/>
  <c r="AE72" i="2"/>
  <c r="AE128" i="2"/>
  <c r="AE152" i="2"/>
  <c r="AE188" i="2"/>
  <c r="AE179" i="2"/>
  <c r="AE90" i="2"/>
  <c r="AE51" i="2"/>
  <c r="AE73" i="2"/>
  <c r="AE81" i="2"/>
  <c r="AE129" i="2"/>
  <c r="AE70" i="2"/>
  <c r="AE22" i="2"/>
  <c r="AE21" i="2"/>
  <c r="AE117" i="2"/>
  <c r="AE49" i="2"/>
  <c r="AE198" i="2"/>
  <c r="AE100" i="2"/>
  <c r="AE94" i="2"/>
  <c r="AE156" i="2"/>
  <c r="AE15" i="2"/>
  <c r="AD111" i="2"/>
  <c r="AD7" i="2"/>
  <c r="AD4" i="2"/>
  <c r="AD5" i="2" s="1"/>
  <c r="AE182" i="2"/>
  <c r="AE75" i="2"/>
  <c r="AE27" i="2"/>
  <c r="AE23" i="2"/>
  <c r="AE77" i="2"/>
  <c r="AE143" i="2"/>
  <c r="AE160" i="2"/>
  <c r="AE210" i="2"/>
  <c r="AE106" i="2"/>
  <c r="AE36" i="2"/>
  <c r="AE115" i="2"/>
  <c r="AD211" i="2"/>
  <c r="AE140" i="2"/>
  <c r="AE181" i="2"/>
  <c r="AE84" i="2"/>
  <c r="AE146" i="2"/>
  <c r="AE67" i="2"/>
  <c r="AE170" i="2"/>
  <c r="AE195" i="2"/>
  <c r="AE177" i="2"/>
  <c r="AE71" i="2"/>
  <c r="AE184" i="2"/>
  <c r="AE191" i="2"/>
  <c r="AE131" i="2"/>
  <c r="AE147" i="2"/>
  <c r="AE41" i="2"/>
  <c r="AE44" i="2"/>
  <c r="AE68" i="2"/>
  <c r="AE52" i="2"/>
  <c r="AE65" i="2"/>
  <c r="AE79" i="2"/>
  <c r="AE31" i="2"/>
  <c r="AE139" i="2"/>
  <c r="AE87" i="2"/>
  <c r="AE135" i="2"/>
  <c r="AE189" i="2"/>
  <c r="AE178" i="2"/>
  <c r="AE99" i="2"/>
  <c r="AE97" i="2"/>
  <c r="AE163" i="2"/>
  <c r="AE194" i="2"/>
  <c r="AE206" i="2"/>
  <c r="AE89" i="2"/>
  <c r="AE18" i="2"/>
  <c r="AE56" i="2"/>
  <c r="AE168" i="2"/>
  <c r="AE48" i="2"/>
  <c r="AE92" i="2"/>
  <c r="AE17" i="2"/>
  <c r="AE123" i="2"/>
  <c r="AE109" i="2"/>
  <c r="AE30" i="2"/>
  <c r="AD6" i="2"/>
  <c r="AE35" i="2"/>
  <c r="AE176" i="2"/>
  <c r="AE190" i="2"/>
  <c r="AE40" i="2"/>
  <c r="AE39" i="2"/>
  <c r="AE165" i="2"/>
  <c r="AE64" i="2"/>
  <c r="AE166" i="2"/>
  <c r="AE180" i="2"/>
  <c r="AE43" i="2"/>
  <c r="AE193" i="2"/>
  <c r="AE37" i="2"/>
  <c r="AE53" i="2"/>
  <c r="AE55" i="2"/>
  <c r="AE74" i="2"/>
  <c r="AE42" i="2"/>
  <c r="AE116" i="2"/>
  <c r="AE45" i="2"/>
  <c r="AE196" i="2"/>
  <c r="AE59" i="2"/>
  <c r="AE164" i="2"/>
  <c r="AE148" i="2"/>
  <c r="AE80" i="2"/>
  <c r="AE208" i="2"/>
  <c r="AE83" i="2"/>
  <c r="AE110" i="2"/>
  <c r="AE203" i="2"/>
  <c r="AE95" i="2"/>
  <c r="AE86" i="2"/>
  <c r="AE200" i="2"/>
  <c r="AE201" i="2"/>
  <c r="AE78" i="2"/>
  <c r="AE61" i="2"/>
  <c r="AE34" i="2"/>
  <c r="AE103" i="2"/>
  <c r="AE167" i="2"/>
  <c r="AE96" i="2"/>
  <c r="AE209" i="2"/>
  <c r="AE197" i="2"/>
  <c r="AE32" i="2"/>
  <c r="AE38" i="2"/>
  <c r="AE130" i="2"/>
  <c r="AE155" i="2"/>
  <c r="AE151" i="2"/>
  <c r="AE173" i="2"/>
  <c r="AE141" i="2"/>
  <c r="AE134" i="2"/>
  <c r="AE104" i="2"/>
  <c r="AE137" i="2"/>
  <c r="AE159" i="2"/>
  <c r="AE33" i="2"/>
  <c r="AE63" i="2"/>
  <c r="AE107" i="2"/>
  <c r="Q152" i="39" l="1"/>
  <c r="Q186" i="39"/>
  <c r="Q184" i="39"/>
  <c r="Q185" i="39"/>
  <c r="P471" i="39"/>
  <c r="P176" i="39"/>
  <c r="P177" i="39" s="1"/>
  <c r="P92" i="39" s="1"/>
  <c r="Q147" i="39"/>
  <c r="Q256" i="39"/>
  <c r="P470" i="39"/>
  <c r="Q167" i="39"/>
  <c r="Q168" i="39" s="1"/>
  <c r="Q171" i="39" s="1"/>
  <c r="Q44" i="39"/>
  <c r="P148" i="39"/>
  <c r="Q175" i="39"/>
  <c r="Q137" i="39"/>
  <c r="Q144" i="39"/>
  <c r="Q470" i="39" s="1"/>
  <c r="P89" i="39"/>
  <c r="S263" i="39"/>
  <c r="S253" i="39"/>
  <c r="R255" i="39"/>
  <c r="R254" i="39"/>
  <c r="O92" i="39"/>
  <c r="R22" i="39"/>
  <c r="S21" i="39"/>
  <c r="S18" i="39"/>
  <c r="R19" i="39"/>
  <c r="O187" i="39"/>
  <c r="P11" i="39"/>
  <c r="O12" i="39"/>
  <c r="O13" i="39"/>
  <c r="O133" i="39"/>
  <c r="O132" i="39"/>
  <c r="P17" i="39"/>
  <c r="P20" i="39"/>
  <c r="Q16" i="39"/>
  <c r="Q181" i="39" s="1"/>
  <c r="M23" i="4"/>
  <c r="M65" i="4"/>
  <c r="AF73" i="2"/>
  <c r="AF198" i="2"/>
  <c r="M99" i="4"/>
  <c r="M14" i="4"/>
  <c r="M24" i="4"/>
  <c r="M142" i="4"/>
  <c r="M73" i="4"/>
  <c r="M124" i="4"/>
  <c r="M94" i="4"/>
  <c r="M141" i="4"/>
  <c r="M67" i="4"/>
  <c r="AF153" i="2"/>
  <c r="M68" i="4"/>
  <c r="AF130" i="2"/>
  <c r="M108" i="4"/>
  <c r="M20" i="4"/>
  <c r="AF159" i="2"/>
  <c r="M111" i="4"/>
  <c r="AF50" i="2"/>
  <c r="AF141" i="2"/>
  <c r="AF209" i="2"/>
  <c r="M55" i="4"/>
  <c r="M51" i="4"/>
  <c r="M71" i="4"/>
  <c r="M135" i="4"/>
  <c r="M133" i="4"/>
  <c r="M21" i="4"/>
  <c r="M125" i="4"/>
  <c r="M48" i="4"/>
  <c r="M35" i="4"/>
  <c r="M62" i="4"/>
  <c r="M17" i="4"/>
  <c r="AF47" i="2"/>
  <c r="M104" i="4"/>
  <c r="AF84" i="2"/>
  <c r="AF174" i="2"/>
  <c r="AF22" i="2"/>
  <c r="AF188" i="2"/>
  <c r="AF17" i="2"/>
  <c r="AF62" i="2"/>
  <c r="AF116" i="2"/>
  <c r="AF180" i="2"/>
  <c r="M100" i="4"/>
  <c r="M122" i="4"/>
  <c r="AF154" i="2"/>
  <c r="M26" i="4"/>
  <c r="M82" i="4"/>
  <c r="AF53" i="2"/>
  <c r="M34" i="4"/>
  <c r="AF169" i="2"/>
  <c r="AF102" i="2"/>
  <c r="M107" i="4"/>
  <c r="M27" i="4"/>
  <c r="M49" i="4"/>
  <c r="AF143" i="2"/>
  <c r="M56" i="4"/>
  <c r="AF163" i="2"/>
  <c r="M137" i="4"/>
  <c r="AF92" i="2"/>
  <c r="AF125" i="2"/>
  <c r="AF184" i="2"/>
  <c r="AF155" i="2"/>
  <c r="AF103" i="2"/>
  <c r="AF59" i="2"/>
  <c r="AF165" i="2"/>
  <c r="AF175" i="2"/>
  <c r="AF119" i="2"/>
  <c r="AF105" i="2"/>
  <c r="M112" i="4"/>
  <c r="M121" i="4"/>
  <c r="AF28" i="2"/>
  <c r="AF18" i="2"/>
  <c r="AF69" i="2"/>
  <c r="AF97" i="2"/>
  <c r="AF170" i="2"/>
  <c r="AF20" i="2"/>
  <c r="AF61" i="2"/>
  <c r="AF83" i="2"/>
  <c r="AF108" i="2"/>
  <c r="AF98" i="2"/>
  <c r="M92" i="4"/>
  <c r="AF79" i="2"/>
  <c r="AF161" i="2"/>
  <c r="AF134" i="2"/>
  <c r="AF78" i="2"/>
  <c r="AF208" i="2"/>
  <c r="AF21" i="2"/>
  <c r="AF179" i="2"/>
  <c r="AF136" i="2"/>
  <c r="AF202" i="2"/>
  <c r="AF121" i="2"/>
  <c r="AF181" i="2"/>
  <c r="AF16" i="2"/>
  <c r="AF93" i="2"/>
  <c r="AF183" i="2"/>
  <c r="M40" i="4"/>
  <c r="AF201" i="2"/>
  <c r="AF192" i="2"/>
  <c r="AF60" i="2"/>
  <c r="AF172" i="2"/>
  <c r="AF99" i="2"/>
  <c r="AF19" i="2"/>
  <c r="AF140" i="2"/>
  <c r="AF46" i="2"/>
  <c r="AF77" i="2"/>
  <c r="AF124" i="2"/>
  <c r="AF156" i="2"/>
  <c r="AF152" i="2"/>
  <c r="AF66" i="2"/>
  <c r="AF26" i="2"/>
  <c r="AF137" i="2"/>
  <c r="AF54" i="2"/>
  <c r="AF104" i="2"/>
  <c r="AF24" i="2"/>
  <c r="AF200" i="2"/>
  <c r="AF148" i="2"/>
  <c r="AF187" i="2"/>
  <c r="AF193" i="2"/>
  <c r="AF190" i="2"/>
  <c r="AF126" i="2"/>
  <c r="AF168" i="2"/>
  <c r="AF29" i="2"/>
  <c r="AF52" i="2"/>
  <c r="AF120" i="2"/>
  <c r="AF177" i="2"/>
  <c r="AF150" i="2"/>
  <c r="AF23" i="2"/>
  <c r="AF58" i="2"/>
  <c r="AF94" i="2"/>
  <c r="AF129" i="2"/>
  <c r="AF128" i="2"/>
  <c r="AF186" i="2"/>
  <c r="M119" i="4"/>
  <c r="AF197" i="2"/>
  <c r="AF101" i="2"/>
  <c r="AF86" i="2"/>
  <c r="AF164" i="2"/>
  <c r="AF176" i="2"/>
  <c r="AF56" i="2"/>
  <c r="AF207" i="2"/>
  <c r="AF189" i="2"/>
  <c r="AF162" i="2"/>
  <c r="AF195" i="2"/>
  <c r="AF171" i="2"/>
  <c r="AF27" i="2"/>
  <c r="AF185" i="2"/>
  <c r="AF100" i="2"/>
  <c r="AF81" i="2"/>
  <c r="AF72" i="2"/>
  <c r="AF133" i="2"/>
  <c r="M103" i="4"/>
  <c r="AF173" i="2"/>
  <c r="AF203" i="2"/>
  <c r="AF196" i="2"/>
  <c r="AF166" i="2"/>
  <c r="AF127" i="2"/>
  <c r="AF109" i="2"/>
  <c r="AF89" i="2"/>
  <c r="AF132" i="2"/>
  <c r="AF147" i="2"/>
  <c r="AF204" i="2"/>
  <c r="AF106" i="2"/>
  <c r="AF182" i="2"/>
  <c r="AF49" i="2"/>
  <c r="AF51" i="2"/>
  <c r="AF57" i="2"/>
  <c r="N37" i="4" s="1"/>
  <c r="AF107" i="2"/>
  <c r="AF96" i="2"/>
  <c r="AF88" i="2"/>
  <c r="AF63" i="2"/>
  <c r="AF151" i="2"/>
  <c r="AF167" i="2"/>
  <c r="AF138" i="2"/>
  <c r="AF110" i="2"/>
  <c r="AF82" i="2"/>
  <c r="AF74" i="2"/>
  <c r="AF64" i="2"/>
  <c r="AF123" i="2"/>
  <c r="AF206" i="2"/>
  <c r="AF139" i="2"/>
  <c r="AF76" i="2"/>
  <c r="AF131" i="2"/>
  <c r="AF146" i="2"/>
  <c r="AF91" i="2"/>
  <c r="AF210" i="2"/>
  <c r="AF205" i="2"/>
  <c r="AF117" i="2"/>
  <c r="AF90" i="2"/>
  <c r="AF145" i="2"/>
  <c r="AF85" i="2"/>
  <c r="M42" i="4"/>
  <c r="M38" i="4"/>
  <c r="N38" i="4" s="1"/>
  <c r="AF67" i="2"/>
  <c r="M47" i="4"/>
  <c r="M44" i="4"/>
  <c r="M50" i="4"/>
  <c r="M115" i="4"/>
  <c r="M106" i="4"/>
  <c r="M54" i="4"/>
  <c r="M15" i="4"/>
  <c r="M134" i="4"/>
  <c r="M52" i="4"/>
  <c r="M11" i="4"/>
  <c r="M12" i="4"/>
  <c r="AF194" i="2"/>
  <c r="M144" i="4"/>
  <c r="M132" i="4"/>
  <c r="M18" i="4"/>
  <c r="M85" i="4"/>
  <c r="M43" i="4"/>
  <c r="M102" i="4"/>
  <c r="M59" i="4"/>
  <c r="M63" i="4"/>
  <c r="M114" i="4"/>
  <c r="M53" i="4"/>
  <c r="AF178" i="2"/>
  <c r="M128" i="4"/>
  <c r="AF160" i="2"/>
  <c r="M110" i="4"/>
  <c r="M29" i="4"/>
  <c r="M91" i="4"/>
  <c r="M139" i="4"/>
  <c r="M25" i="4"/>
  <c r="M81" i="4"/>
  <c r="M84" i="4"/>
  <c r="M64" i="4"/>
  <c r="M61" i="4"/>
  <c r="M13" i="4"/>
  <c r="M39" i="4"/>
  <c r="M117" i="4"/>
  <c r="M19" i="4"/>
  <c r="M93" i="4"/>
  <c r="M57" i="4"/>
  <c r="M87" i="4"/>
  <c r="M130" i="4"/>
  <c r="M69" i="4"/>
  <c r="M126" i="4"/>
  <c r="M96" i="4"/>
  <c r="AF55" i="2"/>
  <c r="AF80" i="2"/>
  <c r="AF48" i="2"/>
  <c r="M28" i="4"/>
  <c r="AF65" i="2"/>
  <c r="AF70" i="2"/>
  <c r="M138" i="4"/>
  <c r="M95" i="4"/>
  <c r="M113" i="4"/>
  <c r="M60" i="4"/>
  <c r="M118" i="4"/>
  <c r="M58" i="4"/>
  <c r="M101" i="4"/>
  <c r="M89" i="4"/>
  <c r="M145" i="4"/>
  <c r="M74" i="4"/>
  <c r="M109" i="4"/>
  <c r="M72" i="4"/>
  <c r="M123" i="4"/>
  <c r="M22" i="4"/>
  <c r="M41" i="4"/>
  <c r="M83" i="4"/>
  <c r="J6" i="4"/>
  <c r="J5" i="4"/>
  <c r="M36" i="4"/>
  <c r="M120" i="4"/>
  <c r="M31" i="4"/>
  <c r="M127" i="4"/>
  <c r="M16" i="4"/>
  <c r="M129" i="4"/>
  <c r="M66" i="4"/>
  <c r="M30" i="4"/>
  <c r="M98" i="4"/>
  <c r="M46" i="4"/>
  <c r="M136" i="4"/>
  <c r="M105" i="4"/>
  <c r="M116" i="4"/>
  <c r="M140" i="4"/>
  <c r="M32" i="4"/>
  <c r="AF135" i="2"/>
  <c r="AF75" i="2"/>
  <c r="M90" i="4"/>
  <c r="M80" i="4"/>
  <c r="L146" i="4"/>
  <c r="M97" i="4"/>
  <c r="L10" i="4"/>
  <c r="K4" i="4"/>
  <c r="K76" i="4"/>
  <c r="M75" i="4"/>
  <c r="M131" i="4"/>
  <c r="M88" i="4"/>
  <c r="M143" i="4"/>
  <c r="M45" i="4"/>
  <c r="M70" i="4"/>
  <c r="M86" i="4"/>
  <c r="M33" i="4"/>
  <c r="AF41" i="2"/>
  <c r="AF15" i="2"/>
  <c r="AE111" i="2"/>
  <c r="AE7" i="2"/>
  <c r="AE4" i="2"/>
  <c r="AE5" i="2" s="1"/>
  <c r="AF33" i="2"/>
  <c r="AF34" i="2"/>
  <c r="AF45" i="2"/>
  <c r="AF37" i="2"/>
  <c r="AF30" i="2"/>
  <c r="AE6" i="2"/>
  <c r="AF39" i="2"/>
  <c r="AF35" i="2"/>
  <c r="AF115" i="2"/>
  <c r="AE211" i="2"/>
  <c r="AF38" i="2"/>
  <c r="AF42" i="2"/>
  <c r="AF43" i="2"/>
  <c r="AF40" i="2"/>
  <c r="AF44" i="2"/>
  <c r="AF31" i="2"/>
  <c r="AF36" i="2"/>
  <c r="AF142" i="2"/>
  <c r="AF144" i="2"/>
  <c r="AF71" i="2"/>
  <c r="AF149" i="2"/>
  <c r="AF191" i="2"/>
  <c r="AF157" i="2"/>
  <c r="AF95" i="2"/>
  <c r="AF87" i="2"/>
  <c r="AF68" i="2"/>
  <c r="AF118" i="2"/>
  <c r="AF25" i="2"/>
  <c r="AF32" i="2"/>
  <c r="AF158" i="2"/>
  <c r="AF199" i="2"/>
  <c r="AF122" i="2"/>
  <c r="O298" i="39" l="1"/>
  <c r="O421" i="39"/>
  <c r="P215" i="39" s="1"/>
  <c r="O426" i="39"/>
  <c r="O419" i="39"/>
  <c r="O429" i="39"/>
  <c r="P217" i="39" s="1"/>
  <c r="O425" i="39"/>
  <c r="O420" i="39" s="1"/>
  <c r="P214" i="39" s="1"/>
  <c r="O394" i="39"/>
  <c r="O77" i="39" s="1"/>
  <c r="O265" i="39"/>
  <c r="O275" i="39"/>
  <c r="O194" i="39"/>
  <c r="O302" i="39"/>
  <c r="O310" i="39"/>
  <c r="O315" i="39"/>
  <c r="O280" i="39"/>
  <c r="O293" i="39"/>
  <c r="O306" i="39"/>
  <c r="R147" i="39"/>
  <c r="R185" i="39"/>
  <c r="R184" i="39"/>
  <c r="R186" i="39"/>
  <c r="Q471" i="39"/>
  <c r="Q145" i="39"/>
  <c r="Q148" i="39" s="1"/>
  <c r="Q89" i="39"/>
  <c r="S255" i="39"/>
  <c r="P187" i="39"/>
  <c r="P189" i="39" s="1"/>
  <c r="P192" i="39" s="1"/>
  <c r="Q176" i="39"/>
  <c r="Q177" i="39" s="1"/>
  <c r="Q92" i="39" s="1"/>
  <c r="R144" i="39"/>
  <c r="R145" i="39" s="1"/>
  <c r="R44" i="39"/>
  <c r="R175" i="39"/>
  <c r="R176" i="39" s="1"/>
  <c r="P132" i="39"/>
  <c r="P133" i="39"/>
  <c r="R167" i="39"/>
  <c r="R168" i="39" s="1"/>
  <c r="R171" i="39" s="1"/>
  <c r="R152" i="39"/>
  <c r="R137" i="39"/>
  <c r="R256" i="39"/>
  <c r="T263" i="39"/>
  <c r="T253" i="39"/>
  <c r="Q187" i="39"/>
  <c r="S254" i="39"/>
  <c r="N138" i="4"/>
  <c r="T21" i="39"/>
  <c r="S22" i="39"/>
  <c r="S19" i="39"/>
  <c r="T18" i="39"/>
  <c r="Q11" i="39"/>
  <c r="P12" i="39"/>
  <c r="Q20" i="39"/>
  <c r="R16" i="39"/>
  <c r="R181" i="39" s="1"/>
  <c r="Q17" i="39"/>
  <c r="O189" i="39"/>
  <c r="O192" i="39" s="1"/>
  <c r="O136" i="39"/>
  <c r="O284" i="39" s="1"/>
  <c r="O134" i="39"/>
  <c r="O14" i="39"/>
  <c r="O430" i="39" s="1"/>
  <c r="P218" i="39" s="1"/>
  <c r="P13" i="39"/>
  <c r="O139" i="39"/>
  <c r="O135" i="39"/>
  <c r="N23" i="4"/>
  <c r="N53" i="4"/>
  <c r="N99" i="4"/>
  <c r="N65" i="4"/>
  <c r="N141" i="4"/>
  <c r="N68" i="4"/>
  <c r="N82" i="4"/>
  <c r="N14" i="4"/>
  <c r="N73" i="4"/>
  <c r="N142" i="4"/>
  <c r="N108" i="4"/>
  <c r="N24" i="4"/>
  <c r="N122" i="4"/>
  <c r="N54" i="4"/>
  <c r="N103" i="4"/>
  <c r="N111" i="4"/>
  <c r="N124" i="4"/>
  <c r="N135" i="4"/>
  <c r="N109" i="4"/>
  <c r="N93" i="4"/>
  <c r="N104" i="4"/>
  <c r="N133" i="4"/>
  <c r="N58" i="4"/>
  <c r="N64" i="4"/>
  <c r="N91" i="4"/>
  <c r="N30" i="4"/>
  <c r="N107" i="4"/>
  <c r="N20" i="4"/>
  <c r="N71" i="4"/>
  <c r="N51" i="4"/>
  <c r="N17" i="4"/>
  <c r="N21" i="4"/>
  <c r="N125" i="4"/>
  <c r="N27" i="4"/>
  <c r="N66" i="4"/>
  <c r="N136" i="4"/>
  <c r="N100" i="4"/>
  <c r="N56" i="4"/>
  <c r="N83" i="4"/>
  <c r="N34" i="4"/>
  <c r="N131" i="4"/>
  <c r="N69" i="4"/>
  <c r="N42" i="4"/>
  <c r="N62" i="4"/>
  <c r="N123" i="4"/>
  <c r="N115" i="4"/>
  <c r="N119" i="4"/>
  <c r="N137" i="4"/>
  <c r="N121" i="4"/>
  <c r="N49" i="4"/>
  <c r="N44" i="4"/>
  <c r="N97" i="4"/>
  <c r="N130" i="4"/>
  <c r="N41" i="4"/>
  <c r="N105" i="4"/>
  <c r="AG187" i="2"/>
  <c r="N129" i="4"/>
  <c r="N33" i="4"/>
  <c r="N90" i="4"/>
  <c r="N118" i="4"/>
  <c r="N26" i="4"/>
  <c r="N45" i="4"/>
  <c r="N72" i="4"/>
  <c r="N40" i="4"/>
  <c r="N36" i="4"/>
  <c r="N59" i="4"/>
  <c r="N112" i="4"/>
  <c r="N98" i="4"/>
  <c r="N113" i="4"/>
  <c r="N61" i="4"/>
  <c r="N114" i="4"/>
  <c r="N29" i="4"/>
  <c r="N63" i="4"/>
  <c r="N46" i="4"/>
  <c r="N89" i="4"/>
  <c r="N70" i="4"/>
  <c r="N116" i="4"/>
  <c r="N101" i="4"/>
  <c r="N117" i="4"/>
  <c r="AG130" i="2"/>
  <c r="AG182" i="2"/>
  <c r="AG119" i="2"/>
  <c r="N143" i="4"/>
  <c r="N120" i="4"/>
  <c r="N126" i="4"/>
  <c r="N81" i="4"/>
  <c r="N132" i="4"/>
  <c r="N106" i="4"/>
  <c r="AG144" i="2"/>
  <c r="N39" i="4"/>
  <c r="AG118" i="2"/>
  <c r="N86" i="4"/>
  <c r="N32" i="4"/>
  <c r="N74" i="4"/>
  <c r="N102" i="4"/>
  <c r="N134" i="4"/>
  <c r="N43" i="4"/>
  <c r="N84" i="4"/>
  <c r="N139" i="4"/>
  <c r="AG99" i="2"/>
  <c r="AG68" i="2"/>
  <c r="AG142" i="2"/>
  <c r="N140" i="4"/>
  <c r="N127" i="4"/>
  <c r="AG172" i="2"/>
  <c r="AG48" i="2"/>
  <c r="AG201" i="2"/>
  <c r="AG204" i="2"/>
  <c r="N31" i="4"/>
  <c r="N110" i="4"/>
  <c r="AG175" i="2"/>
  <c r="AG122" i="2"/>
  <c r="AG24" i="2"/>
  <c r="N88" i="4"/>
  <c r="N95" i="4"/>
  <c r="N87" i="4"/>
  <c r="AG51" i="2"/>
  <c r="AG92" i="2"/>
  <c r="AG83" i="2"/>
  <c r="N57" i="4"/>
  <c r="N144" i="4"/>
  <c r="N52" i="4"/>
  <c r="AG87" i="2"/>
  <c r="AG49" i="2"/>
  <c r="AG54" i="2"/>
  <c r="N96" i="4"/>
  <c r="N25" i="4"/>
  <c r="N60" i="4"/>
  <c r="K6" i="4"/>
  <c r="K5" i="4"/>
  <c r="N19" i="4"/>
  <c r="N50" i="4"/>
  <c r="M10" i="4"/>
  <c r="L76" i="4"/>
  <c r="L4" i="4"/>
  <c r="N145" i="4"/>
  <c r="N28" i="4"/>
  <c r="N55" i="4"/>
  <c r="N22" i="4"/>
  <c r="N92" i="4"/>
  <c r="N15" i="4"/>
  <c r="N47" i="4"/>
  <c r="N80" i="4"/>
  <c r="M146" i="4"/>
  <c r="N16" i="4"/>
  <c r="N85" i="4"/>
  <c r="N12" i="4"/>
  <c r="N35" i="4"/>
  <c r="N18" i="4"/>
  <c r="N48" i="4"/>
  <c r="N67" i="4"/>
  <c r="N75" i="4"/>
  <c r="N13" i="4"/>
  <c r="N94" i="4"/>
  <c r="N128" i="4"/>
  <c r="N11" i="4"/>
  <c r="AG36" i="2"/>
  <c r="AG125" i="2"/>
  <c r="AG78" i="2"/>
  <c r="AG27" i="2"/>
  <c r="AG17" i="2"/>
  <c r="AG28" i="2"/>
  <c r="AG88" i="2"/>
  <c r="AG23" i="2"/>
  <c r="AG206" i="2"/>
  <c r="AG98" i="2"/>
  <c r="AG177" i="2"/>
  <c r="AG20" i="2"/>
  <c r="AG140" i="2"/>
  <c r="AG37" i="2"/>
  <c r="AG169" i="2"/>
  <c r="AG57" i="2"/>
  <c r="O37" i="4" s="1"/>
  <c r="AG53" i="2"/>
  <c r="AG123" i="2"/>
  <c r="AG66" i="2"/>
  <c r="AG120" i="2"/>
  <c r="AG121" i="2"/>
  <c r="AG19" i="2"/>
  <c r="AG33" i="2"/>
  <c r="AG52" i="2"/>
  <c r="AG145" i="2"/>
  <c r="AG41" i="2"/>
  <c r="AG129" i="2"/>
  <c r="AG39" i="2"/>
  <c r="AG44" i="2"/>
  <c r="AG38" i="2"/>
  <c r="AG166" i="2"/>
  <c r="AG45" i="2"/>
  <c r="AG93" i="2"/>
  <c r="AG67" i="2"/>
  <c r="AG60" i="2"/>
  <c r="AG209" i="2"/>
  <c r="AG170" i="2"/>
  <c r="AG61" i="2"/>
  <c r="AG151" i="2"/>
  <c r="AG115" i="2"/>
  <c r="AF211" i="2"/>
  <c r="AG16" i="2"/>
  <c r="AG152" i="2"/>
  <c r="AG202" i="2"/>
  <c r="AG193" i="2"/>
  <c r="AG188" i="2"/>
  <c r="AG135" i="2"/>
  <c r="AG164" i="2"/>
  <c r="AG15" i="2"/>
  <c r="AF111" i="2"/>
  <c r="AF7" i="2"/>
  <c r="AF4" i="2"/>
  <c r="AF5" i="2" s="1"/>
  <c r="AG189" i="2"/>
  <c r="AG90" i="2"/>
  <c r="AG65" i="2"/>
  <c r="AG148" i="2"/>
  <c r="AG106" i="2"/>
  <c r="AG126" i="2"/>
  <c r="AG32" i="2"/>
  <c r="AG95" i="2"/>
  <c r="AG50" i="2"/>
  <c r="AG147" i="2"/>
  <c r="AG190" i="2"/>
  <c r="AG133" i="2"/>
  <c r="AG161" i="2"/>
  <c r="AG40" i="2"/>
  <c r="AG153" i="2"/>
  <c r="AG26" i="2"/>
  <c r="AG171" i="2"/>
  <c r="AG82" i="2"/>
  <c r="AG70" i="2"/>
  <c r="AG132" i="2"/>
  <c r="AG116" i="2"/>
  <c r="AG22" i="2"/>
  <c r="AG18" i="2"/>
  <c r="AG59" i="2"/>
  <c r="AG85" i="2"/>
  <c r="AG183" i="2"/>
  <c r="AG207" i="2"/>
  <c r="AG117" i="2"/>
  <c r="AG178" i="2"/>
  <c r="AG200" i="2"/>
  <c r="AG91" i="2"/>
  <c r="AG176" i="2"/>
  <c r="AG141" i="2"/>
  <c r="AG157" i="2"/>
  <c r="AG73" i="2"/>
  <c r="AG76" i="2"/>
  <c r="AG180" i="2"/>
  <c r="AG72" i="2"/>
  <c r="AG186" i="2"/>
  <c r="AG195" i="2"/>
  <c r="AG110" i="2"/>
  <c r="AG156" i="2"/>
  <c r="AG89" i="2"/>
  <c r="AG196" i="2"/>
  <c r="AG102" i="2"/>
  <c r="AG136" i="2"/>
  <c r="AG160" i="2"/>
  <c r="AG56" i="2"/>
  <c r="AG205" i="2"/>
  <c r="AG29" i="2"/>
  <c r="AG101" i="2"/>
  <c r="AG191" i="2"/>
  <c r="AG74" i="2"/>
  <c r="AG81" i="2"/>
  <c r="AG43" i="2"/>
  <c r="AG128" i="2"/>
  <c r="AG162" i="2"/>
  <c r="AG138" i="2"/>
  <c r="AG124" i="2"/>
  <c r="AG109" i="2"/>
  <c r="AG203" i="2"/>
  <c r="AG105" i="2"/>
  <c r="AG34" i="2"/>
  <c r="AG179" i="2"/>
  <c r="AG69" i="2"/>
  <c r="AG127" i="2"/>
  <c r="AG210" i="2"/>
  <c r="AG168" i="2"/>
  <c r="AG197" i="2"/>
  <c r="AG146" i="2"/>
  <c r="AG55" i="2"/>
  <c r="AG107" i="2"/>
  <c r="AG198" i="2"/>
  <c r="AG199" i="2"/>
  <c r="AG131" i="2"/>
  <c r="AG192" i="2"/>
  <c r="AG134" i="2"/>
  <c r="AG149" i="2"/>
  <c r="AG75" i="2"/>
  <c r="AG31" i="2"/>
  <c r="AG108" i="2"/>
  <c r="AG100" i="2"/>
  <c r="AG163" i="2"/>
  <c r="AG104" i="2"/>
  <c r="AG94" i="2"/>
  <c r="AG139" i="2"/>
  <c r="AG137" i="2"/>
  <c r="AG77" i="2"/>
  <c r="AG167" i="2"/>
  <c r="AG143" i="2"/>
  <c r="AG30" i="2"/>
  <c r="AF6" i="2"/>
  <c r="AG96" i="2"/>
  <c r="AG21" i="2"/>
  <c r="AG181" i="2"/>
  <c r="AG165" i="2"/>
  <c r="AG174" i="2"/>
  <c r="AG47" i="2"/>
  <c r="AG173" i="2"/>
  <c r="AG158" i="2"/>
  <c r="AG79" i="2"/>
  <c r="AG80" i="2"/>
  <c r="AG25" i="2"/>
  <c r="AG71" i="2"/>
  <c r="AG97" i="2"/>
  <c r="AG208" i="2"/>
  <c r="AG185" i="2"/>
  <c r="AG62" i="2"/>
  <c r="AG42" i="2"/>
  <c r="AG103" i="2"/>
  <c r="AG58" i="2"/>
  <c r="AG194" i="2"/>
  <c r="AG159" i="2"/>
  <c r="AG150" i="2"/>
  <c r="AG35" i="2"/>
  <c r="AG63" i="2"/>
  <c r="AG46" i="2"/>
  <c r="AG155" i="2"/>
  <c r="AG184" i="2"/>
  <c r="AG86" i="2"/>
  <c r="AG84" i="2"/>
  <c r="AG64" i="2"/>
  <c r="AG154" i="2"/>
  <c r="R148" i="39" l="1"/>
  <c r="P394" i="39"/>
  <c r="P425" i="39"/>
  <c r="P420" i="39" s="1"/>
  <c r="Q214" i="39" s="1"/>
  <c r="P429" i="39"/>
  <c r="P419" i="39"/>
  <c r="P426" i="39"/>
  <c r="P421" i="39"/>
  <c r="Q215" i="39" s="1"/>
  <c r="P298" i="39"/>
  <c r="P299" i="39" s="1"/>
  <c r="P280" i="39"/>
  <c r="P315" i="39"/>
  <c r="P310" i="39"/>
  <c r="P302" i="39"/>
  <c r="P194" i="39"/>
  <c r="P195" i="39" s="1"/>
  <c r="P198" i="39" s="1"/>
  <c r="P306" i="39"/>
  <c r="P275" i="39"/>
  <c r="P293" i="39"/>
  <c r="P294" i="39" s="1"/>
  <c r="P265" i="39"/>
  <c r="P266" i="39" s="1"/>
  <c r="P213" i="39"/>
  <c r="O422" i="39"/>
  <c r="S147" i="39"/>
  <c r="S186" i="39"/>
  <c r="S184" i="39"/>
  <c r="S185" i="39"/>
  <c r="Q217" i="39"/>
  <c r="O431" i="39"/>
  <c r="O478" i="39"/>
  <c r="O397" i="39"/>
  <c r="O395" i="39"/>
  <c r="O370" i="39"/>
  <c r="O371" i="39"/>
  <c r="O368" i="39"/>
  <c r="O361" i="39"/>
  <c r="O362" i="39"/>
  <c r="O359" i="39"/>
  <c r="O286" i="39"/>
  <c r="O346" i="39"/>
  <c r="Q132" i="39"/>
  <c r="R177" i="39"/>
  <c r="R92" i="39" s="1"/>
  <c r="S256" i="39"/>
  <c r="P134" i="39"/>
  <c r="R89" i="39"/>
  <c r="P135" i="39"/>
  <c r="P139" i="39"/>
  <c r="R470" i="39"/>
  <c r="P136" i="39"/>
  <c r="P284" i="39" s="1"/>
  <c r="R471" i="39"/>
  <c r="S167" i="39"/>
  <c r="S168" i="39" s="1"/>
  <c r="S171" i="39" s="1"/>
  <c r="S137" i="39"/>
  <c r="S175" i="39"/>
  <c r="S144" i="39"/>
  <c r="S145" i="39" s="1"/>
  <c r="S44" i="39"/>
  <c r="S152" i="39"/>
  <c r="Q133" i="39"/>
  <c r="T254" i="39"/>
  <c r="Q189" i="39"/>
  <c r="Q192" i="39" s="1"/>
  <c r="R187" i="39"/>
  <c r="U253" i="39"/>
  <c r="U263" i="39"/>
  <c r="T255" i="39"/>
  <c r="P94" i="39"/>
  <c r="P193" i="39"/>
  <c r="U18" i="39"/>
  <c r="T19" i="39"/>
  <c r="T22" i="39"/>
  <c r="U21" i="39"/>
  <c r="O138" i="39"/>
  <c r="O140" i="39" s="1"/>
  <c r="O268" i="39"/>
  <c r="O266" i="39"/>
  <c r="O267" i="39"/>
  <c r="O307" i="39"/>
  <c r="O299" i="39"/>
  <c r="S16" i="39"/>
  <c r="S181" i="39" s="1"/>
  <c r="R17" i="39"/>
  <c r="R20" i="39"/>
  <c r="P14" i="39"/>
  <c r="P430" i="39" s="1"/>
  <c r="Q218" i="39" s="1"/>
  <c r="Q13" i="39"/>
  <c r="O316" i="39"/>
  <c r="O317" i="39" s="1"/>
  <c r="O303" i="39"/>
  <c r="O281" i="39"/>
  <c r="O195" i="39"/>
  <c r="O198" i="39" s="1"/>
  <c r="O153" i="39"/>
  <c r="O341" i="39"/>
  <c r="O241" i="39"/>
  <c r="O396" i="39"/>
  <c r="O336" i="39"/>
  <c r="O337" i="39"/>
  <c r="O94" i="39"/>
  <c r="O193" i="39"/>
  <c r="Q12" i="39"/>
  <c r="R11" i="39"/>
  <c r="O294" i="39"/>
  <c r="O295" i="39" s="1"/>
  <c r="O311" i="39"/>
  <c r="O23" i="4"/>
  <c r="O68" i="4"/>
  <c r="O24" i="4"/>
  <c r="O122" i="4"/>
  <c r="O73" i="4"/>
  <c r="O14" i="4"/>
  <c r="AH67" i="2"/>
  <c r="AH16" i="2"/>
  <c r="AH96" i="2"/>
  <c r="AH94" i="2"/>
  <c r="AH134" i="2"/>
  <c r="O17" i="4"/>
  <c r="AH175" i="2"/>
  <c r="O20" i="4"/>
  <c r="AH83" i="2"/>
  <c r="O58" i="4"/>
  <c r="O125" i="4"/>
  <c r="O119" i="4"/>
  <c r="O115" i="4"/>
  <c r="O21" i="4"/>
  <c r="O34" i="4"/>
  <c r="AH158" i="2"/>
  <c r="AH63" i="2"/>
  <c r="AH62" i="2"/>
  <c r="O83" i="4"/>
  <c r="O137" i="4"/>
  <c r="O45" i="4"/>
  <c r="O62" i="4"/>
  <c r="AH185" i="2"/>
  <c r="AH116" i="2"/>
  <c r="AH74" i="2"/>
  <c r="AH161" i="2"/>
  <c r="O63" i="4"/>
  <c r="AH102" i="2"/>
  <c r="AH84" i="2"/>
  <c r="AH159" i="2"/>
  <c r="AH97" i="2"/>
  <c r="AH47" i="2"/>
  <c r="AH143" i="2"/>
  <c r="AH100" i="2"/>
  <c r="AH199" i="2"/>
  <c r="AH203" i="2"/>
  <c r="AH178" i="2"/>
  <c r="O120" i="4"/>
  <c r="AH154" i="2"/>
  <c r="AH197" i="2"/>
  <c r="AH180" i="2"/>
  <c r="O90" i="4"/>
  <c r="AH172" i="2"/>
  <c r="O46" i="4"/>
  <c r="O101" i="4"/>
  <c r="O41" i="4"/>
  <c r="AH56" i="2"/>
  <c r="AH160" i="2"/>
  <c r="AH186" i="2"/>
  <c r="AH91" i="2"/>
  <c r="AH92" i="2"/>
  <c r="O72" i="4"/>
  <c r="O29" i="4"/>
  <c r="O102" i="4"/>
  <c r="O92" i="4"/>
  <c r="O25" i="4"/>
  <c r="O132" i="4"/>
  <c r="AH200" i="2"/>
  <c r="AH22" i="2"/>
  <c r="AH126" i="2"/>
  <c r="AH86" i="2"/>
  <c r="AH194" i="2"/>
  <c r="AH71" i="2"/>
  <c r="AH127" i="2"/>
  <c r="AH138" i="2"/>
  <c r="AH99" i="2"/>
  <c r="AH196" i="2"/>
  <c r="AH76" i="2"/>
  <c r="AH117" i="2"/>
  <c r="AH132" i="2"/>
  <c r="AH87" i="2"/>
  <c r="AH77" i="2"/>
  <c r="AH107" i="2"/>
  <c r="AH69" i="2"/>
  <c r="AH162" i="2"/>
  <c r="AH101" i="2"/>
  <c r="AH89" i="2"/>
  <c r="AH73" i="2"/>
  <c r="AH148" i="2"/>
  <c r="AH164" i="2"/>
  <c r="AH103" i="2"/>
  <c r="AH181" i="2"/>
  <c r="AH137" i="2"/>
  <c r="AH179" i="2"/>
  <c r="AH128" i="2"/>
  <c r="AH29" i="2"/>
  <c r="AH156" i="2"/>
  <c r="AH157" i="2"/>
  <c r="O116" i="4"/>
  <c r="AH155" i="2"/>
  <c r="AH46" i="2"/>
  <c r="AH79" i="2"/>
  <c r="AH21" i="2"/>
  <c r="AH139" i="2"/>
  <c r="AH149" i="2"/>
  <c r="AH146" i="2"/>
  <c r="AH85" i="2"/>
  <c r="AH171" i="2"/>
  <c r="AH50" i="2"/>
  <c r="AH195" i="2"/>
  <c r="AH176" i="2"/>
  <c r="AH183" i="2"/>
  <c r="AH147" i="2"/>
  <c r="O50" i="4"/>
  <c r="AH189" i="2"/>
  <c r="O143" i="4"/>
  <c r="AH173" i="2"/>
  <c r="AH163" i="2"/>
  <c r="AH131" i="2"/>
  <c r="AH168" i="2"/>
  <c r="AH109" i="2"/>
  <c r="AH191" i="2"/>
  <c r="AH153" i="2"/>
  <c r="O31" i="4"/>
  <c r="AH48" i="2"/>
  <c r="AH64" i="2"/>
  <c r="AH150" i="2"/>
  <c r="AH208" i="2"/>
  <c r="AH24" i="2"/>
  <c r="AH104" i="2"/>
  <c r="AH192" i="2"/>
  <c r="AH68" i="2"/>
  <c r="AH105" i="2"/>
  <c r="AH81" i="2"/>
  <c r="AH205" i="2"/>
  <c r="AH110" i="2"/>
  <c r="AH141" i="2"/>
  <c r="AH207" i="2"/>
  <c r="AH190" i="2"/>
  <c r="AH142" i="2"/>
  <c r="AH204" i="2"/>
  <c r="O127" i="4"/>
  <c r="O48" i="4"/>
  <c r="O94" i="4"/>
  <c r="O135" i="4"/>
  <c r="AH184" i="2"/>
  <c r="AH58" i="2"/>
  <c r="AH174" i="2"/>
  <c r="AH167" i="2"/>
  <c r="AH108" i="2"/>
  <c r="AH198" i="2"/>
  <c r="AH210" i="2"/>
  <c r="AH124" i="2"/>
  <c r="AH122" i="2"/>
  <c r="AH136" i="2"/>
  <c r="AH72" i="2"/>
  <c r="AH119" i="2"/>
  <c r="AH59" i="2"/>
  <c r="AH26" i="2"/>
  <c r="AH95" i="2"/>
  <c r="AH90" i="2"/>
  <c r="AH188" i="2"/>
  <c r="AH61" i="2"/>
  <c r="O32" i="4"/>
  <c r="O42" i="4"/>
  <c r="O82" i="4"/>
  <c r="AH19" i="2"/>
  <c r="O67" i="4"/>
  <c r="O131" i="4"/>
  <c r="O123" i="4"/>
  <c r="O133" i="4"/>
  <c r="O117" i="4"/>
  <c r="O70" i="4"/>
  <c r="O69" i="4"/>
  <c r="O28" i="4"/>
  <c r="AH93" i="2"/>
  <c r="O15" i="4"/>
  <c r="O43" i="4"/>
  <c r="O97" i="4"/>
  <c r="AH151" i="2"/>
  <c r="O65" i="4"/>
  <c r="O95" i="4"/>
  <c r="AH53" i="2"/>
  <c r="O85" i="4"/>
  <c r="O86" i="4"/>
  <c r="O13" i="4"/>
  <c r="O112" i="4"/>
  <c r="O57" i="4"/>
  <c r="O27" i="4"/>
  <c r="O84" i="4"/>
  <c r="O88" i="4"/>
  <c r="O104" i="4"/>
  <c r="O108" i="4"/>
  <c r="O12" i="4"/>
  <c r="O40" i="4"/>
  <c r="O93" i="4"/>
  <c r="O100" i="4"/>
  <c r="O124" i="4"/>
  <c r="O59" i="4"/>
  <c r="O36" i="4"/>
  <c r="O129" i="4"/>
  <c r="O66" i="4"/>
  <c r="O121" i="4"/>
  <c r="O60" i="4"/>
  <c r="AH75" i="2"/>
  <c r="O106" i="4"/>
  <c r="O96" i="4"/>
  <c r="O75" i="4"/>
  <c r="O18" i="4"/>
  <c r="O110" i="4"/>
  <c r="O16" i="4"/>
  <c r="O98" i="4"/>
  <c r="O134" i="4"/>
  <c r="O89" i="4"/>
  <c r="O55" i="4"/>
  <c r="O38" i="4"/>
  <c r="O103" i="4"/>
  <c r="O53" i="4"/>
  <c r="O11" i="4"/>
  <c r="O111" i="4"/>
  <c r="O61" i="4"/>
  <c r="O56" i="4"/>
  <c r="O30" i="4"/>
  <c r="O39" i="4"/>
  <c r="O22" i="4"/>
  <c r="O44" i="4"/>
  <c r="O139" i="4"/>
  <c r="O51" i="4"/>
  <c r="AH80" i="2"/>
  <c r="O118" i="4"/>
  <c r="O52" i="4"/>
  <c r="O105" i="4"/>
  <c r="O87" i="4"/>
  <c r="O144" i="4"/>
  <c r="O130" i="4"/>
  <c r="O64" i="4"/>
  <c r="O136" i="4"/>
  <c r="O99" i="4"/>
  <c r="N10" i="4"/>
  <c r="M76" i="4"/>
  <c r="M4" i="4"/>
  <c r="AH55" i="2"/>
  <c r="AH65" i="2"/>
  <c r="AH135" i="2"/>
  <c r="O49" i="4"/>
  <c r="O109" i="4"/>
  <c r="O74" i="4"/>
  <c r="O140" i="4"/>
  <c r="O35" i="4"/>
  <c r="O126" i="4"/>
  <c r="O33" i="4"/>
  <c r="O91" i="4"/>
  <c r="O26" i="4"/>
  <c r="O113" i="4"/>
  <c r="L6" i="4"/>
  <c r="L5" i="4"/>
  <c r="O19" i="4"/>
  <c r="O141" i="4"/>
  <c r="O128" i="4"/>
  <c r="O54" i="4"/>
  <c r="O138" i="4"/>
  <c r="O80" i="4"/>
  <c r="N146" i="4"/>
  <c r="O47" i="4"/>
  <c r="O71" i="4"/>
  <c r="O81" i="4"/>
  <c r="O114" i="4"/>
  <c r="O145" i="4"/>
  <c r="O142" i="4"/>
  <c r="O107" i="4"/>
  <c r="AH42" i="2"/>
  <c r="AH182" i="2"/>
  <c r="AH41" i="2"/>
  <c r="AH51" i="2"/>
  <c r="AH165" i="2"/>
  <c r="AH25" i="2"/>
  <c r="AH28" i="2"/>
  <c r="AH23" i="2"/>
  <c r="AH70" i="2"/>
  <c r="AH18" i="2"/>
  <c r="AH82" i="2"/>
  <c r="AH33" i="2"/>
  <c r="AH49" i="2"/>
  <c r="AH177" i="2"/>
  <c r="AH78" i="2"/>
  <c r="AH35" i="2"/>
  <c r="AH31" i="2"/>
  <c r="AH15" i="2"/>
  <c r="AG111" i="2"/>
  <c r="AG7" i="2"/>
  <c r="AG4" i="2"/>
  <c r="AG5" i="2" s="1"/>
  <c r="AH98" i="2"/>
  <c r="AH125" i="2"/>
  <c r="AH115" i="2"/>
  <c r="AG211" i="2"/>
  <c r="AH45" i="2"/>
  <c r="AH121" i="2"/>
  <c r="AH57" i="2"/>
  <c r="AH206" i="2"/>
  <c r="AH166" i="2"/>
  <c r="AH120" i="2"/>
  <c r="AH169" i="2"/>
  <c r="AH36" i="2"/>
  <c r="AH38" i="2"/>
  <c r="AH66" i="2"/>
  <c r="AH88" i="2"/>
  <c r="AH144" i="2"/>
  <c r="AH30" i="2"/>
  <c r="AG6" i="2"/>
  <c r="AH34" i="2"/>
  <c r="AH40" i="2"/>
  <c r="AH32" i="2"/>
  <c r="AH193" i="2"/>
  <c r="AH170" i="2"/>
  <c r="AH44" i="2"/>
  <c r="AH145" i="2"/>
  <c r="AH123" i="2"/>
  <c r="AH37" i="2"/>
  <c r="AH118" i="2"/>
  <c r="AH43" i="2"/>
  <c r="AH202" i="2"/>
  <c r="AH209" i="2"/>
  <c r="AH39" i="2"/>
  <c r="AH52" i="2"/>
  <c r="AH130" i="2"/>
  <c r="AH140" i="2"/>
  <c r="AH17" i="2"/>
  <c r="AH201" i="2"/>
  <c r="AH133" i="2"/>
  <c r="AH106" i="2"/>
  <c r="AH152" i="2"/>
  <c r="AH60" i="2"/>
  <c r="AH129" i="2"/>
  <c r="AH54" i="2"/>
  <c r="AH20" i="2"/>
  <c r="AH27" i="2"/>
  <c r="AH187" i="2"/>
  <c r="Q298" i="39" l="1"/>
  <c r="Q421" i="39"/>
  <c r="R215" i="39" s="1"/>
  <c r="Q426" i="39"/>
  <c r="Q419" i="39"/>
  <c r="Q429" i="39"/>
  <c r="Q425" i="39"/>
  <c r="Q420" i="39" s="1"/>
  <c r="R214" i="39" s="1"/>
  <c r="Q394" i="39"/>
  <c r="Q395" i="39" s="1"/>
  <c r="Q275" i="39"/>
  <c r="Q306" i="39"/>
  <c r="Q194" i="39"/>
  <c r="Q195" i="39" s="1"/>
  <c r="Q198" i="39" s="1"/>
  <c r="Q302" i="39"/>
  <c r="Q310" i="39"/>
  <c r="Q265" i="39"/>
  <c r="Q315" i="39"/>
  <c r="Q293" i="39"/>
  <c r="Q280" i="39"/>
  <c r="Q213" i="39"/>
  <c r="P422" i="39"/>
  <c r="S148" i="39"/>
  <c r="O101" i="39"/>
  <c r="T147" i="39"/>
  <c r="T185" i="39"/>
  <c r="T184" i="39"/>
  <c r="T186" i="39"/>
  <c r="P431" i="39"/>
  <c r="P113" i="39"/>
  <c r="O501" i="39"/>
  <c r="O477" i="39"/>
  <c r="P397" i="39"/>
  <c r="P478" i="39"/>
  <c r="P395" i="39"/>
  <c r="P77" i="39"/>
  <c r="P286" i="39"/>
  <c r="P368" i="39"/>
  <c r="O369" i="39"/>
  <c r="P371" i="39"/>
  <c r="P370" i="39"/>
  <c r="P359" i="39"/>
  <c r="O486" i="39"/>
  <c r="O360" i="39"/>
  <c r="P362" i="39"/>
  <c r="P361" i="39"/>
  <c r="O363" i="39"/>
  <c r="P346" i="39"/>
  <c r="O488" i="39"/>
  <c r="O347" i="39"/>
  <c r="P316" i="39"/>
  <c r="P317" i="39" s="1"/>
  <c r="P295" i="39"/>
  <c r="O328" i="39"/>
  <c r="R132" i="39"/>
  <c r="P281" i="39"/>
  <c r="P267" i="39"/>
  <c r="P311" i="39"/>
  <c r="P307" i="39"/>
  <c r="P138" i="39"/>
  <c r="P140" i="39" s="1"/>
  <c r="P47" i="39" s="1"/>
  <c r="P268" i="39"/>
  <c r="T256" i="39"/>
  <c r="P241" i="39"/>
  <c r="P341" i="39"/>
  <c r="P504" i="39" s="1"/>
  <c r="S89" i="39"/>
  <c r="P337" i="39"/>
  <c r="P336" i="39"/>
  <c r="P334" i="39"/>
  <c r="P396" i="39"/>
  <c r="T167" i="39"/>
  <c r="T168" i="39" s="1"/>
  <c r="T171" i="39" s="1"/>
  <c r="S471" i="39"/>
  <c r="S176" i="39"/>
  <c r="S177" i="39" s="1"/>
  <c r="S92" i="39" s="1"/>
  <c r="T137" i="39"/>
  <c r="T175" i="39"/>
  <c r="T152" i="39"/>
  <c r="S470" i="39"/>
  <c r="R133" i="39"/>
  <c r="T144" i="39"/>
  <c r="T145" i="39" s="1"/>
  <c r="T44" i="39"/>
  <c r="Q136" i="39"/>
  <c r="Q284" i="39" s="1"/>
  <c r="V253" i="39"/>
  <c r="Q135" i="39"/>
  <c r="R189" i="39"/>
  <c r="P473" i="39"/>
  <c r="S187" i="39"/>
  <c r="P303" i="39"/>
  <c r="O479" i="39"/>
  <c r="O90" i="39"/>
  <c r="P153" i="39"/>
  <c r="U255" i="39"/>
  <c r="Q134" i="39"/>
  <c r="Q139" i="39"/>
  <c r="Q94" i="39"/>
  <c r="Q193" i="39"/>
  <c r="V263" i="39"/>
  <c r="U254" i="39"/>
  <c r="P23" i="4"/>
  <c r="U19" i="39"/>
  <c r="V18" i="39"/>
  <c r="U22" i="39"/>
  <c r="V21" i="39"/>
  <c r="O324" i="39"/>
  <c r="O206" i="39" s="1"/>
  <c r="O80" i="39"/>
  <c r="O398" i="39"/>
  <c r="O102" i="39" s="1"/>
  <c r="O237" i="39"/>
  <c r="O34" i="39"/>
  <c r="O342" i="39"/>
  <c r="O504" i="39"/>
  <c r="O274" i="39"/>
  <c r="O47" i="39"/>
  <c r="O438" i="39"/>
  <c r="O352" i="39"/>
  <c r="O285" i="39"/>
  <c r="O287" i="39"/>
  <c r="T16" i="39"/>
  <c r="T181" i="39" s="1"/>
  <c r="S20" i="39"/>
  <c r="S17" i="39"/>
  <c r="O269" i="39"/>
  <c r="R12" i="39"/>
  <c r="S11" i="39"/>
  <c r="Q14" i="39"/>
  <c r="Q430" i="39" s="1"/>
  <c r="R218" i="39" s="1"/>
  <c r="R13" i="39"/>
  <c r="O91" i="39"/>
  <c r="O472" i="39"/>
  <c r="O121" i="39"/>
  <c r="O507" i="39"/>
  <c r="O334" i="39"/>
  <c r="O473" i="39"/>
  <c r="O59" i="39"/>
  <c r="P24" i="4"/>
  <c r="P47" i="4"/>
  <c r="P122" i="4"/>
  <c r="P73" i="4"/>
  <c r="P14" i="4"/>
  <c r="P107" i="4"/>
  <c r="P84" i="4"/>
  <c r="P142" i="4"/>
  <c r="P27" i="4"/>
  <c r="P63" i="4"/>
  <c r="P42" i="4"/>
  <c r="P49" i="4"/>
  <c r="P74" i="4"/>
  <c r="P125" i="4"/>
  <c r="P127" i="4"/>
  <c r="P144" i="4"/>
  <c r="P108" i="4"/>
  <c r="P109" i="4"/>
  <c r="P20" i="4"/>
  <c r="P43" i="4"/>
  <c r="P17" i="4"/>
  <c r="P21" i="4"/>
  <c r="P132" i="4"/>
  <c r="P72" i="4"/>
  <c r="P96" i="4"/>
  <c r="P111" i="4"/>
  <c r="P114" i="4"/>
  <c r="P57" i="4"/>
  <c r="P138" i="4"/>
  <c r="P25" i="4"/>
  <c r="P90" i="4"/>
  <c r="P141" i="4"/>
  <c r="P110" i="4"/>
  <c r="P28" i="4"/>
  <c r="P64" i="4"/>
  <c r="P128" i="4"/>
  <c r="P26" i="4"/>
  <c r="P112" i="4"/>
  <c r="P130" i="4"/>
  <c r="P30" i="4"/>
  <c r="P93" i="4"/>
  <c r="P54" i="4"/>
  <c r="P87" i="4"/>
  <c r="P67" i="4"/>
  <c r="P69" i="4"/>
  <c r="P117" i="4"/>
  <c r="P104" i="4"/>
  <c r="P123" i="4"/>
  <c r="P33" i="4"/>
  <c r="P53" i="4"/>
  <c r="P113" i="4"/>
  <c r="P105" i="4"/>
  <c r="P88" i="4"/>
  <c r="P136" i="4"/>
  <c r="P135" i="4"/>
  <c r="P48" i="4"/>
  <c r="P98" i="4"/>
  <c r="P36" i="4"/>
  <c r="P100" i="4"/>
  <c r="P82" i="4"/>
  <c r="P35" i="4"/>
  <c r="P61" i="4"/>
  <c r="P121" i="4"/>
  <c r="P101" i="4"/>
  <c r="P52" i="4"/>
  <c r="P89" i="4"/>
  <c r="P41" i="4"/>
  <c r="P71" i="4"/>
  <c r="P118" i="4"/>
  <c r="P131" i="4"/>
  <c r="P92" i="4"/>
  <c r="P81" i="4"/>
  <c r="P66" i="4"/>
  <c r="P44" i="4"/>
  <c r="P106" i="4"/>
  <c r="P129" i="4"/>
  <c r="AI198" i="2"/>
  <c r="P39" i="4"/>
  <c r="P59" i="4"/>
  <c r="AI63" i="2"/>
  <c r="P126" i="4"/>
  <c r="P56" i="4"/>
  <c r="P91" i="4"/>
  <c r="P86" i="4"/>
  <c r="P103" i="4"/>
  <c r="P38" i="4"/>
  <c r="P140" i="4"/>
  <c r="P99" i="4"/>
  <c r="P51" i="4"/>
  <c r="P65" i="4"/>
  <c r="P70" i="4"/>
  <c r="P139" i="4"/>
  <c r="P97" i="4"/>
  <c r="P12" i="4"/>
  <c r="P134" i="4"/>
  <c r="P133" i="4"/>
  <c r="AI73" i="2"/>
  <c r="AI21" i="2"/>
  <c r="AI200" i="2"/>
  <c r="AI205" i="2"/>
  <c r="AI145" i="2"/>
  <c r="P124" i="4"/>
  <c r="AI117" i="2"/>
  <c r="AI144" i="2"/>
  <c r="AI100" i="2"/>
  <c r="AI180" i="2"/>
  <c r="AI130" i="2"/>
  <c r="AI77" i="2"/>
  <c r="AI143" i="2"/>
  <c r="AI89" i="2"/>
  <c r="AI208" i="2"/>
  <c r="AI203" i="2"/>
  <c r="AI103" i="2"/>
  <c r="AI156" i="2"/>
  <c r="AI184" i="2"/>
  <c r="AI170" i="2"/>
  <c r="AI101" i="2"/>
  <c r="AI71" i="2"/>
  <c r="AI66" i="2"/>
  <c r="AI196" i="2"/>
  <c r="AI169" i="2"/>
  <c r="AI92" i="2"/>
  <c r="AI159" i="2"/>
  <c r="AI136" i="2"/>
  <c r="AI84" i="2"/>
  <c r="AI160" i="2"/>
  <c r="AI78" i="2"/>
  <c r="AI190" i="2"/>
  <c r="AI79" i="2"/>
  <c r="AI129" i="2"/>
  <c r="AI157" i="2"/>
  <c r="AI47" i="2"/>
  <c r="AI76" i="2"/>
  <c r="AI72" i="2"/>
  <c r="AI186" i="2"/>
  <c r="AI181" i="2"/>
  <c r="AI152" i="2"/>
  <c r="AI168" i="2"/>
  <c r="AI97" i="2"/>
  <c r="AI209" i="2"/>
  <c r="AI29" i="2"/>
  <c r="AI150" i="2"/>
  <c r="AI193" i="2"/>
  <c r="AI58" i="2"/>
  <c r="AI99" i="2"/>
  <c r="AI120" i="2"/>
  <c r="AI162" i="2"/>
  <c r="AI158" i="2"/>
  <c r="AI164" i="2"/>
  <c r="AI122" i="2"/>
  <c r="AI125" i="2"/>
  <c r="AI191" i="2"/>
  <c r="AI25" i="2"/>
  <c r="AI183" i="2"/>
  <c r="P40" i="4"/>
  <c r="AI119" i="2"/>
  <c r="AI52" i="2"/>
  <c r="AI88" i="2"/>
  <c r="AI102" i="2"/>
  <c r="AI106" i="2"/>
  <c r="AI199" i="2"/>
  <c r="AI185" i="2"/>
  <c r="AI202" i="2"/>
  <c r="AI64" i="2"/>
  <c r="AI68" i="2"/>
  <c r="AI155" i="2"/>
  <c r="AI61" i="2"/>
  <c r="AI128" i="2"/>
  <c r="AI166" i="2"/>
  <c r="AI179" i="2"/>
  <c r="AI206" i="2"/>
  <c r="AI148" i="2"/>
  <c r="AI138" i="2"/>
  <c r="AI98" i="2"/>
  <c r="AI142" i="2"/>
  <c r="Q92" i="4" s="1"/>
  <c r="R92" i="4" s="1"/>
  <c r="S92" i="4" s="1"/>
  <c r="T92" i="4" s="1"/>
  <c r="U92" i="4" s="1"/>
  <c r="V92" i="4" s="1"/>
  <c r="W92" i="4" s="1"/>
  <c r="X92" i="4" s="1"/>
  <c r="Y92" i="4" s="1"/>
  <c r="Z92" i="4" s="1"/>
  <c r="AA92" i="4" s="1"/>
  <c r="AB92" i="4" s="1"/>
  <c r="AC92" i="4" s="1"/>
  <c r="AD92" i="4" s="1"/>
  <c r="AE92" i="4" s="1"/>
  <c r="AF92" i="4" s="1"/>
  <c r="AG92" i="4" s="1"/>
  <c r="AH92" i="4" s="1"/>
  <c r="AI92" i="4" s="1"/>
  <c r="AJ92" i="4" s="1"/>
  <c r="AK92" i="4" s="1"/>
  <c r="AL92" i="4" s="1"/>
  <c r="AM92" i="4" s="1"/>
  <c r="AN92" i="4" s="1"/>
  <c r="AO92" i="4" s="1"/>
  <c r="AP92" i="4" s="1"/>
  <c r="AQ92" i="4" s="1"/>
  <c r="AI124" i="2"/>
  <c r="AI49" i="2"/>
  <c r="AI165" i="2"/>
  <c r="AI176" i="2"/>
  <c r="P19" i="4"/>
  <c r="AI91" i="2"/>
  <c r="AI87" i="2"/>
  <c r="AI133" i="2"/>
  <c r="AI105" i="2"/>
  <c r="AI192" i="2"/>
  <c r="AI188" i="2"/>
  <c r="AI151" i="2"/>
  <c r="AI146" i="2"/>
  <c r="AI57" i="2"/>
  <c r="AI50" i="2"/>
  <c r="AI69" i="2"/>
  <c r="AI53" i="2"/>
  <c r="AI147" i="2"/>
  <c r="AI127" i="2"/>
  <c r="AI51" i="2"/>
  <c r="AI195" i="2"/>
  <c r="P16" i="4"/>
  <c r="AI187" i="2"/>
  <c r="AI108" i="2"/>
  <c r="AI126" i="2"/>
  <c r="AI118" i="2"/>
  <c r="AI104" i="2"/>
  <c r="AI27" i="2"/>
  <c r="AI207" i="2"/>
  <c r="AI167" i="2"/>
  <c r="AI17" i="2"/>
  <c r="AI161" i="2"/>
  <c r="AI197" i="2"/>
  <c r="AI116" i="2"/>
  <c r="AI163" i="2"/>
  <c r="AI83" i="2"/>
  <c r="AI90" i="2"/>
  <c r="AI173" i="2"/>
  <c r="AI95" i="2"/>
  <c r="AI149" i="2"/>
  <c r="AI121" i="2"/>
  <c r="AI26" i="2"/>
  <c r="AI55" i="2"/>
  <c r="AI19" i="2"/>
  <c r="AI171" i="2"/>
  <c r="AI107" i="2"/>
  <c r="AI82" i="2"/>
  <c r="AI210" i="2"/>
  <c r="P46" i="4"/>
  <c r="AI24" i="2"/>
  <c r="AI139" i="2"/>
  <c r="AI137" i="2"/>
  <c r="AI81" i="2"/>
  <c r="AI174" i="2"/>
  <c r="AI96" i="2"/>
  <c r="AI201" i="2"/>
  <c r="AI194" i="2"/>
  <c r="AI20" i="2"/>
  <c r="AI110" i="2"/>
  <c r="AI80" i="2"/>
  <c r="AI140" i="2"/>
  <c r="AI132" i="2"/>
  <c r="AI131" i="2"/>
  <c r="AI123" i="2"/>
  <c r="AI178" i="2"/>
  <c r="AI62" i="2"/>
  <c r="AI22" i="2"/>
  <c r="AI86" i="2"/>
  <c r="AI172" i="2"/>
  <c r="AI94" i="2"/>
  <c r="AI204" i="2"/>
  <c r="AI59" i="2"/>
  <c r="AI75" i="2"/>
  <c r="AI48" i="2"/>
  <c r="AI85" i="2"/>
  <c r="AI18" i="2"/>
  <c r="AI182" i="2"/>
  <c r="P62" i="4"/>
  <c r="P85" i="4"/>
  <c r="P45" i="4"/>
  <c r="P83" i="4"/>
  <c r="M6" i="4"/>
  <c r="M5" i="4"/>
  <c r="AI135" i="2"/>
  <c r="P31" i="4"/>
  <c r="P55" i="4"/>
  <c r="P18" i="4"/>
  <c r="P94" i="4"/>
  <c r="P37" i="4"/>
  <c r="P119" i="4"/>
  <c r="AI65" i="2"/>
  <c r="P15" i="4"/>
  <c r="P11" i="4"/>
  <c r="P75" i="4"/>
  <c r="P60" i="4"/>
  <c r="P13" i="4"/>
  <c r="P143" i="4"/>
  <c r="P32" i="4"/>
  <c r="P68" i="4"/>
  <c r="P102" i="4"/>
  <c r="AI54" i="2"/>
  <c r="P34" i="4"/>
  <c r="P80" i="4"/>
  <c r="O146" i="4"/>
  <c r="P116" i="4"/>
  <c r="P115" i="4"/>
  <c r="O10" i="4"/>
  <c r="N4" i="4"/>
  <c r="N76" i="4"/>
  <c r="P22" i="4"/>
  <c r="P137" i="4"/>
  <c r="P58" i="4"/>
  <c r="P120" i="4"/>
  <c r="AI60" i="2"/>
  <c r="AI70" i="2"/>
  <c r="P145" i="4"/>
  <c r="P29" i="4"/>
  <c r="P50" i="4"/>
  <c r="P95" i="4"/>
  <c r="AI39" i="2"/>
  <c r="AI40" i="2"/>
  <c r="AI36" i="2"/>
  <c r="AI38" i="2"/>
  <c r="AI44" i="2"/>
  <c r="AI45" i="2"/>
  <c r="AI31" i="2"/>
  <c r="AI33" i="2"/>
  <c r="AI43" i="2"/>
  <c r="AI41" i="2"/>
  <c r="AI115" i="2"/>
  <c r="AH211" i="2"/>
  <c r="AI30" i="2"/>
  <c r="AH6" i="2"/>
  <c r="AI15" i="2"/>
  <c r="AH111" i="2"/>
  <c r="AH7" i="2"/>
  <c r="AH4" i="2"/>
  <c r="AH5" i="2" s="1"/>
  <c r="AI35" i="2"/>
  <c r="AI189" i="2"/>
  <c r="AI134" i="2"/>
  <c r="AI141" i="2"/>
  <c r="AI46" i="2"/>
  <c r="AI153" i="2"/>
  <c r="AI175" i="2"/>
  <c r="AI93" i="2"/>
  <c r="AI56" i="2"/>
  <c r="AI37" i="2"/>
  <c r="AI32" i="2"/>
  <c r="AI23" i="2"/>
  <c r="AI67" i="2"/>
  <c r="AI74" i="2"/>
  <c r="AI42" i="2"/>
  <c r="AI34" i="2"/>
  <c r="AI177" i="2"/>
  <c r="AI28" i="2"/>
  <c r="AI16" i="2"/>
  <c r="AI109" i="2"/>
  <c r="AI154" i="2"/>
  <c r="R298" i="39" l="1"/>
  <c r="R394" i="39"/>
  <c r="R425" i="39"/>
  <c r="R420" i="39" s="1"/>
  <c r="S214" i="39" s="1"/>
  <c r="R429" i="39"/>
  <c r="R419" i="39"/>
  <c r="R426" i="39"/>
  <c r="R421" i="39"/>
  <c r="R217" i="39"/>
  <c r="R315" i="39"/>
  <c r="R265" i="39"/>
  <c r="R310" i="39"/>
  <c r="R302" i="39"/>
  <c r="R194" i="39"/>
  <c r="R195" i="39" s="1"/>
  <c r="R198" i="39" s="1"/>
  <c r="R280" i="39"/>
  <c r="R306" i="39"/>
  <c r="R293" i="39"/>
  <c r="R275" i="39"/>
  <c r="O481" i="39"/>
  <c r="O494" i="39" s="1"/>
  <c r="R213" i="39"/>
  <c r="Q422" i="39"/>
  <c r="P101" i="39"/>
  <c r="U147" i="39"/>
  <c r="T148" i="39"/>
  <c r="U186" i="39"/>
  <c r="U184" i="39"/>
  <c r="U185" i="39"/>
  <c r="O505" i="39"/>
  <c r="Q113" i="39"/>
  <c r="P501" i="39"/>
  <c r="P505" i="39" s="1"/>
  <c r="P477" i="39"/>
  <c r="Q431" i="39"/>
  <c r="P398" i="39"/>
  <c r="P102" i="39" s="1"/>
  <c r="S133" i="39"/>
  <c r="Q397" i="39"/>
  <c r="Q478" i="39"/>
  <c r="Q77" i="39"/>
  <c r="Q286" i="39"/>
  <c r="R478" i="39"/>
  <c r="P324" i="39"/>
  <c r="P328" i="39"/>
  <c r="O489" i="39"/>
  <c r="Q370" i="39"/>
  <c r="Q371" i="39"/>
  <c r="O372" i="39"/>
  <c r="Q368" i="39"/>
  <c r="P369" i="39"/>
  <c r="P363" i="39"/>
  <c r="Q361" i="39"/>
  <c r="Q362" i="39"/>
  <c r="O364" i="39"/>
  <c r="Q359" i="39"/>
  <c r="P486" i="39"/>
  <c r="P360" i="39"/>
  <c r="O348" i="39"/>
  <c r="O74" i="39"/>
  <c r="Q346" i="39"/>
  <c r="P488" i="39"/>
  <c r="P347" i="39"/>
  <c r="S132" i="39"/>
  <c r="Q281" i="39"/>
  <c r="P269" i="39"/>
  <c r="T470" i="39"/>
  <c r="P237" i="39"/>
  <c r="P238" i="39" s="1"/>
  <c r="P239" i="39" s="1"/>
  <c r="P342" i="39"/>
  <c r="P37" i="39" s="1"/>
  <c r="P352" i="39"/>
  <c r="P354" i="39" s="1"/>
  <c r="P438" i="39"/>
  <c r="P440" i="39" s="1"/>
  <c r="P274" i="39"/>
  <c r="P276" i="39" s="1"/>
  <c r="T89" i="39"/>
  <c r="U256" i="39"/>
  <c r="P91" i="39"/>
  <c r="P507" i="39"/>
  <c r="P472" i="39"/>
  <c r="P59" i="39"/>
  <c r="P80" i="39"/>
  <c r="P121" i="39"/>
  <c r="P287" i="39"/>
  <c r="T471" i="39"/>
  <c r="T176" i="39"/>
  <c r="T177" i="39" s="1"/>
  <c r="T92" i="39" s="1"/>
  <c r="V255" i="39"/>
  <c r="V254" i="39"/>
  <c r="U175" i="39"/>
  <c r="U176" i="39" s="1"/>
  <c r="U167" i="39"/>
  <c r="U168" i="39" s="1"/>
  <c r="U171" i="39" s="1"/>
  <c r="U144" i="39"/>
  <c r="U145" i="39" s="1"/>
  <c r="U44" i="39"/>
  <c r="U152" i="39"/>
  <c r="U137" i="39"/>
  <c r="Q341" i="39"/>
  <c r="Q266" i="39"/>
  <c r="Q396" i="39"/>
  <c r="P90" i="39"/>
  <c r="Q153" i="39"/>
  <c r="P34" i="39"/>
  <c r="Q311" i="39"/>
  <c r="Q307" i="39"/>
  <c r="R139" i="39"/>
  <c r="Q241" i="39"/>
  <c r="R135" i="39"/>
  <c r="P338" i="39"/>
  <c r="P36" i="39" s="1"/>
  <c r="P500" i="39"/>
  <c r="Q316" i="39"/>
  <c r="Q317" i="39" s="1"/>
  <c r="Q473" i="39"/>
  <c r="R134" i="39"/>
  <c r="Q138" i="39"/>
  <c r="P285" i="39"/>
  <c r="P479" i="39"/>
  <c r="Q267" i="39"/>
  <c r="Q299" i="39"/>
  <c r="Q294" i="39"/>
  <c r="Q295" i="39" s="1"/>
  <c r="W253" i="39"/>
  <c r="W263" i="39"/>
  <c r="Q337" i="39"/>
  <c r="S189" i="39"/>
  <c r="Q336" i="39"/>
  <c r="Q303" i="39"/>
  <c r="T187" i="39"/>
  <c r="Q268" i="39"/>
  <c r="R136" i="39"/>
  <c r="R284" i="39" s="1"/>
  <c r="Q23" i="4"/>
  <c r="R23" i="4" s="1"/>
  <c r="S23" i="4" s="1"/>
  <c r="T23" i="4" s="1"/>
  <c r="U23" i="4" s="1"/>
  <c r="V23" i="4" s="1"/>
  <c r="W23" i="4" s="1"/>
  <c r="X23" i="4" s="1"/>
  <c r="Y23" i="4" s="1"/>
  <c r="Z23" i="4" s="1"/>
  <c r="AA23" i="4" s="1"/>
  <c r="AB23" i="4" s="1"/>
  <c r="AC23" i="4" s="1"/>
  <c r="AD23" i="4" s="1"/>
  <c r="AE23" i="4" s="1"/>
  <c r="AF23" i="4" s="1"/>
  <c r="AG23" i="4" s="1"/>
  <c r="AH23" i="4" s="1"/>
  <c r="AI23" i="4" s="1"/>
  <c r="AJ23" i="4" s="1"/>
  <c r="AK23" i="4" s="1"/>
  <c r="AL23" i="4" s="1"/>
  <c r="AM23" i="4" s="1"/>
  <c r="AN23" i="4" s="1"/>
  <c r="AO23" i="4" s="1"/>
  <c r="AP23" i="4" s="1"/>
  <c r="AQ23" i="4" s="1"/>
  <c r="W21" i="39"/>
  <c r="V22" i="39"/>
  <c r="W18" i="39"/>
  <c r="V19" i="39"/>
  <c r="O288" i="39"/>
  <c r="R14" i="39"/>
  <c r="R190" i="39" s="1"/>
  <c r="R192" i="39" s="1"/>
  <c r="S13" i="39"/>
  <c r="S298" i="39" s="1"/>
  <c r="S12" i="39"/>
  <c r="T11" i="39"/>
  <c r="T20" i="39"/>
  <c r="T17" i="39"/>
  <c r="U16" i="39"/>
  <c r="U181" i="39" s="1"/>
  <c r="O38" i="39"/>
  <c r="O103" i="39"/>
  <c r="O37" i="39"/>
  <c r="O354" i="39"/>
  <c r="O63" i="39" s="1"/>
  <c r="O469" i="39"/>
  <c r="O440" i="39"/>
  <c r="O238" i="39"/>
  <c r="O208" i="39" s="1"/>
  <c r="O500" i="39"/>
  <c r="O338" i="39"/>
  <c r="O36" i="39" s="1"/>
  <c r="O276" i="39"/>
  <c r="O277" i="39" s="1"/>
  <c r="O327" i="39" s="1"/>
  <c r="O329" i="39" s="1"/>
  <c r="O325" i="39"/>
  <c r="O221" i="39" s="1"/>
  <c r="O79" i="39"/>
  <c r="Q24" i="4"/>
  <c r="R24" i="4" s="1"/>
  <c r="S24" i="4" s="1"/>
  <c r="T24" i="4" s="1"/>
  <c r="U24" i="4" s="1"/>
  <c r="V24" i="4" s="1"/>
  <c r="W24" i="4" s="1"/>
  <c r="X24" i="4" s="1"/>
  <c r="Y24" i="4" s="1"/>
  <c r="Z24" i="4" s="1"/>
  <c r="AA24" i="4" s="1"/>
  <c r="AB24" i="4" s="1"/>
  <c r="AC24" i="4" s="1"/>
  <c r="AD24" i="4" s="1"/>
  <c r="AE24" i="4" s="1"/>
  <c r="AF24" i="4" s="1"/>
  <c r="AG24" i="4" s="1"/>
  <c r="AH24" i="4" s="1"/>
  <c r="AI24" i="4" s="1"/>
  <c r="AJ24" i="4" s="1"/>
  <c r="AK24" i="4" s="1"/>
  <c r="AL24" i="4" s="1"/>
  <c r="AM24" i="4" s="1"/>
  <c r="AN24" i="4" s="1"/>
  <c r="AO24" i="4" s="1"/>
  <c r="AP24" i="4" s="1"/>
  <c r="AQ24" i="4" s="1"/>
  <c r="Q122" i="4"/>
  <c r="R122" i="4" s="1"/>
  <c r="S122" i="4" s="1"/>
  <c r="T122" i="4" s="1"/>
  <c r="U122" i="4" s="1"/>
  <c r="V122" i="4" s="1"/>
  <c r="W122" i="4" s="1"/>
  <c r="X122" i="4" s="1"/>
  <c r="Y122" i="4" s="1"/>
  <c r="Z122" i="4" s="1"/>
  <c r="AA122" i="4" s="1"/>
  <c r="AB122" i="4" s="1"/>
  <c r="AC122" i="4" s="1"/>
  <c r="AD122" i="4" s="1"/>
  <c r="AE122" i="4" s="1"/>
  <c r="AF122" i="4" s="1"/>
  <c r="AG122" i="4" s="1"/>
  <c r="AH122" i="4" s="1"/>
  <c r="AI122" i="4" s="1"/>
  <c r="AJ122" i="4" s="1"/>
  <c r="AK122" i="4" s="1"/>
  <c r="AL122" i="4" s="1"/>
  <c r="AM122" i="4" s="1"/>
  <c r="AN122" i="4" s="1"/>
  <c r="AO122" i="4" s="1"/>
  <c r="AP122" i="4" s="1"/>
  <c r="AQ122" i="4" s="1"/>
  <c r="Q63" i="4"/>
  <c r="R63" i="4" s="1"/>
  <c r="S63" i="4" s="1"/>
  <c r="T63" i="4" s="1"/>
  <c r="U63" i="4" s="1"/>
  <c r="V63" i="4" s="1"/>
  <c r="W63" i="4" s="1"/>
  <c r="X63" i="4" s="1"/>
  <c r="Y63" i="4" s="1"/>
  <c r="Z63" i="4" s="1"/>
  <c r="AA63" i="4" s="1"/>
  <c r="AB63" i="4" s="1"/>
  <c r="AC63" i="4" s="1"/>
  <c r="AD63" i="4" s="1"/>
  <c r="AE63" i="4" s="1"/>
  <c r="AF63" i="4" s="1"/>
  <c r="AG63" i="4" s="1"/>
  <c r="AH63" i="4" s="1"/>
  <c r="AI63" i="4" s="1"/>
  <c r="AJ63" i="4" s="1"/>
  <c r="AK63" i="4" s="1"/>
  <c r="AL63" i="4" s="1"/>
  <c r="AM63" i="4" s="1"/>
  <c r="AN63" i="4" s="1"/>
  <c r="AO63" i="4" s="1"/>
  <c r="AP63" i="4" s="1"/>
  <c r="AQ63" i="4" s="1"/>
  <c r="Q73" i="4"/>
  <c r="R73" i="4" s="1"/>
  <c r="S73" i="4" s="1"/>
  <c r="T73" i="4" s="1"/>
  <c r="U73" i="4" s="1"/>
  <c r="V73" i="4" s="1"/>
  <c r="W73" i="4" s="1"/>
  <c r="X73" i="4" s="1"/>
  <c r="Y73" i="4" s="1"/>
  <c r="Z73" i="4" s="1"/>
  <c r="AA73" i="4" s="1"/>
  <c r="AB73" i="4" s="1"/>
  <c r="AC73" i="4" s="1"/>
  <c r="AD73" i="4" s="1"/>
  <c r="AE73" i="4" s="1"/>
  <c r="AF73" i="4" s="1"/>
  <c r="AG73" i="4" s="1"/>
  <c r="AH73" i="4" s="1"/>
  <c r="AI73" i="4" s="1"/>
  <c r="AJ73" i="4" s="1"/>
  <c r="AK73" i="4" s="1"/>
  <c r="AL73" i="4" s="1"/>
  <c r="AM73" i="4" s="1"/>
  <c r="AN73" i="4" s="1"/>
  <c r="AO73" i="4" s="1"/>
  <c r="AP73" i="4" s="1"/>
  <c r="AQ73" i="4" s="1"/>
  <c r="Q107" i="4"/>
  <c r="R107" i="4" s="1"/>
  <c r="S107" i="4" s="1"/>
  <c r="T107" i="4" s="1"/>
  <c r="U107" i="4" s="1"/>
  <c r="V107" i="4" s="1"/>
  <c r="W107" i="4" s="1"/>
  <c r="X107" i="4" s="1"/>
  <c r="Y107" i="4" s="1"/>
  <c r="Z107" i="4" s="1"/>
  <c r="AA107" i="4" s="1"/>
  <c r="AB107" i="4" s="1"/>
  <c r="AC107" i="4" s="1"/>
  <c r="AD107" i="4" s="1"/>
  <c r="AE107" i="4" s="1"/>
  <c r="AF107" i="4" s="1"/>
  <c r="AG107" i="4" s="1"/>
  <c r="AH107" i="4" s="1"/>
  <c r="AI107" i="4" s="1"/>
  <c r="AJ107" i="4" s="1"/>
  <c r="AK107" i="4" s="1"/>
  <c r="AL107" i="4" s="1"/>
  <c r="AM107" i="4" s="1"/>
  <c r="AN107" i="4" s="1"/>
  <c r="AO107" i="4" s="1"/>
  <c r="AP107" i="4" s="1"/>
  <c r="AQ107" i="4" s="1"/>
  <c r="Q84" i="4"/>
  <c r="R84" i="4" s="1"/>
  <c r="S84" i="4" s="1"/>
  <c r="T84" i="4" s="1"/>
  <c r="U84" i="4" s="1"/>
  <c r="V84" i="4" s="1"/>
  <c r="W84" i="4" s="1"/>
  <c r="X84" i="4" s="1"/>
  <c r="Y84" i="4" s="1"/>
  <c r="Z84" i="4" s="1"/>
  <c r="AA84" i="4" s="1"/>
  <c r="AB84" i="4" s="1"/>
  <c r="AC84" i="4" s="1"/>
  <c r="AD84" i="4" s="1"/>
  <c r="AE84" i="4" s="1"/>
  <c r="AF84" i="4" s="1"/>
  <c r="AG84" i="4" s="1"/>
  <c r="AH84" i="4" s="1"/>
  <c r="AI84" i="4" s="1"/>
  <c r="AJ84" i="4" s="1"/>
  <c r="AK84" i="4" s="1"/>
  <c r="AL84" i="4" s="1"/>
  <c r="AM84" i="4" s="1"/>
  <c r="AN84" i="4" s="1"/>
  <c r="AO84" i="4" s="1"/>
  <c r="AP84" i="4" s="1"/>
  <c r="AQ84" i="4" s="1"/>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AO27" i="4" s="1"/>
  <c r="AP27" i="4" s="1"/>
  <c r="AQ27" i="4" s="1"/>
  <c r="Q74" i="4"/>
  <c r="R74" i="4" s="1"/>
  <c r="S74" i="4" s="1"/>
  <c r="T74" i="4" s="1"/>
  <c r="U74" i="4" s="1"/>
  <c r="V74" i="4" s="1"/>
  <c r="W74" i="4" s="1"/>
  <c r="X74" i="4" s="1"/>
  <c r="Y74" i="4" s="1"/>
  <c r="Z74" i="4" s="1"/>
  <c r="AA74" i="4" s="1"/>
  <c r="AB74" i="4" s="1"/>
  <c r="AC74" i="4" s="1"/>
  <c r="AD74" i="4" s="1"/>
  <c r="AE74" i="4" s="1"/>
  <c r="AF74" i="4" s="1"/>
  <c r="AG74" i="4" s="1"/>
  <c r="AH74" i="4" s="1"/>
  <c r="AI74" i="4" s="1"/>
  <c r="AJ74" i="4" s="1"/>
  <c r="AK74" i="4" s="1"/>
  <c r="AL74" i="4" s="1"/>
  <c r="AM74" i="4" s="1"/>
  <c r="AN74" i="4" s="1"/>
  <c r="AO74" i="4" s="1"/>
  <c r="AP74" i="4" s="1"/>
  <c r="AQ74" i="4" s="1"/>
  <c r="Q14" i="4"/>
  <c r="R14" i="4" s="1"/>
  <c r="S14" i="4" s="1"/>
  <c r="T14" i="4" s="1"/>
  <c r="U14" i="4" s="1"/>
  <c r="V14" i="4" s="1"/>
  <c r="W14" i="4" s="1"/>
  <c r="X14" i="4" s="1"/>
  <c r="Y14" i="4" s="1"/>
  <c r="Z14" i="4" s="1"/>
  <c r="AA14" i="4" s="1"/>
  <c r="AB14" i="4" s="1"/>
  <c r="AC14" i="4" s="1"/>
  <c r="AD14" i="4" s="1"/>
  <c r="AE14" i="4" s="1"/>
  <c r="AF14" i="4" s="1"/>
  <c r="AG14" i="4" s="1"/>
  <c r="AH14" i="4" s="1"/>
  <c r="AI14" i="4" s="1"/>
  <c r="AJ14" i="4" s="1"/>
  <c r="AK14" i="4" s="1"/>
  <c r="AL14" i="4" s="1"/>
  <c r="AM14" i="4" s="1"/>
  <c r="AN14" i="4" s="1"/>
  <c r="AO14" i="4" s="1"/>
  <c r="AP14" i="4" s="1"/>
  <c r="AQ14" i="4" s="1"/>
  <c r="Q142" i="4"/>
  <c r="R142" i="4" s="1"/>
  <c r="S142" i="4" s="1"/>
  <c r="T142" i="4" s="1"/>
  <c r="U142" i="4" s="1"/>
  <c r="V142" i="4" s="1"/>
  <c r="W142" i="4" s="1"/>
  <c r="X142" i="4" s="1"/>
  <c r="Y142" i="4" s="1"/>
  <c r="Z142" i="4" s="1"/>
  <c r="AA142" i="4" s="1"/>
  <c r="AB142" i="4" s="1"/>
  <c r="AC142" i="4" s="1"/>
  <c r="AD142" i="4" s="1"/>
  <c r="AE142" i="4" s="1"/>
  <c r="AF142" i="4" s="1"/>
  <c r="AG142" i="4" s="1"/>
  <c r="AH142" i="4" s="1"/>
  <c r="AI142" i="4" s="1"/>
  <c r="AJ142" i="4" s="1"/>
  <c r="AK142" i="4" s="1"/>
  <c r="AL142" i="4" s="1"/>
  <c r="AM142" i="4" s="1"/>
  <c r="AN142" i="4" s="1"/>
  <c r="AO142" i="4" s="1"/>
  <c r="AP142" i="4" s="1"/>
  <c r="AQ142" i="4" s="1"/>
  <c r="Q42" i="4"/>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AO42" i="4" s="1"/>
  <c r="AP42" i="4" s="1"/>
  <c r="AQ42" i="4" s="1"/>
  <c r="Q43" i="4"/>
  <c r="R43" i="4" s="1"/>
  <c r="S43" i="4" s="1"/>
  <c r="T43" i="4" s="1"/>
  <c r="U43" i="4" s="1"/>
  <c r="V43" i="4" s="1"/>
  <c r="W43" i="4" s="1"/>
  <c r="X43" i="4" s="1"/>
  <c r="Y43" i="4" s="1"/>
  <c r="Z43" i="4" s="1"/>
  <c r="AA43" i="4" s="1"/>
  <c r="AB43" i="4" s="1"/>
  <c r="AC43" i="4" s="1"/>
  <c r="AD43" i="4" s="1"/>
  <c r="AE43" i="4" s="1"/>
  <c r="AF43" i="4" s="1"/>
  <c r="AG43" i="4" s="1"/>
  <c r="AH43" i="4" s="1"/>
  <c r="AI43" i="4" s="1"/>
  <c r="AJ43" i="4" s="1"/>
  <c r="AK43" i="4" s="1"/>
  <c r="AL43" i="4" s="1"/>
  <c r="AM43" i="4" s="1"/>
  <c r="AN43" i="4" s="1"/>
  <c r="AO43" i="4" s="1"/>
  <c r="AP43" i="4" s="1"/>
  <c r="AQ43" i="4" s="1"/>
  <c r="Q49" i="4"/>
  <c r="R49" i="4" s="1"/>
  <c r="S49" i="4" s="1"/>
  <c r="T49" i="4" s="1"/>
  <c r="U49" i="4" s="1"/>
  <c r="V49" i="4" s="1"/>
  <c r="W49" i="4" s="1"/>
  <c r="X49" i="4" s="1"/>
  <c r="Y49" i="4" s="1"/>
  <c r="Z49" i="4" s="1"/>
  <c r="AA49" i="4" s="1"/>
  <c r="AB49" i="4" s="1"/>
  <c r="AC49" i="4" s="1"/>
  <c r="AD49" i="4" s="1"/>
  <c r="AE49" i="4" s="1"/>
  <c r="AF49" i="4" s="1"/>
  <c r="AG49" i="4" s="1"/>
  <c r="AH49" i="4" s="1"/>
  <c r="AI49" i="4" s="1"/>
  <c r="AJ49" i="4" s="1"/>
  <c r="AK49" i="4" s="1"/>
  <c r="AL49" i="4" s="1"/>
  <c r="AM49" i="4" s="1"/>
  <c r="AN49" i="4" s="1"/>
  <c r="AO49" i="4" s="1"/>
  <c r="AP49" i="4" s="1"/>
  <c r="AQ49" i="4" s="1"/>
  <c r="Q127" i="4"/>
  <c r="R127" i="4" s="1"/>
  <c r="S127" i="4" s="1"/>
  <c r="T127" i="4" s="1"/>
  <c r="U127" i="4" s="1"/>
  <c r="V127" i="4" s="1"/>
  <c r="W127" i="4" s="1"/>
  <c r="X127" i="4" s="1"/>
  <c r="Y127" i="4" s="1"/>
  <c r="Z127" i="4" s="1"/>
  <c r="AA127" i="4" s="1"/>
  <c r="AB127" i="4" s="1"/>
  <c r="AC127" i="4" s="1"/>
  <c r="AD127" i="4" s="1"/>
  <c r="AE127" i="4" s="1"/>
  <c r="AF127" i="4" s="1"/>
  <c r="AG127" i="4" s="1"/>
  <c r="AH127" i="4" s="1"/>
  <c r="AI127" i="4" s="1"/>
  <c r="AJ127" i="4" s="1"/>
  <c r="AK127" i="4" s="1"/>
  <c r="AL127" i="4" s="1"/>
  <c r="AM127" i="4" s="1"/>
  <c r="AN127" i="4" s="1"/>
  <c r="AO127" i="4" s="1"/>
  <c r="AP127" i="4" s="1"/>
  <c r="AQ127" i="4" s="1"/>
  <c r="Q54" i="4"/>
  <c r="R54" i="4" s="1"/>
  <c r="S54" i="4" s="1"/>
  <c r="T54" i="4" s="1"/>
  <c r="U54" i="4" s="1"/>
  <c r="V54" i="4" s="1"/>
  <c r="W54" i="4" s="1"/>
  <c r="X54" i="4" s="1"/>
  <c r="Y54" i="4" s="1"/>
  <c r="Z54" i="4" s="1"/>
  <c r="AA54" i="4" s="1"/>
  <c r="AB54" i="4" s="1"/>
  <c r="AC54" i="4" s="1"/>
  <c r="AD54" i="4" s="1"/>
  <c r="AE54" i="4" s="1"/>
  <c r="AF54" i="4" s="1"/>
  <c r="AG54" i="4" s="1"/>
  <c r="AH54" i="4" s="1"/>
  <c r="AI54" i="4" s="1"/>
  <c r="AJ54" i="4" s="1"/>
  <c r="AK54" i="4" s="1"/>
  <c r="AL54" i="4" s="1"/>
  <c r="AM54" i="4" s="1"/>
  <c r="AN54" i="4" s="1"/>
  <c r="AO54" i="4" s="1"/>
  <c r="AP54" i="4" s="1"/>
  <c r="AQ54" i="4" s="1"/>
  <c r="Q111" i="4"/>
  <c r="R111" i="4" s="1"/>
  <c r="S111" i="4" s="1"/>
  <c r="T111" i="4" s="1"/>
  <c r="U111" i="4" s="1"/>
  <c r="V111" i="4" s="1"/>
  <c r="W111" i="4" s="1"/>
  <c r="X111" i="4" s="1"/>
  <c r="Y111" i="4" s="1"/>
  <c r="Z111" i="4" s="1"/>
  <c r="AA111" i="4" s="1"/>
  <c r="AB111" i="4" s="1"/>
  <c r="AC111" i="4" s="1"/>
  <c r="AD111" i="4" s="1"/>
  <c r="AE111" i="4" s="1"/>
  <c r="AF111" i="4" s="1"/>
  <c r="AG111" i="4" s="1"/>
  <c r="AH111" i="4" s="1"/>
  <c r="AI111" i="4" s="1"/>
  <c r="AJ111" i="4" s="1"/>
  <c r="AK111" i="4" s="1"/>
  <c r="AL111" i="4" s="1"/>
  <c r="AM111" i="4" s="1"/>
  <c r="AN111" i="4" s="1"/>
  <c r="AO111" i="4" s="1"/>
  <c r="AP111" i="4" s="1"/>
  <c r="AQ111" i="4" s="1"/>
  <c r="Q132" i="4"/>
  <c r="R132" i="4" s="1"/>
  <c r="S132" i="4" s="1"/>
  <c r="T132" i="4" s="1"/>
  <c r="U132" i="4" s="1"/>
  <c r="V132" i="4" s="1"/>
  <c r="W132" i="4" s="1"/>
  <c r="X132" i="4" s="1"/>
  <c r="Y132" i="4" s="1"/>
  <c r="Z132" i="4" s="1"/>
  <c r="AA132" i="4" s="1"/>
  <c r="AB132" i="4" s="1"/>
  <c r="AC132" i="4" s="1"/>
  <c r="AD132" i="4" s="1"/>
  <c r="AE132" i="4" s="1"/>
  <c r="AF132" i="4" s="1"/>
  <c r="AG132" i="4" s="1"/>
  <c r="AH132" i="4" s="1"/>
  <c r="AI132" i="4" s="1"/>
  <c r="AJ132" i="4" s="1"/>
  <c r="AK132" i="4" s="1"/>
  <c r="AL132" i="4" s="1"/>
  <c r="AM132" i="4" s="1"/>
  <c r="AN132" i="4" s="1"/>
  <c r="AO132" i="4" s="1"/>
  <c r="AP132" i="4" s="1"/>
  <c r="AQ132" i="4" s="1"/>
  <c r="Q21" i="4"/>
  <c r="R21" i="4" s="1"/>
  <c r="S21" i="4" s="1"/>
  <c r="T21" i="4" s="1"/>
  <c r="U21" i="4" s="1"/>
  <c r="V21" i="4" s="1"/>
  <c r="W21" i="4" s="1"/>
  <c r="X21" i="4" s="1"/>
  <c r="Y21" i="4" s="1"/>
  <c r="Z21" i="4" s="1"/>
  <c r="AA21" i="4" s="1"/>
  <c r="AB21" i="4" s="1"/>
  <c r="AC21" i="4" s="1"/>
  <c r="AD21" i="4" s="1"/>
  <c r="AE21" i="4" s="1"/>
  <c r="AF21" i="4" s="1"/>
  <c r="AG21" i="4" s="1"/>
  <c r="AH21" i="4" s="1"/>
  <c r="AI21" i="4" s="1"/>
  <c r="AJ21" i="4" s="1"/>
  <c r="AK21" i="4" s="1"/>
  <c r="AL21" i="4" s="1"/>
  <c r="AM21" i="4" s="1"/>
  <c r="AN21" i="4" s="1"/>
  <c r="AO21" i="4" s="1"/>
  <c r="AP21" i="4" s="1"/>
  <c r="AQ21" i="4" s="1"/>
  <c r="Q102" i="4"/>
  <c r="R102" i="4" s="1"/>
  <c r="S102" i="4" s="1"/>
  <c r="T102" i="4" s="1"/>
  <c r="U102" i="4" s="1"/>
  <c r="V102" i="4" s="1"/>
  <c r="W102" i="4" s="1"/>
  <c r="X102" i="4" s="1"/>
  <c r="Y102" i="4" s="1"/>
  <c r="Z102" i="4" s="1"/>
  <c r="AA102" i="4" s="1"/>
  <c r="AB102" i="4" s="1"/>
  <c r="AC102" i="4" s="1"/>
  <c r="AD102" i="4" s="1"/>
  <c r="AE102" i="4" s="1"/>
  <c r="AF102" i="4" s="1"/>
  <c r="AG102" i="4" s="1"/>
  <c r="AH102" i="4" s="1"/>
  <c r="AI102" i="4" s="1"/>
  <c r="AJ102" i="4" s="1"/>
  <c r="AK102" i="4" s="1"/>
  <c r="AL102" i="4" s="1"/>
  <c r="AM102" i="4" s="1"/>
  <c r="AN102" i="4" s="1"/>
  <c r="AO102" i="4" s="1"/>
  <c r="AP102" i="4" s="1"/>
  <c r="AQ102" i="4" s="1"/>
  <c r="Q110" i="4"/>
  <c r="R110" i="4" s="1"/>
  <c r="S110" i="4" s="1"/>
  <c r="T110" i="4" s="1"/>
  <c r="U110" i="4" s="1"/>
  <c r="V110" i="4" s="1"/>
  <c r="W110" i="4" s="1"/>
  <c r="X110" i="4" s="1"/>
  <c r="Y110" i="4" s="1"/>
  <c r="Z110" i="4" s="1"/>
  <c r="AA110" i="4" s="1"/>
  <c r="AB110" i="4" s="1"/>
  <c r="AC110" i="4" s="1"/>
  <c r="AD110" i="4" s="1"/>
  <c r="AE110" i="4" s="1"/>
  <c r="AF110" i="4" s="1"/>
  <c r="AG110" i="4" s="1"/>
  <c r="AH110" i="4" s="1"/>
  <c r="AI110" i="4" s="1"/>
  <c r="AJ110" i="4" s="1"/>
  <c r="AK110" i="4" s="1"/>
  <c r="AL110" i="4" s="1"/>
  <c r="AM110" i="4" s="1"/>
  <c r="AN110" i="4" s="1"/>
  <c r="AO110" i="4" s="1"/>
  <c r="AP110" i="4" s="1"/>
  <c r="AQ110" i="4" s="1"/>
  <c r="Q17" i="4"/>
  <c r="R17" i="4" s="1"/>
  <c r="S17" i="4" s="1"/>
  <c r="T17" i="4" s="1"/>
  <c r="U17" i="4" s="1"/>
  <c r="V17" i="4" s="1"/>
  <c r="W17" i="4" s="1"/>
  <c r="X17" i="4" s="1"/>
  <c r="Y17" i="4" s="1"/>
  <c r="Z17" i="4" s="1"/>
  <c r="AA17" i="4" s="1"/>
  <c r="AB17" i="4" s="1"/>
  <c r="AC17" i="4" s="1"/>
  <c r="AD17" i="4" s="1"/>
  <c r="AE17" i="4" s="1"/>
  <c r="AF17" i="4" s="1"/>
  <c r="AG17" i="4" s="1"/>
  <c r="AH17" i="4" s="1"/>
  <c r="AI17" i="4" s="1"/>
  <c r="AJ17" i="4" s="1"/>
  <c r="AK17" i="4" s="1"/>
  <c r="AL17" i="4" s="1"/>
  <c r="AM17" i="4" s="1"/>
  <c r="AN17" i="4" s="1"/>
  <c r="AO17" i="4" s="1"/>
  <c r="AP17" i="4" s="1"/>
  <c r="AQ17" i="4" s="1"/>
  <c r="Q67" i="4"/>
  <c r="R67" i="4" s="1"/>
  <c r="S67" i="4" s="1"/>
  <c r="T67" i="4" s="1"/>
  <c r="U67" i="4" s="1"/>
  <c r="V67" i="4" s="1"/>
  <c r="W67" i="4" s="1"/>
  <c r="X67" i="4" s="1"/>
  <c r="Y67" i="4" s="1"/>
  <c r="Z67" i="4" s="1"/>
  <c r="AA67" i="4" s="1"/>
  <c r="AB67" i="4" s="1"/>
  <c r="AC67" i="4" s="1"/>
  <c r="AD67" i="4" s="1"/>
  <c r="AE67" i="4" s="1"/>
  <c r="AF67" i="4" s="1"/>
  <c r="AG67" i="4" s="1"/>
  <c r="AH67" i="4" s="1"/>
  <c r="AI67" i="4" s="1"/>
  <c r="AJ67" i="4" s="1"/>
  <c r="AK67" i="4" s="1"/>
  <c r="AL67" i="4" s="1"/>
  <c r="AM67" i="4" s="1"/>
  <c r="AN67" i="4" s="1"/>
  <c r="AO67" i="4" s="1"/>
  <c r="AP67" i="4" s="1"/>
  <c r="AQ67" i="4" s="1"/>
  <c r="Q96" i="4"/>
  <c r="R96" i="4" s="1"/>
  <c r="S96" i="4" s="1"/>
  <c r="T96" i="4" s="1"/>
  <c r="U96" i="4" s="1"/>
  <c r="V96" i="4" s="1"/>
  <c r="W96" i="4" s="1"/>
  <c r="X96" i="4" s="1"/>
  <c r="Y96" i="4" s="1"/>
  <c r="Z96" i="4" s="1"/>
  <c r="AA96" i="4" s="1"/>
  <c r="AB96" i="4" s="1"/>
  <c r="AC96" i="4" s="1"/>
  <c r="AD96" i="4" s="1"/>
  <c r="AE96" i="4" s="1"/>
  <c r="AF96" i="4" s="1"/>
  <c r="AG96" i="4" s="1"/>
  <c r="AH96" i="4" s="1"/>
  <c r="AI96" i="4" s="1"/>
  <c r="AJ96" i="4" s="1"/>
  <c r="AK96" i="4" s="1"/>
  <c r="AL96" i="4" s="1"/>
  <c r="AM96" i="4" s="1"/>
  <c r="AN96" i="4" s="1"/>
  <c r="AO96" i="4" s="1"/>
  <c r="AP96" i="4" s="1"/>
  <c r="AQ96" i="4" s="1"/>
  <c r="Q108" i="4"/>
  <c r="R108" i="4" s="1"/>
  <c r="S108" i="4" s="1"/>
  <c r="T108" i="4" s="1"/>
  <c r="U108" i="4" s="1"/>
  <c r="V108" i="4" s="1"/>
  <c r="W108" i="4" s="1"/>
  <c r="X108" i="4" s="1"/>
  <c r="Y108" i="4" s="1"/>
  <c r="Z108" i="4" s="1"/>
  <c r="AA108" i="4" s="1"/>
  <c r="AB108" i="4" s="1"/>
  <c r="AC108" i="4" s="1"/>
  <c r="AD108" i="4" s="1"/>
  <c r="AE108" i="4" s="1"/>
  <c r="AF108" i="4" s="1"/>
  <c r="AG108" i="4" s="1"/>
  <c r="AH108" i="4" s="1"/>
  <c r="AI108" i="4" s="1"/>
  <c r="AJ108" i="4" s="1"/>
  <c r="AK108" i="4" s="1"/>
  <c r="AL108" i="4" s="1"/>
  <c r="AM108" i="4" s="1"/>
  <c r="AN108" i="4" s="1"/>
  <c r="AO108" i="4" s="1"/>
  <c r="AP108" i="4" s="1"/>
  <c r="AQ108" i="4" s="1"/>
  <c r="Q57" i="4"/>
  <c r="R57" i="4" s="1"/>
  <c r="S57" i="4" s="1"/>
  <c r="T57" i="4" s="1"/>
  <c r="U57" i="4" s="1"/>
  <c r="V57" i="4" s="1"/>
  <c r="W57" i="4" s="1"/>
  <c r="X57" i="4" s="1"/>
  <c r="Y57" i="4" s="1"/>
  <c r="Z57" i="4" s="1"/>
  <c r="AA57" i="4" s="1"/>
  <c r="AB57" i="4" s="1"/>
  <c r="AC57" i="4" s="1"/>
  <c r="AD57" i="4" s="1"/>
  <c r="AE57" i="4" s="1"/>
  <c r="AF57" i="4" s="1"/>
  <c r="AG57" i="4" s="1"/>
  <c r="AH57" i="4" s="1"/>
  <c r="AI57" i="4" s="1"/>
  <c r="AJ57" i="4" s="1"/>
  <c r="AK57" i="4" s="1"/>
  <c r="AL57" i="4" s="1"/>
  <c r="AM57" i="4" s="1"/>
  <c r="AN57" i="4" s="1"/>
  <c r="AO57" i="4" s="1"/>
  <c r="AP57" i="4" s="1"/>
  <c r="AQ57" i="4" s="1"/>
  <c r="Q20" i="4"/>
  <c r="R20" i="4" s="1"/>
  <c r="S20" i="4" s="1"/>
  <c r="T20" i="4" s="1"/>
  <c r="U20" i="4" s="1"/>
  <c r="V20" i="4" s="1"/>
  <c r="W20" i="4" s="1"/>
  <c r="X20" i="4" s="1"/>
  <c r="Y20" i="4" s="1"/>
  <c r="Z20" i="4" s="1"/>
  <c r="AA20" i="4" s="1"/>
  <c r="AB20" i="4" s="1"/>
  <c r="AC20" i="4" s="1"/>
  <c r="AD20" i="4" s="1"/>
  <c r="AE20" i="4" s="1"/>
  <c r="AF20" i="4" s="1"/>
  <c r="AG20" i="4" s="1"/>
  <c r="AH20" i="4" s="1"/>
  <c r="AI20" i="4" s="1"/>
  <c r="AJ20" i="4" s="1"/>
  <c r="AK20" i="4" s="1"/>
  <c r="AL20" i="4" s="1"/>
  <c r="AM20" i="4" s="1"/>
  <c r="AN20" i="4" s="1"/>
  <c r="AO20" i="4" s="1"/>
  <c r="AP20" i="4" s="1"/>
  <c r="AQ20" i="4" s="1"/>
  <c r="Q109" i="4"/>
  <c r="R109" i="4" s="1"/>
  <c r="S109" i="4" s="1"/>
  <c r="T109" i="4" s="1"/>
  <c r="U109" i="4" s="1"/>
  <c r="V109" i="4" s="1"/>
  <c r="W109" i="4" s="1"/>
  <c r="X109" i="4" s="1"/>
  <c r="Y109" i="4" s="1"/>
  <c r="Z109" i="4" s="1"/>
  <c r="AA109" i="4" s="1"/>
  <c r="AB109" i="4" s="1"/>
  <c r="AC109" i="4" s="1"/>
  <c r="AD109" i="4" s="1"/>
  <c r="AE109" i="4" s="1"/>
  <c r="AF109" i="4" s="1"/>
  <c r="AG109" i="4" s="1"/>
  <c r="AH109" i="4" s="1"/>
  <c r="AI109" i="4" s="1"/>
  <c r="AJ109" i="4" s="1"/>
  <c r="AK109" i="4" s="1"/>
  <c r="AL109" i="4" s="1"/>
  <c r="AM109" i="4" s="1"/>
  <c r="AN109" i="4" s="1"/>
  <c r="AO109" i="4" s="1"/>
  <c r="AP109" i="4" s="1"/>
  <c r="AQ109" i="4" s="1"/>
  <c r="Q144" i="4"/>
  <c r="R144" i="4" s="1"/>
  <c r="S144" i="4" s="1"/>
  <c r="T144" i="4" s="1"/>
  <c r="U144" i="4" s="1"/>
  <c r="V144" i="4" s="1"/>
  <c r="W144" i="4" s="1"/>
  <c r="X144" i="4" s="1"/>
  <c r="Y144" i="4" s="1"/>
  <c r="Z144" i="4" s="1"/>
  <c r="AA144" i="4" s="1"/>
  <c r="AB144" i="4" s="1"/>
  <c r="AC144" i="4" s="1"/>
  <c r="AD144" i="4" s="1"/>
  <c r="AE144" i="4" s="1"/>
  <c r="AF144" i="4" s="1"/>
  <c r="AG144" i="4" s="1"/>
  <c r="AH144" i="4" s="1"/>
  <c r="AI144" i="4" s="1"/>
  <c r="AJ144" i="4" s="1"/>
  <c r="AK144" i="4" s="1"/>
  <c r="AL144" i="4" s="1"/>
  <c r="AM144" i="4" s="1"/>
  <c r="AN144" i="4" s="1"/>
  <c r="AO144" i="4" s="1"/>
  <c r="AP144" i="4" s="1"/>
  <c r="AQ144" i="4" s="1"/>
  <c r="Q139" i="4"/>
  <c r="R139" i="4" s="1"/>
  <c r="S139" i="4" s="1"/>
  <c r="T139" i="4" s="1"/>
  <c r="U139" i="4" s="1"/>
  <c r="V139" i="4" s="1"/>
  <c r="W139" i="4" s="1"/>
  <c r="X139" i="4" s="1"/>
  <c r="Y139" i="4" s="1"/>
  <c r="Z139" i="4" s="1"/>
  <c r="AA139" i="4" s="1"/>
  <c r="AB139" i="4" s="1"/>
  <c r="AC139" i="4" s="1"/>
  <c r="AD139" i="4" s="1"/>
  <c r="AE139" i="4" s="1"/>
  <c r="AF139" i="4" s="1"/>
  <c r="AG139" i="4" s="1"/>
  <c r="AH139" i="4" s="1"/>
  <c r="AI139" i="4" s="1"/>
  <c r="AJ139" i="4" s="1"/>
  <c r="AK139" i="4" s="1"/>
  <c r="AL139" i="4" s="1"/>
  <c r="AM139" i="4" s="1"/>
  <c r="AN139" i="4" s="1"/>
  <c r="AO139" i="4" s="1"/>
  <c r="AP139" i="4" s="1"/>
  <c r="AQ139"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AO26" i="4" s="1"/>
  <c r="AP26" i="4" s="1"/>
  <c r="AQ26" i="4" s="1"/>
  <c r="Q28" i="4"/>
  <c r="R28" i="4" s="1"/>
  <c r="S28" i="4" s="1"/>
  <c r="T28" i="4" s="1"/>
  <c r="U28" i="4" s="1"/>
  <c r="V28" i="4" s="1"/>
  <c r="W28" i="4" s="1"/>
  <c r="X28" i="4" s="1"/>
  <c r="Y28" i="4" s="1"/>
  <c r="Z28" i="4" s="1"/>
  <c r="AA28" i="4" s="1"/>
  <c r="AB28" i="4" s="1"/>
  <c r="AC28" i="4" s="1"/>
  <c r="AD28" i="4" s="1"/>
  <c r="AE28" i="4" s="1"/>
  <c r="AF28" i="4" s="1"/>
  <c r="AG28" i="4" s="1"/>
  <c r="AH28" i="4" s="1"/>
  <c r="AI28" i="4" s="1"/>
  <c r="AJ28" i="4" s="1"/>
  <c r="AK28" i="4" s="1"/>
  <c r="AL28" i="4" s="1"/>
  <c r="AM28" i="4" s="1"/>
  <c r="AN28" i="4" s="1"/>
  <c r="AO28" i="4" s="1"/>
  <c r="AP28" i="4" s="1"/>
  <c r="AQ28" i="4" s="1"/>
  <c r="Q138" i="4"/>
  <c r="R138" i="4" s="1"/>
  <c r="S138" i="4" s="1"/>
  <c r="T138" i="4" s="1"/>
  <c r="U138" i="4" s="1"/>
  <c r="V138" i="4" s="1"/>
  <c r="W138" i="4" s="1"/>
  <c r="X138" i="4" s="1"/>
  <c r="Y138" i="4" s="1"/>
  <c r="Z138" i="4" s="1"/>
  <c r="AA138" i="4" s="1"/>
  <c r="AB138" i="4" s="1"/>
  <c r="AC138" i="4" s="1"/>
  <c r="AD138" i="4" s="1"/>
  <c r="AE138" i="4" s="1"/>
  <c r="AF138" i="4" s="1"/>
  <c r="AG138" i="4" s="1"/>
  <c r="AH138" i="4" s="1"/>
  <c r="AI138" i="4" s="1"/>
  <c r="AJ138" i="4" s="1"/>
  <c r="AK138" i="4" s="1"/>
  <c r="AL138" i="4" s="1"/>
  <c r="AM138" i="4" s="1"/>
  <c r="AN138" i="4" s="1"/>
  <c r="AO138" i="4" s="1"/>
  <c r="AP138" i="4" s="1"/>
  <c r="AQ138" i="4" s="1"/>
  <c r="Q72" i="4"/>
  <c r="R72" i="4" s="1"/>
  <c r="S72" i="4" s="1"/>
  <c r="T72" i="4" s="1"/>
  <c r="U72" i="4" s="1"/>
  <c r="V72" i="4" s="1"/>
  <c r="W72" i="4" s="1"/>
  <c r="X72" i="4" s="1"/>
  <c r="Y72" i="4" s="1"/>
  <c r="Z72" i="4" s="1"/>
  <c r="AA72" i="4" s="1"/>
  <c r="AB72" i="4" s="1"/>
  <c r="AC72" i="4" s="1"/>
  <c r="AD72" i="4" s="1"/>
  <c r="AE72" i="4" s="1"/>
  <c r="AF72" i="4" s="1"/>
  <c r="AG72" i="4" s="1"/>
  <c r="AH72" i="4" s="1"/>
  <c r="AI72" i="4" s="1"/>
  <c r="AJ72" i="4" s="1"/>
  <c r="AK72" i="4" s="1"/>
  <c r="AL72" i="4" s="1"/>
  <c r="AM72" i="4" s="1"/>
  <c r="AN72" i="4" s="1"/>
  <c r="AO72" i="4" s="1"/>
  <c r="AP72" i="4" s="1"/>
  <c r="AQ72" i="4" s="1"/>
  <c r="Q128" i="4"/>
  <c r="R128" i="4" s="1"/>
  <c r="S128" i="4" s="1"/>
  <c r="T128" i="4" s="1"/>
  <c r="U128" i="4" s="1"/>
  <c r="V128" i="4" s="1"/>
  <c r="W128" i="4" s="1"/>
  <c r="X128" i="4" s="1"/>
  <c r="Y128" i="4" s="1"/>
  <c r="Z128" i="4" s="1"/>
  <c r="AA128" i="4" s="1"/>
  <c r="AB128" i="4" s="1"/>
  <c r="AC128" i="4" s="1"/>
  <c r="AD128" i="4" s="1"/>
  <c r="AE128" i="4" s="1"/>
  <c r="AF128" i="4" s="1"/>
  <c r="AG128" i="4" s="1"/>
  <c r="AH128" i="4" s="1"/>
  <c r="AI128" i="4" s="1"/>
  <c r="AJ128" i="4" s="1"/>
  <c r="AK128" i="4" s="1"/>
  <c r="AL128" i="4" s="1"/>
  <c r="AM128" i="4" s="1"/>
  <c r="AN128" i="4" s="1"/>
  <c r="AO128" i="4" s="1"/>
  <c r="AP128" i="4" s="1"/>
  <c r="AQ128" i="4" s="1"/>
  <c r="Q112" i="4"/>
  <c r="R112" i="4" s="1"/>
  <c r="S112" i="4" s="1"/>
  <c r="T112" i="4" s="1"/>
  <c r="U112" i="4" s="1"/>
  <c r="V112" i="4" s="1"/>
  <c r="W112" i="4" s="1"/>
  <c r="X112" i="4" s="1"/>
  <c r="Y112" i="4" s="1"/>
  <c r="Z112" i="4" s="1"/>
  <c r="AA112" i="4" s="1"/>
  <c r="AB112" i="4" s="1"/>
  <c r="AC112" i="4" s="1"/>
  <c r="AD112" i="4" s="1"/>
  <c r="AE112" i="4" s="1"/>
  <c r="AF112" i="4" s="1"/>
  <c r="AG112" i="4" s="1"/>
  <c r="AH112" i="4" s="1"/>
  <c r="AI112" i="4" s="1"/>
  <c r="AJ112" i="4" s="1"/>
  <c r="AK112" i="4" s="1"/>
  <c r="AL112" i="4" s="1"/>
  <c r="AM112" i="4" s="1"/>
  <c r="AN112" i="4" s="1"/>
  <c r="AO112" i="4" s="1"/>
  <c r="AP112" i="4" s="1"/>
  <c r="AQ112" i="4" s="1"/>
  <c r="Q90" i="4"/>
  <c r="R90" i="4" s="1"/>
  <c r="S90" i="4" s="1"/>
  <c r="T90" i="4" s="1"/>
  <c r="U90" i="4" s="1"/>
  <c r="V90" i="4" s="1"/>
  <c r="W90" i="4" s="1"/>
  <c r="X90" i="4" s="1"/>
  <c r="Y90" i="4" s="1"/>
  <c r="Z90" i="4" s="1"/>
  <c r="AA90" i="4" s="1"/>
  <c r="AB90" i="4" s="1"/>
  <c r="AC90" i="4" s="1"/>
  <c r="AD90" i="4" s="1"/>
  <c r="AE90" i="4" s="1"/>
  <c r="AF90" i="4" s="1"/>
  <c r="AG90" i="4" s="1"/>
  <c r="AH90" i="4" s="1"/>
  <c r="AI90" i="4" s="1"/>
  <c r="AJ90" i="4" s="1"/>
  <c r="AK90" i="4" s="1"/>
  <c r="AL90" i="4" s="1"/>
  <c r="AM90" i="4" s="1"/>
  <c r="AN90" i="4" s="1"/>
  <c r="AO90" i="4" s="1"/>
  <c r="AP90" i="4" s="1"/>
  <c r="AQ90" i="4" s="1"/>
  <c r="Q61" i="4"/>
  <c r="R61" i="4" s="1"/>
  <c r="S61" i="4" s="1"/>
  <c r="T61" i="4" s="1"/>
  <c r="U61" i="4" s="1"/>
  <c r="V61" i="4" s="1"/>
  <c r="W61" i="4" s="1"/>
  <c r="X61" i="4" s="1"/>
  <c r="Y61" i="4" s="1"/>
  <c r="Z61" i="4" s="1"/>
  <c r="AA61" i="4" s="1"/>
  <c r="AB61" i="4" s="1"/>
  <c r="AC61" i="4" s="1"/>
  <c r="AD61" i="4" s="1"/>
  <c r="AE61" i="4" s="1"/>
  <c r="AF61" i="4" s="1"/>
  <c r="AG61" i="4" s="1"/>
  <c r="AH61" i="4" s="1"/>
  <c r="AI61" i="4" s="1"/>
  <c r="AJ61" i="4" s="1"/>
  <c r="AK61" i="4" s="1"/>
  <c r="AL61" i="4" s="1"/>
  <c r="AM61" i="4" s="1"/>
  <c r="AN61" i="4" s="1"/>
  <c r="AO61" i="4" s="1"/>
  <c r="AP61" i="4" s="1"/>
  <c r="AQ61" i="4" s="1"/>
  <c r="Q117" i="4"/>
  <c r="R117" i="4" s="1"/>
  <c r="S117" i="4" s="1"/>
  <c r="T117" i="4" s="1"/>
  <c r="U117" i="4" s="1"/>
  <c r="V117" i="4" s="1"/>
  <c r="W117" i="4" s="1"/>
  <c r="X117" i="4" s="1"/>
  <c r="Y117" i="4" s="1"/>
  <c r="Z117" i="4" s="1"/>
  <c r="AA117" i="4" s="1"/>
  <c r="AB117" i="4" s="1"/>
  <c r="AC117" i="4" s="1"/>
  <c r="AD117" i="4" s="1"/>
  <c r="AE117" i="4" s="1"/>
  <c r="AF117" i="4" s="1"/>
  <c r="AG117" i="4" s="1"/>
  <c r="AH117" i="4" s="1"/>
  <c r="AI117" i="4" s="1"/>
  <c r="AJ117" i="4" s="1"/>
  <c r="AK117" i="4" s="1"/>
  <c r="AL117" i="4" s="1"/>
  <c r="AM117" i="4" s="1"/>
  <c r="AN117" i="4" s="1"/>
  <c r="AO117" i="4" s="1"/>
  <c r="AP117" i="4" s="1"/>
  <c r="AQ117" i="4" s="1"/>
  <c r="Q114" i="4"/>
  <c r="R114" i="4" s="1"/>
  <c r="S114" i="4" s="1"/>
  <c r="T114" i="4" s="1"/>
  <c r="U114" i="4" s="1"/>
  <c r="V114" i="4" s="1"/>
  <c r="W114" i="4" s="1"/>
  <c r="X114" i="4" s="1"/>
  <c r="Y114" i="4" s="1"/>
  <c r="Z114" i="4" s="1"/>
  <c r="AA114" i="4" s="1"/>
  <c r="AB114" i="4" s="1"/>
  <c r="AC114" i="4" s="1"/>
  <c r="AD114" i="4" s="1"/>
  <c r="AE114" i="4" s="1"/>
  <c r="AF114" i="4" s="1"/>
  <c r="AG114" i="4" s="1"/>
  <c r="AH114" i="4" s="1"/>
  <c r="AI114" i="4" s="1"/>
  <c r="AJ114" i="4" s="1"/>
  <c r="AK114" i="4" s="1"/>
  <c r="AL114" i="4" s="1"/>
  <c r="AM114" i="4" s="1"/>
  <c r="AN114" i="4" s="1"/>
  <c r="AO114" i="4" s="1"/>
  <c r="AP114" i="4" s="1"/>
  <c r="AQ114" i="4" s="1"/>
  <c r="Q64" i="4"/>
  <c r="R64" i="4" s="1"/>
  <c r="S64" i="4" s="1"/>
  <c r="T64" i="4" s="1"/>
  <c r="U64" i="4" s="1"/>
  <c r="V64" i="4" s="1"/>
  <c r="W64" i="4" s="1"/>
  <c r="X64" i="4" s="1"/>
  <c r="Y64" i="4" s="1"/>
  <c r="Z64" i="4" s="1"/>
  <c r="AA64" i="4" s="1"/>
  <c r="AB64" i="4" s="1"/>
  <c r="AC64" i="4" s="1"/>
  <c r="AD64" i="4" s="1"/>
  <c r="AE64" i="4" s="1"/>
  <c r="AF64" i="4" s="1"/>
  <c r="AG64" i="4" s="1"/>
  <c r="AH64" i="4" s="1"/>
  <c r="AI64" i="4" s="1"/>
  <c r="AJ64" i="4" s="1"/>
  <c r="AK64" i="4" s="1"/>
  <c r="AL64" i="4" s="1"/>
  <c r="AM64" i="4" s="1"/>
  <c r="AN64" i="4" s="1"/>
  <c r="AO64" i="4" s="1"/>
  <c r="AP64" i="4" s="1"/>
  <c r="AQ64" i="4" s="1"/>
  <c r="Q87" i="4"/>
  <c r="R87" i="4" s="1"/>
  <c r="S87" i="4" s="1"/>
  <c r="T87" i="4" s="1"/>
  <c r="U87" i="4" s="1"/>
  <c r="V87" i="4" s="1"/>
  <c r="W87" i="4" s="1"/>
  <c r="X87" i="4" s="1"/>
  <c r="Y87" i="4" s="1"/>
  <c r="Z87" i="4" s="1"/>
  <c r="AA87" i="4" s="1"/>
  <c r="AB87" i="4" s="1"/>
  <c r="AC87" i="4" s="1"/>
  <c r="AD87" i="4" s="1"/>
  <c r="AE87" i="4" s="1"/>
  <c r="AF87" i="4" s="1"/>
  <c r="AG87" i="4" s="1"/>
  <c r="AH87" i="4" s="1"/>
  <c r="AI87" i="4" s="1"/>
  <c r="AJ87" i="4" s="1"/>
  <c r="AK87" i="4" s="1"/>
  <c r="AL87" i="4" s="1"/>
  <c r="AM87" i="4" s="1"/>
  <c r="AN87" i="4" s="1"/>
  <c r="AO87" i="4" s="1"/>
  <c r="AP87" i="4" s="1"/>
  <c r="AQ87" i="4" s="1"/>
  <c r="Q130" i="4"/>
  <c r="R130" i="4" s="1"/>
  <c r="S130" i="4" s="1"/>
  <c r="T130" i="4" s="1"/>
  <c r="U130" i="4" s="1"/>
  <c r="V130" i="4" s="1"/>
  <c r="W130" i="4" s="1"/>
  <c r="X130" i="4" s="1"/>
  <c r="Y130" i="4" s="1"/>
  <c r="Z130" i="4" s="1"/>
  <c r="AA130" i="4" s="1"/>
  <c r="AB130" i="4" s="1"/>
  <c r="AC130" i="4" s="1"/>
  <c r="AD130" i="4" s="1"/>
  <c r="AE130" i="4" s="1"/>
  <c r="AF130" i="4" s="1"/>
  <c r="AG130" i="4" s="1"/>
  <c r="AH130" i="4" s="1"/>
  <c r="AI130" i="4" s="1"/>
  <c r="AJ130" i="4" s="1"/>
  <c r="AK130" i="4" s="1"/>
  <c r="AL130" i="4" s="1"/>
  <c r="AM130" i="4" s="1"/>
  <c r="AN130" i="4" s="1"/>
  <c r="AO130" i="4" s="1"/>
  <c r="AP130" i="4" s="1"/>
  <c r="AQ130" i="4" s="1"/>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AO30" i="4" s="1"/>
  <c r="AP30" i="4" s="1"/>
  <c r="AQ30" i="4" s="1"/>
  <c r="Q123" i="4"/>
  <c r="R123" i="4" s="1"/>
  <c r="S123" i="4" s="1"/>
  <c r="T123" i="4" s="1"/>
  <c r="U123" i="4" s="1"/>
  <c r="V123" i="4" s="1"/>
  <c r="W123" i="4" s="1"/>
  <c r="X123" i="4" s="1"/>
  <c r="Y123" i="4" s="1"/>
  <c r="Z123" i="4" s="1"/>
  <c r="AA123" i="4" s="1"/>
  <c r="AB123" i="4" s="1"/>
  <c r="AC123" i="4" s="1"/>
  <c r="AD123" i="4" s="1"/>
  <c r="AE123" i="4" s="1"/>
  <c r="AF123" i="4" s="1"/>
  <c r="AG123" i="4" s="1"/>
  <c r="AH123" i="4" s="1"/>
  <c r="AI123" i="4" s="1"/>
  <c r="AJ123" i="4" s="1"/>
  <c r="AK123" i="4" s="1"/>
  <c r="AL123" i="4" s="1"/>
  <c r="AM123" i="4" s="1"/>
  <c r="AN123" i="4" s="1"/>
  <c r="AO123" i="4" s="1"/>
  <c r="AP123" i="4" s="1"/>
  <c r="AQ123" i="4" s="1"/>
  <c r="Q141" i="4"/>
  <c r="R141" i="4" s="1"/>
  <c r="S141" i="4" s="1"/>
  <c r="T141" i="4" s="1"/>
  <c r="U141" i="4" s="1"/>
  <c r="V141" i="4" s="1"/>
  <c r="W141" i="4" s="1"/>
  <c r="X141" i="4" s="1"/>
  <c r="Y141" i="4" s="1"/>
  <c r="Z141" i="4" s="1"/>
  <c r="AA141" i="4" s="1"/>
  <c r="AB141" i="4" s="1"/>
  <c r="AC141" i="4" s="1"/>
  <c r="AD141" i="4" s="1"/>
  <c r="AE141" i="4" s="1"/>
  <c r="AF141" i="4" s="1"/>
  <c r="AG141" i="4" s="1"/>
  <c r="AH141" i="4" s="1"/>
  <c r="AI141" i="4" s="1"/>
  <c r="AJ141" i="4" s="1"/>
  <c r="AK141" i="4" s="1"/>
  <c r="AL141" i="4" s="1"/>
  <c r="AM141" i="4" s="1"/>
  <c r="AN141" i="4" s="1"/>
  <c r="AO141" i="4" s="1"/>
  <c r="AP141" i="4" s="1"/>
  <c r="AQ141" i="4" s="1"/>
  <c r="Q137" i="4"/>
  <c r="R137" i="4" s="1"/>
  <c r="S137" i="4" s="1"/>
  <c r="T137" i="4" s="1"/>
  <c r="U137" i="4" s="1"/>
  <c r="V137" i="4" s="1"/>
  <c r="W137" i="4" s="1"/>
  <c r="X137" i="4" s="1"/>
  <c r="Y137" i="4" s="1"/>
  <c r="Z137" i="4" s="1"/>
  <c r="AA137" i="4" s="1"/>
  <c r="AB137" i="4" s="1"/>
  <c r="AC137" i="4" s="1"/>
  <c r="AD137" i="4" s="1"/>
  <c r="AE137" i="4" s="1"/>
  <c r="AF137" i="4" s="1"/>
  <c r="AG137" i="4" s="1"/>
  <c r="AH137" i="4" s="1"/>
  <c r="AI137" i="4" s="1"/>
  <c r="AJ137" i="4" s="1"/>
  <c r="AK137" i="4" s="1"/>
  <c r="AL137" i="4" s="1"/>
  <c r="AM137" i="4" s="1"/>
  <c r="AN137" i="4" s="1"/>
  <c r="AO137" i="4" s="1"/>
  <c r="AP137" i="4" s="1"/>
  <c r="AQ137" i="4" s="1"/>
  <c r="Q99" i="4"/>
  <c r="R99" i="4" s="1"/>
  <c r="S99" i="4" s="1"/>
  <c r="T99" i="4" s="1"/>
  <c r="U99" i="4" s="1"/>
  <c r="V99" i="4" s="1"/>
  <c r="W99" i="4" s="1"/>
  <c r="X99" i="4" s="1"/>
  <c r="Y99" i="4" s="1"/>
  <c r="Z99" i="4" s="1"/>
  <c r="AA99" i="4" s="1"/>
  <c r="AB99" i="4" s="1"/>
  <c r="AC99" i="4" s="1"/>
  <c r="AD99" i="4" s="1"/>
  <c r="AE99" i="4" s="1"/>
  <c r="AF99" i="4" s="1"/>
  <c r="AG99" i="4" s="1"/>
  <c r="AH99" i="4" s="1"/>
  <c r="AI99" i="4" s="1"/>
  <c r="AJ99" i="4" s="1"/>
  <c r="AK99" i="4" s="1"/>
  <c r="AL99" i="4" s="1"/>
  <c r="AM99" i="4" s="1"/>
  <c r="AN99" i="4" s="1"/>
  <c r="AO99" i="4" s="1"/>
  <c r="AP99" i="4" s="1"/>
  <c r="AQ99" i="4" s="1"/>
  <c r="Q93" i="4"/>
  <c r="R93" i="4" s="1"/>
  <c r="S93" i="4" s="1"/>
  <c r="T93" i="4" s="1"/>
  <c r="U93" i="4" s="1"/>
  <c r="V93" i="4" s="1"/>
  <c r="W93" i="4" s="1"/>
  <c r="X93" i="4" s="1"/>
  <c r="Y93" i="4" s="1"/>
  <c r="Z93" i="4" s="1"/>
  <c r="AA93" i="4" s="1"/>
  <c r="AB93" i="4" s="1"/>
  <c r="AC93" i="4" s="1"/>
  <c r="AD93" i="4" s="1"/>
  <c r="AE93" i="4" s="1"/>
  <c r="AF93" i="4" s="1"/>
  <c r="AG93" i="4" s="1"/>
  <c r="AH93" i="4" s="1"/>
  <c r="AI93" i="4" s="1"/>
  <c r="AJ93" i="4" s="1"/>
  <c r="AK93" i="4" s="1"/>
  <c r="AL93" i="4" s="1"/>
  <c r="AM93" i="4" s="1"/>
  <c r="AN93" i="4" s="1"/>
  <c r="AO93" i="4" s="1"/>
  <c r="AP93" i="4" s="1"/>
  <c r="AQ93" i="4" s="1"/>
  <c r="Q94" i="4"/>
  <c r="R94" i="4" s="1"/>
  <c r="S94" i="4" s="1"/>
  <c r="T94" i="4" s="1"/>
  <c r="U94" i="4" s="1"/>
  <c r="V94" i="4" s="1"/>
  <c r="W94" i="4" s="1"/>
  <c r="X94" i="4" s="1"/>
  <c r="Y94" i="4" s="1"/>
  <c r="Z94" i="4" s="1"/>
  <c r="AA94" i="4" s="1"/>
  <c r="AB94" i="4" s="1"/>
  <c r="AC94" i="4" s="1"/>
  <c r="AD94" i="4" s="1"/>
  <c r="AE94" i="4" s="1"/>
  <c r="AF94" i="4" s="1"/>
  <c r="AG94" i="4" s="1"/>
  <c r="AH94" i="4" s="1"/>
  <c r="AI94" i="4" s="1"/>
  <c r="AJ94" i="4" s="1"/>
  <c r="AK94" i="4" s="1"/>
  <c r="AL94" i="4" s="1"/>
  <c r="AM94" i="4" s="1"/>
  <c r="AN94" i="4" s="1"/>
  <c r="AO94" i="4" s="1"/>
  <c r="AP94" i="4" s="1"/>
  <c r="AQ94" i="4" s="1"/>
  <c r="Q82" i="4"/>
  <c r="R82" i="4" s="1"/>
  <c r="S82" i="4" s="1"/>
  <c r="T82" i="4" s="1"/>
  <c r="U82" i="4" s="1"/>
  <c r="V82" i="4" s="1"/>
  <c r="W82" i="4" s="1"/>
  <c r="X82" i="4" s="1"/>
  <c r="Y82" i="4" s="1"/>
  <c r="Z82" i="4" s="1"/>
  <c r="AA82" i="4" s="1"/>
  <c r="AB82" i="4" s="1"/>
  <c r="AC82" i="4" s="1"/>
  <c r="AD82" i="4" s="1"/>
  <c r="AE82" i="4" s="1"/>
  <c r="AF82" i="4" s="1"/>
  <c r="AG82" i="4" s="1"/>
  <c r="AH82" i="4" s="1"/>
  <c r="AI82" i="4" s="1"/>
  <c r="AJ82" i="4" s="1"/>
  <c r="AK82" i="4" s="1"/>
  <c r="AL82" i="4" s="1"/>
  <c r="AM82" i="4" s="1"/>
  <c r="AN82" i="4" s="1"/>
  <c r="AO82" i="4" s="1"/>
  <c r="AP82" i="4" s="1"/>
  <c r="AQ82" i="4" s="1"/>
  <c r="Q105" i="4"/>
  <c r="R105" i="4" s="1"/>
  <c r="S105" i="4" s="1"/>
  <c r="T105" i="4" s="1"/>
  <c r="U105" i="4" s="1"/>
  <c r="V105" i="4" s="1"/>
  <c r="W105" i="4" s="1"/>
  <c r="X105" i="4" s="1"/>
  <c r="Y105" i="4" s="1"/>
  <c r="Z105" i="4" s="1"/>
  <c r="AA105" i="4" s="1"/>
  <c r="AB105" i="4" s="1"/>
  <c r="AC105" i="4" s="1"/>
  <c r="AD105" i="4" s="1"/>
  <c r="AE105" i="4" s="1"/>
  <c r="AF105" i="4" s="1"/>
  <c r="AG105" i="4" s="1"/>
  <c r="AH105" i="4" s="1"/>
  <c r="AI105" i="4" s="1"/>
  <c r="AJ105" i="4" s="1"/>
  <c r="AK105" i="4" s="1"/>
  <c r="AL105" i="4" s="1"/>
  <c r="AM105" i="4" s="1"/>
  <c r="AN105" i="4" s="1"/>
  <c r="AO105" i="4" s="1"/>
  <c r="AP105" i="4" s="1"/>
  <c r="AQ105" i="4" s="1"/>
  <c r="Q69" i="4"/>
  <c r="R69" i="4" s="1"/>
  <c r="S69" i="4" s="1"/>
  <c r="T69" i="4" s="1"/>
  <c r="U69" i="4" s="1"/>
  <c r="V69" i="4" s="1"/>
  <c r="W69" i="4" s="1"/>
  <c r="X69" i="4" s="1"/>
  <c r="Y69" i="4" s="1"/>
  <c r="Z69" i="4" s="1"/>
  <c r="AA69" i="4" s="1"/>
  <c r="AB69" i="4" s="1"/>
  <c r="AC69" i="4" s="1"/>
  <c r="AD69" i="4" s="1"/>
  <c r="AE69" i="4" s="1"/>
  <c r="AF69" i="4" s="1"/>
  <c r="AG69" i="4" s="1"/>
  <c r="AH69" i="4" s="1"/>
  <c r="AI69" i="4" s="1"/>
  <c r="AJ69" i="4" s="1"/>
  <c r="AK69" i="4" s="1"/>
  <c r="AL69" i="4" s="1"/>
  <c r="AM69" i="4" s="1"/>
  <c r="AN69" i="4" s="1"/>
  <c r="AO69" i="4" s="1"/>
  <c r="AP69" i="4" s="1"/>
  <c r="AQ69" i="4" s="1"/>
  <c r="Q71" i="4"/>
  <c r="R71" i="4" s="1"/>
  <c r="S71" i="4" s="1"/>
  <c r="T71" i="4" s="1"/>
  <c r="U71" i="4" s="1"/>
  <c r="V71" i="4" s="1"/>
  <c r="W71" i="4" s="1"/>
  <c r="X71" i="4" s="1"/>
  <c r="Y71" i="4" s="1"/>
  <c r="Z71" i="4" s="1"/>
  <c r="AA71" i="4" s="1"/>
  <c r="AB71" i="4" s="1"/>
  <c r="AC71" i="4" s="1"/>
  <c r="AD71" i="4" s="1"/>
  <c r="AE71" i="4" s="1"/>
  <c r="AF71" i="4" s="1"/>
  <c r="AG71" i="4" s="1"/>
  <c r="AH71" i="4" s="1"/>
  <c r="AI71" i="4" s="1"/>
  <c r="AJ71" i="4" s="1"/>
  <c r="AK71" i="4" s="1"/>
  <c r="AL71" i="4" s="1"/>
  <c r="AM71" i="4" s="1"/>
  <c r="AN71" i="4" s="1"/>
  <c r="AO71" i="4" s="1"/>
  <c r="AP71" i="4" s="1"/>
  <c r="AQ71" i="4" s="1"/>
  <c r="Q89" i="4"/>
  <c r="R89" i="4" s="1"/>
  <c r="S89" i="4" s="1"/>
  <c r="T89" i="4" s="1"/>
  <c r="U89" i="4" s="1"/>
  <c r="V89" i="4" s="1"/>
  <c r="W89" i="4" s="1"/>
  <c r="X89" i="4" s="1"/>
  <c r="Y89" i="4" s="1"/>
  <c r="Z89" i="4" s="1"/>
  <c r="AA89" i="4" s="1"/>
  <c r="AB89" i="4" s="1"/>
  <c r="AC89" i="4" s="1"/>
  <c r="AD89" i="4" s="1"/>
  <c r="AE89" i="4" s="1"/>
  <c r="AF89" i="4" s="1"/>
  <c r="AG89" i="4" s="1"/>
  <c r="AH89" i="4" s="1"/>
  <c r="AI89" i="4" s="1"/>
  <c r="AJ89" i="4" s="1"/>
  <c r="AK89" i="4" s="1"/>
  <c r="AL89" i="4" s="1"/>
  <c r="AM89" i="4" s="1"/>
  <c r="AN89" i="4" s="1"/>
  <c r="AO89" i="4" s="1"/>
  <c r="AP89" i="4" s="1"/>
  <c r="AQ89" i="4" s="1"/>
  <c r="Q106" i="4"/>
  <c r="R106" i="4" s="1"/>
  <c r="S106" i="4" s="1"/>
  <c r="T106" i="4" s="1"/>
  <c r="U106" i="4" s="1"/>
  <c r="V106" i="4" s="1"/>
  <c r="W106" i="4" s="1"/>
  <c r="X106" i="4" s="1"/>
  <c r="Y106" i="4" s="1"/>
  <c r="Z106" i="4" s="1"/>
  <c r="AA106" i="4" s="1"/>
  <c r="AB106" i="4" s="1"/>
  <c r="AC106" i="4" s="1"/>
  <c r="AD106" i="4" s="1"/>
  <c r="AE106" i="4" s="1"/>
  <c r="AF106" i="4" s="1"/>
  <c r="AG106" i="4" s="1"/>
  <c r="AH106" i="4" s="1"/>
  <c r="AI106" i="4" s="1"/>
  <c r="AJ106" i="4" s="1"/>
  <c r="AK106" i="4" s="1"/>
  <c r="AL106" i="4" s="1"/>
  <c r="AM106" i="4" s="1"/>
  <c r="AN106" i="4" s="1"/>
  <c r="AO106" i="4" s="1"/>
  <c r="AP106" i="4" s="1"/>
  <c r="AQ106" i="4" s="1"/>
  <c r="Q100" i="4"/>
  <c r="R100" i="4" s="1"/>
  <c r="S100" i="4" s="1"/>
  <c r="T100" i="4" s="1"/>
  <c r="U100" i="4" s="1"/>
  <c r="V100" i="4" s="1"/>
  <c r="W100" i="4" s="1"/>
  <c r="X100" i="4" s="1"/>
  <c r="Y100" i="4" s="1"/>
  <c r="Z100" i="4" s="1"/>
  <c r="AA100" i="4" s="1"/>
  <c r="AB100" i="4" s="1"/>
  <c r="AC100" i="4" s="1"/>
  <c r="AD100" i="4" s="1"/>
  <c r="AE100" i="4" s="1"/>
  <c r="AF100" i="4" s="1"/>
  <c r="AG100" i="4" s="1"/>
  <c r="AH100" i="4" s="1"/>
  <c r="AI100" i="4" s="1"/>
  <c r="AJ100" i="4" s="1"/>
  <c r="AK100" i="4" s="1"/>
  <c r="AL100" i="4" s="1"/>
  <c r="AM100" i="4" s="1"/>
  <c r="AN100" i="4" s="1"/>
  <c r="AO100" i="4" s="1"/>
  <c r="AP100" i="4" s="1"/>
  <c r="AQ100" i="4" s="1"/>
  <c r="Q88" i="4"/>
  <c r="R88" i="4" s="1"/>
  <c r="S88" i="4" s="1"/>
  <c r="T88" i="4" s="1"/>
  <c r="U88" i="4" s="1"/>
  <c r="V88" i="4" s="1"/>
  <c r="W88" i="4" s="1"/>
  <c r="X88" i="4" s="1"/>
  <c r="Y88" i="4" s="1"/>
  <c r="Z88" i="4" s="1"/>
  <c r="AA88" i="4" s="1"/>
  <c r="AB88" i="4" s="1"/>
  <c r="AC88" i="4" s="1"/>
  <c r="AD88" i="4" s="1"/>
  <c r="AE88" i="4" s="1"/>
  <c r="AF88" i="4" s="1"/>
  <c r="AG88" i="4" s="1"/>
  <c r="AH88" i="4" s="1"/>
  <c r="AI88" i="4" s="1"/>
  <c r="AJ88" i="4" s="1"/>
  <c r="AK88" i="4" s="1"/>
  <c r="AL88" i="4" s="1"/>
  <c r="AM88" i="4" s="1"/>
  <c r="AN88" i="4" s="1"/>
  <c r="AO88" i="4" s="1"/>
  <c r="AP88" i="4" s="1"/>
  <c r="AQ88" i="4" s="1"/>
  <c r="Q41" i="4"/>
  <c r="R41" i="4" s="1"/>
  <c r="S41" i="4" s="1"/>
  <c r="T41" i="4" s="1"/>
  <c r="U41" i="4" s="1"/>
  <c r="V41" i="4" s="1"/>
  <c r="W41" i="4" s="1"/>
  <c r="X41" i="4" s="1"/>
  <c r="Y41" i="4" s="1"/>
  <c r="Z41" i="4" s="1"/>
  <c r="AA41" i="4" s="1"/>
  <c r="AB41" i="4" s="1"/>
  <c r="AC41" i="4" s="1"/>
  <c r="AD41" i="4" s="1"/>
  <c r="AE41" i="4" s="1"/>
  <c r="AF41" i="4" s="1"/>
  <c r="AG41" i="4" s="1"/>
  <c r="AH41" i="4" s="1"/>
  <c r="AI41" i="4" s="1"/>
  <c r="AJ41" i="4" s="1"/>
  <c r="AK41" i="4" s="1"/>
  <c r="AL41" i="4" s="1"/>
  <c r="AM41" i="4" s="1"/>
  <c r="AN41" i="4" s="1"/>
  <c r="AO41" i="4" s="1"/>
  <c r="AP41" i="4" s="1"/>
  <c r="AQ41" i="4" s="1"/>
  <c r="Q134" i="4"/>
  <c r="R134" i="4" s="1"/>
  <c r="S134" i="4" s="1"/>
  <c r="T134" i="4" s="1"/>
  <c r="U134" i="4" s="1"/>
  <c r="V134" i="4" s="1"/>
  <c r="W134" i="4" s="1"/>
  <c r="X134" i="4" s="1"/>
  <c r="Y134" i="4" s="1"/>
  <c r="Z134" i="4" s="1"/>
  <c r="AA134" i="4" s="1"/>
  <c r="AB134" i="4" s="1"/>
  <c r="AC134" i="4" s="1"/>
  <c r="AD134" i="4" s="1"/>
  <c r="AE134" i="4" s="1"/>
  <c r="AF134" i="4" s="1"/>
  <c r="AG134" i="4" s="1"/>
  <c r="AH134" i="4" s="1"/>
  <c r="AI134" i="4" s="1"/>
  <c r="AJ134" i="4" s="1"/>
  <c r="AK134" i="4" s="1"/>
  <c r="AL134" i="4" s="1"/>
  <c r="AM134" i="4" s="1"/>
  <c r="AN134" i="4" s="1"/>
  <c r="AO134" i="4" s="1"/>
  <c r="AP134" i="4" s="1"/>
  <c r="AQ134" i="4" s="1"/>
  <c r="Q70" i="4"/>
  <c r="R70" i="4" s="1"/>
  <c r="S70" i="4" s="1"/>
  <c r="T70" i="4" s="1"/>
  <c r="U70" i="4" s="1"/>
  <c r="V70" i="4" s="1"/>
  <c r="W70" i="4" s="1"/>
  <c r="X70" i="4" s="1"/>
  <c r="Y70" i="4" s="1"/>
  <c r="Z70" i="4" s="1"/>
  <c r="AA70" i="4" s="1"/>
  <c r="AB70" i="4" s="1"/>
  <c r="AC70" i="4" s="1"/>
  <c r="AD70" i="4" s="1"/>
  <c r="AE70" i="4" s="1"/>
  <c r="AF70" i="4" s="1"/>
  <c r="AG70" i="4" s="1"/>
  <c r="AH70" i="4" s="1"/>
  <c r="AI70" i="4" s="1"/>
  <c r="AJ70" i="4" s="1"/>
  <c r="AK70" i="4" s="1"/>
  <c r="AL70" i="4" s="1"/>
  <c r="AM70" i="4" s="1"/>
  <c r="AN70" i="4" s="1"/>
  <c r="AO70" i="4" s="1"/>
  <c r="AP70" i="4" s="1"/>
  <c r="AQ70" i="4" s="1"/>
  <c r="Q136" i="4"/>
  <c r="R136" i="4" s="1"/>
  <c r="S136" i="4" s="1"/>
  <c r="T136" i="4" s="1"/>
  <c r="U136" i="4" s="1"/>
  <c r="V136" i="4" s="1"/>
  <c r="W136" i="4" s="1"/>
  <c r="X136" i="4" s="1"/>
  <c r="Y136" i="4" s="1"/>
  <c r="Z136" i="4" s="1"/>
  <c r="AA136" i="4" s="1"/>
  <c r="AB136" i="4" s="1"/>
  <c r="AC136" i="4" s="1"/>
  <c r="AD136" i="4" s="1"/>
  <c r="AE136" i="4" s="1"/>
  <c r="AF136" i="4" s="1"/>
  <c r="AG136" i="4" s="1"/>
  <c r="AH136" i="4" s="1"/>
  <c r="AI136" i="4" s="1"/>
  <c r="AJ136" i="4" s="1"/>
  <c r="AK136" i="4" s="1"/>
  <c r="AL136" i="4" s="1"/>
  <c r="AM136" i="4" s="1"/>
  <c r="AN136" i="4" s="1"/>
  <c r="AO136" i="4" s="1"/>
  <c r="AP136" i="4" s="1"/>
  <c r="AQ136" i="4" s="1"/>
  <c r="Q52" i="4"/>
  <c r="R52" i="4" s="1"/>
  <c r="S52" i="4" s="1"/>
  <c r="T52" i="4" s="1"/>
  <c r="U52" i="4" s="1"/>
  <c r="V52" i="4" s="1"/>
  <c r="W52" i="4" s="1"/>
  <c r="X52" i="4" s="1"/>
  <c r="Y52" i="4" s="1"/>
  <c r="Z52" i="4" s="1"/>
  <c r="AA52" i="4" s="1"/>
  <c r="AB52" i="4" s="1"/>
  <c r="AC52" i="4" s="1"/>
  <c r="AD52" i="4" s="1"/>
  <c r="AE52" i="4" s="1"/>
  <c r="AF52" i="4" s="1"/>
  <c r="AG52" i="4" s="1"/>
  <c r="AH52" i="4" s="1"/>
  <c r="AI52" i="4" s="1"/>
  <c r="AJ52" i="4" s="1"/>
  <c r="AK52" i="4" s="1"/>
  <c r="AL52" i="4" s="1"/>
  <c r="AM52" i="4" s="1"/>
  <c r="AN52" i="4" s="1"/>
  <c r="AO52" i="4" s="1"/>
  <c r="AP52" i="4" s="1"/>
  <c r="AQ52" i="4" s="1"/>
  <c r="Q66" i="4"/>
  <c r="R66" i="4" s="1"/>
  <c r="S66" i="4" s="1"/>
  <c r="T66" i="4" s="1"/>
  <c r="U66" i="4" s="1"/>
  <c r="V66" i="4" s="1"/>
  <c r="W66" i="4" s="1"/>
  <c r="X66" i="4" s="1"/>
  <c r="Y66" i="4" s="1"/>
  <c r="Z66" i="4" s="1"/>
  <c r="AA66" i="4" s="1"/>
  <c r="AB66" i="4" s="1"/>
  <c r="AC66" i="4" s="1"/>
  <c r="AD66" i="4" s="1"/>
  <c r="AE66" i="4" s="1"/>
  <c r="AF66" i="4" s="1"/>
  <c r="AG66" i="4" s="1"/>
  <c r="AH66" i="4" s="1"/>
  <c r="AI66" i="4" s="1"/>
  <c r="AJ66" i="4" s="1"/>
  <c r="AK66" i="4" s="1"/>
  <c r="AL66" i="4" s="1"/>
  <c r="AM66" i="4" s="1"/>
  <c r="AN66" i="4" s="1"/>
  <c r="AO66" i="4" s="1"/>
  <c r="AP66" i="4" s="1"/>
  <c r="AQ66" i="4" s="1"/>
  <c r="Q98" i="4"/>
  <c r="R98" i="4" s="1"/>
  <c r="S98" i="4" s="1"/>
  <c r="T98" i="4" s="1"/>
  <c r="U98" i="4" s="1"/>
  <c r="V98" i="4" s="1"/>
  <c r="W98" i="4" s="1"/>
  <c r="X98" i="4" s="1"/>
  <c r="Y98" i="4" s="1"/>
  <c r="Z98" i="4" s="1"/>
  <c r="AA98" i="4" s="1"/>
  <c r="AB98" i="4" s="1"/>
  <c r="AC98" i="4" s="1"/>
  <c r="AD98" i="4" s="1"/>
  <c r="AE98" i="4" s="1"/>
  <c r="AF98" i="4" s="1"/>
  <c r="AG98" i="4" s="1"/>
  <c r="AH98" i="4" s="1"/>
  <c r="AI98" i="4" s="1"/>
  <c r="AJ98" i="4" s="1"/>
  <c r="AK98" i="4" s="1"/>
  <c r="AL98" i="4" s="1"/>
  <c r="AM98" i="4" s="1"/>
  <c r="AN98" i="4" s="1"/>
  <c r="AO98" i="4" s="1"/>
  <c r="AP98" i="4" s="1"/>
  <c r="AQ98" i="4" s="1"/>
  <c r="Q113" i="4"/>
  <c r="R113" i="4" s="1"/>
  <c r="S113" i="4" s="1"/>
  <c r="T113" i="4" s="1"/>
  <c r="U113" i="4" s="1"/>
  <c r="V113" i="4" s="1"/>
  <c r="W113" i="4" s="1"/>
  <c r="X113" i="4" s="1"/>
  <c r="Y113" i="4" s="1"/>
  <c r="Z113" i="4" s="1"/>
  <c r="AA113" i="4" s="1"/>
  <c r="AB113" i="4" s="1"/>
  <c r="AC113" i="4" s="1"/>
  <c r="AD113" i="4" s="1"/>
  <c r="AE113" i="4" s="1"/>
  <c r="AF113" i="4" s="1"/>
  <c r="AG113" i="4" s="1"/>
  <c r="AH113" i="4" s="1"/>
  <c r="AI113" i="4" s="1"/>
  <c r="AJ113" i="4" s="1"/>
  <c r="AK113" i="4" s="1"/>
  <c r="AL113" i="4" s="1"/>
  <c r="AM113" i="4" s="1"/>
  <c r="AN113" i="4" s="1"/>
  <c r="AO113" i="4" s="1"/>
  <c r="AP113" i="4" s="1"/>
  <c r="AQ113" i="4" s="1"/>
  <c r="Q126" i="4"/>
  <c r="R126" i="4" s="1"/>
  <c r="S126" i="4" s="1"/>
  <c r="T126" i="4" s="1"/>
  <c r="U126" i="4" s="1"/>
  <c r="V126" i="4" s="1"/>
  <c r="W126" i="4" s="1"/>
  <c r="X126" i="4" s="1"/>
  <c r="Y126" i="4" s="1"/>
  <c r="Z126" i="4" s="1"/>
  <c r="AA126" i="4" s="1"/>
  <c r="AB126" i="4" s="1"/>
  <c r="AC126" i="4" s="1"/>
  <c r="AD126" i="4" s="1"/>
  <c r="AE126" i="4" s="1"/>
  <c r="AF126" i="4" s="1"/>
  <c r="AG126" i="4" s="1"/>
  <c r="AH126" i="4" s="1"/>
  <c r="AI126" i="4" s="1"/>
  <c r="AJ126" i="4" s="1"/>
  <c r="AK126" i="4" s="1"/>
  <c r="AL126" i="4" s="1"/>
  <c r="AM126" i="4" s="1"/>
  <c r="AN126" i="4" s="1"/>
  <c r="AO126" i="4" s="1"/>
  <c r="AP126" i="4" s="1"/>
  <c r="AQ126" i="4" s="1"/>
  <c r="Q121" i="4"/>
  <c r="R121" i="4" s="1"/>
  <c r="S121" i="4" s="1"/>
  <c r="T121" i="4" s="1"/>
  <c r="U121" i="4" s="1"/>
  <c r="V121" i="4" s="1"/>
  <c r="W121" i="4" s="1"/>
  <c r="X121" i="4" s="1"/>
  <c r="Y121" i="4" s="1"/>
  <c r="Z121" i="4" s="1"/>
  <c r="AA121" i="4" s="1"/>
  <c r="AB121" i="4" s="1"/>
  <c r="AC121" i="4" s="1"/>
  <c r="AD121" i="4" s="1"/>
  <c r="AE121" i="4" s="1"/>
  <c r="AF121" i="4" s="1"/>
  <c r="AG121" i="4" s="1"/>
  <c r="AH121" i="4" s="1"/>
  <c r="AI121" i="4" s="1"/>
  <c r="AJ121" i="4" s="1"/>
  <c r="AK121" i="4" s="1"/>
  <c r="AL121" i="4" s="1"/>
  <c r="AM121" i="4" s="1"/>
  <c r="AN121" i="4" s="1"/>
  <c r="AO121" i="4" s="1"/>
  <c r="AP121" i="4" s="1"/>
  <c r="AQ121" i="4" s="1"/>
  <c r="Q129" i="4"/>
  <c r="R129" i="4" s="1"/>
  <c r="S129" i="4" s="1"/>
  <c r="T129" i="4" s="1"/>
  <c r="U129" i="4" s="1"/>
  <c r="V129" i="4" s="1"/>
  <c r="W129" i="4" s="1"/>
  <c r="X129" i="4" s="1"/>
  <c r="Y129" i="4" s="1"/>
  <c r="Z129" i="4" s="1"/>
  <c r="AA129" i="4" s="1"/>
  <c r="AB129" i="4" s="1"/>
  <c r="AC129" i="4" s="1"/>
  <c r="AD129" i="4" s="1"/>
  <c r="AE129" i="4" s="1"/>
  <c r="AF129" i="4" s="1"/>
  <c r="AG129" i="4" s="1"/>
  <c r="AH129" i="4" s="1"/>
  <c r="AI129" i="4" s="1"/>
  <c r="AJ129" i="4" s="1"/>
  <c r="AK129" i="4" s="1"/>
  <c r="AL129" i="4" s="1"/>
  <c r="AM129" i="4" s="1"/>
  <c r="AN129" i="4" s="1"/>
  <c r="AO129" i="4" s="1"/>
  <c r="AP129" i="4" s="1"/>
  <c r="AQ129" i="4" s="1"/>
  <c r="Q135" i="4"/>
  <c r="R135" i="4" s="1"/>
  <c r="S135" i="4" s="1"/>
  <c r="T135" i="4" s="1"/>
  <c r="U135" i="4" s="1"/>
  <c r="V135" i="4" s="1"/>
  <c r="W135" i="4" s="1"/>
  <c r="X135" i="4" s="1"/>
  <c r="Y135" i="4" s="1"/>
  <c r="Z135" i="4" s="1"/>
  <c r="AA135" i="4" s="1"/>
  <c r="AB135" i="4" s="1"/>
  <c r="AC135" i="4" s="1"/>
  <c r="AD135" i="4" s="1"/>
  <c r="AE135" i="4" s="1"/>
  <c r="AF135" i="4" s="1"/>
  <c r="AG135" i="4" s="1"/>
  <c r="AH135" i="4" s="1"/>
  <c r="AI135" i="4" s="1"/>
  <c r="AJ135" i="4" s="1"/>
  <c r="AK135" i="4" s="1"/>
  <c r="AL135" i="4" s="1"/>
  <c r="AM135" i="4" s="1"/>
  <c r="AN135" i="4" s="1"/>
  <c r="AO135" i="4" s="1"/>
  <c r="AP135" i="4" s="1"/>
  <c r="AQ135" i="4" s="1"/>
  <c r="Q118" i="4"/>
  <c r="R118" i="4" s="1"/>
  <c r="S118" i="4" s="1"/>
  <c r="T118" i="4" s="1"/>
  <c r="U118" i="4" s="1"/>
  <c r="V118" i="4" s="1"/>
  <c r="W118" i="4" s="1"/>
  <c r="X118" i="4" s="1"/>
  <c r="Y118" i="4" s="1"/>
  <c r="Z118" i="4" s="1"/>
  <c r="AA118" i="4" s="1"/>
  <c r="AB118" i="4" s="1"/>
  <c r="AC118" i="4" s="1"/>
  <c r="AD118" i="4" s="1"/>
  <c r="AE118" i="4" s="1"/>
  <c r="AF118" i="4" s="1"/>
  <c r="AG118" i="4" s="1"/>
  <c r="AH118" i="4" s="1"/>
  <c r="AI118" i="4" s="1"/>
  <c r="AJ118" i="4" s="1"/>
  <c r="AK118" i="4" s="1"/>
  <c r="AL118" i="4" s="1"/>
  <c r="AM118" i="4" s="1"/>
  <c r="AN118" i="4" s="1"/>
  <c r="AO118" i="4" s="1"/>
  <c r="AP118" i="4" s="1"/>
  <c r="AQ118" i="4" s="1"/>
  <c r="Q48" i="4"/>
  <c r="R48" i="4" s="1"/>
  <c r="S48" i="4" s="1"/>
  <c r="T48" i="4" s="1"/>
  <c r="U48" i="4" s="1"/>
  <c r="V48" i="4" s="1"/>
  <c r="W48" i="4" s="1"/>
  <c r="X48" i="4" s="1"/>
  <c r="Y48" i="4" s="1"/>
  <c r="Z48" i="4" s="1"/>
  <c r="AA48" i="4" s="1"/>
  <c r="AB48" i="4" s="1"/>
  <c r="AC48" i="4" s="1"/>
  <c r="AD48" i="4" s="1"/>
  <c r="AE48" i="4" s="1"/>
  <c r="AF48" i="4" s="1"/>
  <c r="AG48" i="4" s="1"/>
  <c r="AH48" i="4" s="1"/>
  <c r="AI48" i="4" s="1"/>
  <c r="AJ48" i="4" s="1"/>
  <c r="AK48" i="4" s="1"/>
  <c r="AL48" i="4" s="1"/>
  <c r="AM48" i="4" s="1"/>
  <c r="AN48" i="4" s="1"/>
  <c r="AO48" i="4" s="1"/>
  <c r="AP48" i="4" s="1"/>
  <c r="AQ48" i="4" s="1"/>
  <c r="Q65" i="4"/>
  <c r="R65" i="4" s="1"/>
  <c r="S65" i="4" s="1"/>
  <c r="T65" i="4" s="1"/>
  <c r="U65" i="4" s="1"/>
  <c r="V65" i="4" s="1"/>
  <c r="W65" i="4" s="1"/>
  <c r="X65" i="4" s="1"/>
  <c r="Y65" i="4" s="1"/>
  <c r="Z65" i="4" s="1"/>
  <c r="AA65" i="4" s="1"/>
  <c r="AB65" i="4" s="1"/>
  <c r="AC65" i="4" s="1"/>
  <c r="AD65" i="4" s="1"/>
  <c r="AE65" i="4" s="1"/>
  <c r="AF65" i="4" s="1"/>
  <c r="AG65" i="4" s="1"/>
  <c r="AH65" i="4" s="1"/>
  <c r="AI65" i="4" s="1"/>
  <c r="AJ65" i="4" s="1"/>
  <c r="AK65" i="4" s="1"/>
  <c r="AL65" i="4" s="1"/>
  <c r="AM65" i="4" s="1"/>
  <c r="AN65" i="4" s="1"/>
  <c r="AO65" i="4" s="1"/>
  <c r="AP65" i="4" s="1"/>
  <c r="AQ65" i="4" s="1"/>
  <c r="Q101" i="4"/>
  <c r="R101" i="4" s="1"/>
  <c r="S101" i="4" s="1"/>
  <c r="T101" i="4" s="1"/>
  <c r="U101" i="4" s="1"/>
  <c r="V101" i="4" s="1"/>
  <c r="W101" i="4" s="1"/>
  <c r="X101" i="4" s="1"/>
  <c r="Y101" i="4" s="1"/>
  <c r="Z101" i="4" s="1"/>
  <c r="AA101" i="4" s="1"/>
  <c r="AB101" i="4" s="1"/>
  <c r="AC101" i="4" s="1"/>
  <c r="AD101" i="4" s="1"/>
  <c r="AE101" i="4" s="1"/>
  <c r="AF101" i="4" s="1"/>
  <c r="AG101" i="4" s="1"/>
  <c r="AH101" i="4" s="1"/>
  <c r="AI101" i="4" s="1"/>
  <c r="AJ101" i="4" s="1"/>
  <c r="AK101" i="4" s="1"/>
  <c r="AL101" i="4" s="1"/>
  <c r="AM101" i="4" s="1"/>
  <c r="AN101" i="4" s="1"/>
  <c r="AO101" i="4" s="1"/>
  <c r="AP101" i="4" s="1"/>
  <c r="AQ101" i="4" s="1"/>
  <c r="Q86" i="4"/>
  <c r="R86" i="4" s="1"/>
  <c r="S86" i="4" s="1"/>
  <c r="T86" i="4" s="1"/>
  <c r="U86" i="4" s="1"/>
  <c r="V86" i="4" s="1"/>
  <c r="W86" i="4" s="1"/>
  <c r="X86" i="4" s="1"/>
  <c r="Y86" i="4" s="1"/>
  <c r="Z86" i="4" s="1"/>
  <c r="AA86" i="4" s="1"/>
  <c r="AB86" i="4" s="1"/>
  <c r="AC86" i="4" s="1"/>
  <c r="AD86" i="4" s="1"/>
  <c r="AE86" i="4" s="1"/>
  <c r="AF86" i="4" s="1"/>
  <c r="AG86" i="4" s="1"/>
  <c r="AH86" i="4" s="1"/>
  <c r="AI86" i="4" s="1"/>
  <c r="AJ86" i="4" s="1"/>
  <c r="AK86" i="4" s="1"/>
  <c r="AL86" i="4" s="1"/>
  <c r="AM86" i="4" s="1"/>
  <c r="AN86" i="4" s="1"/>
  <c r="AO86" i="4" s="1"/>
  <c r="AP86" i="4" s="1"/>
  <c r="AQ86" i="4" s="1"/>
  <c r="Q62" i="4"/>
  <c r="R62" i="4" s="1"/>
  <c r="S62" i="4" s="1"/>
  <c r="T62" i="4" s="1"/>
  <c r="U62" i="4" s="1"/>
  <c r="V62" i="4" s="1"/>
  <c r="W62" i="4" s="1"/>
  <c r="X62" i="4" s="1"/>
  <c r="Y62" i="4" s="1"/>
  <c r="Z62" i="4" s="1"/>
  <c r="AA62" i="4" s="1"/>
  <c r="AB62" i="4" s="1"/>
  <c r="AC62" i="4" s="1"/>
  <c r="AD62" i="4" s="1"/>
  <c r="AE62" i="4" s="1"/>
  <c r="AF62" i="4" s="1"/>
  <c r="AG62" i="4" s="1"/>
  <c r="AH62" i="4" s="1"/>
  <c r="AI62" i="4" s="1"/>
  <c r="AJ62" i="4" s="1"/>
  <c r="AK62" i="4" s="1"/>
  <c r="AL62" i="4" s="1"/>
  <c r="AM62" i="4" s="1"/>
  <c r="AN62" i="4" s="1"/>
  <c r="AO62" i="4" s="1"/>
  <c r="AP62" i="4" s="1"/>
  <c r="AQ62" i="4" s="1"/>
  <c r="Q46" i="4"/>
  <c r="R46" i="4" s="1"/>
  <c r="S46" i="4" s="1"/>
  <c r="T46" i="4" s="1"/>
  <c r="U46" i="4" s="1"/>
  <c r="V46" i="4" s="1"/>
  <c r="W46" i="4" s="1"/>
  <c r="X46" i="4" s="1"/>
  <c r="Y46" i="4" s="1"/>
  <c r="Z46" i="4" s="1"/>
  <c r="AA46" i="4" s="1"/>
  <c r="AB46" i="4" s="1"/>
  <c r="AC46" i="4" s="1"/>
  <c r="AD46" i="4" s="1"/>
  <c r="AE46" i="4" s="1"/>
  <c r="AF46" i="4" s="1"/>
  <c r="AG46" i="4" s="1"/>
  <c r="AH46" i="4" s="1"/>
  <c r="AI46" i="4" s="1"/>
  <c r="AJ46" i="4" s="1"/>
  <c r="AK46" i="4" s="1"/>
  <c r="AL46" i="4" s="1"/>
  <c r="AM46" i="4" s="1"/>
  <c r="AN46" i="4" s="1"/>
  <c r="AO46" i="4" s="1"/>
  <c r="AP46" i="4" s="1"/>
  <c r="AQ46" i="4" s="1"/>
  <c r="Q58" i="4"/>
  <c r="R58" i="4" s="1"/>
  <c r="S58" i="4" s="1"/>
  <c r="T58" i="4" s="1"/>
  <c r="U58" i="4" s="1"/>
  <c r="V58" i="4" s="1"/>
  <c r="W58" i="4" s="1"/>
  <c r="X58" i="4" s="1"/>
  <c r="Y58" i="4" s="1"/>
  <c r="Z58" i="4" s="1"/>
  <c r="AA58" i="4" s="1"/>
  <c r="AB58" i="4" s="1"/>
  <c r="AC58" i="4" s="1"/>
  <c r="AD58" i="4" s="1"/>
  <c r="AE58" i="4" s="1"/>
  <c r="AF58" i="4" s="1"/>
  <c r="AG58" i="4" s="1"/>
  <c r="AH58" i="4" s="1"/>
  <c r="AI58" i="4" s="1"/>
  <c r="AJ58" i="4" s="1"/>
  <c r="AK58" i="4" s="1"/>
  <c r="AL58" i="4" s="1"/>
  <c r="AM58" i="4" s="1"/>
  <c r="AN58" i="4" s="1"/>
  <c r="AO58" i="4" s="1"/>
  <c r="AP58" i="4" s="1"/>
  <c r="AQ58" i="4" s="1"/>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AO39" i="4" s="1"/>
  <c r="AP39" i="4" s="1"/>
  <c r="AQ39" i="4" s="1"/>
  <c r="Q33" i="4"/>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AO33" i="4" s="1"/>
  <c r="AP33" i="4" s="1"/>
  <c r="AQ33" i="4" s="1"/>
  <c r="Q53" i="4"/>
  <c r="R53" i="4" s="1"/>
  <c r="S53" i="4" s="1"/>
  <c r="T53" i="4" s="1"/>
  <c r="U53" i="4" s="1"/>
  <c r="V53" i="4" s="1"/>
  <c r="W53" i="4" s="1"/>
  <c r="X53" i="4" s="1"/>
  <c r="Y53" i="4" s="1"/>
  <c r="Z53" i="4" s="1"/>
  <c r="AA53" i="4" s="1"/>
  <c r="AB53" i="4" s="1"/>
  <c r="AC53" i="4" s="1"/>
  <c r="AD53" i="4" s="1"/>
  <c r="AE53" i="4" s="1"/>
  <c r="AF53" i="4" s="1"/>
  <c r="AG53" i="4" s="1"/>
  <c r="AH53" i="4" s="1"/>
  <c r="AI53" i="4" s="1"/>
  <c r="AJ53" i="4" s="1"/>
  <c r="AK53" i="4" s="1"/>
  <c r="AL53" i="4" s="1"/>
  <c r="AM53" i="4" s="1"/>
  <c r="AN53" i="4" s="1"/>
  <c r="AO53" i="4" s="1"/>
  <c r="AP53" i="4" s="1"/>
  <c r="AQ53" i="4" s="1"/>
  <c r="Q95" i="4"/>
  <c r="R95" i="4" s="1"/>
  <c r="S95" i="4" s="1"/>
  <c r="T95" i="4" s="1"/>
  <c r="U95" i="4" s="1"/>
  <c r="V95" i="4" s="1"/>
  <c r="W95" i="4" s="1"/>
  <c r="X95" i="4" s="1"/>
  <c r="Y95" i="4" s="1"/>
  <c r="Z95" i="4" s="1"/>
  <c r="AA95" i="4" s="1"/>
  <c r="AB95" i="4" s="1"/>
  <c r="AC95" i="4" s="1"/>
  <c r="AD95" i="4" s="1"/>
  <c r="AE95" i="4" s="1"/>
  <c r="AF95" i="4" s="1"/>
  <c r="AG95" i="4" s="1"/>
  <c r="AH95" i="4" s="1"/>
  <c r="AI95" i="4" s="1"/>
  <c r="AJ95" i="4" s="1"/>
  <c r="AK95" i="4" s="1"/>
  <c r="AL95" i="4" s="1"/>
  <c r="AM95" i="4" s="1"/>
  <c r="AN95" i="4" s="1"/>
  <c r="AO95" i="4" s="1"/>
  <c r="AP95" i="4" s="1"/>
  <c r="AQ95" i="4" s="1"/>
  <c r="Q103" i="4"/>
  <c r="R103" i="4" s="1"/>
  <c r="S103" i="4" s="1"/>
  <c r="T103" i="4" s="1"/>
  <c r="U103" i="4" s="1"/>
  <c r="V103" i="4" s="1"/>
  <c r="W103" i="4" s="1"/>
  <c r="X103" i="4" s="1"/>
  <c r="Y103" i="4" s="1"/>
  <c r="Z103" i="4" s="1"/>
  <c r="AA103" i="4" s="1"/>
  <c r="AB103" i="4" s="1"/>
  <c r="AC103" i="4" s="1"/>
  <c r="AD103" i="4" s="1"/>
  <c r="AE103" i="4" s="1"/>
  <c r="AF103" i="4" s="1"/>
  <c r="AG103" i="4" s="1"/>
  <c r="AH103" i="4" s="1"/>
  <c r="AI103" i="4" s="1"/>
  <c r="AJ103" i="4" s="1"/>
  <c r="AK103" i="4" s="1"/>
  <c r="AL103" i="4" s="1"/>
  <c r="AM103" i="4" s="1"/>
  <c r="AN103" i="4" s="1"/>
  <c r="AO103" i="4" s="1"/>
  <c r="AP103" i="4" s="1"/>
  <c r="AQ103" i="4" s="1"/>
  <c r="Q35" i="4"/>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AO35" i="4" s="1"/>
  <c r="AP35" i="4" s="1"/>
  <c r="AQ35" i="4" s="1"/>
  <c r="Q97" i="4"/>
  <c r="R97" i="4" s="1"/>
  <c r="S97" i="4" s="1"/>
  <c r="T97" i="4" s="1"/>
  <c r="U97" i="4" s="1"/>
  <c r="V97" i="4" s="1"/>
  <c r="W97" i="4" s="1"/>
  <c r="X97" i="4" s="1"/>
  <c r="Y97" i="4" s="1"/>
  <c r="Z97" i="4" s="1"/>
  <c r="AA97" i="4" s="1"/>
  <c r="AB97" i="4" s="1"/>
  <c r="AC97" i="4" s="1"/>
  <c r="AD97" i="4" s="1"/>
  <c r="AE97" i="4" s="1"/>
  <c r="AF97" i="4" s="1"/>
  <c r="AG97" i="4" s="1"/>
  <c r="AH97" i="4" s="1"/>
  <c r="AI97" i="4" s="1"/>
  <c r="AJ97" i="4" s="1"/>
  <c r="AK97" i="4" s="1"/>
  <c r="AL97" i="4" s="1"/>
  <c r="AM97" i="4" s="1"/>
  <c r="AN97" i="4" s="1"/>
  <c r="AO97" i="4" s="1"/>
  <c r="AP97" i="4" s="1"/>
  <c r="AQ97" i="4" s="1"/>
  <c r="Q56" i="4"/>
  <c r="R56" i="4" s="1"/>
  <c r="S56" i="4" s="1"/>
  <c r="T56" i="4" s="1"/>
  <c r="U56" i="4" s="1"/>
  <c r="V56" i="4" s="1"/>
  <c r="W56" i="4" s="1"/>
  <c r="X56" i="4" s="1"/>
  <c r="Y56" i="4" s="1"/>
  <c r="Z56" i="4" s="1"/>
  <c r="AA56" i="4" s="1"/>
  <c r="AB56" i="4" s="1"/>
  <c r="AC56" i="4" s="1"/>
  <c r="AD56" i="4" s="1"/>
  <c r="AE56" i="4" s="1"/>
  <c r="AF56" i="4" s="1"/>
  <c r="AG56" i="4" s="1"/>
  <c r="AH56" i="4" s="1"/>
  <c r="AI56" i="4" s="1"/>
  <c r="AJ56" i="4" s="1"/>
  <c r="AK56" i="4" s="1"/>
  <c r="AL56" i="4" s="1"/>
  <c r="AM56" i="4" s="1"/>
  <c r="AN56" i="4" s="1"/>
  <c r="AO56" i="4" s="1"/>
  <c r="AP56" i="4" s="1"/>
  <c r="AQ56" i="4" s="1"/>
  <c r="Q68" i="4"/>
  <c r="R68" i="4" s="1"/>
  <c r="S68" i="4" s="1"/>
  <c r="T68" i="4" s="1"/>
  <c r="U68" i="4" s="1"/>
  <c r="V68" i="4" s="1"/>
  <c r="W68" i="4" s="1"/>
  <c r="X68" i="4" s="1"/>
  <c r="Y68" i="4" s="1"/>
  <c r="Z68" i="4" s="1"/>
  <c r="AA68" i="4" s="1"/>
  <c r="AB68" i="4" s="1"/>
  <c r="AC68" i="4" s="1"/>
  <c r="AD68" i="4" s="1"/>
  <c r="AE68" i="4" s="1"/>
  <c r="AF68" i="4" s="1"/>
  <c r="AG68" i="4" s="1"/>
  <c r="AH68" i="4" s="1"/>
  <c r="AI68" i="4" s="1"/>
  <c r="AJ68" i="4" s="1"/>
  <c r="AK68" i="4" s="1"/>
  <c r="AL68" i="4" s="1"/>
  <c r="AM68" i="4" s="1"/>
  <c r="AN68" i="4" s="1"/>
  <c r="AO68" i="4" s="1"/>
  <c r="AP68" i="4" s="1"/>
  <c r="AQ68" i="4" s="1"/>
  <c r="Q81" i="4"/>
  <c r="R81" i="4" s="1"/>
  <c r="S81" i="4" s="1"/>
  <c r="T81" i="4" s="1"/>
  <c r="U81" i="4" s="1"/>
  <c r="V81" i="4" s="1"/>
  <c r="W81" i="4" s="1"/>
  <c r="X81" i="4" s="1"/>
  <c r="Y81" i="4" s="1"/>
  <c r="Z81" i="4" s="1"/>
  <c r="AA81" i="4" s="1"/>
  <c r="AB81" i="4" s="1"/>
  <c r="AC81" i="4" s="1"/>
  <c r="AD81" i="4" s="1"/>
  <c r="AE81" i="4" s="1"/>
  <c r="AF81" i="4" s="1"/>
  <c r="AG81" i="4" s="1"/>
  <c r="AH81" i="4" s="1"/>
  <c r="AI81" i="4" s="1"/>
  <c r="AJ81" i="4" s="1"/>
  <c r="AK81" i="4" s="1"/>
  <c r="AL81" i="4" s="1"/>
  <c r="AM81" i="4" s="1"/>
  <c r="AN81" i="4" s="1"/>
  <c r="AO81" i="4" s="1"/>
  <c r="AP81" i="4" s="1"/>
  <c r="AQ81" i="4" s="1"/>
  <c r="Q131" i="4"/>
  <c r="R131" i="4" s="1"/>
  <c r="S131" i="4" s="1"/>
  <c r="T131" i="4" s="1"/>
  <c r="U131" i="4" s="1"/>
  <c r="V131" i="4" s="1"/>
  <c r="W131" i="4" s="1"/>
  <c r="X131" i="4" s="1"/>
  <c r="Y131" i="4" s="1"/>
  <c r="Z131" i="4" s="1"/>
  <c r="AA131" i="4" s="1"/>
  <c r="AB131" i="4" s="1"/>
  <c r="AC131" i="4" s="1"/>
  <c r="AD131" i="4" s="1"/>
  <c r="AE131" i="4" s="1"/>
  <c r="AF131" i="4" s="1"/>
  <c r="AG131" i="4" s="1"/>
  <c r="AH131" i="4" s="1"/>
  <c r="AI131" i="4" s="1"/>
  <c r="AJ131" i="4" s="1"/>
  <c r="AK131" i="4" s="1"/>
  <c r="AL131" i="4" s="1"/>
  <c r="AM131" i="4" s="1"/>
  <c r="AN131" i="4" s="1"/>
  <c r="AO131" i="4" s="1"/>
  <c r="AP131" i="4" s="1"/>
  <c r="AQ131" i="4" s="1"/>
  <c r="Q51" i="4"/>
  <c r="R51" i="4" s="1"/>
  <c r="S51" i="4" s="1"/>
  <c r="T51" i="4" s="1"/>
  <c r="U51" i="4" s="1"/>
  <c r="V51" i="4" s="1"/>
  <c r="W51" i="4" s="1"/>
  <c r="X51" i="4" s="1"/>
  <c r="Y51" i="4" s="1"/>
  <c r="Z51" i="4" s="1"/>
  <c r="AA51" i="4" s="1"/>
  <c r="AB51" i="4" s="1"/>
  <c r="AC51" i="4" s="1"/>
  <c r="AD51" i="4" s="1"/>
  <c r="AE51" i="4" s="1"/>
  <c r="AF51" i="4" s="1"/>
  <c r="AG51" i="4" s="1"/>
  <c r="AH51" i="4" s="1"/>
  <c r="AI51" i="4" s="1"/>
  <c r="AJ51" i="4" s="1"/>
  <c r="AK51" i="4" s="1"/>
  <c r="AL51" i="4" s="1"/>
  <c r="AM51" i="4" s="1"/>
  <c r="AN51" i="4" s="1"/>
  <c r="AO51" i="4" s="1"/>
  <c r="AP51" i="4" s="1"/>
  <c r="AQ51" i="4" s="1"/>
  <c r="Q124" i="4"/>
  <c r="R124" i="4" s="1"/>
  <c r="S124" i="4" s="1"/>
  <c r="T124" i="4" s="1"/>
  <c r="U124" i="4" s="1"/>
  <c r="V124" i="4" s="1"/>
  <c r="W124" i="4" s="1"/>
  <c r="X124" i="4" s="1"/>
  <c r="Y124" i="4" s="1"/>
  <c r="Z124" i="4" s="1"/>
  <c r="AA124" i="4" s="1"/>
  <c r="AB124" i="4" s="1"/>
  <c r="AC124" i="4" s="1"/>
  <c r="AD124" i="4" s="1"/>
  <c r="AE124" i="4" s="1"/>
  <c r="AF124" i="4" s="1"/>
  <c r="AG124" i="4" s="1"/>
  <c r="AH124" i="4" s="1"/>
  <c r="AI124" i="4" s="1"/>
  <c r="AJ124" i="4" s="1"/>
  <c r="AK124" i="4" s="1"/>
  <c r="AL124" i="4" s="1"/>
  <c r="AM124" i="4" s="1"/>
  <c r="AN124" i="4" s="1"/>
  <c r="AO124" i="4" s="1"/>
  <c r="AP124" i="4" s="1"/>
  <c r="AQ124" i="4" s="1"/>
  <c r="Q44" i="4"/>
  <c r="R44" i="4" s="1"/>
  <c r="S44" i="4" s="1"/>
  <c r="T44" i="4" s="1"/>
  <c r="U44" i="4" s="1"/>
  <c r="V44" i="4" s="1"/>
  <c r="W44" i="4" s="1"/>
  <c r="X44" i="4" s="1"/>
  <c r="Y44" i="4" s="1"/>
  <c r="Z44" i="4" s="1"/>
  <c r="AA44" i="4" s="1"/>
  <c r="AB44" i="4" s="1"/>
  <c r="AC44" i="4" s="1"/>
  <c r="AD44" i="4" s="1"/>
  <c r="AE44" i="4" s="1"/>
  <c r="AF44" i="4" s="1"/>
  <c r="AG44" i="4" s="1"/>
  <c r="AH44" i="4" s="1"/>
  <c r="AI44" i="4" s="1"/>
  <c r="AJ44" i="4" s="1"/>
  <c r="AK44" i="4" s="1"/>
  <c r="AL44" i="4" s="1"/>
  <c r="AM44" i="4" s="1"/>
  <c r="AN44" i="4" s="1"/>
  <c r="AO44" i="4" s="1"/>
  <c r="AP44" i="4" s="1"/>
  <c r="AQ44" i="4" s="1"/>
  <c r="Q12" i="4"/>
  <c r="R12" i="4" s="1"/>
  <c r="S12" i="4" s="1"/>
  <c r="T12" i="4" s="1"/>
  <c r="U12" i="4" s="1"/>
  <c r="V12" i="4" s="1"/>
  <c r="W12" i="4" s="1"/>
  <c r="X12" i="4" s="1"/>
  <c r="Y12" i="4" s="1"/>
  <c r="Z12" i="4" s="1"/>
  <c r="AA12" i="4" s="1"/>
  <c r="AB12" i="4" s="1"/>
  <c r="AC12" i="4" s="1"/>
  <c r="AD12" i="4" s="1"/>
  <c r="AE12" i="4" s="1"/>
  <c r="AF12" i="4" s="1"/>
  <c r="AG12" i="4" s="1"/>
  <c r="AH12" i="4" s="1"/>
  <c r="AI12" i="4" s="1"/>
  <c r="AJ12" i="4" s="1"/>
  <c r="AK12" i="4" s="1"/>
  <c r="AL12" i="4" s="1"/>
  <c r="AM12" i="4" s="1"/>
  <c r="AN12" i="4" s="1"/>
  <c r="AO12" i="4" s="1"/>
  <c r="AP12" i="4" s="1"/>
  <c r="AQ12" i="4" s="1"/>
  <c r="Q120" i="4"/>
  <c r="R120" i="4" s="1"/>
  <c r="S120" i="4" s="1"/>
  <c r="T120" i="4" s="1"/>
  <c r="U120" i="4" s="1"/>
  <c r="V120" i="4" s="1"/>
  <c r="W120" i="4" s="1"/>
  <c r="X120" i="4" s="1"/>
  <c r="Y120" i="4" s="1"/>
  <c r="Z120" i="4" s="1"/>
  <c r="AA120" i="4" s="1"/>
  <c r="AB120" i="4" s="1"/>
  <c r="AC120" i="4" s="1"/>
  <c r="AD120" i="4" s="1"/>
  <c r="AE120" i="4" s="1"/>
  <c r="AF120" i="4" s="1"/>
  <c r="AG120" i="4" s="1"/>
  <c r="AH120" i="4" s="1"/>
  <c r="AI120" i="4" s="1"/>
  <c r="AJ120" i="4" s="1"/>
  <c r="AK120" i="4" s="1"/>
  <c r="AL120" i="4" s="1"/>
  <c r="AM120" i="4" s="1"/>
  <c r="AN120" i="4" s="1"/>
  <c r="AO120" i="4" s="1"/>
  <c r="AP120" i="4" s="1"/>
  <c r="AQ120"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AO38" i="4" s="1"/>
  <c r="AP38" i="4" s="1"/>
  <c r="AQ38" i="4" s="1"/>
  <c r="Q59" i="4"/>
  <c r="R59" i="4" s="1"/>
  <c r="S59" i="4" s="1"/>
  <c r="T59" i="4" s="1"/>
  <c r="U59" i="4" s="1"/>
  <c r="V59" i="4" s="1"/>
  <c r="W59" i="4" s="1"/>
  <c r="X59" i="4" s="1"/>
  <c r="Y59" i="4" s="1"/>
  <c r="Z59" i="4" s="1"/>
  <c r="AA59" i="4" s="1"/>
  <c r="AB59" i="4" s="1"/>
  <c r="AC59" i="4" s="1"/>
  <c r="AD59" i="4" s="1"/>
  <c r="AE59" i="4" s="1"/>
  <c r="AF59" i="4" s="1"/>
  <c r="AG59" i="4" s="1"/>
  <c r="AH59" i="4" s="1"/>
  <c r="AI59" i="4" s="1"/>
  <c r="AJ59" i="4" s="1"/>
  <c r="AK59" i="4" s="1"/>
  <c r="AL59" i="4" s="1"/>
  <c r="AM59" i="4" s="1"/>
  <c r="AN59" i="4" s="1"/>
  <c r="AO59" i="4" s="1"/>
  <c r="AP59" i="4" s="1"/>
  <c r="AQ59" i="4" s="1"/>
  <c r="Q31" i="4"/>
  <c r="R31" i="4" s="1"/>
  <c r="S31" i="4" s="1"/>
  <c r="T31" i="4" s="1"/>
  <c r="U31" i="4" s="1"/>
  <c r="V31" i="4" s="1"/>
  <c r="W31" i="4" s="1"/>
  <c r="X31" i="4" s="1"/>
  <c r="Y31" i="4" s="1"/>
  <c r="Z31" i="4" s="1"/>
  <c r="AA31" i="4" s="1"/>
  <c r="AB31" i="4" s="1"/>
  <c r="AC31" i="4" s="1"/>
  <c r="AD31" i="4" s="1"/>
  <c r="AE31" i="4" s="1"/>
  <c r="AF31" i="4" s="1"/>
  <c r="AG31" i="4" s="1"/>
  <c r="AH31" i="4" s="1"/>
  <c r="AI31" i="4" s="1"/>
  <c r="AJ31" i="4" s="1"/>
  <c r="AK31" i="4" s="1"/>
  <c r="AL31" i="4" s="1"/>
  <c r="AM31" i="4" s="1"/>
  <c r="AN31" i="4" s="1"/>
  <c r="AO31" i="4" s="1"/>
  <c r="AP31" i="4" s="1"/>
  <c r="AQ31" i="4" s="1"/>
  <c r="Q32" i="4"/>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AO32" i="4" s="1"/>
  <c r="AP32" i="4" s="1"/>
  <c r="AQ32" i="4" s="1"/>
  <c r="Q140" i="4"/>
  <c r="R140" i="4" s="1"/>
  <c r="S140" i="4" s="1"/>
  <c r="T140" i="4" s="1"/>
  <c r="U140" i="4" s="1"/>
  <c r="V140" i="4" s="1"/>
  <c r="W140" i="4" s="1"/>
  <c r="X140" i="4" s="1"/>
  <c r="Y140" i="4" s="1"/>
  <c r="Z140" i="4" s="1"/>
  <c r="AA140" i="4" s="1"/>
  <c r="AB140" i="4" s="1"/>
  <c r="AC140" i="4" s="1"/>
  <c r="AD140" i="4" s="1"/>
  <c r="AE140" i="4" s="1"/>
  <c r="AF140" i="4" s="1"/>
  <c r="AG140" i="4" s="1"/>
  <c r="AH140" i="4" s="1"/>
  <c r="AI140" i="4" s="1"/>
  <c r="AJ140" i="4" s="1"/>
  <c r="AK140" i="4" s="1"/>
  <c r="AL140" i="4" s="1"/>
  <c r="AM140" i="4" s="1"/>
  <c r="AN140" i="4" s="1"/>
  <c r="AO140" i="4" s="1"/>
  <c r="AP140" i="4" s="1"/>
  <c r="AQ140" i="4" s="1"/>
  <c r="Q40" i="4"/>
  <c r="R40" i="4" s="1"/>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AO40" i="4" s="1"/>
  <c r="AP40" i="4" s="1"/>
  <c r="AQ40" i="4" s="1"/>
  <c r="Q115" i="4"/>
  <c r="R115" i="4" s="1"/>
  <c r="S115" i="4" s="1"/>
  <c r="T115" i="4" s="1"/>
  <c r="U115" i="4" s="1"/>
  <c r="V115" i="4" s="1"/>
  <c r="W115" i="4" s="1"/>
  <c r="X115" i="4" s="1"/>
  <c r="Y115" i="4" s="1"/>
  <c r="Z115" i="4" s="1"/>
  <c r="AA115" i="4" s="1"/>
  <c r="AB115" i="4" s="1"/>
  <c r="AC115" i="4" s="1"/>
  <c r="AD115" i="4" s="1"/>
  <c r="AE115" i="4" s="1"/>
  <c r="AF115" i="4" s="1"/>
  <c r="AG115" i="4" s="1"/>
  <c r="AH115" i="4" s="1"/>
  <c r="AI115" i="4" s="1"/>
  <c r="AJ115" i="4" s="1"/>
  <c r="AK115" i="4" s="1"/>
  <c r="AL115" i="4" s="1"/>
  <c r="AM115" i="4" s="1"/>
  <c r="AN115" i="4" s="1"/>
  <c r="AO115" i="4" s="1"/>
  <c r="AP115" i="4" s="1"/>
  <c r="AQ115" i="4" s="1"/>
  <c r="Q143" i="4"/>
  <c r="R143" i="4" s="1"/>
  <c r="S143" i="4" s="1"/>
  <c r="T143" i="4" s="1"/>
  <c r="U143" i="4" s="1"/>
  <c r="V143" i="4" s="1"/>
  <c r="W143" i="4" s="1"/>
  <c r="X143" i="4" s="1"/>
  <c r="Y143" i="4" s="1"/>
  <c r="Z143" i="4" s="1"/>
  <c r="AA143" i="4" s="1"/>
  <c r="AB143" i="4" s="1"/>
  <c r="AC143" i="4" s="1"/>
  <c r="AD143" i="4" s="1"/>
  <c r="AE143" i="4" s="1"/>
  <c r="AF143" i="4" s="1"/>
  <c r="AG143" i="4" s="1"/>
  <c r="AH143" i="4" s="1"/>
  <c r="AI143" i="4" s="1"/>
  <c r="AJ143" i="4" s="1"/>
  <c r="AK143" i="4" s="1"/>
  <c r="AL143" i="4" s="1"/>
  <c r="AM143" i="4" s="1"/>
  <c r="AN143" i="4" s="1"/>
  <c r="AO143" i="4" s="1"/>
  <c r="AP143" i="4" s="1"/>
  <c r="AQ143" i="4" s="1"/>
  <c r="Q119" i="4"/>
  <c r="R119" i="4" s="1"/>
  <c r="S119" i="4" s="1"/>
  <c r="T119" i="4" s="1"/>
  <c r="U119" i="4" s="1"/>
  <c r="V119" i="4" s="1"/>
  <c r="W119" i="4" s="1"/>
  <c r="X119" i="4" s="1"/>
  <c r="Y119" i="4" s="1"/>
  <c r="Z119" i="4" s="1"/>
  <c r="AA119" i="4" s="1"/>
  <c r="AB119" i="4" s="1"/>
  <c r="AC119" i="4" s="1"/>
  <c r="AD119" i="4" s="1"/>
  <c r="AE119" i="4" s="1"/>
  <c r="AF119" i="4" s="1"/>
  <c r="AG119" i="4" s="1"/>
  <c r="AH119" i="4" s="1"/>
  <c r="AI119" i="4" s="1"/>
  <c r="AJ119" i="4" s="1"/>
  <c r="AK119" i="4" s="1"/>
  <c r="AL119" i="4" s="1"/>
  <c r="AM119" i="4" s="1"/>
  <c r="AN119" i="4" s="1"/>
  <c r="AO119" i="4" s="1"/>
  <c r="AP119" i="4" s="1"/>
  <c r="AQ119" i="4" s="1"/>
  <c r="Q133" i="4"/>
  <c r="R133" i="4" s="1"/>
  <c r="S133" i="4" s="1"/>
  <c r="T133" i="4" s="1"/>
  <c r="U133" i="4" s="1"/>
  <c r="V133" i="4" s="1"/>
  <c r="W133" i="4" s="1"/>
  <c r="X133" i="4" s="1"/>
  <c r="Y133" i="4" s="1"/>
  <c r="Z133" i="4" s="1"/>
  <c r="AA133" i="4" s="1"/>
  <c r="AB133" i="4" s="1"/>
  <c r="AC133" i="4" s="1"/>
  <c r="AD133" i="4" s="1"/>
  <c r="AE133" i="4" s="1"/>
  <c r="AF133" i="4" s="1"/>
  <c r="AG133" i="4" s="1"/>
  <c r="AH133" i="4" s="1"/>
  <c r="AI133" i="4" s="1"/>
  <c r="AJ133" i="4" s="1"/>
  <c r="AK133" i="4" s="1"/>
  <c r="AL133" i="4" s="1"/>
  <c r="AM133" i="4" s="1"/>
  <c r="AN133" i="4" s="1"/>
  <c r="AO133" i="4" s="1"/>
  <c r="AP133" i="4" s="1"/>
  <c r="AQ133" i="4" s="1"/>
  <c r="Q50" i="4"/>
  <c r="R50" i="4" s="1"/>
  <c r="S50" i="4" s="1"/>
  <c r="T50" i="4" s="1"/>
  <c r="U50" i="4" s="1"/>
  <c r="V50" i="4" s="1"/>
  <c r="W50" i="4" s="1"/>
  <c r="X50" i="4" s="1"/>
  <c r="Y50" i="4" s="1"/>
  <c r="Z50" i="4" s="1"/>
  <c r="AA50" i="4" s="1"/>
  <c r="AB50" i="4" s="1"/>
  <c r="AC50" i="4" s="1"/>
  <c r="AD50" i="4" s="1"/>
  <c r="AE50" i="4" s="1"/>
  <c r="AF50" i="4" s="1"/>
  <c r="AG50" i="4" s="1"/>
  <c r="AH50" i="4" s="1"/>
  <c r="AI50" i="4" s="1"/>
  <c r="AJ50" i="4" s="1"/>
  <c r="AK50" i="4" s="1"/>
  <c r="AL50" i="4" s="1"/>
  <c r="AM50" i="4" s="1"/>
  <c r="AN50" i="4" s="1"/>
  <c r="AO50" i="4" s="1"/>
  <c r="AP50" i="4" s="1"/>
  <c r="AQ50" i="4" s="1"/>
  <c r="Q16" i="4"/>
  <c r="R16" i="4" s="1"/>
  <c r="S16" i="4" s="1"/>
  <c r="T16" i="4" s="1"/>
  <c r="U16" i="4" s="1"/>
  <c r="V16" i="4" s="1"/>
  <c r="W16" i="4" s="1"/>
  <c r="X16" i="4" s="1"/>
  <c r="Y16" i="4" s="1"/>
  <c r="Z16" i="4" s="1"/>
  <c r="AA16" i="4" s="1"/>
  <c r="AB16" i="4" s="1"/>
  <c r="AC16" i="4" s="1"/>
  <c r="AD16" i="4" s="1"/>
  <c r="AE16" i="4" s="1"/>
  <c r="AF16" i="4" s="1"/>
  <c r="AG16" i="4" s="1"/>
  <c r="AH16" i="4" s="1"/>
  <c r="AI16" i="4" s="1"/>
  <c r="AJ16" i="4" s="1"/>
  <c r="AK16" i="4" s="1"/>
  <c r="AL16" i="4" s="1"/>
  <c r="AM16" i="4" s="1"/>
  <c r="AN16" i="4" s="1"/>
  <c r="AO16" i="4" s="1"/>
  <c r="AP16" i="4" s="1"/>
  <c r="AQ16" i="4" s="1"/>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AO19" i="4" s="1"/>
  <c r="AP19" i="4" s="1"/>
  <c r="AQ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AO18" i="4" s="1"/>
  <c r="AP18" i="4" s="1"/>
  <c r="AQ18" i="4" s="1"/>
  <c r="Q60" i="4"/>
  <c r="R60" i="4" s="1"/>
  <c r="S60" i="4" s="1"/>
  <c r="T60" i="4" s="1"/>
  <c r="U60" i="4" s="1"/>
  <c r="V60" i="4" s="1"/>
  <c r="W60" i="4" s="1"/>
  <c r="X60" i="4" s="1"/>
  <c r="Y60" i="4" s="1"/>
  <c r="Z60" i="4" s="1"/>
  <c r="AA60" i="4" s="1"/>
  <c r="AB60" i="4" s="1"/>
  <c r="AC60" i="4" s="1"/>
  <c r="AD60" i="4" s="1"/>
  <c r="AE60" i="4" s="1"/>
  <c r="AF60" i="4" s="1"/>
  <c r="AG60" i="4" s="1"/>
  <c r="AH60" i="4" s="1"/>
  <c r="AI60" i="4" s="1"/>
  <c r="AJ60" i="4" s="1"/>
  <c r="AK60" i="4" s="1"/>
  <c r="AL60" i="4" s="1"/>
  <c r="AM60" i="4" s="1"/>
  <c r="AN60" i="4" s="1"/>
  <c r="AO60" i="4" s="1"/>
  <c r="AP60" i="4" s="1"/>
  <c r="AQ60" i="4" s="1"/>
  <c r="Q55" i="4"/>
  <c r="R55" i="4" s="1"/>
  <c r="S55" i="4" s="1"/>
  <c r="T55" i="4" s="1"/>
  <c r="U55" i="4" s="1"/>
  <c r="V55" i="4" s="1"/>
  <c r="W55" i="4" s="1"/>
  <c r="X55" i="4" s="1"/>
  <c r="Y55" i="4" s="1"/>
  <c r="Z55" i="4" s="1"/>
  <c r="AA55" i="4" s="1"/>
  <c r="AB55" i="4" s="1"/>
  <c r="AC55" i="4" s="1"/>
  <c r="AD55" i="4" s="1"/>
  <c r="AE55" i="4" s="1"/>
  <c r="AF55" i="4" s="1"/>
  <c r="AG55" i="4" s="1"/>
  <c r="AH55" i="4" s="1"/>
  <c r="AI55" i="4" s="1"/>
  <c r="AJ55" i="4" s="1"/>
  <c r="AK55" i="4" s="1"/>
  <c r="AL55" i="4" s="1"/>
  <c r="AM55" i="4" s="1"/>
  <c r="AN55" i="4" s="1"/>
  <c r="AO55" i="4" s="1"/>
  <c r="AP55" i="4" s="1"/>
  <c r="AQ55" i="4" s="1"/>
  <c r="Q116" i="4"/>
  <c r="R116" i="4" s="1"/>
  <c r="S116" i="4" s="1"/>
  <c r="T116" i="4" s="1"/>
  <c r="U116" i="4" s="1"/>
  <c r="V116" i="4" s="1"/>
  <c r="W116" i="4" s="1"/>
  <c r="X116" i="4" s="1"/>
  <c r="Y116" i="4" s="1"/>
  <c r="Z116" i="4" s="1"/>
  <c r="AA116" i="4" s="1"/>
  <c r="AB116" i="4" s="1"/>
  <c r="AC116" i="4" s="1"/>
  <c r="AD116" i="4" s="1"/>
  <c r="AE116" i="4" s="1"/>
  <c r="AF116" i="4" s="1"/>
  <c r="AG116" i="4" s="1"/>
  <c r="AH116" i="4" s="1"/>
  <c r="AI116" i="4" s="1"/>
  <c r="AJ116" i="4" s="1"/>
  <c r="AK116" i="4" s="1"/>
  <c r="AL116" i="4" s="1"/>
  <c r="AM116" i="4" s="1"/>
  <c r="AN116" i="4" s="1"/>
  <c r="AO116" i="4" s="1"/>
  <c r="AP116" i="4" s="1"/>
  <c r="AQ116" i="4" s="1"/>
  <c r="Q37" i="4"/>
  <c r="R37" i="4" s="1"/>
  <c r="S37" i="4" s="1"/>
  <c r="T37" i="4" s="1"/>
  <c r="U37" i="4" s="1"/>
  <c r="V37" i="4" s="1"/>
  <c r="W37" i="4" s="1"/>
  <c r="X37" i="4" s="1"/>
  <c r="Y37" i="4" s="1"/>
  <c r="Z37" i="4" s="1"/>
  <c r="AA37" i="4" s="1"/>
  <c r="AB37" i="4" s="1"/>
  <c r="AC37" i="4" s="1"/>
  <c r="AD37" i="4" s="1"/>
  <c r="AE37" i="4" s="1"/>
  <c r="AF37" i="4" s="1"/>
  <c r="AG37" i="4" s="1"/>
  <c r="AH37" i="4" s="1"/>
  <c r="AI37" i="4" s="1"/>
  <c r="AJ37" i="4" s="1"/>
  <c r="AK37" i="4" s="1"/>
  <c r="AL37" i="4" s="1"/>
  <c r="AM37" i="4" s="1"/>
  <c r="AN37" i="4" s="1"/>
  <c r="AO37" i="4" s="1"/>
  <c r="AP37" i="4" s="1"/>
  <c r="AQ37" i="4" s="1"/>
  <c r="Q83" i="4"/>
  <c r="R83" i="4" s="1"/>
  <c r="S83" i="4" s="1"/>
  <c r="T83" i="4" s="1"/>
  <c r="U83" i="4" s="1"/>
  <c r="V83" i="4" s="1"/>
  <c r="W83" i="4" s="1"/>
  <c r="X83" i="4" s="1"/>
  <c r="Y83" i="4" s="1"/>
  <c r="Z83" i="4" s="1"/>
  <c r="AA83" i="4" s="1"/>
  <c r="AB83" i="4" s="1"/>
  <c r="AC83" i="4" s="1"/>
  <c r="AD83" i="4" s="1"/>
  <c r="AE83" i="4" s="1"/>
  <c r="AF83" i="4" s="1"/>
  <c r="AG83" i="4" s="1"/>
  <c r="AH83" i="4" s="1"/>
  <c r="AI83" i="4" s="1"/>
  <c r="AJ83" i="4" s="1"/>
  <c r="AK83" i="4" s="1"/>
  <c r="AL83" i="4" s="1"/>
  <c r="AM83" i="4" s="1"/>
  <c r="AN83" i="4" s="1"/>
  <c r="AO83" i="4" s="1"/>
  <c r="AP83" i="4" s="1"/>
  <c r="AQ83" i="4" s="1"/>
  <c r="Q29" i="4"/>
  <c r="R29" i="4" s="1"/>
  <c r="S29" i="4" s="1"/>
  <c r="T29" i="4" s="1"/>
  <c r="U29" i="4" s="1"/>
  <c r="V29" i="4" s="1"/>
  <c r="W29" i="4" s="1"/>
  <c r="X29" i="4" s="1"/>
  <c r="Y29" i="4" s="1"/>
  <c r="Z29" i="4" s="1"/>
  <c r="AA29" i="4" s="1"/>
  <c r="AB29" i="4" s="1"/>
  <c r="AC29" i="4" s="1"/>
  <c r="AD29" i="4" s="1"/>
  <c r="AE29" i="4" s="1"/>
  <c r="AF29" i="4" s="1"/>
  <c r="AG29" i="4" s="1"/>
  <c r="AH29" i="4" s="1"/>
  <c r="AI29" i="4" s="1"/>
  <c r="AJ29" i="4" s="1"/>
  <c r="AK29" i="4" s="1"/>
  <c r="AL29" i="4" s="1"/>
  <c r="AM29" i="4" s="1"/>
  <c r="AN29" i="4" s="1"/>
  <c r="AO29" i="4" s="1"/>
  <c r="AP29" i="4" s="1"/>
  <c r="AQ29" i="4" s="1"/>
  <c r="Q85" i="4"/>
  <c r="R85" i="4" s="1"/>
  <c r="S85" i="4" s="1"/>
  <c r="T85" i="4" s="1"/>
  <c r="U85" i="4" s="1"/>
  <c r="V85" i="4" s="1"/>
  <c r="W85" i="4" s="1"/>
  <c r="X85" i="4" s="1"/>
  <c r="Y85" i="4" s="1"/>
  <c r="Z85" i="4" s="1"/>
  <c r="AA85" i="4" s="1"/>
  <c r="AB85" i="4" s="1"/>
  <c r="AC85" i="4" s="1"/>
  <c r="AD85" i="4" s="1"/>
  <c r="AE85" i="4" s="1"/>
  <c r="AF85" i="4" s="1"/>
  <c r="AG85" i="4" s="1"/>
  <c r="AH85" i="4" s="1"/>
  <c r="AI85" i="4" s="1"/>
  <c r="AJ85" i="4" s="1"/>
  <c r="AK85" i="4" s="1"/>
  <c r="AL85" i="4" s="1"/>
  <c r="AM85" i="4" s="1"/>
  <c r="AN85" i="4" s="1"/>
  <c r="AO85" i="4" s="1"/>
  <c r="AP85" i="4" s="1"/>
  <c r="AQ85" i="4" s="1"/>
  <c r="Q145" i="4"/>
  <c r="R145" i="4" s="1"/>
  <c r="S145" i="4" s="1"/>
  <c r="T145" i="4" s="1"/>
  <c r="U145" i="4" s="1"/>
  <c r="V145" i="4" s="1"/>
  <c r="W145" i="4" s="1"/>
  <c r="X145" i="4" s="1"/>
  <c r="Y145" i="4" s="1"/>
  <c r="Z145" i="4" s="1"/>
  <c r="AA145" i="4" s="1"/>
  <c r="AB145" i="4" s="1"/>
  <c r="AC145" i="4" s="1"/>
  <c r="AD145" i="4" s="1"/>
  <c r="AE145" i="4" s="1"/>
  <c r="AF145" i="4" s="1"/>
  <c r="AG145" i="4" s="1"/>
  <c r="AH145" i="4" s="1"/>
  <c r="AI145" i="4" s="1"/>
  <c r="AJ145" i="4" s="1"/>
  <c r="AK145" i="4" s="1"/>
  <c r="AL145" i="4" s="1"/>
  <c r="AM145" i="4" s="1"/>
  <c r="AN145" i="4" s="1"/>
  <c r="AO145" i="4" s="1"/>
  <c r="AP145" i="4" s="1"/>
  <c r="AQ145" i="4" s="1"/>
  <c r="Q36" i="4"/>
  <c r="R36" i="4" s="1"/>
  <c r="S36" i="4" s="1"/>
  <c r="T36" i="4" s="1"/>
  <c r="U36" i="4" s="1"/>
  <c r="V36" i="4" s="1"/>
  <c r="W36" i="4" s="1"/>
  <c r="X36" i="4" s="1"/>
  <c r="Y36" i="4" s="1"/>
  <c r="Z36" i="4" s="1"/>
  <c r="AA36" i="4" s="1"/>
  <c r="AB36" i="4" s="1"/>
  <c r="AC36" i="4" s="1"/>
  <c r="AD36" i="4" s="1"/>
  <c r="AE36" i="4" s="1"/>
  <c r="AF36" i="4" s="1"/>
  <c r="AG36" i="4" s="1"/>
  <c r="AH36" i="4" s="1"/>
  <c r="AI36" i="4" s="1"/>
  <c r="AJ36" i="4" s="1"/>
  <c r="AK36" i="4" s="1"/>
  <c r="AL36" i="4" s="1"/>
  <c r="AM36" i="4" s="1"/>
  <c r="AN36" i="4" s="1"/>
  <c r="AO36" i="4" s="1"/>
  <c r="AP36" i="4" s="1"/>
  <c r="AQ36" i="4" s="1"/>
  <c r="Q34" i="4"/>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AO34" i="4" s="1"/>
  <c r="AP34" i="4" s="1"/>
  <c r="AQ34" i="4" s="1"/>
  <c r="Q11" i="4"/>
  <c r="R11" i="4" s="1"/>
  <c r="S11" i="4" s="1"/>
  <c r="T11" i="4" s="1"/>
  <c r="U11" i="4" s="1"/>
  <c r="V11" i="4" s="1"/>
  <c r="W11" i="4" s="1"/>
  <c r="X11" i="4" s="1"/>
  <c r="Y11" i="4" s="1"/>
  <c r="Z11" i="4" s="1"/>
  <c r="AA11" i="4" s="1"/>
  <c r="AB11" i="4" s="1"/>
  <c r="AC11" i="4" s="1"/>
  <c r="AD11" i="4" s="1"/>
  <c r="AE11" i="4" s="1"/>
  <c r="AF11" i="4" s="1"/>
  <c r="AG11" i="4" s="1"/>
  <c r="AH11" i="4" s="1"/>
  <c r="AI11" i="4" s="1"/>
  <c r="AJ11" i="4" s="1"/>
  <c r="AK11" i="4" s="1"/>
  <c r="AL11" i="4" s="1"/>
  <c r="AM11" i="4" s="1"/>
  <c r="AN11" i="4" s="1"/>
  <c r="AO11" i="4" s="1"/>
  <c r="AP11" i="4" s="1"/>
  <c r="AQ11" i="4" s="1"/>
  <c r="Q104" i="4"/>
  <c r="R104" i="4" s="1"/>
  <c r="S104" i="4" s="1"/>
  <c r="T104" i="4" s="1"/>
  <c r="U104" i="4" s="1"/>
  <c r="V104" i="4" s="1"/>
  <c r="W104" i="4" s="1"/>
  <c r="X104" i="4" s="1"/>
  <c r="Y104" i="4" s="1"/>
  <c r="Z104" i="4" s="1"/>
  <c r="AA104" i="4" s="1"/>
  <c r="AB104" i="4" s="1"/>
  <c r="AC104" i="4" s="1"/>
  <c r="AD104" i="4" s="1"/>
  <c r="AE104" i="4" s="1"/>
  <c r="AF104" i="4" s="1"/>
  <c r="AG104" i="4" s="1"/>
  <c r="AH104" i="4" s="1"/>
  <c r="AI104" i="4" s="1"/>
  <c r="AJ104" i="4" s="1"/>
  <c r="AK104" i="4" s="1"/>
  <c r="AL104" i="4" s="1"/>
  <c r="AM104" i="4" s="1"/>
  <c r="AN104" i="4" s="1"/>
  <c r="AO104" i="4" s="1"/>
  <c r="AP104" i="4" s="1"/>
  <c r="AQ104" i="4" s="1"/>
  <c r="Q47" i="4"/>
  <c r="R47" i="4" s="1"/>
  <c r="S47" i="4" s="1"/>
  <c r="T47" i="4" s="1"/>
  <c r="U47" i="4" s="1"/>
  <c r="V47" i="4" s="1"/>
  <c r="W47" i="4" s="1"/>
  <c r="X47" i="4" s="1"/>
  <c r="Y47" i="4" s="1"/>
  <c r="Z47" i="4" s="1"/>
  <c r="AA47" i="4" s="1"/>
  <c r="AB47" i="4" s="1"/>
  <c r="AC47" i="4" s="1"/>
  <c r="AD47" i="4" s="1"/>
  <c r="AE47" i="4" s="1"/>
  <c r="AF47" i="4" s="1"/>
  <c r="AG47" i="4" s="1"/>
  <c r="AH47" i="4" s="1"/>
  <c r="AI47" i="4" s="1"/>
  <c r="AJ47" i="4" s="1"/>
  <c r="AK47" i="4" s="1"/>
  <c r="AL47" i="4" s="1"/>
  <c r="AM47" i="4" s="1"/>
  <c r="AN47" i="4" s="1"/>
  <c r="AO47" i="4" s="1"/>
  <c r="AP47" i="4" s="1"/>
  <c r="AQ47" i="4" s="1"/>
  <c r="Q22" i="4"/>
  <c r="R22" i="4" s="1"/>
  <c r="S22" i="4" s="1"/>
  <c r="T22" i="4" s="1"/>
  <c r="U22" i="4" s="1"/>
  <c r="V22" i="4" s="1"/>
  <c r="W22" i="4" s="1"/>
  <c r="X22" i="4" s="1"/>
  <c r="Y22" i="4" s="1"/>
  <c r="Z22" i="4" s="1"/>
  <c r="AA22" i="4" s="1"/>
  <c r="AB22" i="4" s="1"/>
  <c r="AC22" i="4" s="1"/>
  <c r="AD22" i="4" s="1"/>
  <c r="AE22" i="4" s="1"/>
  <c r="AF22" i="4" s="1"/>
  <c r="AG22" i="4" s="1"/>
  <c r="AH22" i="4" s="1"/>
  <c r="AI22" i="4" s="1"/>
  <c r="AJ22" i="4" s="1"/>
  <c r="AK22" i="4" s="1"/>
  <c r="AL22" i="4" s="1"/>
  <c r="AM22" i="4" s="1"/>
  <c r="AN22" i="4" s="1"/>
  <c r="AO22" i="4" s="1"/>
  <c r="AP22" i="4" s="1"/>
  <c r="AQ22" i="4" s="1"/>
  <c r="Q13" i="4"/>
  <c r="R13" i="4" s="1"/>
  <c r="S13" i="4" s="1"/>
  <c r="T13" i="4" s="1"/>
  <c r="U13" i="4" s="1"/>
  <c r="V13" i="4" s="1"/>
  <c r="W13" i="4" s="1"/>
  <c r="X13" i="4" s="1"/>
  <c r="Y13" i="4" s="1"/>
  <c r="Z13" i="4" s="1"/>
  <c r="AA13" i="4" s="1"/>
  <c r="AB13" i="4" s="1"/>
  <c r="AC13" i="4" s="1"/>
  <c r="AD13" i="4" s="1"/>
  <c r="AE13" i="4" s="1"/>
  <c r="AF13" i="4" s="1"/>
  <c r="AG13" i="4" s="1"/>
  <c r="AH13" i="4" s="1"/>
  <c r="AI13" i="4" s="1"/>
  <c r="AJ13" i="4" s="1"/>
  <c r="AK13" i="4" s="1"/>
  <c r="AL13" i="4" s="1"/>
  <c r="AM13" i="4" s="1"/>
  <c r="AN13" i="4" s="1"/>
  <c r="AO13" i="4" s="1"/>
  <c r="AP13" i="4" s="1"/>
  <c r="AQ13" i="4" s="1"/>
  <c r="Q91" i="4"/>
  <c r="R91" i="4" s="1"/>
  <c r="S91" i="4" s="1"/>
  <c r="T91" i="4" s="1"/>
  <c r="U91" i="4" s="1"/>
  <c r="V91" i="4" s="1"/>
  <c r="W91" i="4" s="1"/>
  <c r="X91" i="4" s="1"/>
  <c r="Y91" i="4" s="1"/>
  <c r="Z91" i="4" s="1"/>
  <c r="AA91" i="4" s="1"/>
  <c r="AB91" i="4" s="1"/>
  <c r="AC91" i="4" s="1"/>
  <c r="AD91" i="4" s="1"/>
  <c r="AE91" i="4" s="1"/>
  <c r="AF91" i="4" s="1"/>
  <c r="AG91" i="4" s="1"/>
  <c r="AH91" i="4" s="1"/>
  <c r="AI91" i="4" s="1"/>
  <c r="AJ91" i="4" s="1"/>
  <c r="AK91" i="4" s="1"/>
  <c r="AL91" i="4" s="1"/>
  <c r="AM91" i="4" s="1"/>
  <c r="AN91" i="4" s="1"/>
  <c r="AO91" i="4" s="1"/>
  <c r="AP91" i="4" s="1"/>
  <c r="AQ91" i="4" s="1"/>
  <c r="Q15" i="4"/>
  <c r="R15" i="4" s="1"/>
  <c r="S15" i="4" s="1"/>
  <c r="T15" i="4" s="1"/>
  <c r="U15" i="4" s="1"/>
  <c r="V15" i="4" s="1"/>
  <c r="W15" i="4" s="1"/>
  <c r="X15" i="4" s="1"/>
  <c r="Y15" i="4" s="1"/>
  <c r="Z15" i="4" s="1"/>
  <c r="AA15" i="4" s="1"/>
  <c r="AB15" i="4" s="1"/>
  <c r="AC15" i="4" s="1"/>
  <c r="AD15" i="4" s="1"/>
  <c r="AE15" i="4" s="1"/>
  <c r="AF15" i="4" s="1"/>
  <c r="AG15" i="4" s="1"/>
  <c r="AH15" i="4" s="1"/>
  <c r="AI15" i="4" s="1"/>
  <c r="AJ15" i="4" s="1"/>
  <c r="AK15" i="4" s="1"/>
  <c r="AL15" i="4" s="1"/>
  <c r="AM15" i="4" s="1"/>
  <c r="AN15" i="4" s="1"/>
  <c r="AO15" i="4" s="1"/>
  <c r="AP15" i="4" s="1"/>
  <c r="AQ15" i="4" s="1"/>
  <c r="Q45" i="4"/>
  <c r="R45" i="4" s="1"/>
  <c r="S45" i="4" s="1"/>
  <c r="T45" i="4" s="1"/>
  <c r="U45" i="4" s="1"/>
  <c r="V45" i="4" s="1"/>
  <c r="W45" i="4" s="1"/>
  <c r="X45" i="4" s="1"/>
  <c r="Y45" i="4" s="1"/>
  <c r="Z45" i="4" s="1"/>
  <c r="AA45" i="4" s="1"/>
  <c r="AB45" i="4" s="1"/>
  <c r="AC45" i="4" s="1"/>
  <c r="AD45" i="4" s="1"/>
  <c r="AE45" i="4" s="1"/>
  <c r="AF45" i="4" s="1"/>
  <c r="AG45" i="4" s="1"/>
  <c r="AH45" i="4" s="1"/>
  <c r="AI45" i="4" s="1"/>
  <c r="AJ45" i="4" s="1"/>
  <c r="AK45" i="4" s="1"/>
  <c r="AL45" i="4" s="1"/>
  <c r="AM45" i="4" s="1"/>
  <c r="AN45" i="4" s="1"/>
  <c r="AO45" i="4" s="1"/>
  <c r="AP45" i="4" s="1"/>
  <c r="AQ45" i="4" s="1"/>
  <c r="N6" i="4"/>
  <c r="N5" i="4"/>
  <c r="Q80" i="4"/>
  <c r="R80" i="4" s="1"/>
  <c r="P146" i="4"/>
  <c r="Q125" i="4"/>
  <c r="R125" i="4" s="1"/>
  <c r="S125" i="4" s="1"/>
  <c r="T125" i="4" s="1"/>
  <c r="U125" i="4" s="1"/>
  <c r="V125" i="4" s="1"/>
  <c r="W125" i="4" s="1"/>
  <c r="X125" i="4" s="1"/>
  <c r="Y125" i="4" s="1"/>
  <c r="Z125" i="4" s="1"/>
  <c r="AA125" i="4" s="1"/>
  <c r="AB125" i="4" s="1"/>
  <c r="AC125" i="4" s="1"/>
  <c r="AD125" i="4" s="1"/>
  <c r="AE125" i="4" s="1"/>
  <c r="AF125" i="4" s="1"/>
  <c r="AG125" i="4" s="1"/>
  <c r="AH125" i="4" s="1"/>
  <c r="AI125" i="4" s="1"/>
  <c r="AJ125" i="4" s="1"/>
  <c r="AK125" i="4" s="1"/>
  <c r="AL125" i="4" s="1"/>
  <c r="AM125" i="4" s="1"/>
  <c r="AN125" i="4" s="1"/>
  <c r="AO125" i="4" s="1"/>
  <c r="AP125" i="4" s="1"/>
  <c r="AQ125" i="4" s="1"/>
  <c r="P10" i="4"/>
  <c r="O76" i="4"/>
  <c r="O4" i="4"/>
  <c r="Q75" i="4"/>
  <c r="R75" i="4" s="1"/>
  <c r="S75" i="4" s="1"/>
  <c r="T75" i="4" s="1"/>
  <c r="U75" i="4" s="1"/>
  <c r="V75" i="4" s="1"/>
  <c r="W75" i="4" s="1"/>
  <c r="X75" i="4" s="1"/>
  <c r="Y75" i="4" s="1"/>
  <c r="Z75" i="4" s="1"/>
  <c r="AA75" i="4" s="1"/>
  <c r="AB75" i="4" s="1"/>
  <c r="AC75" i="4" s="1"/>
  <c r="AD75" i="4" s="1"/>
  <c r="AE75" i="4" s="1"/>
  <c r="AF75" i="4" s="1"/>
  <c r="AG75" i="4" s="1"/>
  <c r="AH75" i="4" s="1"/>
  <c r="AI75" i="4" s="1"/>
  <c r="AJ75" i="4" s="1"/>
  <c r="AK75" i="4" s="1"/>
  <c r="AL75" i="4" s="1"/>
  <c r="AM75" i="4" s="1"/>
  <c r="AN75" i="4" s="1"/>
  <c r="AO75" i="4" s="1"/>
  <c r="AP75" i="4" s="1"/>
  <c r="AQ75" i="4" s="1"/>
  <c r="Q25" i="4"/>
  <c r="R25" i="4" s="1"/>
  <c r="S25" i="4" s="1"/>
  <c r="T25" i="4" s="1"/>
  <c r="U25" i="4" s="1"/>
  <c r="V25" i="4" s="1"/>
  <c r="W25" i="4" s="1"/>
  <c r="X25" i="4" s="1"/>
  <c r="Y25" i="4" s="1"/>
  <c r="Z25" i="4" s="1"/>
  <c r="AA25" i="4" s="1"/>
  <c r="AB25" i="4" s="1"/>
  <c r="AC25" i="4" s="1"/>
  <c r="AD25" i="4" s="1"/>
  <c r="AE25" i="4" s="1"/>
  <c r="AF25" i="4" s="1"/>
  <c r="AG25" i="4" s="1"/>
  <c r="AH25" i="4" s="1"/>
  <c r="AI25" i="4" s="1"/>
  <c r="AJ25" i="4" s="1"/>
  <c r="AK25" i="4" s="1"/>
  <c r="AL25" i="4" s="1"/>
  <c r="AM25" i="4" s="1"/>
  <c r="AN25" i="4" s="1"/>
  <c r="AO25" i="4" s="1"/>
  <c r="AP25" i="4" s="1"/>
  <c r="AQ25" i="4" s="1"/>
  <c r="AI111" i="2"/>
  <c r="AI7" i="2"/>
  <c r="AI4" i="2"/>
  <c r="AI6" i="2"/>
  <c r="AI211" i="2"/>
  <c r="S217" i="39" l="1"/>
  <c r="S421" i="39"/>
  <c r="T215" i="39" s="1"/>
  <c r="S426" i="39"/>
  <c r="S419" i="39"/>
  <c r="S429" i="39"/>
  <c r="S425" i="39"/>
  <c r="S420" i="39" s="1"/>
  <c r="T214" i="39" s="1"/>
  <c r="S215" i="39"/>
  <c r="S394" i="39"/>
  <c r="S306" i="39"/>
  <c r="S280" i="39"/>
  <c r="S194" i="39"/>
  <c r="S195" i="39" s="1"/>
  <c r="S198" i="39" s="1"/>
  <c r="S302" i="39"/>
  <c r="S310" i="39"/>
  <c r="S275" i="39"/>
  <c r="S265" i="39"/>
  <c r="S293" i="39"/>
  <c r="S315" i="39"/>
  <c r="S80" i="4"/>
  <c r="R146" i="4"/>
  <c r="P63" i="39"/>
  <c r="P481" i="39"/>
  <c r="P494" i="39" s="1"/>
  <c r="T133" i="39"/>
  <c r="U148" i="39"/>
  <c r="V147" i="39"/>
  <c r="S213" i="39"/>
  <c r="R422" i="39"/>
  <c r="Q101" i="39"/>
  <c r="V185" i="39"/>
  <c r="V184" i="39"/>
  <c r="V186" i="39"/>
  <c r="R430" i="39"/>
  <c r="S218" i="39" s="1"/>
  <c r="R113" i="39"/>
  <c r="Q501" i="39"/>
  <c r="Q477" i="39"/>
  <c r="V152" i="39"/>
  <c r="R77" i="39"/>
  <c r="R395" i="39"/>
  <c r="R397" i="39"/>
  <c r="P364" i="39"/>
  <c r="R368" i="39"/>
  <c r="Q369" i="39"/>
  <c r="P372" i="39"/>
  <c r="O373" i="39"/>
  <c r="O100" i="39" s="1"/>
  <c r="R371" i="39"/>
  <c r="R370" i="39"/>
  <c r="R359" i="39"/>
  <c r="Q486" i="39"/>
  <c r="Q360" i="39"/>
  <c r="P489" i="39"/>
  <c r="R362" i="39"/>
  <c r="R361" i="39"/>
  <c r="Q363" i="39"/>
  <c r="P348" i="39"/>
  <c r="P74" i="39"/>
  <c r="R346" i="39"/>
  <c r="Q488" i="39"/>
  <c r="Q347" i="39"/>
  <c r="Q328" i="39"/>
  <c r="R286" i="39"/>
  <c r="R281" i="39"/>
  <c r="P277" i="39"/>
  <c r="Q237" i="39"/>
  <c r="Q238" i="39" s="1"/>
  <c r="Q239" i="39" s="1"/>
  <c r="P103" i="39"/>
  <c r="P469" i="39"/>
  <c r="P325" i="39"/>
  <c r="P221" i="39" s="1"/>
  <c r="Q342" i="39"/>
  <c r="Q37" i="39" s="1"/>
  <c r="V256" i="39"/>
  <c r="W255" i="39"/>
  <c r="Q80" i="39"/>
  <c r="P79" i="39"/>
  <c r="V175" i="39"/>
  <c r="V176" i="39" s="1"/>
  <c r="Q59" i="39"/>
  <c r="P288" i="39"/>
  <c r="Q287" i="39"/>
  <c r="P38" i="39"/>
  <c r="U177" i="39"/>
  <c r="U92" i="39" s="1"/>
  <c r="Q324" i="39"/>
  <c r="U470" i="39"/>
  <c r="U89" i="39"/>
  <c r="W254" i="39"/>
  <c r="U471" i="39"/>
  <c r="V44" i="39"/>
  <c r="T132" i="39"/>
  <c r="V144" i="39"/>
  <c r="V167" i="39"/>
  <c r="V168" i="39" s="1"/>
  <c r="V171" i="39" s="1"/>
  <c r="Q504" i="39"/>
  <c r="V137" i="39"/>
  <c r="U187" i="39"/>
  <c r="R316" i="39"/>
  <c r="R317" i="39" s="1"/>
  <c r="R94" i="39"/>
  <c r="R193" i="39"/>
  <c r="R396" i="39"/>
  <c r="Q398" i="39"/>
  <c r="Q102" i="39" s="1"/>
  <c r="R266" i="39"/>
  <c r="S136" i="39"/>
  <c r="S284" i="39" s="1"/>
  <c r="R303" i="39"/>
  <c r="X263" i="39"/>
  <c r="P511" i="39"/>
  <c r="S139" i="39"/>
  <c r="Q285" i="39"/>
  <c r="Q479" i="39"/>
  <c r="R307" i="39"/>
  <c r="Q34" i="39"/>
  <c r="Q140" i="39"/>
  <c r="P206" i="39"/>
  <c r="R336" i="39"/>
  <c r="S134" i="39"/>
  <c r="R138" i="39"/>
  <c r="R311" i="39"/>
  <c r="R268" i="39"/>
  <c r="Q507" i="39"/>
  <c r="Q121" i="39"/>
  <c r="Q334" i="39"/>
  <c r="Q472" i="39"/>
  <c r="Q91" i="39"/>
  <c r="R299" i="39"/>
  <c r="R267" i="39"/>
  <c r="S135" i="39"/>
  <c r="P506" i="39"/>
  <c r="Q90" i="39"/>
  <c r="R153" i="39"/>
  <c r="R292" i="39"/>
  <c r="R294" i="39" s="1"/>
  <c r="R295" i="39" s="1"/>
  <c r="T189" i="39"/>
  <c r="R337" i="39"/>
  <c r="X253" i="39"/>
  <c r="R241" i="39"/>
  <c r="R341" i="39"/>
  <c r="Q269" i="39"/>
  <c r="AI5" i="2"/>
  <c r="AJ5" i="2"/>
  <c r="W22" i="39"/>
  <c r="X21" i="39"/>
  <c r="X18" i="39"/>
  <c r="W19" i="39"/>
  <c r="O88" i="39"/>
  <c r="O93" i="39" s="1"/>
  <c r="T12" i="39"/>
  <c r="U11" i="39"/>
  <c r="U17" i="39"/>
  <c r="U20" i="39"/>
  <c r="V16" i="39"/>
  <c r="V181" i="39" s="1"/>
  <c r="T13" i="39"/>
  <c r="T298" i="39" s="1"/>
  <c r="S14" i="39"/>
  <c r="S190" i="39" s="1"/>
  <c r="O506" i="39"/>
  <c r="O474" i="39"/>
  <c r="O222" i="39"/>
  <c r="O209" i="39"/>
  <c r="O224" i="39"/>
  <c r="O207" i="39"/>
  <c r="O239" i="39"/>
  <c r="O511" i="39"/>
  <c r="O441" i="39"/>
  <c r="O125" i="39" s="1"/>
  <c r="O216" i="39"/>
  <c r="O112" i="39" s="1"/>
  <c r="O119" i="39" s="1"/>
  <c r="O223" i="39"/>
  <c r="O111" i="39"/>
  <c r="O40" i="39"/>
  <c r="O107" i="39" s="1"/>
  <c r="Q10" i="4"/>
  <c r="R10" i="4" s="1"/>
  <c r="P76" i="4"/>
  <c r="P4" i="4"/>
  <c r="Q146" i="4"/>
  <c r="O6" i="4"/>
  <c r="O5" i="4"/>
  <c r="T394" i="39" l="1"/>
  <c r="T478" i="39" s="1"/>
  <c r="T425" i="39"/>
  <c r="T429" i="39"/>
  <c r="T419" i="39"/>
  <c r="T426" i="39"/>
  <c r="T421" i="39"/>
  <c r="U215" i="39" s="1"/>
  <c r="S77" i="39"/>
  <c r="T217" i="39"/>
  <c r="T265" i="39"/>
  <c r="T275" i="39"/>
  <c r="T310" i="39"/>
  <c r="T302" i="39"/>
  <c r="T194" i="39"/>
  <c r="T195" i="39" s="1"/>
  <c r="T198" i="39" s="1"/>
  <c r="T315" i="39"/>
  <c r="T280" i="39"/>
  <c r="T293" i="39"/>
  <c r="T306" i="39"/>
  <c r="T80" i="4"/>
  <c r="S146" i="4"/>
  <c r="S10" i="4"/>
  <c r="R4" i="4"/>
  <c r="R76" i="4"/>
  <c r="V89" i="39"/>
  <c r="W147" i="39"/>
  <c r="U133" i="39"/>
  <c r="Q481" i="39"/>
  <c r="Q494" i="39" s="1"/>
  <c r="O475" i="39"/>
  <c r="O228" i="39" s="1"/>
  <c r="P88" i="39"/>
  <c r="P93" i="39" s="1"/>
  <c r="T213" i="39"/>
  <c r="S422" i="39"/>
  <c r="R477" i="39"/>
  <c r="W186" i="39"/>
  <c r="W184" i="39"/>
  <c r="W185" i="39"/>
  <c r="R431" i="39"/>
  <c r="S430" i="39"/>
  <c r="T218" i="39" s="1"/>
  <c r="Q505" i="39"/>
  <c r="S113" i="39"/>
  <c r="R501" i="39"/>
  <c r="T420" i="39"/>
  <c r="U214" i="39" s="1"/>
  <c r="S478" i="39"/>
  <c r="S397" i="39"/>
  <c r="S395" i="39"/>
  <c r="Q489" i="39"/>
  <c r="Q372" i="39"/>
  <c r="Q373" i="39" s="1"/>
  <c r="S371" i="39"/>
  <c r="S368" i="39"/>
  <c r="R369" i="39"/>
  <c r="S370" i="39"/>
  <c r="P373" i="39"/>
  <c r="P100" i="39" s="1"/>
  <c r="R363" i="39"/>
  <c r="S361" i="39"/>
  <c r="S362" i="39"/>
  <c r="Q364" i="39"/>
  <c r="S359" i="39"/>
  <c r="R486" i="39"/>
  <c r="R360" i="39"/>
  <c r="Q348" i="39"/>
  <c r="Q74" i="39"/>
  <c r="S346" i="39"/>
  <c r="R488" i="39"/>
  <c r="R347" i="39"/>
  <c r="R328" i="39"/>
  <c r="R237" i="39"/>
  <c r="R238" i="39" s="1"/>
  <c r="R239" i="39" s="1"/>
  <c r="S286" i="39"/>
  <c r="S281" i="39"/>
  <c r="Q103" i="39"/>
  <c r="R80" i="39"/>
  <c r="Q79" i="39"/>
  <c r="Q288" i="39"/>
  <c r="W256" i="39"/>
  <c r="R59" i="39"/>
  <c r="Q38" i="39"/>
  <c r="P111" i="39"/>
  <c r="Q206" i="39"/>
  <c r="V177" i="39"/>
  <c r="V92" i="39" s="1"/>
  <c r="V470" i="39"/>
  <c r="P216" i="39"/>
  <c r="P112" i="39" s="1"/>
  <c r="P119" i="39" s="1"/>
  <c r="P223" i="39"/>
  <c r="V471" i="39"/>
  <c r="R324" i="39"/>
  <c r="V145" i="39"/>
  <c r="V148" i="39" s="1"/>
  <c r="W152" i="39"/>
  <c r="U132" i="39"/>
  <c r="W137" i="39"/>
  <c r="W44" i="39"/>
  <c r="X19" i="39"/>
  <c r="Y18" i="39"/>
  <c r="X22" i="39"/>
  <c r="Y21" i="39"/>
  <c r="W144" i="39"/>
  <c r="W167" i="39"/>
  <c r="W175" i="39"/>
  <c r="P513" i="39"/>
  <c r="S267" i="39"/>
  <c r="S268" i="39"/>
  <c r="P40" i="39"/>
  <c r="P107" i="39" s="1"/>
  <c r="T139" i="39"/>
  <c r="P208" i="39"/>
  <c r="S292" i="39"/>
  <c r="S294" i="39" s="1"/>
  <c r="S295" i="39" s="1"/>
  <c r="S192" i="39"/>
  <c r="R90" i="39"/>
  <c r="S153" i="39"/>
  <c r="S336" i="39"/>
  <c r="Q47" i="39"/>
  <c r="Q352" i="39"/>
  <c r="Q274" i="39"/>
  <c r="Q276" i="39" s="1"/>
  <c r="Q277" i="39" s="1"/>
  <c r="Q438" i="39"/>
  <c r="R269" i="39"/>
  <c r="U189" i="39"/>
  <c r="Q338" i="39"/>
  <c r="Q36" i="39" s="1"/>
  <c r="Q500" i="39"/>
  <c r="R285" i="39"/>
  <c r="P441" i="39"/>
  <c r="R479" i="39"/>
  <c r="S266" i="39"/>
  <c r="S316" i="39"/>
  <c r="S317" i="39" s="1"/>
  <c r="V187" i="39"/>
  <c r="S341" i="39"/>
  <c r="R342" i="39"/>
  <c r="R504" i="39"/>
  <c r="R507" i="39"/>
  <c r="R121" i="39"/>
  <c r="R334" i="39"/>
  <c r="R472" i="39"/>
  <c r="R91" i="39"/>
  <c r="S307" i="39"/>
  <c r="T136" i="39"/>
  <c r="T284" i="39" s="1"/>
  <c r="R287" i="39"/>
  <c r="S241" i="39"/>
  <c r="S311" i="39"/>
  <c r="P327" i="39"/>
  <c r="P207" i="39" s="1"/>
  <c r="S299" i="39"/>
  <c r="R34" i="39"/>
  <c r="R140" i="39"/>
  <c r="R47" i="39" s="1"/>
  <c r="X255" i="39"/>
  <c r="S396" i="39"/>
  <c r="R398" i="39"/>
  <c r="R102" i="39" s="1"/>
  <c r="P474" i="39"/>
  <c r="Y253" i="39"/>
  <c r="T135" i="39"/>
  <c r="T134" i="39"/>
  <c r="S138" i="39"/>
  <c r="X254" i="39"/>
  <c r="Y263" i="39"/>
  <c r="R473" i="39"/>
  <c r="S337" i="39"/>
  <c r="S303" i="39"/>
  <c r="O225" i="39"/>
  <c r="O210" i="39"/>
  <c r="T14" i="39"/>
  <c r="T190" i="39" s="1"/>
  <c r="U13" i="39"/>
  <c r="U298" i="39" s="1"/>
  <c r="O355" i="39"/>
  <c r="O56" i="39" s="1"/>
  <c r="O513" i="39"/>
  <c r="V11" i="39"/>
  <c r="U12" i="39"/>
  <c r="W16" i="39"/>
  <c r="W181" i="39" s="1"/>
  <c r="V20" i="39"/>
  <c r="V17" i="39"/>
  <c r="O99" i="39"/>
  <c r="O104" i="39" s="1"/>
  <c r="P6" i="4"/>
  <c r="P5" i="4"/>
  <c r="Q76" i="4"/>
  <c r="Q4" i="4"/>
  <c r="U217" i="39" l="1"/>
  <c r="U421" i="39"/>
  <c r="V215" i="39" s="1"/>
  <c r="U426" i="39"/>
  <c r="U419" i="39"/>
  <c r="U429" i="39"/>
  <c r="V217" i="39" s="1"/>
  <c r="U425" i="39"/>
  <c r="U420" i="39" s="1"/>
  <c r="V214" i="39" s="1"/>
  <c r="U394" i="39"/>
  <c r="U77" i="39" s="1"/>
  <c r="U280" i="39"/>
  <c r="U315" i="39"/>
  <c r="U194" i="39"/>
  <c r="U195" i="39" s="1"/>
  <c r="U198" i="39" s="1"/>
  <c r="U302" i="39"/>
  <c r="U310" i="39"/>
  <c r="U306" i="39"/>
  <c r="U275" i="39"/>
  <c r="U293" i="39"/>
  <c r="U265" i="39"/>
  <c r="V133" i="39"/>
  <c r="X147" i="39"/>
  <c r="R5" i="4"/>
  <c r="R6" i="4"/>
  <c r="T10" i="4"/>
  <c r="S4" i="4"/>
  <c r="S76" i="4"/>
  <c r="U80" i="4"/>
  <c r="T146" i="4"/>
  <c r="O48" i="39"/>
  <c r="O53" i="39" s="1"/>
  <c r="R481" i="39"/>
  <c r="R494" i="39" s="1"/>
  <c r="O476" i="39"/>
  <c r="O485" i="39" s="1"/>
  <c r="U213" i="39"/>
  <c r="T422" i="39"/>
  <c r="R101" i="39"/>
  <c r="X185" i="39"/>
  <c r="X184" i="39"/>
  <c r="X186" i="39"/>
  <c r="S431" i="39"/>
  <c r="R505" i="39"/>
  <c r="X175" i="39"/>
  <c r="X176" i="39" s="1"/>
  <c r="X137" i="39"/>
  <c r="X144" i="39"/>
  <c r="X470" i="39" s="1"/>
  <c r="X152" i="39"/>
  <c r="T430" i="39"/>
  <c r="U218" i="39" s="1"/>
  <c r="T113" i="39"/>
  <c r="S501" i="39"/>
  <c r="S477" i="39"/>
  <c r="T395" i="39"/>
  <c r="T77" i="39"/>
  <c r="T397" i="39"/>
  <c r="R364" i="39"/>
  <c r="T370" i="39"/>
  <c r="T368" i="39"/>
  <c r="S369" i="39"/>
  <c r="Q100" i="39"/>
  <c r="R372" i="39"/>
  <c r="T371" i="39"/>
  <c r="T359" i="39"/>
  <c r="S486" i="39"/>
  <c r="S360" i="39"/>
  <c r="R489" i="39"/>
  <c r="T362" i="39"/>
  <c r="T361" i="39"/>
  <c r="S363" i="39"/>
  <c r="R348" i="39"/>
  <c r="R74" i="39"/>
  <c r="T346" i="39"/>
  <c r="S488" i="39"/>
  <c r="S347" i="39"/>
  <c r="S237" i="39"/>
  <c r="S238" i="39" s="1"/>
  <c r="S239" i="39" s="1"/>
  <c r="S328" i="39"/>
  <c r="T286" i="39"/>
  <c r="T281" i="39"/>
  <c r="S80" i="39"/>
  <c r="R79" i="39"/>
  <c r="S59" i="39"/>
  <c r="R38" i="39"/>
  <c r="W89" i="39"/>
  <c r="Q208" i="39"/>
  <c r="P99" i="39"/>
  <c r="P104" i="39" s="1"/>
  <c r="S269" i="39"/>
  <c r="T267" i="39"/>
  <c r="X256" i="39"/>
  <c r="T268" i="39"/>
  <c r="S324" i="39"/>
  <c r="Y254" i="39"/>
  <c r="W145" i="39"/>
  <c r="W148" i="39" s="1"/>
  <c r="Q40" i="39"/>
  <c r="Q107" i="39" s="1"/>
  <c r="W470" i="39"/>
  <c r="R288" i="39"/>
  <c r="W176" i="39"/>
  <c r="W177" i="39" s="1"/>
  <c r="W471" i="39"/>
  <c r="W168" i="39"/>
  <c r="W171" i="39" s="1"/>
  <c r="X167" i="39"/>
  <c r="Z21" i="39"/>
  <c r="Y22" i="39"/>
  <c r="Z18" i="39"/>
  <c r="Y19" i="39"/>
  <c r="Q111" i="39"/>
  <c r="V132" i="39"/>
  <c r="S479" i="39"/>
  <c r="X44" i="39"/>
  <c r="T292" i="39"/>
  <c r="T294" i="39" s="1"/>
  <c r="T295" i="39" s="1"/>
  <c r="T192" i="39"/>
  <c r="U136" i="39"/>
  <c r="U284" i="39" s="1"/>
  <c r="S507" i="39"/>
  <c r="S334" i="39"/>
  <c r="S121" i="39"/>
  <c r="S472" i="39"/>
  <c r="S91" i="39"/>
  <c r="U135" i="39"/>
  <c r="T241" i="39"/>
  <c r="T307" i="39"/>
  <c r="W187" i="39"/>
  <c r="R438" i="39"/>
  <c r="Q469" i="39"/>
  <c r="Q440" i="39"/>
  <c r="S90" i="39"/>
  <c r="T153" i="39"/>
  <c r="U139" i="39"/>
  <c r="S94" i="39"/>
  <c r="S193" i="39"/>
  <c r="T303" i="39"/>
  <c r="T337" i="39"/>
  <c r="Y255" i="39"/>
  <c r="P329" i="39"/>
  <c r="P222" i="39"/>
  <c r="S285" i="39"/>
  <c r="R274" i="39"/>
  <c r="R276" i="39" s="1"/>
  <c r="R277" i="39" s="1"/>
  <c r="Q325" i="39"/>
  <c r="U134" i="39"/>
  <c r="T138" i="39"/>
  <c r="V189" i="39"/>
  <c r="Z253" i="39"/>
  <c r="T316" i="39"/>
  <c r="T317" i="39" s="1"/>
  <c r="R352" i="39"/>
  <c r="Q354" i="39"/>
  <c r="Q63" i="39" s="1"/>
  <c r="S287" i="39"/>
  <c r="Q223" i="39"/>
  <c r="Q216" i="39"/>
  <c r="Q112" i="39" s="1"/>
  <c r="Q119" i="39" s="1"/>
  <c r="T311" i="39"/>
  <c r="T266" i="39"/>
  <c r="T336" i="39"/>
  <c r="Z263" i="39"/>
  <c r="T299" i="39"/>
  <c r="R338" i="39"/>
  <c r="R36" i="39" s="1"/>
  <c r="R500" i="39"/>
  <c r="R37" i="39"/>
  <c r="R103" i="39"/>
  <c r="T396" i="39"/>
  <c r="S398" i="39"/>
  <c r="S102" i="39" s="1"/>
  <c r="S34" i="39"/>
  <c r="S140" i="39"/>
  <c r="S47" i="39" s="1"/>
  <c r="T341" i="39"/>
  <c r="S342" i="39"/>
  <c r="S504" i="39"/>
  <c r="P125" i="39"/>
  <c r="P355" i="39"/>
  <c r="P56" i="39" s="1"/>
  <c r="O95" i="39"/>
  <c r="O96" i="39" s="1"/>
  <c r="W17" i="39"/>
  <c r="X16" i="39"/>
  <c r="Y16" i="39" s="1"/>
  <c r="W20" i="39"/>
  <c r="W11" i="39"/>
  <c r="V12" i="39"/>
  <c r="V13" i="39"/>
  <c r="V298" i="39" s="1"/>
  <c r="U14" i="39"/>
  <c r="U190" i="39" s="1"/>
  <c r="O120" i="39"/>
  <c r="O126" i="39" s="1"/>
  <c r="Q6" i="4"/>
  <c r="Q5" i="4"/>
  <c r="O50" i="39" l="1"/>
  <c r="O49" i="39"/>
  <c r="W133" i="39"/>
  <c r="V394" i="39"/>
  <c r="V425" i="39"/>
  <c r="V420" i="39" s="1"/>
  <c r="W214" i="39" s="1"/>
  <c r="V429" i="39"/>
  <c r="W217" i="39" s="1"/>
  <c r="V419" i="39"/>
  <c r="V426" i="39"/>
  <c r="V421" i="39"/>
  <c r="V275" i="39"/>
  <c r="V306" i="39"/>
  <c r="V310" i="39"/>
  <c r="V302" i="39"/>
  <c r="V194" i="39"/>
  <c r="V195" i="39" s="1"/>
  <c r="V198" i="39" s="1"/>
  <c r="V265" i="39"/>
  <c r="V315" i="39"/>
  <c r="V293" i="39"/>
  <c r="V280" i="39"/>
  <c r="Y147" i="39"/>
  <c r="O493" i="39"/>
  <c r="O482" i="39"/>
  <c r="O490" i="39" s="1"/>
  <c r="V80" i="4"/>
  <c r="U146" i="4"/>
  <c r="S5" i="4"/>
  <c r="S6" i="4"/>
  <c r="U10" i="4"/>
  <c r="T4" i="4"/>
  <c r="T76" i="4"/>
  <c r="S481" i="39"/>
  <c r="S494" i="39" s="1"/>
  <c r="O229" i="39"/>
  <c r="S505" i="39"/>
  <c r="V213" i="39"/>
  <c r="U422" i="39"/>
  <c r="S101" i="39"/>
  <c r="Y186" i="39"/>
  <c r="Y184" i="39"/>
  <c r="Y185" i="39"/>
  <c r="X181" i="39"/>
  <c r="Y181" i="39" s="1"/>
  <c r="X89" i="39"/>
  <c r="X145" i="39"/>
  <c r="X148" i="39" s="1"/>
  <c r="T431" i="39"/>
  <c r="X471" i="39"/>
  <c r="Y144" i="39"/>
  <c r="Y89" i="39" s="1"/>
  <c r="Y175" i="39"/>
  <c r="Y176" i="39" s="1"/>
  <c r="Y152" i="39"/>
  <c r="U430" i="39"/>
  <c r="V218" i="39" s="1"/>
  <c r="U113" i="39"/>
  <c r="T501" i="39"/>
  <c r="T477" i="39"/>
  <c r="U397" i="39"/>
  <c r="U395" i="39"/>
  <c r="U478" i="39"/>
  <c r="V478" i="39"/>
  <c r="S372" i="39"/>
  <c r="S373" i="39" s="1"/>
  <c r="S489" i="39"/>
  <c r="U371" i="39"/>
  <c r="U368" i="39"/>
  <c r="T369" i="39"/>
  <c r="R373" i="39"/>
  <c r="R100" i="39" s="1"/>
  <c r="U370" i="39"/>
  <c r="T363" i="39"/>
  <c r="U361" i="39"/>
  <c r="U362" i="39"/>
  <c r="S364" i="39"/>
  <c r="U359" i="39"/>
  <c r="T486" i="39"/>
  <c r="T360" i="39"/>
  <c r="T237" i="39"/>
  <c r="T238" i="39" s="1"/>
  <c r="S348" i="39"/>
  <c r="S74" i="39"/>
  <c r="U346" i="39"/>
  <c r="T488" i="39"/>
  <c r="T347" i="39"/>
  <c r="T328" i="39"/>
  <c r="S79" i="39"/>
  <c r="U286" i="39"/>
  <c r="S38" i="39"/>
  <c r="U281" i="39"/>
  <c r="T269" i="39"/>
  <c r="X177" i="39"/>
  <c r="R208" i="39"/>
  <c r="Y167" i="39"/>
  <c r="Y256" i="39"/>
  <c r="R40" i="39"/>
  <c r="R107" i="39" s="1"/>
  <c r="T324" i="39"/>
  <c r="W92" i="39"/>
  <c r="X168" i="39"/>
  <c r="X171" i="39" s="1"/>
  <c r="R111" i="39"/>
  <c r="T287" i="39"/>
  <c r="T479" i="39"/>
  <c r="W132" i="39"/>
  <c r="AA21" i="39"/>
  <c r="Z22" i="39"/>
  <c r="Z16" i="39"/>
  <c r="Y20" i="39"/>
  <c r="Y17" i="39"/>
  <c r="Z19" i="39"/>
  <c r="AA18" i="39"/>
  <c r="Y137" i="39"/>
  <c r="Y44" i="39"/>
  <c r="U292" i="39"/>
  <c r="U294" i="39" s="1"/>
  <c r="U295" i="39" s="1"/>
  <c r="U192" i="39"/>
  <c r="U336" i="39"/>
  <c r="Q506" i="39"/>
  <c r="Q327" i="39"/>
  <c r="Q329" i="39" s="1"/>
  <c r="Q441" i="39"/>
  <c r="Q125" i="39" s="1"/>
  <c r="Q511" i="39"/>
  <c r="S338" i="39"/>
  <c r="S36" i="39" s="1"/>
  <c r="S500" i="39"/>
  <c r="T94" i="39"/>
  <c r="T193" i="39"/>
  <c r="P120" i="39"/>
  <c r="P126" i="39" s="1"/>
  <c r="S352" i="39"/>
  <c r="R354" i="39"/>
  <c r="R63" i="39" s="1"/>
  <c r="AA253" i="39"/>
  <c r="S274" i="39"/>
  <c r="R325" i="39"/>
  <c r="Q88" i="39"/>
  <c r="Q93" i="39" s="1"/>
  <c r="U299" i="39"/>
  <c r="S288" i="39"/>
  <c r="T59" i="39"/>
  <c r="S473" i="39"/>
  <c r="S438" i="39"/>
  <c r="R469" i="39"/>
  <c r="R440" i="39"/>
  <c r="V135" i="39"/>
  <c r="T507" i="39"/>
  <c r="T121" i="39"/>
  <c r="T334" i="39"/>
  <c r="T472" i="39"/>
  <c r="T91" i="39"/>
  <c r="U266" i="39"/>
  <c r="U316" i="39"/>
  <c r="U317" i="39" s="1"/>
  <c r="U337" i="39"/>
  <c r="W189" i="39"/>
  <c r="Z254" i="39"/>
  <c r="S37" i="39"/>
  <c r="S103" i="39"/>
  <c r="R223" i="39"/>
  <c r="R216" i="39"/>
  <c r="R112" i="39" s="1"/>
  <c r="R119" i="39" s="1"/>
  <c r="T34" i="39"/>
  <c r="T140" i="39"/>
  <c r="T47" i="39" s="1"/>
  <c r="T285" i="39"/>
  <c r="U267" i="39"/>
  <c r="U341" i="39"/>
  <c r="T342" i="39"/>
  <c r="T504" i="39"/>
  <c r="AA263" i="39"/>
  <c r="V134" i="39"/>
  <c r="U138" i="39"/>
  <c r="U303" i="39"/>
  <c r="V139" i="39"/>
  <c r="U307" i="39"/>
  <c r="V136" i="39"/>
  <c r="V284" i="39" s="1"/>
  <c r="U396" i="39"/>
  <c r="T398" i="39"/>
  <c r="T102" i="39" s="1"/>
  <c r="U268" i="39"/>
  <c r="U311" i="39"/>
  <c r="P209" i="39"/>
  <c r="P224" i="39"/>
  <c r="P225" i="39" s="1"/>
  <c r="T90" i="39"/>
  <c r="U153" i="39"/>
  <c r="Q99" i="39"/>
  <c r="Q104" i="39" s="1"/>
  <c r="Q221" i="39"/>
  <c r="Z255" i="39"/>
  <c r="U241" i="39"/>
  <c r="T80" i="39"/>
  <c r="O231" i="39"/>
  <c r="O230" i="39"/>
  <c r="V14" i="39"/>
  <c r="V190" i="39" s="1"/>
  <c r="W13" i="39"/>
  <c r="W298" i="39" s="1"/>
  <c r="X17" i="39"/>
  <c r="X133" i="39" s="1"/>
  <c r="X20" i="39"/>
  <c r="O499" i="39"/>
  <c r="O514" i="39" s="1"/>
  <c r="O515" i="39" s="1"/>
  <c r="O496" i="39"/>
  <c r="O71" i="39" s="1"/>
  <c r="P475" i="39" s="1"/>
  <c r="X11" i="39"/>
  <c r="W12" i="39"/>
  <c r="Z147" i="39" l="1"/>
  <c r="Y133" i="39"/>
  <c r="O51" i="39"/>
  <c r="W421" i="39"/>
  <c r="X215" i="39" s="1"/>
  <c r="W426" i="39"/>
  <c r="W419" i="39"/>
  <c r="W429" i="39"/>
  <c r="X217" i="39" s="1"/>
  <c r="W425" i="39"/>
  <c r="W420" i="39" s="1"/>
  <c r="X214" i="39" s="1"/>
  <c r="W215" i="39"/>
  <c r="W394" i="39"/>
  <c r="W478" i="39" s="1"/>
  <c r="W315" i="39"/>
  <c r="W265" i="39"/>
  <c r="W194" i="39"/>
  <c r="W195" i="39" s="1"/>
  <c r="W198" i="39" s="1"/>
  <c r="W302" i="39"/>
  <c r="W310" i="39"/>
  <c r="W280" i="39"/>
  <c r="W306" i="39"/>
  <c r="W293" i="39"/>
  <c r="W275" i="39"/>
  <c r="T5" i="4"/>
  <c r="T6" i="4"/>
  <c r="V10" i="4"/>
  <c r="U4" i="4"/>
  <c r="U76" i="4"/>
  <c r="W80" i="4"/>
  <c r="V146" i="4"/>
  <c r="R206" i="39"/>
  <c r="T481" i="39"/>
  <c r="T494" i="39" s="1"/>
  <c r="O97" i="39"/>
  <c r="O98" i="39" s="1"/>
  <c r="O127" i="39" s="1"/>
  <c r="W213" i="39"/>
  <c r="V422" i="39"/>
  <c r="T101" i="39"/>
  <c r="Z152" i="39"/>
  <c r="Z181" i="39"/>
  <c r="Z185" i="39"/>
  <c r="Z184" i="39"/>
  <c r="Z186" i="39"/>
  <c r="U431" i="39"/>
  <c r="Y471" i="39"/>
  <c r="Y145" i="39"/>
  <c r="Y148" i="39" s="1"/>
  <c r="Y470" i="39"/>
  <c r="Z175" i="39"/>
  <c r="V430" i="39"/>
  <c r="W218" i="39" s="1"/>
  <c r="T505" i="39"/>
  <c r="V113" i="39"/>
  <c r="U501" i="39"/>
  <c r="U477" i="39"/>
  <c r="X132" i="39"/>
  <c r="Y132" i="39" s="1"/>
  <c r="Z144" i="39"/>
  <c r="Z89" i="39" s="1"/>
  <c r="V77" i="39"/>
  <c r="V395" i="39"/>
  <c r="V397" i="39"/>
  <c r="T364" i="39"/>
  <c r="V370" i="39"/>
  <c r="V368" i="39"/>
  <c r="U369" i="39"/>
  <c r="S100" i="39"/>
  <c r="T372" i="39"/>
  <c r="V371" i="39"/>
  <c r="U237" i="39"/>
  <c r="U238" i="39" s="1"/>
  <c r="U239" i="39" s="1"/>
  <c r="T489" i="39"/>
  <c r="V359" i="39"/>
  <c r="U486" i="39"/>
  <c r="U360" i="39"/>
  <c r="V362" i="39"/>
  <c r="V361" i="39"/>
  <c r="U363" i="39"/>
  <c r="T348" i="39"/>
  <c r="T74" i="39"/>
  <c r="V346" i="39"/>
  <c r="U488" i="39"/>
  <c r="U347" i="39"/>
  <c r="T38" i="39"/>
  <c r="U328" i="39"/>
  <c r="Z167" i="39"/>
  <c r="V286" i="39"/>
  <c r="Y168" i="39"/>
  <c r="Y171" i="39" s="1"/>
  <c r="S325" i="39"/>
  <c r="S276" i="39"/>
  <c r="S277" i="39" s="1"/>
  <c r="V281" i="39"/>
  <c r="Y177" i="39"/>
  <c r="X92" i="39"/>
  <c r="S111" i="39"/>
  <c r="AA254" i="39"/>
  <c r="AA255" i="39"/>
  <c r="S208" i="39"/>
  <c r="T288" i="39"/>
  <c r="S40" i="39"/>
  <c r="S107" i="39" s="1"/>
  <c r="Z256" i="39"/>
  <c r="U324" i="39"/>
  <c r="R99" i="39"/>
  <c r="R104" i="39" s="1"/>
  <c r="U287" i="39"/>
  <c r="U80" i="39"/>
  <c r="X187" i="39"/>
  <c r="X189" i="39" s="1"/>
  <c r="AB21" i="39"/>
  <c r="AA22" i="39"/>
  <c r="V268" i="39"/>
  <c r="Z137" i="39"/>
  <c r="Q222" i="39"/>
  <c r="AA19" i="39"/>
  <c r="AA147" i="39" s="1"/>
  <c r="AB18" i="39"/>
  <c r="Q207" i="39"/>
  <c r="Z44" i="39"/>
  <c r="Z17" i="39"/>
  <c r="Z133" i="39" s="1"/>
  <c r="Z20" i="39"/>
  <c r="AA16" i="39"/>
  <c r="U479" i="39"/>
  <c r="V292" i="39"/>
  <c r="V294" i="39" s="1"/>
  <c r="V295" i="39" s="1"/>
  <c r="V192" i="39"/>
  <c r="V267" i="39"/>
  <c r="T438" i="39"/>
  <c r="S469" i="39"/>
  <c r="S440" i="39"/>
  <c r="T352" i="39"/>
  <c r="S354" i="39"/>
  <c r="S63" i="39" s="1"/>
  <c r="R88" i="39"/>
  <c r="R93" i="39" s="1"/>
  <c r="U94" i="39"/>
  <c r="U193" i="39"/>
  <c r="V241" i="39"/>
  <c r="W136" i="39"/>
  <c r="W284" i="39" s="1"/>
  <c r="U34" i="39"/>
  <c r="U140" i="39"/>
  <c r="U47" i="39" s="1"/>
  <c r="AB263" i="39"/>
  <c r="V337" i="39"/>
  <c r="T500" i="39"/>
  <c r="T338" i="39"/>
  <c r="T36" i="39" s="1"/>
  <c r="T79" i="39"/>
  <c r="V336" i="39"/>
  <c r="V311" i="39"/>
  <c r="W134" i="39"/>
  <c r="V138" i="39"/>
  <c r="Y187" i="39"/>
  <c r="Q513" i="39"/>
  <c r="Q209" i="39"/>
  <c r="P210" i="39"/>
  <c r="V307" i="39"/>
  <c r="T37" i="39"/>
  <c r="T103" i="39"/>
  <c r="S223" i="39"/>
  <c r="S216" i="39"/>
  <c r="S112" i="39" s="1"/>
  <c r="S119" i="39" s="1"/>
  <c r="U59" i="39"/>
  <c r="R327" i="39"/>
  <c r="Q355" i="39"/>
  <c r="Q56" i="39" s="1"/>
  <c r="R506" i="39"/>
  <c r="U90" i="39"/>
  <c r="V153" i="39"/>
  <c r="W139" i="39"/>
  <c r="V341" i="39"/>
  <c r="U342" i="39"/>
  <c r="U504" i="39"/>
  <c r="U285" i="39"/>
  <c r="V316" i="39"/>
  <c r="U507" i="39"/>
  <c r="U121" i="39"/>
  <c r="U334" i="39"/>
  <c r="U91" i="39"/>
  <c r="U472" i="39"/>
  <c r="V299" i="39"/>
  <c r="T274" i="39"/>
  <c r="T473" i="39"/>
  <c r="T239" i="39"/>
  <c r="P476" i="39"/>
  <c r="Q474" i="39"/>
  <c r="R221" i="39"/>
  <c r="U269" i="39"/>
  <c r="W135" i="39"/>
  <c r="Q224" i="39"/>
  <c r="V396" i="39"/>
  <c r="U398" i="39"/>
  <c r="U102" i="39" s="1"/>
  <c r="V303" i="39"/>
  <c r="V266" i="39"/>
  <c r="R441" i="39"/>
  <c r="R125" i="39" s="1"/>
  <c r="R511" i="39"/>
  <c r="AB253" i="39"/>
  <c r="X12" i="39"/>
  <c r="Y11" i="39"/>
  <c r="O232" i="39"/>
  <c r="O35" i="39" s="1"/>
  <c r="O497" i="39"/>
  <c r="W14" i="39"/>
  <c r="W190" i="39" s="1"/>
  <c r="X13" i="39"/>
  <c r="X298" i="39" s="1"/>
  <c r="O78" i="39"/>
  <c r="O64" i="39"/>
  <c r="O65" i="39" s="1"/>
  <c r="O85" i="39"/>
  <c r="O106" i="39" l="1"/>
  <c r="O108" i="39" s="1"/>
  <c r="O109" i="39" s="1"/>
  <c r="R474" i="39"/>
  <c r="X394" i="39"/>
  <c r="X425" i="39"/>
  <c r="X420" i="39" s="1"/>
  <c r="Y214" i="39" s="1"/>
  <c r="X429" i="39"/>
  <c r="Y217" i="39" s="1"/>
  <c r="X419" i="39"/>
  <c r="X426" i="39"/>
  <c r="X421" i="39"/>
  <c r="Y215" i="39" s="1"/>
  <c r="X306" i="39"/>
  <c r="X280" i="39"/>
  <c r="X310" i="39"/>
  <c r="X302" i="39"/>
  <c r="X194" i="39"/>
  <c r="X195" i="39" s="1"/>
  <c r="X198" i="39" s="1"/>
  <c r="X275" i="39"/>
  <c r="X265" i="39"/>
  <c r="X293" i="39"/>
  <c r="X315" i="39"/>
  <c r="X80" i="4"/>
  <c r="W146" i="4"/>
  <c r="U6" i="4"/>
  <c r="U5" i="4"/>
  <c r="V4" i="4"/>
  <c r="W10" i="4"/>
  <c r="V76" i="4"/>
  <c r="O67" i="39"/>
  <c r="O39" i="39"/>
  <c r="O128" i="39" s="1"/>
  <c r="O46" i="39"/>
  <c r="U481" i="39"/>
  <c r="U494" i="39" s="1"/>
  <c r="X213" i="39"/>
  <c r="W422" i="39"/>
  <c r="U101" i="39"/>
  <c r="AA152" i="39"/>
  <c r="AA186" i="39"/>
  <c r="AA184" i="39"/>
  <c r="AA175" i="39"/>
  <c r="AA185" i="39"/>
  <c r="AA181" i="39"/>
  <c r="V431" i="39"/>
  <c r="Z176" i="39"/>
  <c r="Z177" i="39" s="1"/>
  <c r="AA137" i="39"/>
  <c r="AA44" i="39"/>
  <c r="W430" i="39"/>
  <c r="X218" i="39" s="1"/>
  <c r="U505" i="39"/>
  <c r="Z470" i="39"/>
  <c r="Z145" i="39"/>
  <c r="Z148" i="39" s="1"/>
  <c r="W113" i="39"/>
  <c r="V501" i="39"/>
  <c r="AA144" i="39"/>
  <c r="AA89" i="39" s="1"/>
  <c r="V477" i="39"/>
  <c r="AA167" i="39"/>
  <c r="W395" i="39"/>
  <c r="W77" i="39"/>
  <c r="W397" i="39"/>
  <c r="U38" i="39"/>
  <c r="U372" i="39"/>
  <c r="U373" i="39" s="1"/>
  <c r="U489" i="39"/>
  <c r="W371" i="39"/>
  <c r="W368" i="39"/>
  <c r="V369" i="39"/>
  <c r="T373" i="39"/>
  <c r="T100" i="39" s="1"/>
  <c r="W370" i="39"/>
  <c r="V363" i="39"/>
  <c r="W361" i="39"/>
  <c r="W362" i="39"/>
  <c r="U364" i="39"/>
  <c r="W359" i="39"/>
  <c r="V486" i="39"/>
  <c r="V360" i="39"/>
  <c r="U348" i="39"/>
  <c r="U74" i="39"/>
  <c r="W346" i="39"/>
  <c r="V488" i="39"/>
  <c r="V347" i="39"/>
  <c r="Z168" i="39"/>
  <c r="Z171" i="39" s="1"/>
  <c r="Z471" i="39"/>
  <c r="V328" i="39"/>
  <c r="Y92" i="39"/>
  <c r="W286" i="39"/>
  <c r="T325" i="39"/>
  <c r="T276" i="39"/>
  <c r="T277" i="39" s="1"/>
  <c r="W281" i="39"/>
  <c r="AA256" i="39"/>
  <c r="T208" i="39"/>
  <c r="T40" i="39"/>
  <c r="T107" i="39" s="1"/>
  <c r="AB255" i="39"/>
  <c r="U79" i="39"/>
  <c r="R222" i="39"/>
  <c r="U288" i="39"/>
  <c r="W268" i="39"/>
  <c r="V317" i="39"/>
  <c r="V324" i="39"/>
  <c r="V269" i="39"/>
  <c r="T111" i="39"/>
  <c r="S206" i="39"/>
  <c r="AB22" i="39"/>
  <c r="AC21" i="39"/>
  <c r="AC18" i="39"/>
  <c r="AB19" i="39"/>
  <c r="AB147" i="39" s="1"/>
  <c r="AB16" i="39"/>
  <c r="AA17" i="39"/>
  <c r="AA133" i="39" s="1"/>
  <c r="AA20" i="39"/>
  <c r="R513" i="39"/>
  <c r="AB254" i="39"/>
  <c r="R329" i="39"/>
  <c r="R224" i="39" s="1"/>
  <c r="S99" i="39"/>
  <c r="S104" i="39" s="1"/>
  <c r="X139" i="39"/>
  <c r="W292" i="39"/>
  <c r="W294" i="39" s="1"/>
  <c r="W295" i="39" s="1"/>
  <c r="W192" i="39"/>
  <c r="T223" i="39"/>
  <c r="T216" i="39"/>
  <c r="T112" i="39" s="1"/>
  <c r="T119" i="39" s="1"/>
  <c r="V94" i="39"/>
  <c r="V193" i="39"/>
  <c r="S221" i="39"/>
  <c r="U338" i="39"/>
  <c r="U36" i="39" s="1"/>
  <c r="U500" i="39"/>
  <c r="W311" i="39"/>
  <c r="S441" i="39"/>
  <c r="S125" i="39" s="1"/>
  <c r="S511" i="39"/>
  <c r="X134" i="39"/>
  <c r="W138" i="39"/>
  <c r="W396" i="39"/>
  <c r="V398" i="39"/>
  <c r="V102" i="39" s="1"/>
  <c r="V90" i="39"/>
  <c r="W153" i="39"/>
  <c r="Q120" i="39"/>
  <c r="Q126" i="39" s="1"/>
  <c r="AC263" i="39"/>
  <c r="S88" i="39"/>
  <c r="S93" i="39" s="1"/>
  <c r="S327" i="39"/>
  <c r="S329" i="39" s="1"/>
  <c r="P95" i="39"/>
  <c r="W336" i="39"/>
  <c r="W241" i="39"/>
  <c r="U438" i="39"/>
  <c r="T469" i="39"/>
  <c r="T440" i="39"/>
  <c r="W303" i="39"/>
  <c r="V285" i="39"/>
  <c r="V287" i="39"/>
  <c r="W266" i="39"/>
  <c r="X135" i="39"/>
  <c r="Q225" i="39"/>
  <c r="U274" i="39"/>
  <c r="V507" i="39"/>
  <c r="V121" i="39"/>
  <c r="V334" i="39"/>
  <c r="V472" i="39"/>
  <c r="V91" i="39"/>
  <c r="U37" i="39"/>
  <c r="U103" i="39"/>
  <c r="U473" i="39"/>
  <c r="R207" i="39"/>
  <c r="W267" i="39"/>
  <c r="U352" i="39"/>
  <c r="T354" i="39"/>
  <c r="T63" i="39" s="1"/>
  <c r="P228" i="39"/>
  <c r="P48" i="39" s="1"/>
  <c r="W341" i="39"/>
  <c r="V342" i="39"/>
  <c r="V504" i="39"/>
  <c r="V59" i="39"/>
  <c r="Y189" i="39"/>
  <c r="V479" i="39"/>
  <c r="Q210" i="39"/>
  <c r="AC253" i="39"/>
  <c r="W299" i="39"/>
  <c r="W316" i="39"/>
  <c r="W317" i="39" s="1"/>
  <c r="W307" i="39"/>
  <c r="Z187" i="39"/>
  <c r="W337" i="39"/>
  <c r="V237" i="39"/>
  <c r="R355" i="39"/>
  <c r="R56" i="39" s="1"/>
  <c r="Z132" i="39"/>
  <c r="V34" i="39"/>
  <c r="V140" i="39"/>
  <c r="V47" i="39" s="1"/>
  <c r="X136" i="39"/>
  <c r="X284" i="39" s="1"/>
  <c r="S506" i="39"/>
  <c r="V80" i="39"/>
  <c r="X14" i="39"/>
  <c r="X190" i="39" s="1"/>
  <c r="Y13" i="39"/>
  <c r="Y298" i="39" s="1"/>
  <c r="Z11" i="39"/>
  <c r="Y12" i="39"/>
  <c r="O70" i="39"/>
  <c r="O41" i="39"/>
  <c r="O45" i="39" s="1"/>
  <c r="O81" i="39"/>
  <c r="O82" i="39" s="1"/>
  <c r="O483" i="39"/>
  <c r="Y421" i="39" l="1"/>
  <c r="Z215" i="39" s="1"/>
  <c r="Y426" i="39"/>
  <c r="Y419" i="39"/>
  <c r="Y429" i="39"/>
  <c r="Z217" i="39" s="1"/>
  <c r="Y425" i="39"/>
  <c r="Y420" i="39" s="1"/>
  <c r="Z214" i="39" s="1"/>
  <c r="Y394" i="39"/>
  <c r="Y478" i="39" s="1"/>
  <c r="Y265" i="39"/>
  <c r="Y275" i="39"/>
  <c r="Y194" i="39"/>
  <c r="Y302" i="39"/>
  <c r="Y310" i="39"/>
  <c r="Y315" i="39"/>
  <c r="Y280" i="39"/>
  <c r="Y293" i="39"/>
  <c r="Y306" i="39"/>
  <c r="X10" i="4"/>
  <c r="W4" i="4"/>
  <c r="W76" i="4"/>
  <c r="V6" i="4"/>
  <c r="V5" i="4"/>
  <c r="Y80" i="4"/>
  <c r="X146" i="4"/>
  <c r="V481" i="39"/>
  <c r="V494" i="39" s="1"/>
  <c r="AB175" i="39"/>
  <c r="AB176" i="39" s="1"/>
  <c r="P96" i="39"/>
  <c r="Y213" i="39"/>
  <c r="X422" i="39"/>
  <c r="AA176" i="39"/>
  <c r="AA177" i="39" s="1"/>
  <c r="V101" i="39"/>
  <c r="AB181" i="39"/>
  <c r="AB185" i="39"/>
  <c r="AB184" i="39"/>
  <c r="AB186" i="39"/>
  <c r="W431" i="39"/>
  <c r="AA145" i="39"/>
  <c r="AA148" i="39" s="1"/>
  <c r="AB152" i="39"/>
  <c r="AA470" i="39"/>
  <c r="AB167" i="39"/>
  <c r="X430" i="39"/>
  <c r="Y218" i="39" s="1"/>
  <c r="V505" i="39"/>
  <c r="X113" i="39"/>
  <c r="W501" i="39"/>
  <c r="W477" i="39"/>
  <c r="AA168" i="39"/>
  <c r="AA171" i="39" s="1"/>
  <c r="AA471" i="39"/>
  <c r="X397" i="39"/>
  <c r="AB144" i="39"/>
  <c r="AB145" i="39" s="1"/>
  <c r="AB148" i="39" s="1"/>
  <c r="X478" i="39"/>
  <c r="X77" i="39"/>
  <c r="X395" i="39"/>
  <c r="V364" i="39"/>
  <c r="X370" i="39"/>
  <c r="X368" i="39"/>
  <c r="W369" i="39"/>
  <c r="U100" i="39"/>
  <c r="V372" i="39"/>
  <c r="X371" i="39"/>
  <c r="X359" i="39"/>
  <c r="W486" i="39"/>
  <c r="W360" i="39"/>
  <c r="V489" i="39"/>
  <c r="X362" i="39"/>
  <c r="X361" i="39"/>
  <c r="W363" i="39"/>
  <c r="V348" i="39"/>
  <c r="V74" i="39"/>
  <c r="X346" i="39"/>
  <c r="W488" i="39"/>
  <c r="W347" i="39"/>
  <c r="Z92" i="39"/>
  <c r="W328" i="39"/>
  <c r="X286" i="39"/>
  <c r="U208" i="39"/>
  <c r="U325" i="39"/>
  <c r="U276" i="39"/>
  <c r="U277" i="39" s="1"/>
  <c r="X281" i="39"/>
  <c r="AC255" i="39"/>
  <c r="U40" i="39"/>
  <c r="U107" i="39" s="1"/>
  <c r="AB256" i="39"/>
  <c r="R225" i="39"/>
  <c r="W80" i="39"/>
  <c r="W324" i="39"/>
  <c r="S222" i="39"/>
  <c r="R209" i="39"/>
  <c r="S224" i="39" s="1"/>
  <c r="T206" i="39"/>
  <c r="S474" i="39"/>
  <c r="S513" i="39"/>
  <c r="AB20" i="39"/>
  <c r="AC16" i="39"/>
  <c r="AB17" i="39"/>
  <c r="AB133" i="39" s="1"/>
  <c r="AB137" i="39"/>
  <c r="AD18" i="39"/>
  <c r="AC19" i="39"/>
  <c r="AC147" i="39" s="1"/>
  <c r="AB44" i="39"/>
  <c r="S355" i="39"/>
  <c r="AC22" i="39"/>
  <c r="AD21" i="39"/>
  <c r="W269" i="39"/>
  <c r="T99" i="39"/>
  <c r="T104" i="39" s="1"/>
  <c r="W479" i="39"/>
  <c r="AC254" i="39"/>
  <c r="X267" i="39"/>
  <c r="Y195" i="39"/>
  <c r="Y198" i="39" s="1"/>
  <c r="X292" i="39"/>
  <c r="X294" i="39" s="1"/>
  <c r="X295" i="39" s="1"/>
  <c r="X192" i="39"/>
  <c r="Q95" i="39"/>
  <c r="T327" i="39"/>
  <c r="T329" i="39" s="1"/>
  <c r="T441" i="39"/>
  <c r="T125" i="39" s="1"/>
  <c r="T511" i="39"/>
  <c r="X299" i="39"/>
  <c r="V37" i="39"/>
  <c r="V103" i="39"/>
  <c r="V274" i="39"/>
  <c r="X266" i="39"/>
  <c r="T88" i="39"/>
  <c r="T93" i="39" s="1"/>
  <c r="Y134" i="39"/>
  <c r="X138" i="39"/>
  <c r="X311" i="39"/>
  <c r="X316" i="39"/>
  <c r="X317" i="39" s="1"/>
  <c r="V352" i="39"/>
  <c r="U354" i="39"/>
  <c r="U63" i="39" s="1"/>
  <c r="W34" i="39"/>
  <c r="W140" i="39"/>
  <c r="W47" i="39" s="1"/>
  <c r="W342" i="39"/>
  <c r="X341" i="39"/>
  <c r="W504" i="39"/>
  <c r="S207" i="39"/>
  <c r="W287" i="39"/>
  <c r="V438" i="39"/>
  <c r="U469" i="39"/>
  <c r="U440" i="39"/>
  <c r="Y139" i="39"/>
  <c r="W94" i="39"/>
  <c r="W193" i="39"/>
  <c r="X337" i="39"/>
  <c r="Z189" i="39"/>
  <c r="V79" i="39"/>
  <c r="P485" i="39"/>
  <c r="P482" i="39"/>
  <c r="P493" i="39"/>
  <c r="Y135" i="39"/>
  <c r="W285" i="39"/>
  <c r="X241" i="39"/>
  <c r="W90" i="39"/>
  <c r="X153" i="39"/>
  <c r="U111" i="39"/>
  <c r="AA132" i="39"/>
  <c r="AA187" i="39"/>
  <c r="AD253" i="39"/>
  <c r="P53" i="39"/>
  <c r="V338" i="39"/>
  <c r="V36" i="39" s="1"/>
  <c r="V500" i="39"/>
  <c r="V288" i="39"/>
  <c r="AD263" i="39"/>
  <c r="T221" i="39"/>
  <c r="O57" i="39"/>
  <c r="O58" i="39" s="1"/>
  <c r="O62" i="39" s="1"/>
  <c r="R120" i="39"/>
  <c r="R126" i="39" s="1"/>
  <c r="V238" i="39"/>
  <c r="V239" i="39" s="1"/>
  <c r="W237" i="39"/>
  <c r="X336" i="39"/>
  <c r="X307" i="39"/>
  <c r="W59" i="39"/>
  <c r="X396" i="39"/>
  <c r="W398" i="39"/>
  <c r="W102" i="39" s="1"/>
  <c r="V473" i="39"/>
  <c r="U223" i="39"/>
  <c r="U216" i="39"/>
  <c r="U112" i="39" s="1"/>
  <c r="U119" i="39" s="1"/>
  <c r="V38" i="39"/>
  <c r="Y136" i="39"/>
  <c r="Y284" i="39" s="1"/>
  <c r="T506" i="39"/>
  <c r="W507" i="39"/>
  <c r="W334" i="39"/>
  <c r="W121" i="39"/>
  <c r="W472" i="39"/>
  <c r="W91" i="39"/>
  <c r="X303" i="39"/>
  <c r="X268" i="39"/>
  <c r="AA11" i="39"/>
  <c r="Z12" i="39"/>
  <c r="Z13" i="39"/>
  <c r="Z298" i="39" s="1"/>
  <c r="Y14" i="39"/>
  <c r="Y190" i="39" s="1"/>
  <c r="Z394" i="39" l="1"/>
  <c r="Z425" i="39"/>
  <c r="Z420" i="39" s="1"/>
  <c r="AA214" i="39" s="1"/>
  <c r="Z429" i="39"/>
  <c r="AA217" i="39" s="1"/>
  <c r="Z419" i="39"/>
  <c r="Z426" i="39"/>
  <c r="Z421" i="39"/>
  <c r="AA215" i="39" s="1"/>
  <c r="Z280" i="39"/>
  <c r="Z315" i="39"/>
  <c r="Z310" i="39"/>
  <c r="Z302" i="39"/>
  <c r="Z194" i="39"/>
  <c r="Z195" i="39" s="1"/>
  <c r="Z198" i="39" s="1"/>
  <c r="Z306" i="39"/>
  <c r="Z275" i="39"/>
  <c r="Z293" i="39"/>
  <c r="Z265" i="39"/>
  <c r="Z80" i="4"/>
  <c r="Y146" i="4"/>
  <c r="W6" i="4"/>
  <c r="W5" i="4"/>
  <c r="Y10" i="4"/>
  <c r="X4" i="4"/>
  <c r="X76" i="4"/>
  <c r="P97" i="39"/>
  <c r="P98" i="39" s="1"/>
  <c r="P229" i="39"/>
  <c r="P230" i="39"/>
  <c r="P231" i="39"/>
  <c r="S120" i="39"/>
  <c r="S126" i="39" s="1"/>
  <c r="S56" i="39"/>
  <c r="W481" i="39"/>
  <c r="W494" i="39" s="1"/>
  <c r="AC175" i="39"/>
  <c r="AC176" i="39" s="1"/>
  <c r="Z213" i="39"/>
  <c r="Y422" i="39"/>
  <c r="X477" i="39"/>
  <c r="W101" i="39"/>
  <c r="W505" i="39"/>
  <c r="AC167" i="39"/>
  <c r="AC186" i="39"/>
  <c r="AC184" i="39"/>
  <c r="AC185" i="39"/>
  <c r="AC152" i="39"/>
  <c r="AC181" i="39"/>
  <c r="AB471" i="39"/>
  <c r="AB168" i="39"/>
  <c r="AB171" i="39" s="1"/>
  <c r="X431" i="39"/>
  <c r="AC44" i="39"/>
  <c r="Y430" i="39"/>
  <c r="Z218" i="39" s="1"/>
  <c r="Y113" i="39"/>
  <c r="X501" i="39"/>
  <c r="AB470" i="39"/>
  <c r="AC144" i="39"/>
  <c r="AC89" i="39" s="1"/>
  <c r="AB89" i="39"/>
  <c r="AA92" i="39"/>
  <c r="Y397" i="39"/>
  <c r="Y395" i="39"/>
  <c r="Y77" i="39"/>
  <c r="W372" i="39"/>
  <c r="W373" i="39" s="1"/>
  <c r="W489" i="39"/>
  <c r="Y371" i="39"/>
  <c r="Y368" i="39"/>
  <c r="X369" i="39"/>
  <c r="V373" i="39"/>
  <c r="V100" i="39" s="1"/>
  <c r="Y370" i="39"/>
  <c r="X363" i="39"/>
  <c r="Y361" i="39"/>
  <c r="Y362" i="39"/>
  <c r="W364" i="39"/>
  <c r="Y359" i="39"/>
  <c r="X486" i="39"/>
  <c r="X360" i="39"/>
  <c r="W348" i="39"/>
  <c r="W74" i="39"/>
  <c r="Y346" i="39"/>
  <c r="X488" i="39"/>
  <c r="X347" i="39"/>
  <c r="AB177" i="39"/>
  <c r="X328" i="39"/>
  <c r="AC256" i="39"/>
  <c r="Y286" i="39"/>
  <c r="V325" i="39"/>
  <c r="V276" i="39"/>
  <c r="V277" i="39" s="1"/>
  <c r="Y281" i="39"/>
  <c r="W79" i="39"/>
  <c r="S209" i="39"/>
  <c r="T224" i="39" s="1"/>
  <c r="R210" i="39"/>
  <c r="T207" i="39"/>
  <c r="W288" i="39"/>
  <c r="U206" i="39"/>
  <c r="T474" i="39"/>
  <c r="X324" i="39"/>
  <c r="S225" i="39"/>
  <c r="X479" i="39"/>
  <c r="O60" i="39"/>
  <c r="O7" i="39" s="1"/>
  <c r="O8" i="39" s="1"/>
  <c r="AC20" i="39"/>
  <c r="AC17" i="39"/>
  <c r="AC133" i="39" s="1"/>
  <c r="AD16" i="39"/>
  <c r="X59" i="39"/>
  <c r="AE18" i="39"/>
  <c r="AD19" i="39"/>
  <c r="AD147" i="39" s="1"/>
  <c r="T355" i="39"/>
  <c r="AE21" i="39"/>
  <c r="AD22" i="39"/>
  <c r="AC137" i="39"/>
  <c r="T513" i="39"/>
  <c r="Y336" i="39"/>
  <c r="Y268" i="39"/>
  <c r="X287" i="39"/>
  <c r="Y292" i="39"/>
  <c r="Y294" i="39" s="1"/>
  <c r="Y295" i="39" s="1"/>
  <c r="Y192" i="39"/>
  <c r="W38" i="39"/>
  <c r="V40" i="39"/>
  <c r="V107" i="39" s="1"/>
  <c r="V111" i="39"/>
  <c r="AB132" i="39"/>
  <c r="W473" i="39"/>
  <c r="W438" i="39"/>
  <c r="V469" i="39"/>
  <c r="V440" i="39"/>
  <c r="Y266" i="39"/>
  <c r="X94" i="39"/>
  <c r="X193" i="39"/>
  <c r="Y241" i="39"/>
  <c r="Y311" i="39"/>
  <c r="U327" i="39"/>
  <c r="U329" i="39" s="1"/>
  <c r="Y396" i="39"/>
  <c r="X398" i="39"/>
  <c r="X102" i="39" s="1"/>
  <c r="U221" i="39"/>
  <c r="AE253" i="39"/>
  <c r="AD254" i="39"/>
  <c r="X34" i="39"/>
  <c r="X140" i="39"/>
  <c r="X47" i="39" s="1"/>
  <c r="W274" i="39"/>
  <c r="X237" i="39"/>
  <c r="W238" i="39"/>
  <c r="W239" i="39" s="1"/>
  <c r="AA189" i="39"/>
  <c r="Z139" i="39"/>
  <c r="Z134" i="39"/>
  <c r="Y138" i="39"/>
  <c r="Y267" i="39"/>
  <c r="AD255" i="39"/>
  <c r="W338" i="39"/>
  <c r="W36" i="39" s="1"/>
  <c r="W500" i="39"/>
  <c r="V208" i="39"/>
  <c r="AB187" i="39"/>
  <c r="X285" i="39"/>
  <c r="U506" i="39"/>
  <c r="T222" i="39"/>
  <c r="V223" i="39"/>
  <c r="V216" i="39"/>
  <c r="V112" i="39" s="1"/>
  <c r="V119" i="39" s="1"/>
  <c r="Y307" i="39"/>
  <c r="AE263" i="39"/>
  <c r="U99" i="39"/>
  <c r="U104" i="39" s="1"/>
  <c r="Z135" i="39"/>
  <c r="X342" i="39"/>
  <c r="Y341" i="39"/>
  <c r="X504" i="39"/>
  <c r="W352" i="39"/>
  <c r="V354" i="39"/>
  <c r="V63" i="39" s="1"/>
  <c r="X80" i="39"/>
  <c r="Y303" i="39"/>
  <c r="X507" i="39"/>
  <c r="X334" i="39"/>
  <c r="X121" i="39"/>
  <c r="X91" i="39"/>
  <c r="X472" i="39"/>
  <c r="X90" i="39"/>
  <c r="Y153" i="39"/>
  <c r="P499" i="39"/>
  <c r="P514" i="39" s="1"/>
  <c r="P496" i="39"/>
  <c r="P71" i="39" s="1"/>
  <c r="Q475" i="39" s="1"/>
  <c r="U441" i="39"/>
  <c r="U125" i="39" s="1"/>
  <c r="U511" i="39"/>
  <c r="W37" i="39"/>
  <c r="W103" i="39"/>
  <c r="Y299" i="39"/>
  <c r="Z136" i="39"/>
  <c r="Z284" i="39" s="1"/>
  <c r="P49" i="39"/>
  <c r="P50" i="39"/>
  <c r="P51" i="39"/>
  <c r="P490" i="39"/>
  <c r="Y337" i="39"/>
  <c r="U88" i="39"/>
  <c r="U93" i="39" s="1"/>
  <c r="Y316" i="39"/>
  <c r="Y317" i="39" s="1"/>
  <c r="X269" i="39"/>
  <c r="AA13" i="39"/>
  <c r="AA298" i="39" s="1"/>
  <c r="Z14" i="39"/>
  <c r="Z190" i="39" s="1"/>
  <c r="AB11" i="39"/>
  <c r="AA12" i="39"/>
  <c r="AA421" i="39" l="1"/>
  <c r="AA426" i="39"/>
  <c r="AA419" i="39"/>
  <c r="AA429" i="39"/>
  <c r="AB217" i="39" s="1"/>
  <c r="AA425" i="39"/>
  <c r="AA420" i="39" s="1"/>
  <c r="AB214" i="39" s="1"/>
  <c r="AA394" i="39"/>
  <c r="AA77" i="39" s="1"/>
  <c r="AA275" i="39"/>
  <c r="AA306" i="39"/>
  <c r="AA194" i="39"/>
  <c r="AA302" i="39"/>
  <c r="AA310" i="39"/>
  <c r="AA265" i="39"/>
  <c r="AA315" i="39"/>
  <c r="AA293" i="39"/>
  <c r="AA280" i="39"/>
  <c r="X5" i="4"/>
  <c r="X6" i="4"/>
  <c r="Z10" i="4"/>
  <c r="Y4" i="4"/>
  <c r="Y76" i="4"/>
  <c r="AA80" i="4"/>
  <c r="Z146" i="4"/>
  <c r="AD175" i="39"/>
  <c r="AD176" i="39" s="1"/>
  <c r="R95" i="39"/>
  <c r="T120" i="39"/>
  <c r="T126" i="39" s="1"/>
  <c r="T56" i="39"/>
  <c r="X481" i="39"/>
  <c r="X494" i="39" s="1"/>
  <c r="AD167" i="39"/>
  <c r="AD168" i="39" s="1"/>
  <c r="AD171" i="39" s="1"/>
  <c r="AC168" i="39"/>
  <c r="AC171" i="39" s="1"/>
  <c r="P127" i="39"/>
  <c r="P106" i="39"/>
  <c r="P108" i="39" s="1"/>
  <c r="P109" i="39" s="1"/>
  <c r="AA213" i="39"/>
  <c r="Z422" i="39"/>
  <c r="AC471" i="39"/>
  <c r="AC145" i="39"/>
  <c r="AC148" i="39" s="1"/>
  <c r="AC470" i="39"/>
  <c r="AD144" i="39"/>
  <c r="AD470" i="39" s="1"/>
  <c r="X101" i="39"/>
  <c r="AB92" i="39"/>
  <c r="AD181" i="39"/>
  <c r="AD185" i="39"/>
  <c r="AD184" i="39"/>
  <c r="AD186" i="39"/>
  <c r="Y431" i="39"/>
  <c r="Z430" i="39"/>
  <c r="AA218" i="39" s="1"/>
  <c r="X505" i="39"/>
  <c r="Z113" i="39"/>
  <c r="Y501" i="39"/>
  <c r="Y477" i="39"/>
  <c r="AB215" i="39"/>
  <c r="AD152" i="39"/>
  <c r="Z397" i="39"/>
  <c r="Z478" i="39"/>
  <c r="Z395" i="39"/>
  <c r="Z77" i="39"/>
  <c r="AC177" i="39"/>
  <c r="X364" i="39"/>
  <c r="Z370" i="39"/>
  <c r="Z368" i="39"/>
  <c r="Y369" i="39"/>
  <c r="W100" i="39"/>
  <c r="X372" i="39"/>
  <c r="Z371" i="39"/>
  <c r="Z359" i="39"/>
  <c r="Y486" i="39"/>
  <c r="Y360" i="39"/>
  <c r="X489" i="39"/>
  <c r="Z362" i="39"/>
  <c r="Z361" i="39"/>
  <c r="Y363" i="39"/>
  <c r="X348" i="39"/>
  <c r="X74" i="39"/>
  <c r="Z346" i="39"/>
  <c r="Y488" i="39"/>
  <c r="Y347" i="39"/>
  <c r="Y328" i="39"/>
  <c r="Z286" i="39"/>
  <c r="W325" i="39"/>
  <c r="W276" i="39"/>
  <c r="W277" i="39" s="1"/>
  <c r="Z281" i="39"/>
  <c r="T209" i="39"/>
  <c r="U209" i="39" s="1"/>
  <c r="S210" i="39"/>
  <c r="U474" i="39"/>
  <c r="T225" i="39"/>
  <c r="Y80" i="39"/>
  <c r="Y59" i="39"/>
  <c r="U222" i="39"/>
  <c r="V206" i="39"/>
  <c r="AD256" i="39"/>
  <c r="Z267" i="39"/>
  <c r="U207" i="39"/>
  <c r="Y324" i="39"/>
  <c r="X288" i="39"/>
  <c r="Z268" i="39"/>
  <c r="AD17" i="39"/>
  <c r="AD133" i="39" s="1"/>
  <c r="AD20" i="39"/>
  <c r="AE16" i="39"/>
  <c r="AF18" i="39"/>
  <c r="AE19" i="39"/>
  <c r="AE147" i="39" s="1"/>
  <c r="AF21" i="39"/>
  <c r="AE22" i="39"/>
  <c r="Y269" i="39"/>
  <c r="AD137" i="39"/>
  <c r="AE254" i="39"/>
  <c r="AD44" i="39"/>
  <c r="Y479" i="39"/>
  <c r="Z241" i="39"/>
  <c r="U513" i="39"/>
  <c r="U355" i="39"/>
  <c r="P497" i="39"/>
  <c r="AE255" i="39"/>
  <c r="Z337" i="39"/>
  <c r="Z292" i="39"/>
  <c r="Z294" i="39" s="1"/>
  <c r="Z295" i="39" s="1"/>
  <c r="Z192" i="39"/>
  <c r="AA195" i="39"/>
  <c r="AA198" i="39" s="1"/>
  <c r="AA134" i="39"/>
  <c r="Z138" i="39"/>
  <c r="Y90" i="39"/>
  <c r="Z153" i="39"/>
  <c r="AC187" i="39"/>
  <c r="W40" i="39"/>
  <c r="W107" i="39" s="1"/>
  <c r="X38" i="39"/>
  <c r="W111" i="39"/>
  <c r="Z307" i="39"/>
  <c r="P515" i="39"/>
  <c r="V506" i="39"/>
  <c r="AA135" i="39"/>
  <c r="Z316" i="39"/>
  <c r="Z317" i="39" s="1"/>
  <c r="AA136" i="39"/>
  <c r="AA284" i="39" s="1"/>
  <c r="X352" i="39"/>
  <c r="W354" i="39"/>
  <c r="W63" i="39" s="1"/>
  <c r="W223" i="39"/>
  <c r="W216" i="39"/>
  <c r="W112" i="39" s="1"/>
  <c r="W119" i="39" s="1"/>
  <c r="AA139" i="39"/>
  <c r="W208" i="39"/>
  <c r="AB189" i="39"/>
  <c r="X338" i="39"/>
  <c r="X36" i="39" s="1"/>
  <c r="X500" i="39"/>
  <c r="Y237" i="39"/>
  <c r="X238" i="39"/>
  <c r="X239" i="39" s="1"/>
  <c r="V327" i="39"/>
  <c r="V329" i="39" s="1"/>
  <c r="Z311" i="39"/>
  <c r="Z266" i="39"/>
  <c r="AC132" i="39"/>
  <c r="Z341" i="39"/>
  <c r="Y342" i="39"/>
  <c r="Y504" i="39"/>
  <c r="AF263" i="39"/>
  <c r="Y285" i="39"/>
  <c r="X274" i="39"/>
  <c r="AF253" i="39"/>
  <c r="Z396" i="39"/>
  <c r="Y398" i="39"/>
  <c r="Y102" i="39" s="1"/>
  <c r="Y287" i="39"/>
  <c r="V441" i="39"/>
  <c r="V125" i="39" s="1"/>
  <c r="V511" i="39"/>
  <c r="Z336" i="39"/>
  <c r="Z299" i="39"/>
  <c r="P232" i="39"/>
  <c r="V99" i="39"/>
  <c r="V104" i="39" s="1"/>
  <c r="P64" i="39"/>
  <c r="P65" i="39" s="1"/>
  <c r="P67" i="39" s="1"/>
  <c r="P78" i="39"/>
  <c r="P85" i="39"/>
  <c r="Q476" i="39"/>
  <c r="Y507" i="39"/>
  <c r="Y121" i="39"/>
  <c r="Y334" i="39"/>
  <c r="Y472" i="39"/>
  <c r="Y91" i="39"/>
  <c r="X37" i="39"/>
  <c r="X103" i="39"/>
  <c r="V221" i="39"/>
  <c r="X473" i="39"/>
  <c r="V88" i="39"/>
  <c r="V93" i="39" s="1"/>
  <c r="Y94" i="39"/>
  <c r="Y193" i="39"/>
  <c r="Z303" i="39"/>
  <c r="Y34" i="39"/>
  <c r="Y140" i="39"/>
  <c r="Y47" i="39" s="1"/>
  <c r="X79" i="39"/>
  <c r="X438" i="39"/>
  <c r="W469" i="39"/>
  <c r="W440" i="39"/>
  <c r="AC11" i="39"/>
  <c r="AB12" i="39"/>
  <c r="AB13" i="39"/>
  <c r="AB298" i="39" s="1"/>
  <c r="AA14" i="39"/>
  <c r="AA190" i="39" s="1"/>
  <c r="AB394" i="39" l="1"/>
  <c r="AB478" i="39" s="1"/>
  <c r="AB425" i="39"/>
  <c r="AB420" i="39" s="1"/>
  <c r="AC214" i="39" s="1"/>
  <c r="AB429" i="39"/>
  <c r="AC217" i="39" s="1"/>
  <c r="AB419" i="39"/>
  <c r="AB426" i="39"/>
  <c r="AB421" i="39"/>
  <c r="AC215" i="39" s="1"/>
  <c r="AB315" i="39"/>
  <c r="AB265" i="39"/>
  <c r="AB310" i="39"/>
  <c r="AB302" i="39"/>
  <c r="AB194" i="39"/>
  <c r="AB280" i="39"/>
  <c r="AB306" i="39"/>
  <c r="AB293" i="39"/>
  <c r="AB275" i="39"/>
  <c r="AB80" i="4"/>
  <c r="AA146" i="4"/>
  <c r="Y5" i="4"/>
  <c r="Y6" i="4"/>
  <c r="AA10" i="4"/>
  <c r="Z4" i="4"/>
  <c r="Z76" i="4"/>
  <c r="S95" i="39"/>
  <c r="AC92" i="39"/>
  <c r="P35" i="39"/>
  <c r="P46" i="39" s="1"/>
  <c r="U120" i="39"/>
  <c r="U126" i="39" s="1"/>
  <c r="U56" i="39"/>
  <c r="Y481" i="39"/>
  <c r="Y494" i="39" s="1"/>
  <c r="P70" i="39"/>
  <c r="Q96" i="39" s="1"/>
  <c r="AD471" i="39"/>
  <c r="AD89" i="39"/>
  <c r="AD145" i="39"/>
  <c r="AD148" i="39" s="1"/>
  <c r="AB213" i="39"/>
  <c r="AA422" i="39"/>
  <c r="Z477" i="39"/>
  <c r="Y101" i="39"/>
  <c r="AE186" i="39"/>
  <c r="AE184" i="39"/>
  <c r="AE185" i="39"/>
  <c r="AE181" i="39"/>
  <c r="Z431" i="39"/>
  <c r="Y505" i="39"/>
  <c r="AA430" i="39"/>
  <c r="AB218" i="39" s="1"/>
  <c r="AA113" i="39"/>
  <c r="Z501" i="39"/>
  <c r="AA395" i="39"/>
  <c r="AA478" i="39"/>
  <c r="AD177" i="39"/>
  <c r="AD92" i="39" s="1"/>
  <c r="AA397" i="39"/>
  <c r="Y489" i="39"/>
  <c r="Y372" i="39"/>
  <c r="Y373" i="39" s="1"/>
  <c r="AA371" i="39"/>
  <c r="AA368" i="39"/>
  <c r="Z369" i="39"/>
  <c r="X373" i="39"/>
  <c r="X100" i="39" s="1"/>
  <c r="AA370" i="39"/>
  <c r="Z363" i="39"/>
  <c r="AA361" i="39"/>
  <c r="AA362" i="39"/>
  <c r="Y364" i="39"/>
  <c r="AA359" i="39"/>
  <c r="Z486" i="39"/>
  <c r="Z360" i="39"/>
  <c r="Y348" i="39"/>
  <c r="Y74" i="39"/>
  <c r="AA346" i="39"/>
  <c r="Z488" i="39"/>
  <c r="Z347" i="39"/>
  <c r="Z328" i="39"/>
  <c r="AA286" i="39"/>
  <c r="AA281" i="39"/>
  <c r="X325" i="39"/>
  <c r="X276" i="39"/>
  <c r="X277" i="39" s="1"/>
  <c r="Y79" i="39"/>
  <c r="T210" i="39"/>
  <c r="U224" i="39"/>
  <c r="U225" i="39" s="1"/>
  <c r="Z59" i="39"/>
  <c r="V474" i="39"/>
  <c r="AE256" i="39"/>
  <c r="Z269" i="39"/>
  <c r="W206" i="39"/>
  <c r="Z287" i="39"/>
  <c r="V207" i="39"/>
  <c r="U210" i="39"/>
  <c r="Z324" i="39"/>
  <c r="AA267" i="39"/>
  <c r="V222" i="39"/>
  <c r="Z479" i="39"/>
  <c r="AE175" i="39"/>
  <c r="AE176" i="39" s="1"/>
  <c r="AF255" i="39"/>
  <c r="AG18" i="39"/>
  <c r="AF19" i="39"/>
  <c r="AF147" i="39" s="1"/>
  <c r="AE137" i="39"/>
  <c r="AE20" i="39"/>
  <c r="AF16" i="39"/>
  <c r="AE17" i="39"/>
  <c r="AE133" i="39" s="1"/>
  <c r="AE152" i="39"/>
  <c r="AE144" i="39"/>
  <c r="AE89" i="39" s="1"/>
  <c r="AE167" i="39"/>
  <c r="AE44" i="39"/>
  <c r="AG21" i="39"/>
  <c r="AF22" i="39"/>
  <c r="V355" i="39"/>
  <c r="Y288" i="39"/>
  <c r="W99" i="39"/>
  <c r="W104" i="39" s="1"/>
  <c r="AA292" i="39"/>
  <c r="AA294" i="39" s="1"/>
  <c r="AA295" i="39" s="1"/>
  <c r="AA192" i="39"/>
  <c r="W88" i="39"/>
  <c r="W93" i="39" s="1"/>
  <c r="Q228" i="39"/>
  <c r="Q48" i="39" s="1"/>
  <c r="Y274" i="39"/>
  <c r="X223" i="39"/>
  <c r="X216" i="39"/>
  <c r="X112" i="39" s="1"/>
  <c r="X119" i="39" s="1"/>
  <c r="AC189" i="39"/>
  <c r="Y438" i="39"/>
  <c r="X469" i="39"/>
  <c r="X440" i="39"/>
  <c r="Y473" i="39"/>
  <c r="W221" i="39"/>
  <c r="AA299" i="39"/>
  <c r="Y37" i="39"/>
  <c r="Y103" i="39"/>
  <c r="AB139" i="39"/>
  <c r="W506" i="39"/>
  <c r="V513" i="39"/>
  <c r="AD187" i="39"/>
  <c r="P81" i="39"/>
  <c r="P82" i="39" s="1"/>
  <c r="P483" i="39"/>
  <c r="AA341" i="39"/>
  <c r="Z342" i="39"/>
  <c r="Z504" i="39"/>
  <c r="AD132" i="39"/>
  <c r="Y352" i="39"/>
  <c r="X354" i="39"/>
  <c r="X63" i="39" s="1"/>
  <c r="AA307" i="39"/>
  <c r="AA303" i="39"/>
  <c r="Y338" i="39"/>
  <c r="Y36" i="39" s="1"/>
  <c r="Y500" i="39"/>
  <c r="AA396" i="39"/>
  <c r="Z398" i="39"/>
  <c r="Z102" i="39" s="1"/>
  <c r="AA266" i="39"/>
  <c r="Z80" i="39"/>
  <c r="AA336" i="39"/>
  <c r="Z285" i="39"/>
  <c r="AB136" i="39"/>
  <c r="AB284" i="39" s="1"/>
  <c r="X40" i="39"/>
  <c r="X107" i="39" s="1"/>
  <c r="Y38" i="39"/>
  <c r="X111" i="39"/>
  <c r="AA268" i="39"/>
  <c r="Z90" i="39"/>
  <c r="AA153" i="39"/>
  <c r="Z34" i="39"/>
  <c r="Z140" i="39"/>
  <c r="Z47" i="39" s="1"/>
  <c r="Z94" i="39"/>
  <c r="Z193" i="39"/>
  <c r="AA241" i="39"/>
  <c r="AG253" i="39"/>
  <c r="AA311" i="39"/>
  <c r="X208" i="39"/>
  <c r="AB134" i="39"/>
  <c r="AA138" i="39"/>
  <c r="W441" i="39"/>
  <c r="W125" i="39" s="1"/>
  <c r="W511" i="39"/>
  <c r="Z507" i="39"/>
  <c r="Z121" i="39"/>
  <c r="Z334" i="39"/>
  <c r="Z472" i="39"/>
  <c r="Z91" i="39"/>
  <c r="AA337" i="39"/>
  <c r="W327" i="39"/>
  <c r="W329" i="39" s="1"/>
  <c r="AG263" i="39"/>
  <c r="Z237" i="39"/>
  <c r="Y238" i="39"/>
  <c r="AF254" i="39"/>
  <c r="AA316" i="39"/>
  <c r="AA317" i="39" s="1"/>
  <c r="AB135" i="39"/>
  <c r="AB14" i="39"/>
  <c r="AB190" i="39" s="1"/>
  <c r="AC13" i="39"/>
  <c r="AC298" i="39" s="1"/>
  <c r="AD11" i="39"/>
  <c r="AC12" i="39"/>
  <c r="AC421" i="39" l="1"/>
  <c r="AC426" i="39"/>
  <c r="AC419" i="39"/>
  <c r="AC429" i="39"/>
  <c r="AD217" i="39" s="1"/>
  <c r="AC425" i="39"/>
  <c r="AC420" i="39" s="1"/>
  <c r="AD214" i="39" s="1"/>
  <c r="AC394" i="39"/>
  <c r="AC306" i="39"/>
  <c r="AC280" i="39"/>
  <c r="AC194" i="39"/>
  <c r="AC302" i="39"/>
  <c r="AC310" i="39"/>
  <c r="AC275" i="39"/>
  <c r="AC265" i="39"/>
  <c r="AC293" i="39"/>
  <c r="AC315" i="39"/>
  <c r="P41" i="39"/>
  <c r="P45" i="39" s="1"/>
  <c r="P39" i="39"/>
  <c r="P128" i="39" s="1"/>
  <c r="Z6" i="4"/>
  <c r="Z5" i="4"/>
  <c r="AB10" i="4"/>
  <c r="AA4" i="4"/>
  <c r="AA76" i="4"/>
  <c r="AC80" i="4"/>
  <c r="AB146" i="4"/>
  <c r="Q97" i="39"/>
  <c r="Q98" i="39" s="1"/>
  <c r="Q229" i="39"/>
  <c r="Q230" i="39"/>
  <c r="Q231" i="39"/>
  <c r="T95" i="39"/>
  <c r="V120" i="39"/>
  <c r="V126" i="39" s="1"/>
  <c r="V56" i="39"/>
  <c r="Z481" i="39"/>
  <c r="Z494" i="39" s="1"/>
  <c r="P57" i="39"/>
  <c r="P58" i="39" s="1"/>
  <c r="P60" i="39" s="1"/>
  <c r="AF137" i="39"/>
  <c r="AC213" i="39"/>
  <c r="AB422" i="39"/>
  <c r="AA477" i="39"/>
  <c r="Z101" i="39"/>
  <c r="AF181" i="39"/>
  <c r="AF185" i="39"/>
  <c r="AF184" i="39"/>
  <c r="AF186" i="39"/>
  <c r="AA431" i="39"/>
  <c r="Z505" i="39"/>
  <c r="AB430" i="39"/>
  <c r="AC218" i="39" s="1"/>
  <c r="AB113" i="39"/>
  <c r="AA501" i="39"/>
  <c r="AD215" i="39"/>
  <c r="AF152" i="39"/>
  <c r="AE177" i="39"/>
  <c r="AB77" i="39"/>
  <c r="AB395" i="39"/>
  <c r="AB397" i="39"/>
  <c r="Z364" i="39"/>
  <c r="AB370" i="39"/>
  <c r="AB368" i="39"/>
  <c r="AA369" i="39"/>
  <c r="Y100" i="39"/>
  <c r="Z372" i="39"/>
  <c r="AB371" i="39"/>
  <c r="AB359" i="39"/>
  <c r="AA486" i="39"/>
  <c r="AA360" i="39"/>
  <c r="Z489" i="39"/>
  <c r="AB362" i="39"/>
  <c r="AB361" i="39"/>
  <c r="AA363" i="39"/>
  <c r="Z348" i="39"/>
  <c r="Z74" i="39"/>
  <c r="AB346" i="39"/>
  <c r="AA488" i="39"/>
  <c r="AA347" i="39"/>
  <c r="AA328" i="39"/>
  <c r="AB286" i="39"/>
  <c r="Y325" i="39"/>
  <c r="Y276" i="39"/>
  <c r="Y277" i="39" s="1"/>
  <c r="AB281" i="39"/>
  <c r="V209" i="39"/>
  <c r="V224" i="39"/>
  <c r="V225" i="39" s="1"/>
  <c r="W474" i="39"/>
  <c r="X99" i="39"/>
  <c r="X104" i="39" s="1"/>
  <c r="Z288" i="39"/>
  <c r="AA287" i="39"/>
  <c r="AF256" i="39"/>
  <c r="AG255" i="39"/>
  <c r="W222" i="39"/>
  <c r="X206" i="39"/>
  <c r="U95" i="39"/>
  <c r="AB267" i="39"/>
  <c r="W207" i="39"/>
  <c r="AA324" i="39"/>
  <c r="AE145" i="39"/>
  <c r="AE148" i="39" s="1"/>
  <c r="AE471" i="39"/>
  <c r="AE470" i="39"/>
  <c r="AF144" i="39"/>
  <c r="AF89" i="39" s="1"/>
  <c r="AF167" i="39"/>
  <c r="AF168" i="39" s="1"/>
  <c r="AF171" i="39" s="1"/>
  <c r="AE168" i="39"/>
  <c r="AE171" i="39" s="1"/>
  <c r="AB268" i="39"/>
  <c r="AG19" i="39"/>
  <c r="AG147" i="39" s="1"/>
  <c r="AH18" i="39"/>
  <c r="AH21" i="39"/>
  <c r="AG22" i="39"/>
  <c r="AF44" i="39"/>
  <c r="AF175" i="39"/>
  <c r="AF176" i="39" s="1"/>
  <c r="AG16" i="39"/>
  <c r="AF17" i="39"/>
  <c r="AF133" i="39" s="1"/>
  <c r="AF20" i="39"/>
  <c r="W355" i="39"/>
  <c r="Y208" i="39"/>
  <c r="AA479" i="39"/>
  <c r="AB336" i="39"/>
  <c r="AB292" i="39"/>
  <c r="AB294" i="39" s="1"/>
  <c r="AB295" i="39" s="1"/>
  <c r="AB192" i="39"/>
  <c r="AH253" i="39"/>
  <c r="Z473" i="39"/>
  <c r="AE187" i="39"/>
  <c r="AC139" i="39"/>
  <c r="Y223" i="39"/>
  <c r="Y216" i="39"/>
  <c r="Y112" i="39" s="1"/>
  <c r="Y119" i="39" s="1"/>
  <c r="AB396" i="39"/>
  <c r="AA398" i="39"/>
  <c r="AA102" i="39" s="1"/>
  <c r="AE132" i="39"/>
  <c r="AB316" i="39"/>
  <c r="AB317" i="39" s="1"/>
  <c r="AA237" i="39"/>
  <c r="Z238" i="39"/>
  <c r="Z239" i="39" s="1"/>
  <c r="Z338" i="39"/>
  <c r="Z36" i="39" s="1"/>
  <c r="Z500" i="39"/>
  <c r="AG254" i="39"/>
  <c r="Z37" i="39"/>
  <c r="Z103" i="39"/>
  <c r="AA94" i="39"/>
  <c r="AA193" i="39"/>
  <c r="AH263" i="39"/>
  <c r="AA507" i="39"/>
  <c r="AA121" i="39"/>
  <c r="AA334" i="39"/>
  <c r="AA472" i="39"/>
  <c r="AA91" i="39"/>
  <c r="AA34" i="39"/>
  <c r="AA140" i="39"/>
  <c r="AA47" i="39" s="1"/>
  <c r="Y40" i="39"/>
  <c r="Y107" i="39" s="1"/>
  <c r="Z38" i="39"/>
  <c r="Y111" i="39"/>
  <c r="AC136" i="39"/>
  <c r="AC284" i="39" s="1"/>
  <c r="AB195" i="39"/>
  <c r="AB198" i="39" s="1"/>
  <c r="AB341" i="39"/>
  <c r="AA342" i="39"/>
  <c r="AA504" i="39"/>
  <c r="AC134" i="39"/>
  <c r="AB138" i="39"/>
  <c r="X506" i="39"/>
  <c r="AA59" i="39"/>
  <c r="X327" i="39"/>
  <c r="X329" i="39" s="1"/>
  <c r="Y239" i="39"/>
  <c r="AA285" i="39"/>
  <c r="AA269" i="39"/>
  <c r="AB307" i="39"/>
  <c r="Z352" i="39"/>
  <c r="Y354" i="39"/>
  <c r="Y63" i="39" s="1"/>
  <c r="X441" i="39"/>
  <c r="X125" i="39" s="1"/>
  <c r="X511" i="39"/>
  <c r="Z274" i="39"/>
  <c r="AB337" i="39"/>
  <c r="AA90" i="39"/>
  <c r="AB153" i="39"/>
  <c r="AA80" i="39"/>
  <c r="AB266" i="39"/>
  <c r="AB303" i="39"/>
  <c r="AB299" i="39"/>
  <c r="X88" i="39"/>
  <c r="X93" i="39" s="1"/>
  <c r="Q482" i="39"/>
  <c r="Q493" i="39"/>
  <c r="Q485" i="39"/>
  <c r="AD189" i="39"/>
  <c r="AC135" i="39"/>
  <c r="AB311" i="39"/>
  <c r="AB241" i="39"/>
  <c r="Z79" i="39"/>
  <c r="W513" i="39"/>
  <c r="X221" i="39"/>
  <c r="Z438" i="39"/>
  <c r="Y469" i="39"/>
  <c r="Y440" i="39"/>
  <c r="Q53" i="39"/>
  <c r="AD12" i="39"/>
  <c r="AE11" i="39"/>
  <c r="AD13" i="39"/>
  <c r="AD298" i="39" s="1"/>
  <c r="AC14" i="39"/>
  <c r="AC190" i="39" s="1"/>
  <c r="P7" i="39"/>
  <c r="P8" i="39" s="1"/>
  <c r="AD394" i="39" l="1"/>
  <c r="AD425" i="39"/>
  <c r="AD420" i="39" s="1"/>
  <c r="AE214" i="39" s="1"/>
  <c r="AD429" i="39"/>
  <c r="AE217" i="39" s="1"/>
  <c r="AD419" i="39"/>
  <c r="AD426" i="39"/>
  <c r="AD421" i="39"/>
  <c r="AE215" i="39" s="1"/>
  <c r="AC77" i="39"/>
  <c r="AD265" i="39"/>
  <c r="AD275" i="39"/>
  <c r="AD310" i="39"/>
  <c r="AD302" i="39"/>
  <c r="AD194" i="39"/>
  <c r="AD315" i="39"/>
  <c r="AD280" i="39"/>
  <c r="AD293" i="39"/>
  <c r="AD306" i="39"/>
  <c r="AD80" i="4"/>
  <c r="AC146" i="4"/>
  <c r="AA5" i="4"/>
  <c r="AA6" i="4"/>
  <c r="AC10" i="4"/>
  <c r="AB4" i="4"/>
  <c r="AB76" i="4"/>
  <c r="P62" i="39"/>
  <c r="W120" i="39"/>
  <c r="W126" i="39" s="1"/>
  <c r="W56" i="39"/>
  <c r="AA481" i="39"/>
  <c r="AA494" i="39" s="1"/>
  <c r="AD213" i="39"/>
  <c r="AC422" i="39"/>
  <c r="AA101" i="39"/>
  <c r="AG186" i="39"/>
  <c r="AG184" i="39"/>
  <c r="AG185" i="39"/>
  <c r="AG181" i="39"/>
  <c r="AB431" i="39"/>
  <c r="AG152" i="39"/>
  <c r="AA505" i="39"/>
  <c r="AC430" i="39"/>
  <c r="AD218" i="39" s="1"/>
  <c r="AC113" i="39"/>
  <c r="AB501" i="39"/>
  <c r="AB477" i="39"/>
  <c r="AF177" i="39"/>
  <c r="AF92" i="39" s="1"/>
  <c r="AE92" i="39"/>
  <c r="AC397" i="39"/>
  <c r="AC395" i="39"/>
  <c r="AC478" i="39"/>
  <c r="AA372" i="39"/>
  <c r="AA373" i="39" s="1"/>
  <c r="AD395" i="39"/>
  <c r="AA489" i="39"/>
  <c r="AC371" i="39"/>
  <c r="AC368" i="39"/>
  <c r="AB369" i="39"/>
  <c r="Z373" i="39"/>
  <c r="Z100" i="39" s="1"/>
  <c r="AC370" i="39"/>
  <c r="AB363" i="39"/>
  <c r="AC361" i="39"/>
  <c r="AC362" i="39"/>
  <c r="AA364" i="39"/>
  <c r="AC359" i="39"/>
  <c r="AB486" i="39"/>
  <c r="AB360" i="39"/>
  <c r="AA348" i="39"/>
  <c r="AA74" i="39"/>
  <c r="AC346" i="39"/>
  <c r="AB488" i="39"/>
  <c r="AB347" i="39"/>
  <c r="AB328" i="39"/>
  <c r="AC286" i="39"/>
  <c r="W209" i="39"/>
  <c r="W210" i="39" s="1"/>
  <c r="V210" i="39"/>
  <c r="AC281" i="39"/>
  <c r="Z325" i="39"/>
  <c r="Z276" i="39"/>
  <c r="Z277" i="39" s="1"/>
  <c r="W224" i="39"/>
  <c r="W225" i="39" s="1"/>
  <c r="AB324" i="39"/>
  <c r="AG256" i="39"/>
  <c r="AG167" i="39"/>
  <c r="AG168" i="39" s="1"/>
  <c r="AG171" i="39" s="1"/>
  <c r="AA288" i="39"/>
  <c r="AB287" i="39"/>
  <c r="X474" i="39"/>
  <c r="AG175" i="39"/>
  <c r="AF471" i="39"/>
  <c r="AF145" i="39"/>
  <c r="AF148" i="39" s="1"/>
  <c r="AF470" i="39"/>
  <c r="AG144" i="39"/>
  <c r="AG145" i="39" s="1"/>
  <c r="AG148" i="39" s="1"/>
  <c r="AC267" i="39"/>
  <c r="X207" i="39"/>
  <c r="X222" i="39"/>
  <c r="Y206" i="39"/>
  <c r="AB269" i="39"/>
  <c r="AB80" i="39"/>
  <c r="AH16" i="39"/>
  <c r="AG17" i="39"/>
  <c r="AG133" i="39" s="1"/>
  <c r="AG20" i="39"/>
  <c r="AG137" i="39"/>
  <c r="AG44" i="39"/>
  <c r="AH19" i="39"/>
  <c r="AH147" i="39" s="1"/>
  <c r="AI18" i="39"/>
  <c r="AI21" i="39"/>
  <c r="AH22" i="39"/>
  <c r="X355" i="39"/>
  <c r="AC241" i="39"/>
  <c r="Q232" i="39"/>
  <c r="Q35" i="39" s="1"/>
  <c r="AB59" i="39"/>
  <c r="AC292" i="39"/>
  <c r="AC294" i="39" s="1"/>
  <c r="AC295" i="39" s="1"/>
  <c r="AC192" i="39"/>
  <c r="Y441" i="39"/>
  <c r="Y125" i="39" s="1"/>
  <c r="Y511" i="39"/>
  <c r="AA37" i="39"/>
  <c r="AA103" i="39"/>
  <c r="AD136" i="39"/>
  <c r="AD284" i="39" s="1"/>
  <c r="AB237" i="39"/>
  <c r="AA238" i="39"/>
  <c r="AF187" i="39"/>
  <c r="Y88" i="39"/>
  <c r="Y93" i="39" s="1"/>
  <c r="Q499" i="39"/>
  <c r="Q514" i="39" s="1"/>
  <c r="Q496" i="39"/>
  <c r="Q71" i="39" s="1"/>
  <c r="R475" i="39" s="1"/>
  <c r="AC303" i="39"/>
  <c r="AC337" i="39"/>
  <c r="AC341" i="39"/>
  <c r="AB342" i="39"/>
  <c r="AB504" i="39"/>
  <c r="AA473" i="39"/>
  <c r="AA438" i="39"/>
  <c r="Z469" i="39"/>
  <c r="Z440" i="39"/>
  <c r="AC311" i="39"/>
  <c r="Q51" i="39"/>
  <c r="Q490" i="39"/>
  <c r="AC316" i="39"/>
  <c r="AC317" i="39" s="1"/>
  <c r="AI253" i="39"/>
  <c r="AH255" i="39"/>
  <c r="Y221" i="39"/>
  <c r="AD135" i="39"/>
  <c r="AC266" i="39"/>
  <c r="Y506" i="39"/>
  <c r="AB34" i="39"/>
  <c r="AB140" i="39"/>
  <c r="AB47" i="39" s="1"/>
  <c r="AA38" i="39"/>
  <c r="Z40" i="39"/>
  <c r="Z107" i="39" s="1"/>
  <c r="Z111" i="39"/>
  <c r="AA338" i="39"/>
  <c r="AA36" i="39" s="1"/>
  <c r="AA500" i="39"/>
  <c r="AF132" i="39"/>
  <c r="Z223" i="39"/>
  <c r="Z216" i="39"/>
  <c r="Z112" i="39" s="1"/>
  <c r="Z119" i="39" s="1"/>
  <c r="AA352" i="39"/>
  <c r="Z354" i="39"/>
  <c r="Z63" i="39" s="1"/>
  <c r="AB285" i="39"/>
  <c r="AD134" i="39"/>
  <c r="AC138" i="39"/>
  <c r="AB90" i="39"/>
  <c r="AC153" i="39"/>
  <c r="Y327" i="39"/>
  <c r="Y329" i="39" s="1"/>
  <c r="AC307" i="39"/>
  <c r="Y99" i="39"/>
  <c r="Y104" i="39" s="1"/>
  <c r="AC195" i="39"/>
  <c r="AC198" i="39" s="1"/>
  <c r="AC268" i="39"/>
  <c r="AB94" i="39"/>
  <c r="AB193" i="39"/>
  <c r="Q49" i="39"/>
  <c r="Q50" i="39"/>
  <c r="AC299" i="39"/>
  <c r="AA274" i="39"/>
  <c r="AC336" i="39"/>
  <c r="AB479" i="39"/>
  <c r="AB507" i="39"/>
  <c r="AB121" i="39"/>
  <c r="AB334" i="39"/>
  <c r="AB91" i="39"/>
  <c r="AB472" i="39"/>
  <c r="AC396" i="39"/>
  <c r="AB398" i="39"/>
  <c r="AB102" i="39" s="1"/>
  <c r="AD139" i="39"/>
  <c r="AA79" i="39"/>
  <c r="Q127" i="39"/>
  <c r="Q106" i="39"/>
  <c r="X513" i="39"/>
  <c r="AI263" i="39"/>
  <c r="AH254" i="39"/>
  <c r="Z208" i="39"/>
  <c r="AE189" i="39"/>
  <c r="AE13" i="39"/>
  <c r="AE298" i="39" s="1"/>
  <c r="AD14" i="39"/>
  <c r="AD190" i="39" s="1"/>
  <c r="AF11" i="39"/>
  <c r="AE12" i="39"/>
  <c r="AE421" i="39" l="1"/>
  <c r="AE426" i="39"/>
  <c r="AE419" i="39"/>
  <c r="AE429" i="39"/>
  <c r="AF217" i="39" s="1"/>
  <c r="AE425" i="39"/>
  <c r="AE394" i="39"/>
  <c r="AE395" i="39" s="1"/>
  <c r="AE280" i="39"/>
  <c r="AE315" i="39"/>
  <c r="AE194" i="39"/>
  <c r="AE302" i="39"/>
  <c r="AE310" i="39"/>
  <c r="AE306" i="39"/>
  <c r="AE275" i="39"/>
  <c r="AE293" i="39"/>
  <c r="AE265" i="39"/>
  <c r="AB5" i="4"/>
  <c r="AB6" i="4"/>
  <c r="AD10" i="4"/>
  <c r="AC4" i="4"/>
  <c r="AC76" i="4"/>
  <c r="AE80" i="4"/>
  <c r="AD146" i="4"/>
  <c r="V95" i="39"/>
  <c r="Q39" i="39"/>
  <c r="Q128" i="39" s="1"/>
  <c r="Q46" i="39"/>
  <c r="X120" i="39"/>
  <c r="X126" i="39" s="1"/>
  <c r="X56" i="39"/>
  <c r="AB481" i="39"/>
  <c r="AB494" i="39" s="1"/>
  <c r="AH152" i="39"/>
  <c r="AE213" i="39"/>
  <c r="AD422" i="39"/>
  <c r="AB101" i="39"/>
  <c r="AH181" i="39"/>
  <c r="AH44" i="39"/>
  <c r="AH185" i="39"/>
  <c r="AH137" i="39"/>
  <c r="AH184" i="39"/>
  <c r="AH186" i="39"/>
  <c r="AC431" i="39"/>
  <c r="AD430" i="39"/>
  <c r="AE218" i="39" s="1"/>
  <c r="AB505" i="39"/>
  <c r="AD113" i="39"/>
  <c r="AC501" i="39"/>
  <c r="AC477" i="39"/>
  <c r="AE420" i="39"/>
  <c r="AF214" i="39" s="1"/>
  <c r="AF215" i="39"/>
  <c r="AH175" i="39"/>
  <c r="AH176" i="39" s="1"/>
  <c r="AD77" i="39"/>
  <c r="AD478" i="39"/>
  <c r="AD397" i="39"/>
  <c r="AB364" i="39"/>
  <c r="AD370" i="39"/>
  <c r="AD368" i="39"/>
  <c r="AC369" i="39"/>
  <c r="AA100" i="39"/>
  <c r="AB372" i="39"/>
  <c r="AD371" i="39"/>
  <c r="AD359" i="39"/>
  <c r="AC486" i="39"/>
  <c r="AC360" i="39"/>
  <c r="AB489" i="39"/>
  <c r="AD362" i="39"/>
  <c r="AD361" i="39"/>
  <c r="AC363" i="39"/>
  <c r="AB348" i="39"/>
  <c r="AB74" i="39"/>
  <c r="AD346" i="39"/>
  <c r="AC488" i="39"/>
  <c r="AC347" i="39"/>
  <c r="AC328" i="39"/>
  <c r="AH167" i="39"/>
  <c r="AH168" i="39" s="1"/>
  <c r="AH171" i="39" s="1"/>
  <c r="AD286" i="39"/>
  <c r="X209" i="39"/>
  <c r="X210" i="39" s="1"/>
  <c r="AA325" i="39"/>
  <c r="AA276" i="39"/>
  <c r="AA277" i="39" s="1"/>
  <c r="X224" i="39"/>
  <c r="AD281" i="39"/>
  <c r="AH256" i="39"/>
  <c r="AG176" i="39"/>
  <c r="AG177" i="39" s="1"/>
  <c r="AG92" i="39" s="1"/>
  <c r="AG471" i="39"/>
  <c r="AB288" i="39"/>
  <c r="AG89" i="39"/>
  <c r="Y513" i="39"/>
  <c r="AG470" i="39"/>
  <c r="AH144" i="39"/>
  <c r="AH89" i="39" s="1"/>
  <c r="Z206" i="39"/>
  <c r="AC59" i="39"/>
  <c r="AC324" i="39"/>
  <c r="Y207" i="39"/>
  <c r="Y474" i="39"/>
  <c r="AB79" i="39"/>
  <c r="Y222" i="39"/>
  <c r="W95" i="39"/>
  <c r="Z99" i="39"/>
  <c r="Z104" i="39" s="1"/>
  <c r="AJ21" i="39"/>
  <c r="AI22" i="39"/>
  <c r="AI254" i="39"/>
  <c r="AJ18" i="39"/>
  <c r="AI19" i="39"/>
  <c r="AI147" i="39" s="1"/>
  <c r="AH20" i="39"/>
  <c r="AI16" i="39"/>
  <c r="AH17" i="39"/>
  <c r="AH133" i="39" s="1"/>
  <c r="AI255" i="39"/>
  <c r="Q41" i="39"/>
  <c r="Q45" i="39" s="1"/>
  <c r="AE139" i="39"/>
  <c r="AD336" i="39"/>
  <c r="AD292" i="39"/>
  <c r="AD294" i="39" s="1"/>
  <c r="AD295" i="39" s="1"/>
  <c r="AD192" i="39"/>
  <c r="AC507" i="39"/>
  <c r="AC121" i="39"/>
  <c r="AC334" i="39"/>
  <c r="AC91" i="39"/>
  <c r="AC472" i="39"/>
  <c r="AD266" i="39"/>
  <c r="AB37" i="39"/>
  <c r="AB103" i="39"/>
  <c r="Q85" i="39"/>
  <c r="Q64" i="39"/>
  <c r="Q65" i="39" s="1"/>
  <c r="Q67" i="39" s="1"/>
  <c r="Q78" i="39"/>
  <c r="R476" i="39"/>
  <c r="AC285" i="39"/>
  <c r="AD311" i="39"/>
  <c r="AD341" i="39"/>
  <c r="AC342" i="39"/>
  <c r="AC504" i="39"/>
  <c r="AC479" i="39"/>
  <c r="Q108" i="39"/>
  <c r="Q109" i="39" s="1"/>
  <c r="Q70" i="39"/>
  <c r="R96" i="39" s="1"/>
  <c r="AD396" i="39"/>
  <c r="AC398" i="39"/>
  <c r="AC102" i="39" s="1"/>
  <c r="AD268" i="39"/>
  <c r="AD307" i="39"/>
  <c r="AJ253" i="39"/>
  <c r="Q497" i="39"/>
  <c r="AA208" i="39"/>
  <c r="Z506" i="39"/>
  <c r="Z441" i="39"/>
  <c r="Z125" i="39" s="1"/>
  <c r="Z511" i="39"/>
  <c r="AC237" i="39"/>
  <c r="AB238" i="39"/>
  <c r="AB239" i="39" s="1"/>
  <c r="AE136" i="39"/>
  <c r="AE284" i="39" s="1"/>
  <c r="AC94" i="39"/>
  <c r="AC193" i="39"/>
  <c r="AC287" i="39"/>
  <c r="AJ263" i="39"/>
  <c r="Z327" i="39"/>
  <c r="Z329" i="39" s="1"/>
  <c r="AB352" i="39"/>
  <c r="AA354" i="39"/>
  <c r="AA63" i="39" s="1"/>
  <c r="Y355" i="39"/>
  <c r="Y56" i="39" s="1"/>
  <c r="AE135" i="39"/>
  <c r="AD316" i="39"/>
  <c r="AD317" i="39" s="1"/>
  <c r="Z88" i="39"/>
  <c r="Z93" i="39" s="1"/>
  <c r="AD241" i="39"/>
  <c r="AB338" i="39"/>
  <c r="AB36" i="39" s="1"/>
  <c r="AB500" i="39"/>
  <c r="AB274" i="39"/>
  <c r="AC90" i="39"/>
  <c r="AD153" i="39"/>
  <c r="AC80" i="39"/>
  <c r="AA223" i="39"/>
  <c r="AA216" i="39"/>
  <c r="AA112" i="39" s="1"/>
  <c r="AA119" i="39" s="1"/>
  <c r="AB38" i="39"/>
  <c r="AA40" i="39"/>
  <c r="AA107" i="39" s="1"/>
  <c r="AA111" i="39"/>
  <c r="AB438" i="39"/>
  <c r="AA469" i="39"/>
  <c r="AA440" i="39"/>
  <c r="AD337" i="39"/>
  <c r="AF189" i="39"/>
  <c r="Q515" i="39"/>
  <c r="AC34" i="39"/>
  <c r="AC140" i="39"/>
  <c r="AC47" i="39" s="1"/>
  <c r="Z221" i="39"/>
  <c r="AG187" i="39"/>
  <c r="AD299" i="39"/>
  <c r="AB473" i="39"/>
  <c r="AD195" i="39"/>
  <c r="AD198" i="39" s="1"/>
  <c r="AE134" i="39"/>
  <c r="AD138" i="39"/>
  <c r="AG132" i="39"/>
  <c r="AC269" i="39"/>
  <c r="AD303" i="39"/>
  <c r="AA239" i="39"/>
  <c r="AD267" i="39"/>
  <c r="AF12" i="39"/>
  <c r="AG11" i="39"/>
  <c r="AF13" i="39"/>
  <c r="AF298" i="39" s="1"/>
  <c r="AE14" i="39"/>
  <c r="AF394" i="39" l="1"/>
  <c r="AF478" i="39" s="1"/>
  <c r="AF425" i="39"/>
  <c r="AF420" i="39" s="1"/>
  <c r="AG214" i="39" s="1"/>
  <c r="AF429" i="39"/>
  <c r="AF419" i="39"/>
  <c r="AF426" i="39"/>
  <c r="AF421" i="39"/>
  <c r="AF275" i="39"/>
  <c r="AF306" i="39"/>
  <c r="AF310" i="39"/>
  <c r="AF302" i="39"/>
  <c r="AF194" i="39"/>
  <c r="AF265" i="39"/>
  <c r="AF315" i="39"/>
  <c r="AF293" i="39"/>
  <c r="AF280" i="39"/>
  <c r="AF80" i="4"/>
  <c r="AE146" i="4"/>
  <c r="AC5" i="4"/>
  <c r="AC6" i="4"/>
  <c r="AE10" i="4"/>
  <c r="AD4" i="4"/>
  <c r="AD76" i="4"/>
  <c r="R97" i="39"/>
  <c r="R98" i="39" s="1"/>
  <c r="R231" i="39"/>
  <c r="R230" i="39"/>
  <c r="R229" i="39"/>
  <c r="AC481" i="39"/>
  <c r="AC494" i="39" s="1"/>
  <c r="AF213" i="39"/>
  <c r="AE422" i="39"/>
  <c r="AC101" i="39"/>
  <c r="AI186" i="39"/>
  <c r="AI184" i="39"/>
  <c r="AI185" i="39"/>
  <c r="AI181" i="39"/>
  <c r="AD431" i="39"/>
  <c r="AC505" i="39"/>
  <c r="AI152" i="39"/>
  <c r="AE430" i="39"/>
  <c r="AF218" i="39" s="1"/>
  <c r="AG217" i="39"/>
  <c r="AE113" i="39"/>
  <c r="AD501" i="39"/>
  <c r="AD477" i="39"/>
  <c r="AI175" i="39"/>
  <c r="AI176" i="39" s="1"/>
  <c r="AI44" i="39"/>
  <c r="AE77" i="39"/>
  <c r="AE478" i="39"/>
  <c r="AE397" i="39"/>
  <c r="AC372" i="39"/>
  <c r="AC373" i="39" s="1"/>
  <c r="AE371" i="39"/>
  <c r="AE368" i="39"/>
  <c r="AD369" i="39"/>
  <c r="AB373" i="39"/>
  <c r="AB100" i="39" s="1"/>
  <c r="AE370" i="39"/>
  <c r="AC489" i="39"/>
  <c r="AD363" i="39"/>
  <c r="AE361" i="39"/>
  <c r="AE362" i="39"/>
  <c r="AC364" i="39"/>
  <c r="AE359" i="39"/>
  <c r="AD486" i="39"/>
  <c r="AD360" i="39"/>
  <c r="AC348" i="39"/>
  <c r="AC74" i="39"/>
  <c r="AE346" i="39"/>
  <c r="AD488" i="39"/>
  <c r="AD347" i="39"/>
  <c r="AH471" i="39"/>
  <c r="AI167" i="39"/>
  <c r="AI168" i="39" s="1"/>
  <c r="AI171" i="39" s="1"/>
  <c r="AD328" i="39"/>
  <c r="Y224" i="39"/>
  <c r="Y225" i="39" s="1"/>
  <c r="AE286" i="39"/>
  <c r="X225" i="39"/>
  <c r="X95" i="39" s="1"/>
  <c r="Y209" i="39"/>
  <c r="Y210" i="39" s="1"/>
  <c r="AB325" i="39"/>
  <c r="AB276" i="39"/>
  <c r="AB277" i="39" s="1"/>
  <c r="AE281" i="39"/>
  <c r="AH177" i="39"/>
  <c r="AH92" i="39" s="1"/>
  <c r="AH145" i="39"/>
  <c r="AH148" i="39" s="1"/>
  <c r="Z474" i="39"/>
  <c r="AI144" i="39"/>
  <c r="AI145" i="39" s="1"/>
  <c r="AI148" i="39" s="1"/>
  <c r="AH470" i="39"/>
  <c r="AI256" i="39"/>
  <c r="AD59" i="39"/>
  <c r="AE336" i="39"/>
  <c r="AD324" i="39"/>
  <c r="AA206" i="39"/>
  <c r="Z207" i="39"/>
  <c r="Z222" i="39"/>
  <c r="AE267" i="39"/>
  <c r="AE268" i="39"/>
  <c r="AJ255" i="39"/>
  <c r="AD479" i="39"/>
  <c r="AK21" i="39"/>
  <c r="AJ22" i="39"/>
  <c r="AJ16" i="39"/>
  <c r="AI17" i="39"/>
  <c r="AI133" i="39" s="1"/>
  <c r="AI20" i="39"/>
  <c r="AD80" i="39"/>
  <c r="AI137" i="39"/>
  <c r="AJ19" i="39"/>
  <c r="AJ147" i="39" s="1"/>
  <c r="AK18" i="39"/>
  <c r="AD287" i="39"/>
  <c r="AC79" i="39"/>
  <c r="AJ254" i="39"/>
  <c r="AH132" i="39"/>
  <c r="AG189" i="39"/>
  <c r="AC438" i="39"/>
  <c r="AB469" i="39"/>
  <c r="AB440" i="39"/>
  <c r="AC38" i="39"/>
  <c r="AB40" i="39"/>
  <c r="AB107" i="39" s="1"/>
  <c r="AB111" i="39"/>
  <c r="AA327" i="39"/>
  <c r="AA329" i="39" s="1"/>
  <c r="AC473" i="39"/>
  <c r="AD269" i="39"/>
  <c r="AD34" i="39"/>
  <c r="AD140" i="39"/>
  <c r="AD47" i="39" s="1"/>
  <c r="AE299" i="39"/>
  <c r="AH187" i="39"/>
  <c r="AC274" i="39"/>
  <c r="AE311" i="39"/>
  <c r="AD285" i="39"/>
  <c r="AE266" i="39"/>
  <c r="AD507" i="39"/>
  <c r="AD121" i="39"/>
  <c r="AD334" i="39"/>
  <c r="AD91" i="39"/>
  <c r="AD472" i="39"/>
  <c r="Q81" i="39"/>
  <c r="Q82" i="39" s="1"/>
  <c r="Q483" i="39"/>
  <c r="AF134" i="39"/>
  <c r="AE138" i="39"/>
  <c r="AE316" i="39"/>
  <c r="AE317" i="39" s="1"/>
  <c r="AC288" i="39"/>
  <c r="AF139" i="39"/>
  <c r="AE303" i="39"/>
  <c r="AA99" i="39"/>
  <c r="AA104" i="39" s="1"/>
  <c r="AB223" i="39"/>
  <c r="AB216" i="39"/>
  <c r="AB112" i="39" s="1"/>
  <c r="AB119" i="39" s="1"/>
  <c r="AF135" i="39"/>
  <c r="AB208" i="39"/>
  <c r="AD94" i="39"/>
  <c r="AD193" i="39"/>
  <c r="AF136" i="39"/>
  <c r="AF284" i="39" s="1"/>
  <c r="Y120" i="39"/>
  <c r="Y126" i="39" s="1"/>
  <c r="AK263" i="39"/>
  <c r="AC238" i="39"/>
  <c r="AC239" i="39" s="1"/>
  <c r="AD237" i="39"/>
  <c r="Z513" i="39"/>
  <c r="AA88" i="39"/>
  <c r="AA93" i="39" s="1"/>
  <c r="AE195" i="39"/>
  <c r="AE198" i="39" s="1"/>
  <c r="AE337" i="39"/>
  <c r="AE241" i="39"/>
  <c r="AA506" i="39"/>
  <c r="Z355" i="39"/>
  <c r="Z56" i="39" s="1"/>
  <c r="AE396" i="39"/>
  <c r="AD398" i="39"/>
  <c r="AD102" i="39" s="1"/>
  <c r="AC37" i="39"/>
  <c r="AC103" i="39"/>
  <c r="AE190" i="39"/>
  <c r="AA221" i="39"/>
  <c r="AA441" i="39"/>
  <c r="AA125" i="39" s="1"/>
  <c r="AA511" i="39"/>
  <c r="AD90" i="39"/>
  <c r="AE153" i="39"/>
  <c r="AC352" i="39"/>
  <c r="AB354" i="39"/>
  <c r="AB63" i="39" s="1"/>
  <c r="AK253" i="39"/>
  <c r="AE307" i="39"/>
  <c r="Q57" i="39"/>
  <c r="Q58" i="39" s="1"/>
  <c r="AE341" i="39"/>
  <c r="AD342" i="39"/>
  <c r="AD504" i="39"/>
  <c r="R228" i="39"/>
  <c r="R48" i="39" s="1"/>
  <c r="AC338" i="39"/>
  <c r="AC36" i="39" s="1"/>
  <c r="AC500" i="39"/>
  <c r="AG13" i="39"/>
  <c r="AG298" i="39" s="1"/>
  <c r="AF14" i="39"/>
  <c r="AH11" i="39"/>
  <c r="AG12" i="39"/>
  <c r="AG421" i="39" l="1"/>
  <c r="AH215" i="39" s="1"/>
  <c r="AG426" i="39"/>
  <c r="AG215" i="39"/>
  <c r="AG419" i="39"/>
  <c r="AG429" i="39"/>
  <c r="AH217" i="39" s="1"/>
  <c r="AG425" i="39"/>
  <c r="AG394" i="39"/>
  <c r="AG77" i="39" s="1"/>
  <c r="AG315" i="39"/>
  <c r="AG265" i="39"/>
  <c r="AG194" i="39"/>
  <c r="AG302" i="39"/>
  <c r="AG310" i="39"/>
  <c r="AG280" i="39"/>
  <c r="AG306" i="39"/>
  <c r="AG293" i="39"/>
  <c r="AG275" i="39"/>
  <c r="AD6" i="4"/>
  <c r="AD5" i="4"/>
  <c r="AF10" i="4"/>
  <c r="AE4" i="4"/>
  <c r="AE76" i="4"/>
  <c r="AG80" i="4"/>
  <c r="AF146" i="4"/>
  <c r="AD481" i="39"/>
  <c r="AD494" i="39" s="1"/>
  <c r="AG213" i="39"/>
  <c r="AF422" i="39"/>
  <c r="AE477" i="39"/>
  <c r="AD101" i="39"/>
  <c r="AJ181" i="39"/>
  <c r="AJ185" i="39"/>
  <c r="AJ184" i="39"/>
  <c r="AJ186" i="39"/>
  <c r="AE431" i="39"/>
  <c r="AJ152" i="39"/>
  <c r="AF430" i="39"/>
  <c r="AG218" i="39" s="1"/>
  <c r="AD505" i="39"/>
  <c r="AF113" i="39"/>
  <c r="AE501" i="39"/>
  <c r="AJ167" i="39"/>
  <c r="AJ175" i="39"/>
  <c r="AD372" i="39"/>
  <c r="AD373" i="39" s="1"/>
  <c r="AF395" i="39"/>
  <c r="AF77" i="39"/>
  <c r="AF397" i="39"/>
  <c r="AD364" i="39"/>
  <c r="AC100" i="39"/>
  <c r="AI471" i="39"/>
  <c r="AF370" i="39"/>
  <c r="AF368" i="39"/>
  <c r="AE369" i="39"/>
  <c r="AF371" i="39"/>
  <c r="AF359" i="39"/>
  <c r="AE486" i="39"/>
  <c r="AE360" i="39"/>
  <c r="AD489" i="39"/>
  <c r="AF362" i="39"/>
  <c r="AF361" i="39"/>
  <c r="AE363" i="39"/>
  <c r="AD348" i="39"/>
  <c r="AD74" i="39"/>
  <c r="AF346" i="39"/>
  <c r="AE488" i="39"/>
  <c r="AE347" i="39"/>
  <c r="Z209" i="39"/>
  <c r="Z210" i="39" s="1"/>
  <c r="Z224" i="39"/>
  <c r="AI470" i="39"/>
  <c r="AJ144" i="39"/>
  <c r="AJ89" i="39" s="1"/>
  <c r="AI89" i="39"/>
  <c r="AF286" i="39"/>
  <c r="AF281" i="39"/>
  <c r="AC325" i="39"/>
  <c r="AC276" i="39"/>
  <c r="AC277" i="39" s="1"/>
  <c r="AE59" i="39"/>
  <c r="AI177" i="39"/>
  <c r="AI92" i="39" s="1"/>
  <c r="AF336" i="39"/>
  <c r="AA474" i="39"/>
  <c r="AE324" i="39"/>
  <c r="AD288" i="39"/>
  <c r="AB206" i="39"/>
  <c r="AA222" i="39"/>
  <c r="AJ256" i="39"/>
  <c r="AK255" i="39"/>
  <c r="AF267" i="39"/>
  <c r="Y95" i="39"/>
  <c r="AA207" i="39"/>
  <c r="AE269" i="39"/>
  <c r="AD79" i="39"/>
  <c r="AL18" i="39"/>
  <c r="AK19" i="39"/>
  <c r="AK147" i="39" s="1"/>
  <c r="AF268" i="39"/>
  <c r="AJ20" i="39"/>
  <c r="AK16" i="39"/>
  <c r="AJ17" i="39"/>
  <c r="AJ133" i="39" s="1"/>
  <c r="AJ137" i="39"/>
  <c r="AJ44" i="39"/>
  <c r="AK22" i="39"/>
  <c r="AL21" i="39"/>
  <c r="AA513" i="39"/>
  <c r="AG135" i="39"/>
  <c r="AB506" i="39"/>
  <c r="Q60" i="39"/>
  <c r="Q62" i="39"/>
  <c r="AD352" i="39"/>
  <c r="AC354" i="39"/>
  <c r="AC63" i="39" s="1"/>
  <c r="AB221" i="39"/>
  <c r="Z120" i="39"/>
  <c r="Z126" i="39" s="1"/>
  <c r="AD238" i="39"/>
  <c r="AD239" i="39" s="1"/>
  <c r="AE237" i="39"/>
  <c r="AG136" i="39"/>
  <c r="AG284" i="39" s="1"/>
  <c r="AD274" i="39"/>
  <c r="AB441" i="39"/>
  <c r="AB125" i="39" s="1"/>
  <c r="AB511" i="39"/>
  <c r="AE285" i="39"/>
  <c r="AD38" i="39"/>
  <c r="AC40" i="39"/>
  <c r="AC107" i="39" s="1"/>
  <c r="AC111" i="39"/>
  <c r="R482" i="39"/>
  <c r="R493" i="39"/>
  <c r="R485" i="39"/>
  <c r="AC208" i="39"/>
  <c r="AD473" i="39"/>
  <c r="AG139" i="39"/>
  <c r="AD338" i="39"/>
  <c r="AD36" i="39" s="1"/>
  <c r="AD500" i="39"/>
  <c r="AH189" i="39"/>
  <c r="AB88" i="39"/>
  <c r="AB93" i="39" s="1"/>
  <c r="R53" i="39"/>
  <c r="AF307" i="39"/>
  <c r="AC223" i="39"/>
  <c r="AC216" i="39"/>
  <c r="AC112" i="39" s="1"/>
  <c r="AC119" i="39" s="1"/>
  <c r="AE34" i="39"/>
  <c r="AE140" i="39"/>
  <c r="AE47" i="39" s="1"/>
  <c r="AI187" i="39"/>
  <c r="AD438" i="39"/>
  <c r="AC469" i="39"/>
  <c r="AC440" i="39"/>
  <c r="AL253" i="39"/>
  <c r="AA355" i="39"/>
  <c r="AA56" i="39" s="1"/>
  <c r="AG134" i="39"/>
  <c r="AF138" i="39"/>
  <c r="AF311" i="39"/>
  <c r="AF299" i="39"/>
  <c r="AD37" i="39"/>
  <c r="AD103" i="39"/>
  <c r="AE90" i="39"/>
  <c r="AF153" i="39"/>
  <c r="AF241" i="39"/>
  <c r="AE507" i="39"/>
  <c r="AE334" i="39"/>
  <c r="AE121" i="39"/>
  <c r="AE472" i="39"/>
  <c r="AE91" i="39"/>
  <c r="AK254" i="39"/>
  <c r="AB327" i="39"/>
  <c r="AB329" i="39" s="1"/>
  <c r="AE342" i="39"/>
  <c r="AF341" i="39"/>
  <c r="AE504" i="39"/>
  <c r="AE287" i="39"/>
  <c r="AF396" i="39"/>
  <c r="AE398" i="39"/>
  <c r="AE102" i="39" s="1"/>
  <c r="AE80" i="39"/>
  <c r="AF195" i="39"/>
  <c r="AF198" i="39" s="1"/>
  <c r="AL263" i="39"/>
  <c r="AF303" i="39"/>
  <c r="AF316" i="39"/>
  <c r="AF317" i="39" s="1"/>
  <c r="AF190" i="39"/>
  <c r="AE292" i="39"/>
  <c r="AE294" i="39" s="1"/>
  <c r="AE295" i="39" s="1"/>
  <c r="AE192" i="39"/>
  <c r="AF337" i="39"/>
  <c r="AE479" i="39"/>
  <c r="AB99" i="39"/>
  <c r="AB104" i="39" s="1"/>
  <c r="AF266" i="39"/>
  <c r="AI132" i="39"/>
  <c r="AI11" i="39"/>
  <c r="AH12" i="39"/>
  <c r="AH13" i="39"/>
  <c r="AH298" i="39" s="1"/>
  <c r="AG14" i="39"/>
  <c r="Q7" i="39"/>
  <c r="Q8" i="39" s="1"/>
  <c r="AH394" i="39" l="1"/>
  <c r="AH77" i="39" s="1"/>
  <c r="AH425" i="39"/>
  <c r="AH429" i="39"/>
  <c r="AH419" i="39"/>
  <c r="AH426" i="39"/>
  <c r="AH421" i="39"/>
  <c r="AI215" i="39" s="1"/>
  <c r="AG420" i="39"/>
  <c r="AH214" i="39" s="1"/>
  <c r="AH306" i="39"/>
  <c r="AH280" i="39"/>
  <c r="AH310" i="39"/>
  <c r="AH302" i="39"/>
  <c r="AH194" i="39"/>
  <c r="AH275" i="39"/>
  <c r="AH265" i="39"/>
  <c r="AH293" i="39"/>
  <c r="AH315" i="39"/>
  <c r="AH80" i="4"/>
  <c r="AG146" i="4"/>
  <c r="AE6" i="4"/>
  <c r="AE5" i="4"/>
  <c r="AG10" i="4"/>
  <c r="AF4" i="4"/>
  <c r="AF76" i="4"/>
  <c r="AK184" i="39"/>
  <c r="AE481" i="39"/>
  <c r="AE494" i="39" s="1"/>
  <c r="AK186" i="39"/>
  <c r="AH213" i="39"/>
  <c r="AE101" i="39"/>
  <c r="AK152" i="39"/>
  <c r="AK185" i="39"/>
  <c r="AK181" i="39"/>
  <c r="AE505" i="39"/>
  <c r="AF431" i="39"/>
  <c r="AK175" i="39"/>
  <c r="AK176" i="39" s="1"/>
  <c r="AK167" i="39"/>
  <c r="AK168" i="39" s="1"/>
  <c r="AK171" i="39" s="1"/>
  <c r="AG430" i="39"/>
  <c r="AH218" i="39" s="1"/>
  <c r="AI217" i="39"/>
  <c r="AG113" i="39"/>
  <c r="AF501" i="39"/>
  <c r="AF477" i="39"/>
  <c r="AJ168" i="39"/>
  <c r="AJ171" i="39" s="1"/>
  <c r="AJ176" i="39"/>
  <c r="AJ177" i="39" s="1"/>
  <c r="AJ471" i="39"/>
  <c r="AG478" i="39"/>
  <c r="AD100" i="39"/>
  <c r="AG397" i="39"/>
  <c r="AG395" i="39"/>
  <c r="AJ145" i="39"/>
  <c r="AJ148" i="39" s="1"/>
  <c r="AJ470" i="39"/>
  <c r="AK144" i="39"/>
  <c r="AK89" i="39" s="1"/>
  <c r="AA224" i="39"/>
  <c r="AA225" i="39" s="1"/>
  <c r="AE489" i="39"/>
  <c r="AG371" i="39"/>
  <c r="AG368" i="39"/>
  <c r="AF369" i="39"/>
  <c r="AE372" i="39"/>
  <c r="AG370" i="39"/>
  <c r="AF363" i="39"/>
  <c r="AG361" i="39"/>
  <c r="AG362" i="39"/>
  <c r="AE364" i="39"/>
  <c r="AG359" i="39"/>
  <c r="AF486" i="39"/>
  <c r="AF360" i="39"/>
  <c r="AE348" i="39"/>
  <c r="AE74" i="39"/>
  <c r="AG346" i="39"/>
  <c r="AF488" i="39"/>
  <c r="AF347" i="39"/>
  <c r="AA209" i="39"/>
  <c r="AA210" i="39" s="1"/>
  <c r="Z225" i="39"/>
  <c r="Z95" i="39" s="1"/>
  <c r="AE328" i="39"/>
  <c r="AG286" i="39"/>
  <c r="AD325" i="39"/>
  <c r="AD276" i="39"/>
  <c r="AD277" i="39" s="1"/>
  <c r="AG281" i="39"/>
  <c r="AF59" i="39"/>
  <c r="AG336" i="39"/>
  <c r="AF269" i="39"/>
  <c r="AC206" i="39"/>
  <c r="AB474" i="39"/>
  <c r="AC99" i="39"/>
  <c r="AC104" i="39" s="1"/>
  <c r="AK256" i="39"/>
  <c r="AL255" i="39"/>
  <c r="AB222" i="39"/>
  <c r="AF324" i="39"/>
  <c r="AG268" i="39"/>
  <c r="AB207" i="39"/>
  <c r="AH135" i="39"/>
  <c r="AM21" i="39"/>
  <c r="AL22" i="39"/>
  <c r="AL16" i="39"/>
  <c r="AK17" i="39"/>
  <c r="AK133" i="39" s="1"/>
  <c r="AK20" i="39"/>
  <c r="AM18" i="39"/>
  <c r="AL19" i="39"/>
  <c r="AK44" i="39"/>
  <c r="AK137" i="39"/>
  <c r="R232" i="39"/>
  <c r="R35" i="39" s="1"/>
  <c r="AG337" i="39"/>
  <c r="AL254" i="39"/>
  <c r="AG241" i="39"/>
  <c r="AG267" i="39"/>
  <c r="AE37" i="39"/>
  <c r="AE103" i="39"/>
  <c r="AF285" i="39"/>
  <c r="AC441" i="39"/>
  <c r="AC125" i="39" s="1"/>
  <c r="AC511" i="39"/>
  <c r="R51" i="39"/>
  <c r="R490" i="39"/>
  <c r="AJ132" i="39"/>
  <c r="AG303" i="39"/>
  <c r="AF80" i="39"/>
  <c r="AE79" i="39"/>
  <c r="AF90" i="39"/>
  <c r="AG153" i="39"/>
  <c r="AC88" i="39"/>
  <c r="AC93" i="39" s="1"/>
  <c r="AG307" i="39"/>
  <c r="AM253" i="39"/>
  <c r="AG195" i="39"/>
  <c r="AG198" i="39" s="1"/>
  <c r="AA120" i="39"/>
  <c r="AA126" i="39" s="1"/>
  <c r="AE438" i="39"/>
  <c r="AD469" i="39"/>
  <c r="AD440" i="39"/>
  <c r="R49" i="39"/>
  <c r="R50" i="39"/>
  <c r="AF237" i="39"/>
  <c r="AE238" i="39"/>
  <c r="AE239" i="39" s="1"/>
  <c r="AC221" i="39"/>
  <c r="R499" i="39"/>
  <c r="R514" i="39" s="1"/>
  <c r="R496" i="39"/>
  <c r="R71" i="39" s="1"/>
  <c r="S475" i="39" s="1"/>
  <c r="AG396" i="39"/>
  <c r="AF398" i="39"/>
  <c r="AF102" i="39" s="1"/>
  <c r="AE338" i="39"/>
  <c r="AE36" i="39" s="1"/>
  <c r="AE500" i="39"/>
  <c r="AG311" i="39"/>
  <c r="AI189" i="39"/>
  <c r="AH139" i="39"/>
  <c r="AF479" i="39"/>
  <c r="AD208" i="39"/>
  <c r="AG316" i="39"/>
  <c r="AG317" i="39" s="1"/>
  <c r="AG190" i="39"/>
  <c r="AF292" i="39"/>
  <c r="AF294" i="39" s="1"/>
  <c r="AF295" i="39" s="1"/>
  <c r="AF192" i="39"/>
  <c r="AF287" i="39"/>
  <c r="AF34" i="39"/>
  <c r="AF140" i="39"/>
  <c r="AF47" i="39" s="1"/>
  <c r="AJ187" i="39"/>
  <c r="AD223" i="39"/>
  <c r="AD216" i="39"/>
  <c r="AD112" i="39" s="1"/>
  <c r="AD119" i="39" s="1"/>
  <c r="AE38" i="39"/>
  <c r="AD40" i="39"/>
  <c r="AD107" i="39" s="1"/>
  <c r="AD111" i="39"/>
  <c r="R127" i="39"/>
  <c r="R106" i="39"/>
  <c r="AC327" i="39"/>
  <c r="AC329" i="39" s="1"/>
  <c r="AC506" i="39"/>
  <c r="AG266" i="39"/>
  <c r="AM263" i="39"/>
  <c r="AF334" i="39"/>
  <c r="AF507" i="39"/>
  <c r="AF121" i="39"/>
  <c r="AF472" i="39"/>
  <c r="AF91" i="39"/>
  <c r="AH134" i="39"/>
  <c r="AG138" i="39"/>
  <c r="AE288" i="39"/>
  <c r="AE274" i="39"/>
  <c r="AH136" i="39"/>
  <c r="AH284" i="39" s="1"/>
  <c r="AE352" i="39"/>
  <c r="AD354" i="39"/>
  <c r="AD63" i="39" s="1"/>
  <c r="AB513" i="39"/>
  <c r="AG299" i="39"/>
  <c r="AE94" i="39"/>
  <c r="AE193" i="39"/>
  <c r="AF342" i="39"/>
  <c r="AG341" i="39"/>
  <c r="AF504" i="39"/>
  <c r="AB355" i="39"/>
  <c r="AB56" i="39" s="1"/>
  <c r="AH14" i="39"/>
  <c r="AI13" i="39"/>
  <c r="AI298" i="39" s="1"/>
  <c r="AJ11" i="39"/>
  <c r="AI12" i="39"/>
  <c r="AG422" i="39" l="1"/>
  <c r="AH420" i="39"/>
  <c r="AI214" i="39" s="1"/>
  <c r="AI421" i="39"/>
  <c r="AI426" i="39"/>
  <c r="AI419" i="39"/>
  <c r="AI429" i="39"/>
  <c r="AJ217" i="39" s="1"/>
  <c r="AI425" i="39"/>
  <c r="AI420" i="39" s="1"/>
  <c r="AJ214" i="39" s="1"/>
  <c r="AI394" i="39"/>
  <c r="AI395" i="39" s="1"/>
  <c r="AI265" i="39"/>
  <c r="AI275" i="39"/>
  <c r="AI194" i="39"/>
  <c r="AI302" i="39"/>
  <c r="AI310" i="39"/>
  <c r="AI315" i="39"/>
  <c r="AI280" i="39"/>
  <c r="AI293" i="39"/>
  <c r="AI306" i="39"/>
  <c r="AF6" i="4"/>
  <c r="AF5" i="4"/>
  <c r="AH10" i="4"/>
  <c r="AG4" i="4"/>
  <c r="AG76" i="4"/>
  <c r="AI80" i="4"/>
  <c r="AH146" i="4"/>
  <c r="R39" i="39"/>
  <c r="R128" i="39" s="1"/>
  <c r="R46" i="39"/>
  <c r="AL181" i="39"/>
  <c r="AF481" i="39"/>
  <c r="AF494" i="39" s="1"/>
  <c r="AL152" i="39"/>
  <c r="AL185" i="39"/>
  <c r="AI213" i="39"/>
  <c r="AH422" i="39"/>
  <c r="AG477" i="39"/>
  <c r="AF101" i="39"/>
  <c r="AL175" i="39"/>
  <c r="AL186" i="39"/>
  <c r="AL184" i="39"/>
  <c r="AG431" i="39"/>
  <c r="AK471" i="39"/>
  <c r="AL167" i="39"/>
  <c r="AF505" i="39"/>
  <c r="AH430" i="39"/>
  <c r="AI218" i="39" s="1"/>
  <c r="AH113" i="39"/>
  <c r="AG501" i="39"/>
  <c r="AJ92" i="39"/>
  <c r="AJ215" i="39"/>
  <c r="AL137" i="39"/>
  <c r="AL44" i="39"/>
  <c r="AK145" i="39"/>
  <c r="AK148" i="39" s="1"/>
  <c r="AK470" i="39"/>
  <c r="AL144" i="39"/>
  <c r="AL145" i="39" s="1"/>
  <c r="AH395" i="39"/>
  <c r="AH478" i="39"/>
  <c r="AH397" i="39"/>
  <c r="AH371" i="39"/>
  <c r="AF372" i="39"/>
  <c r="AF373" i="39" s="1"/>
  <c r="AH370" i="39"/>
  <c r="AF364" i="39"/>
  <c r="AH368" i="39"/>
  <c r="AG369" i="39"/>
  <c r="AE373" i="39"/>
  <c r="AE100" i="39" s="1"/>
  <c r="AH359" i="39"/>
  <c r="AG486" i="39"/>
  <c r="AG360" i="39"/>
  <c r="AF489" i="39"/>
  <c r="AH362" i="39"/>
  <c r="AH361" i="39"/>
  <c r="AG363" i="39"/>
  <c r="AF348" i="39"/>
  <c r="AF74" i="39"/>
  <c r="AB224" i="39"/>
  <c r="AB225" i="39" s="1"/>
  <c r="AH346" i="39"/>
  <c r="AG488" i="39"/>
  <c r="AG347" i="39"/>
  <c r="AB209" i="39"/>
  <c r="AB210" i="39" s="1"/>
  <c r="AF328" i="39"/>
  <c r="AH286" i="39"/>
  <c r="AG59" i="39"/>
  <c r="AE325" i="39"/>
  <c r="AE276" i="39"/>
  <c r="AE277" i="39" s="1"/>
  <c r="AH281" i="39"/>
  <c r="AK177" i="39"/>
  <c r="AK92" i="39" s="1"/>
  <c r="AM255" i="39"/>
  <c r="AL256" i="39"/>
  <c r="AD206" i="39"/>
  <c r="AC474" i="39"/>
  <c r="AC513" i="39"/>
  <c r="AG324" i="39"/>
  <c r="AA95" i="39"/>
  <c r="AG269" i="39"/>
  <c r="AC207" i="39"/>
  <c r="AH268" i="39"/>
  <c r="AC222" i="39"/>
  <c r="AI135" i="39"/>
  <c r="AH241" i="39"/>
  <c r="AG287" i="39"/>
  <c r="AG479" i="39"/>
  <c r="AE208" i="39"/>
  <c r="AM16" i="39"/>
  <c r="AL17" i="39"/>
  <c r="AL133" i="39" s="1"/>
  <c r="AL20" i="39"/>
  <c r="R41" i="39"/>
  <c r="R45" i="39" s="1"/>
  <c r="AM22" i="39"/>
  <c r="AN21" i="39"/>
  <c r="AM19" i="39"/>
  <c r="AN18" i="39"/>
  <c r="AL147" i="39"/>
  <c r="AH267" i="39"/>
  <c r="AH337" i="39"/>
  <c r="R497" i="39"/>
  <c r="AF79" i="39"/>
  <c r="AM254" i="39"/>
  <c r="AE473" i="39"/>
  <c r="AN263" i="39"/>
  <c r="AE223" i="39"/>
  <c r="AE216" i="39"/>
  <c r="AE112" i="39" s="1"/>
  <c r="AE119" i="39" s="1"/>
  <c r="AH190" i="39"/>
  <c r="AG292" i="39"/>
  <c r="AG294" i="39" s="1"/>
  <c r="AG295" i="39" s="1"/>
  <c r="AG192" i="39"/>
  <c r="AH336" i="39"/>
  <c r="AD221" i="39"/>
  <c r="R515" i="39"/>
  <c r="AD506" i="39"/>
  <c r="AJ189" i="39"/>
  <c r="AB120" i="39"/>
  <c r="AB126" i="39" s="1"/>
  <c r="AF352" i="39"/>
  <c r="AE354" i="39"/>
  <c r="AE63" i="39" s="1"/>
  <c r="AH266" i="39"/>
  <c r="AC355" i="39"/>
  <c r="AC56" i="39" s="1"/>
  <c r="AK187" i="39"/>
  <c r="AH316" i="39"/>
  <c r="AH317" i="39" s="1"/>
  <c r="AD441" i="39"/>
  <c r="AD125" i="39" s="1"/>
  <c r="AD511" i="39"/>
  <c r="AG90" i="39"/>
  <c r="AH153" i="39"/>
  <c r="AF288" i="39"/>
  <c r="AF274" i="39"/>
  <c r="AF338" i="39"/>
  <c r="AF36" i="39" s="1"/>
  <c r="AF500" i="39"/>
  <c r="AI139" i="39"/>
  <c r="AH396" i="39"/>
  <c r="AG398" i="39"/>
  <c r="AG102" i="39" s="1"/>
  <c r="AD88" i="39"/>
  <c r="AD93" i="39" s="1"/>
  <c r="AH195" i="39"/>
  <c r="AH198" i="39" s="1"/>
  <c r="AH311" i="39"/>
  <c r="AG507" i="39"/>
  <c r="AG334" i="39"/>
  <c r="AG121" i="39"/>
  <c r="AG91" i="39"/>
  <c r="AG472" i="39"/>
  <c r="AE40" i="39"/>
  <c r="AE107" i="39" s="1"/>
  <c r="AF38" i="39"/>
  <c r="AE111" i="39"/>
  <c r="R64" i="39"/>
  <c r="R65" i="39" s="1"/>
  <c r="R67" i="39" s="1"/>
  <c r="R78" i="39"/>
  <c r="R85" i="39"/>
  <c r="S476" i="39"/>
  <c r="AF438" i="39"/>
  <c r="AE469" i="39"/>
  <c r="AE440" i="39"/>
  <c r="AG285" i="39"/>
  <c r="AH341" i="39"/>
  <c r="AG342" i="39"/>
  <c r="AG504" i="39"/>
  <c r="AI136" i="39"/>
  <c r="AI284" i="39" s="1"/>
  <c r="AG34" i="39"/>
  <c r="AG140" i="39"/>
  <c r="AG47" i="39" s="1"/>
  <c r="AF94" i="39"/>
  <c r="AF193" i="39"/>
  <c r="AN253" i="39"/>
  <c r="AH307" i="39"/>
  <c r="AG80" i="39"/>
  <c r="AK132" i="39"/>
  <c r="AF37" i="39"/>
  <c r="AF103" i="39"/>
  <c r="AH299" i="39"/>
  <c r="AD327" i="39"/>
  <c r="AD329" i="39" s="1"/>
  <c r="AI134" i="39"/>
  <c r="AH138" i="39"/>
  <c r="R108" i="39"/>
  <c r="R109" i="39" s="1"/>
  <c r="R70" i="39"/>
  <c r="S96" i="39" s="1"/>
  <c r="AD99" i="39"/>
  <c r="AD104" i="39" s="1"/>
  <c r="AG237" i="39"/>
  <c r="AF238" i="39"/>
  <c r="AF239" i="39" s="1"/>
  <c r="AH303" i="39"/>
  <c r="AK11" i="39"/>
  <c r="AJ12" i="39"/>
  <c r="AI14" i="39"/>
  <c r="AJ13" i="39"/>
  <c r="AJ298" i="39" s="1"/>
  <c r="AJ394" i="39" l="1"/>
  <c r="AJ77" i="39" s="1"/>
  <c r="AJ425" i="39"/>
  <c r="AJ429" i="39"/>
  <c r="AK217" i="39" s="1"/>
  <c r="AJ419" i="39"/>
  <c r="AJ426" i="39"/>
  <c r="AJ421" i="39"/>
  <c r="AK215" i="39" s="1"/>
  <c r="AJ280" i="39"/>
  <c r="AJ315" i="39"/>
  <c r="AJ310" i="39"/>
  <c r="AJ302" i="39"/>
  <c r="AJ194" i="39"/>
  <c r="AJ306" i="39"/>
  <c r="AJ275" i="39"/>
  <c r="AJ293" i="39"/>
  <c r="AJ265" i="39"/>
  <c r="AJ80" i="4"/>
  <c r="AI146" i="4"/>
  <c r="AG5" i="4"/>
  <c r="AG6" i="4"/>
  <c r="AI10" i="4"/>
  <c r="AH4" i="4"/>
  <c r="AH76" i="4"/>
  <c r="AM181" i="39"/>
  <c r="S97" i="39"/>
  <c r="S98" i="39" s="1"/>
  <c r="S231" i="39"/>
  <c r="S229" i="39"/>
  <c r="S230" i="39"/>
  <c r="AM185" i="39"/>
  <c r="AM186" i="39"/>
  <c r="AM152" i="39"/>
  <c r="AG481" i="39"/>
  <c r="AG494" i="39" s="1"/>
  <c r="AM175" i="39"/>
  <c r="AM176" i="39" s="1"/>
  <c r="AM184" i="39"/>
  <c r="AJ213" i="39"/>
  <c r="AI422" i="39"/>
  <c r="AH477" i="39"/>
  <c r="AL471" i="39"/>
  <c r="AG101" i="39"/>
  <c r="AL176" i="39"/>
  <c r="AL177" i="39" s="1"/>
  <c r="AM167" i="39"/>
  <c r="AM44" i="39"/>
  <c r="AH431" i="39"/>
  <c r="AG505" i="39"/>
  <c r="AL168" i="39"/>
  <c r="AL171" i="39" s="1"/>
  <c r="AI430" i="39"/>
  <c r="AJ218" i="39" s="1"/>
  <c r="AI113" i="39"/>
  <c r="AH501" i="39"/>
  <c r="AM144" i="39"/>
  <c r="AM470" i="39" s="1"/>
  <c r="AL470" i="39"/>
  <c r="AJ420" i="39"/>
  <c r="AK214" i="39" s="1"/>
  <c r="AL89" i="39"/>
  <c r="AI478" i="39"/>
  <c r="AI371" i="39"/>
  <c r="AI77" i="39"/>
  <c r="AI397" i="39"/>
  <c r="AF100" i="39"/>
  <c r="AI368" i="39"/>
  <c r="AH369" i="39"/>
  <c r="AG489" i="39"/>
  <c r="AG372" i="39"/>
  <c r="AI370" i="39"/>
  <c r="AH363" i="39"/>
  <c r="AI361" i="39"/>
  <c r="AC209" i="39"/>
  <c r="AC210" i="39" s="1"/>
  <c r="AI362" i="39"/>
  <c r="AG364" i="39"/>
  <c r="AI359" i="39"/>
  <c r="AH486" i="39"/>
  <c r="AH360" i="39"/>
  <c r="AC224" i="39"/>
  <c r="AG348" i="39"/>
  <c r="AG74" i="39"/>
  <c r="AI346" i="39"/>
  <c r="AH488" i="39"/>
  <c r="AH347" i="39"/>
  <c r="AG328" i="39"/>
  <c r="AI286" i="39"/>
  <c r="AF325" i="39"/>
  <c r="AF276" i="39"/>
  <c r="AF277" i="39" s="1"/>
  <c r="AI281" i="39"/>
  <c r="AM256" i="39"/>
  <c r="AE206" i="39"/>
  <c r="AG79" i="39"/>
  <c r="AD474" i="39"/>
  <c r="AD207" i="39"/>
  <c r="AH324" i="39"/>
  <c r="AD222" i="39"/>
  <c r="S228" i="39"/>
  <c r="S48" i="39" s="1"/>
  <c r="AG288" i="39"/>
  <c r="AB95" i="39"/>
  <c r="AJ135" i="39"/>
  <c r="AI241" i="39"/>
  <c r="AH269" i="39"/>
  <c r="AE99" i="39"/>
  <c r="AE104" i="39" s="1"/>
  <c r="AL148" i="39"/>
  <c r="AF208" i="39"/>
  <c r="AO18" i="39"/>
  <c r="AN19" i="39"/>
  <c r="AN16" i="39"/>
  <c r="AM20" i="39"/>
  <c r="AM17" i="39"/>
  <c r="AM133" i="39" s="1"/>
  <c r="AO21" i="39"/>
  <c r="AN22" i="39"/>
  <c r="AM137" i="39"/>
  <c r="AM147" i="39"/>
  <c r="AD355" i="39"/>
  <c r="AI336" i="39"/>
  <c r="AH285" i="39"/>
  <c r="AO253" i="39"/>
  <c r="R81" i="39"/>
  <c r="R82" i="39" s="1"/>
  <c r="R483" i="39"/>
  <c r="AG338" i="39"/>
  <c r="AG36" i="39" s="1"/>
  <c r="AG500" i="39"/>
  <c r="AI311" i="39"/>
  <c r="AJ139" i="39"/>
  <c r="AE327" i="39"/>
  <c r="AE329" i="39" s="1"/>
  <c r="AI316" i="39"/>
  <c r="AI317" i="39" s="1"/>
  <c r="AI266" i="39"/>
  <c r="AI268" i="39"/>
  <c r="AN255" i="39"/>
  <c r="AH90" i="39"/>
  <c r="AI153" i="39"/>
  <c r="AI190" i="39"/>
  <c r="AH292" i="39"/>
  <c r="AH294" i="39" s="1"/>
  <c r="AH295" i="39" s="1"/>
  <c r="AH192" i="39"/>
  <c r="AG274" i="39"/>
  <c r="AE506" i="39"/>
  <c r="AI337" i="39"/>
  <c r="AN254" i="39"/>
  <c r="R57" i="39"/>
  <c r="R58" i="39" s="1"/>
  <c r="AH237" i="39"/>
  <c r="AG238" i="39"/>
  <c r="AG239" i="39" s="1"/>
  <c r="AH34" i="39"/>
  <c r="AH140" i="39"/>
  <c r="AH47" i="39" s="1"/>
  <c r="AH507" i="39"/>
  <c r="AH334" i="39"/>
  <c r="AH121" i="39"/>
  <c r="AH472" i="39"/>
  <c r="AH91" i="39"/>
  <c r="AG352" i="39"/>
  <c r="AF354" i="39"/>
  <c r="AF63" i="39" s="1"/>
  <c r="AE221" i="39"/>
  <c r="AI299" i="39"/>
  <c r="AI303" i="39"/>
  <c r="AJ134" i="39"/>
  <c r="AI138" i="39"/>
  <c r="AL132" i="39"/>
  <c r="AF473" i="39"/>
  <c r="AH479" i="39"/>
  <c r="AE441" i="39"/>
  <c r="AE125" i="39" s="1"/>
  <c r="AE511" i="39"/>
  <c r="AF40" i="39"/>
  <c r="AF107" i="39" s="1"/>
  <c r="AG38" i="39"/>
  <c r="AF111" i="39"/>
  <c r="AI195" i="39"/>
  <c r="AI198" i="39" s="1"/>
  <c r="AF223" i="39"/>
  <c r="AF216" i="39"/>
  <c r="AF112" i="39" s="1"/>
  <c r="AF119" i="39" s="1"/>
  <c r="AI341" i="39"/>
  <c r="AH342" i="39"/>
  <c r="AH504" i="39"/>
  <c r="AH80" i="39"/>
  <c r="AJ136" i="39"/>
  <c r="AJ284" i="39" s="1"/>
  <c r="AE88" i="39"/>
  <c r="AE93" i="39" s="1"/>
  <c r="AK189" i="39"/>
  <c r="AI267" i="39"/>
  <c r="AG438" i="39"/>
  <c r="AF469" i="39"/>
  <c r="AF440" i="39"/>
  <c r="AL187" i="39"/>
  <c r="AG94" i="39"/>
  <c r="AG193" i="39"/>
  <c r="AO263" i="39"/>
  <c r="AI396" i="39"/>
  <c r="AH398" i="39"/>
  <c r="AH102" i="39" s="1"/>
  <c r="AI307" i="39"/>
  <c r="AH287" i="39"/>
  <c r="AG37" i="39"/>
  <c r="AG103" i="39"/>
  <c r="AC120" i="39"/>
  <c r="AC126" i="39" s="1"/>
  <c r="AD513" i="39"/>
  <c r="AH59" i="39"/>
  <c r="AJ14" i="39"/>
  <c r="AK13" i="39"/>
  <c r="AK298" i="39" s="1"/>
  <c r="AL11" i="39"/>
  <c r="AK12" i="39"/>
  <c r="AK421" i="39" l="1"/>
  <c r="AK426" i="39"/>
  <c r="AK419" i="39"/>
  <c r="AK429" i="39"/>
  <c r="AL217" i="39" s="1"/>
  <c r="AK425" i="39"/>
  <c r="AK420" i="39" s="1"/>
  <c r="AL214" i="39" s="1"/>
  <c r="AK394" i="39"/>
  <c r="AK275" i="39"/>
  <c r="AK306" i="39"/>
  <c r="AK194" i="39"/>
  <c r="AK302" i="39"/>
  <c r="AK310" i="39"/>
  <c r="AK265" i="39"/>
  <c r="AK315" i="39"/>
  <c r="AK293" i="39"/>
  <c r="AK280" i="39"/>
  <c r="AN181" i="39"/>
  <c r="AH6" i="4"/>
  <c r="AH5" i="4"/>
  <c r="AJ10" i="4"/>
  <c r="AI4" i="4"/>
  <c r="AI76" i="4"/>
  <c r="AK80" i="4"/>
  <c r="AJ146" i="4"/>
  <c r="AN185" i="39"/>
  <c r="S49" i="39"/>
  <c r="S53" i="39"/>
  <c r="AD120" i="39"/>
  <c r="AD126" i="39" s="1"/>
  <c r="AD56" i="39"/>
  <c r="AH481" i="39"/>
  <c r="AH494" i="39" s="1"/>
  <c r="AM471" i="39"/>
  <c r="AM168" i="39"/>
  <c r="AM171" i="39" s="1"/>
  <c r="AK213" i="39"/>
  <c r="AJ422" i="39"/>
  <c r="AI477" i="39"/>
  <c r="AH101" i="39"/>
  <c r="AN186" i="39"/>
  <c r="AN184" i="39"/>
  <c r="AN44" i="39"/>
  <c r="AI431" i="39"/>
  <c r="AL92" i="39"/>
  <c r="AH505" i="39"/>
  <c r="AJ430" i="39"/>
  <c r="AK218" i="39" s="1"/>
  <c r="AM145" i="39"/>
  <c r="AM148" i="39" s="1"/>
  <c r="AJ113" i="39"/>
  <c r="AI501" i="39"/>
  <c r="AL215" i="39"/>
  <c r="AN147" i="39"/>
  <c r="AN144" i="39"/>
  <c r="AN175" i="39"/>
  <c r="AN176" i="39" s="1"/>
  <c r="AN167" i="39"/>
  <c r="AN152" i="39"/>
  <c r="AJ371" i="39"/>
  <c r="AJ395" i="39"/>
  <c r="AJ478" i="39"/>
  <c r="AJ397" i="39"/>
  <c r="AH372" i="39"/>
  <c r="AH373" i="39" s="1"/>
  <c r="AH364" i="39"/>
  <c r="AJ370" i="39"/>
  <c r="AJ368" i="39"/>
  <c r="AI369" i="39"/>
  <c r="AG373" i="39"/>
  <c r="AG100" i="39" s="1"/>
  <c r="AJ359" i="39"/>
  <c r="AI486" i="39"/>
  <c r="AI360" i="39"/>
  <c r="AH489" i="39"/>
  <c r="AJ362" i="39"/>
  <c r="AJ361" i="39"/>
  <c r="AD209" i="39"/>
  <c r="AD210" i="39" s="1"/>
  <c r="AI363" i="39"/>
  <c r="AC225" i="39"/>
  <c r="AC95" i="39" s="1"/>
  <c r="AD224" i="39"/>
  <c r="AH348" i="39"/>
  <c r="AH74" i="39"/>
  <c r="AJ346" i="39"/>
  <c r="AI488" i="39"/>
  <c r="AI347" i="39"/>
  <c r="AH328" i="39"/>
  <c r="AH79" i="39"/>
  <c r="AM177" i="39"/>
  <c r="AJ286" i="39"/>
  <c r="AJ281" i="39"/>
  <c r="AG325" i="39"/>
  <c r="AG276" i="39"/>
  <c r="AG277" i="39" s="1"/>
  <c r="AE474" i="39"/>
  <c r="AK135" i="39"/>
  <c r="AI59" i="39"/>
  <c r="AI324" i="39"/>
  <c r="AF206" i="39"/>
  <c r="S50" i="39"/>
  <c r="AN256" i="39"/>
  <c r="S482" i="39"/>
  <c r="S485" i="39"/>
  <c r="S493" i="39"/>
  <c r="AE222" i="39"/>
  <c r="AE207" i="39"/>
  <c r="AJ241" i="39"/>
  <c r="AG208" i="39"/>
  <c r="AJ267" i="39"/>
  <c r="AM89" i="39"/>
  <c r="AN20" i="39"/>
  <c r="AO16" i="39"/>
  <c r="AN17" i="39"/>
  <c r="AN133" i="39" s="1"/>
  <c r="AN137" i="39"/>
  <c r="AP18" i="39"/>
  <c r="AO19" i="39"/>
  <c r="AP21" i="39"/>
  <c r="AO22" i="39"/>
  <c r="AI479" i="39"/>
  <c r="AI287" i="39"/>
  <c r="AK139" i="39"/>
  <c r="AE355" i="39"/>
  <c r="AH288" i="39"/>
  <c r="AJ307" i="39"/>
  <c r="AK134" i="39"/>
  <c r="AJ138" i="39"/>
  <c r="AF441" i="39"/>
  <c r="AF125" i="39" s="1"/>
  <c r="AF511" i="39"/>
  <c r="AH274" i="39"/>
  <c r="AI90" i="39"/>
  <c r="AJ153" i="39"/>
  <c r="AP253" i="39"/>
  <c r="AF88" i="39"/>
  <c r="AF93" i="39" s="1"/>
  <c r="AK136" i="39"/>
  <c r="AK284" i="39" s="1"/>
  <c r="AJ303" i="39"/>
  <c r="AI237" i="39"/>
  <c r="AH238" i="39"/>
  <c r="AH239" i="39" s="1"/>
  <c r="AO254" i="39"/>
  <c r="AI269" i="39"/>
  <c r="AJ311" i="39"/>
  <c r="AJ341" i="39"/>
  <c r="AI342" i="39"/>
  <c r="AI504" i="39"/>
  <c r="AI34" i="39"/>
  <c r="AI140" i="39"/>
  <c r="AI47" i="39" s="1"/>
  <c r="AJ396" i="39"/>
  <c r="AI398" i="39"/>
  <c r="AI102" i="39" s="1"/>
  <c r="AH438" i="39"/>
  <c r="AG469" i="39"/>
  <c r="AG440" i="39"/>
  <c r="AJ195" i="39"/>
  <c r="AJ198" i="39" s="1"/>
  <c r="AJ336" i="39"/>
  <c r="AH338" i="39"/>
  <c r="AH36" i="39" s="1"/>
  <c r="AH500" i="39"/>
  <c r="AJ337" i="39"/>
  <c r="AO255" i="39"/>
  <c r="AJ266" i="39"/>
  <c r="AF327" i="39"/>
  <c r="AF329" i="39" s="1"/>
  <c r="AL189" i="39"/>
  <c r="AI80" i="39"/>
  <c r="AF99" i="39"/>
  <c r="AF104" i="39" s="1"/>
  <c r="AF506" i="39"/>
  <c r="AH94" i="39"/>
  <c r="AH193" i="39"/>
  <c r="AJ268" i="39"/>
  <c r="AP263" i="39"/>
  <c r="AM187" i="39"/>
  <c r="AG223" i="39"/>
  <c r="AG216" i="39"/>
  <c r="AG112" i="39" s="1"/>
  <c r="AG119" i="39" s="1"/>
  <c r="AH352" i="39"/>
  <c r="AG354" i="39"/>
  <c r="AG63" i="39" s="1"/>
  <c r="AI507" i="39"/>
  <c r="AI121" i="39"/>
  <c r="AI334" i="39"/>
  <c r="AI91" i="39"/>
  <c r="AI472" i="39"/>
  <c r="R60" i="39"/>
  <c r="R7" i="39" s="1"/>
  <c r="R8" i="39" s="1"/>
  <c r="R62" i="39"/>
  <c r="AJ316" i="39"/>
  <c r="AJ317" i="39" s="1"/>
  <c r="AF221" i="39"/>
  <c r="AG473" i="39"/>
  <c r="AH37" i="39"/>
  <c r="AH103" i="39"/>
  <c r="AG40" i="39"/>
  <c r="AG107" i="39" s="1"/>
  <c r="AH38" i="39"/>
  <c r="AG111" i="39"/>
  <c r="AM132" i="39"/>
  <c r="AJ299" i="39"/>
  <c r="AE513" i="39"/>
  <c r="AJ190" i="39"/>
  <c r="AI292" i="39"/>
  <c r="AI294" i="39" s="1"/>
  <c r="AI295" i="39" s="1"/>
  <c r="AI192" i="39"/>
  <c r="AI285" i="39"/>
  <c r="AL12" i="39"/>
  <c r="AM11" i="39"/>
  <c r="AL13" i="39"/>
  <c r="AL298" i="39" s="1"/>
  <c r="AK14" i="39"/>
  <c r="AL394" i="39" l="1"/>
  <c r="AL77" i="39" s="1"/>
  <c r="AL425" i="39"/>
  <c r="AL420" i="39" s="1"/>
  <c r="AM214" i="39" s="1"/>
  <c r="AL429" i="39"/>
  <c r="AM217" i="39" s="1"/>
  <c r="AL419" i="39"/>
  <c r="AL426" i="39"/>
  <c r="AK77" i="39"/>
  <c r="AL421" i="39"/>
  <c r="AM215" i="39" s="1"/>
  <c r="AL315" i="39"/>
  <c r="AL265" i="39"/>
  <c r="AL310" i="39"/>
  <c r="AL302" i="39"/>
  <c r="AL194" i="39"/>
  <c r="AL280" i="39"/>
  <c r="AL306" i="39"/>
  <c r="AL293" i="39"/>
  <c r="AL275" i="39"/>
  <c r="AO181" i="39"/>
  <c r="AL80" i="4"/>
  <c r="AK146" i="4"/>
  <c r="AI6" i="4"/>
  <c r="AI5" i="4"/>
  <c r="AK10" i="4"/>
  <c r="AJ4" i="4"/>
  <c r="AJ76" i="4"/>
  <c r="AE120" i="39"/>
  <c r="AE126" i="39" s="1"/>
  <c r="AE56" i="39"/>
  <c r="AI481" i="39"/>
  <c r="AI494" i="39" s="1"/>
  <c r="S106" i="39"/>
  <c r="S108" i="39" s="1"/>
  <c r="S109" i="39" s="1"/>
  <c r="S127" i="39"/>
  <c r="AM92" i="39"/>
  <c r="AL213" i="39"/>
  <c r="AK422" i="39"/>
  <c r="AO44" i="39"/>
  <c r="AJ477" i="39"/>
  <c r="AI101" i="39"/>
  <c r="AO184" i="39"/>
  <c r="AO186" i="39"/>
  <c r="AO185" i="39"/>
  <c r="AJ431" i="39"/>
  <c r="AI505" i="39"/>
  <c r="AO167" i="39"/>
  <c r="AO168" i="39" s="1"/>
  <c r="AO171" i="39" s="1"/>
  <c r="AO144" i="39"/>
  <c r="AO145" i="39" s="1"/>
  <c r="AK430" i="39"/>
  <c r="AL218" i="39" s="1"/>
  <c r="AO175" i="39"/>
  <c r="AO176" i="39" s="1"/>
  <c r="AN145" i="39"/>
  <c r="AN148" i="39" s="1"/>
  <c r="AN470" i="39"/>
  <c r="AK113" i="39"/>
  <c r="AJ501" i="39"/>
  <c r="AN89" i="39"/>
  <c r="AN168" i="39"/>
  <c r="AN171" i="39" s="1"/>
  <c r="AN471" i="39"/>
  <c r="AO152" i="39"/>
  <c r="AK395" i="39"/>
  <c r="AK478" i="39"/>
  <c r="AK371" i="39"/>
  <c r="AK397" i="39"/>
  <c r="AE224" i="39"/>
  <c r="AE225" i="39" s="1"/>
  <c r="AI489" i="39"/>
  <c r="AH100" i="39"/>
  <c r="AK368" i="39"/>
  <c r="AJ369" i="39"/>
  <c r="AI372" i="39"/>
  <c r="AK370" i="39"/>
  <c r="AJ363" i="39"/>
  <c r="AK361" i="39"/>
  <c r="AK362" i="39"/>
  <c r="AI364" i="39"/>
  <c r="AE209" i="39"/>
  <c r="AK359" i="39"/>
  <c r="AJ486" i="39"/>
  <c r="AJ360" i="39"/>
  <c r="AD225" i="39"/>
  <c r="AD95" i="39" s="1"/>
  <c r="AI348" i="39"/>
  <c r="AI74" i="39"/>
  <c r="AK346" i="39"/>
  <c r="AJ488" i="39"/>
  <c r="AJ347" i="39"/>
  <c r="AN177" i="39"/>
  <c r="AI328" i="39"/>
  <c r="AK286" i="39"/>
  <c r="AH325" i="39"/>
  <c r="AH276" i="39"/>
  <c r="AH277" i="39" s="1"/>
  <c r="AK281" i="39"/>
  <c r="AG206" i="39"/>
  <c r="AJ59" i="39"/>
  <c r="AK241" i="39"/>
  <c r="AF474" i="39"/>
  <c r="AF513" i="39"/>
  <c r="AO256" i="39"/>
  <c r="AJ324" i="39"/>
  <c r="S499" i="39"/>
  <c r="S514" i="39" s="1"/>
  <c r="S515" i="39" s="1"/>
  <c r="S496" i="39"/>
  <c r="S71" i="39" s="1"/>
  <c r="T475" i="39" s="1"/>
  <c r="AF207" i="39"/>
  <c r="S51" i="39"/>
  <c r="S490" i="39"/>
  <c r="S232" i="39"/>
  <c r="S35" i="39" s="1"/>
  <c r="AF222" i="39"/>
  <c r="AK267" i="39"/>
  <c r="AP255" i="39"/>
  <c r="AI288" i="39"/>
  <c r="AL139" i="39"/>
  <c r="AH208" i="39"/>
  <c r="AP254" i="39"/>
  <c r="AF355" i="39"/>
  <c r="AP16" i="39"/>
  <c r="AO20" i="39"/>
  <c r="AO17" i="39"/>
  <c r="AO133" i="39" s="1"/>
  <c r="AP22" i="39"/>
  <c r="AQ21" i="39"/>
  <c r="AO147" i="39"/>
  <c r="AQ18" i="39"/>
  <c r="AP19" i="39"/>
  <c r="AO137" i="39"/>
  <c r="AJ80" i="39"/>
  <c r="AG99" i="39"/>
  <c r="AG104" i="39" s="1"/>
  <c r="AI79" i="39"/>
  <c r="AL136" i="39"/>
  <c r="AL284" i="39" s="1"/>
  <c r="AL134" i="39"/>
  <c r="AK138" i="39"/>
  <c r="AM189" i="39"/>
  <c r="AN132" i="39"/>
  <c r="AI352" i="39"/>
  <c r="AH354" i="39"/>
  <c r="AH63" i="39" s="1"/>
  <c r="AN187" i="39"/>
  <c r="AK195" i="39"/>
  <c r="AK198" i="39" s="1"/>
  <c r="AJ90" i="39"/>
  <c r="AK153" i="39"/>
  <c r="AK307" i="39"/>
  <c r="AG221" i="39"/>
  <c r="AK268" i="39"/>
  <c r="AG441" i="39"/>
  <c r="AG125" i="39" s="1"/>
  <c r="AG511" i="39"/>
  <c r="AI37" i="39"/>
  <c r="AI103" i="39"/>
  <c r="AL135" i="39"/>
  <c r="AK299" i="39"/>
  <c r="AK316" i="39"/>
  <c r="AK317" i="39" s="1"/>
  <c r="AQ263" i="39"/>
  <c r="AH473" i="39"/>
  <c r="AG88" i="39"/>
  <c r="AG93" i="39" s="1"/>
  <c r="AK341" i="39"/>
  <c r="AJ342" i="39"/>
  <c r="AJ504" i="39"/>
  <c r="AK303" i="39"/>
  <c r="AG327" i="39"/>
  <c r="AG329" i="39" s="1"/>
  <c r="AJ34" i="39"/>
  <c r="AJ140" i="39"/>
  <c r="AJ47" i="39" s="1"/>
  <c r="AG506" i="39"/>
  <c r="AK337" i="39"/>
  <c r="AJ285" i="39"/>
  <c r="AI338" i="39"/>
  <c r="AI36" i="39" s="1"/>
  <c r="AI500" i="39"/>
  <c r="AI438" i="39"/>
  <c r="AH469" i="39"/>
  <c r="AH440" i="39"/>
  <c r="AJ237" i="39"/>
  <c r="AI238" i="39"/>
  <c r="AI239" i="39" s="1"/>
  <c r="AI274" i="39"/>
  <c r="AI94" i="39"/>
  <c r="AI193" i="39"/>
  <c r="AH40" i="39"/>
  <c r="AH107" i="39" s="1"/>
  <c r="AI38" i="39"/>
  <c r="AH111" i="39"/>
  <c r="AH223" i="39"/>
  <c r="AH216" i="39"/>
  <c r="AH112" i="39" s="1"/>
  <c r="AH119" i="39" s="1"/>
  <c r="AJ269" i="39"/>
  <c r="AK311" i="39"/>
  <c r="AK190" i="39"/>
  <c r="AJ292" i="39"/>
  <c r="AJ294" i="39" s="1"/>
  <c r="AJ295" i="39" s="1"/>
  <c r="AJ192" i="39"/>
  <c r="AJ507" i="39"/>
  <c r="AJ334" i="39"/>
  <c r="AJ121" i="39"/>
  <c r="AJ472" i="39"/>
  <c r="AJ91" i="39"/>
  <c r="AK266" i="39"/>
  <c r="AK336" i="39"/>
  <c r="AK396" i="39"/>
  <c r="AJ398" i="39"/>
  <c r="AJ102" i="39" s="1"/>
  <c r="AJ479" i="39"/>
  <c r="AQ253" i="39"/>
  <c r="AJ287" i="39"/>
  <c r="AM13" i="39"/>
  <c r="AM298" i="39" s="1"/>
  <c r="AL14" i="39"/>
  <c r="AM12" i="39"/>
  <c r="AN11" i="39"/>
  <c r="AM421" i="39" l="1"/>
  <c r="AN215" i="39" s="1"/>
  <c r="AM426" i="39"/>
  <c r="AM419" i="39"/>
  <c r="AM429" i="39"/>
  <c r="AN217" i="39" s="1"/>
  <c r="AM425" i="39"/>
  <c r="AM394" i="39"/>
  <c r="AM77" i="39" s="1"/>
  <c r="AM306" i="39"/>
  <c r="AM280" i="39"/>
  <c r="AM194" i="39"/>
  <c r="AM302" i="39"/>
  <c r="AM310" i="39"/>
  <c r="AM275" i="39"/>
  <c r="AM265" i="39"/>
  <c r="AM293" i="39"/>
  <c r="AM315" i="39"/>
  <c r="AP181" i="39"/>
  <c r="AJ5" i="4"/>
  <c r="AJ6" i="4"/>
  <c r="AL10" i="4"/>
  <c r="AK4" i="4"/>
  <c r="AK76" i="4"/>
  <c r="AM80" i="4"/>
  <c r="AL146" i="4"/>
  <c r="S70" i="39"/>
  <c r="T96" i="39" s="1"/>
  <c r="AF120" i="39"/>
  <c r="AF126" i="39" s="1"/>
  <c r="AF56" i="39"/>
  <c r="AJ481" i="39"/>
  <c r="AJ494" i="39" s="1"/>
  <c r="AP44" i="39"/>
  <c r="AM213" i="39"/>
  <c r="AL422" i="39"/>
  <c r="AJ101" i="39"/>
  <c r="AP185" i="39"/>
  <c r="AP186" i="39"/>
  <c r="AP184" i="39"/>
  <c r="AO470" i="39"/>
  <c r="AO89" i="39"/>
  <c r="AK431" i="39"/>
  <c r="AO471" i="39"/>
  <c r="AL430" i="39"/>
  <c r="AM218" i="39" s="1"/>
  <c r="AJ505" i="39"/>
  <c r="AL113" i="39"/>
  <c r="AK501" i="39"/>
  <c r="AK477" i="39"/>
  <c r="AM420" i="39"/>
  <c r="AN214" i="39" s="1"/>
  <c r="AL371" i="39"/>
  <c r="AN92" i="39"/>
  <c r="AP137" i="39"/>
  <c r="AP144" i="39"/>
  <c r="AP470" i="39" s="1"/>
  <c r="AP175" i="39"/>
  <c r="AP176" i="39" s="1"/>
  <c r="AP167" i="39"/>
  <c r="AP168" i="39" s="1"/>
  <c r="AP171" i="39" s="1"/>
  <c r="AP152" i="39"/>
  <c r="AL478" i="39"/>
  <c r="AL395" i="39"/>
  <c r="AF224" i="39"/>
  <c r="AF225" i="39" s="1"/>
  <c r="AL397" i="39"/>
  <c r="AF209" i="39"/>
  <c r="AF210" i="39" s="1"/>
  <c r="AE210" i="39"/>
  <c r="AJ372" i="39"/>
  <c r="AJ373" i="39" s="1"/>
  <c r="AJ364" i="39"/>
  <c r="AL370" i="39"/>
  <c r="AI373" i="39"/>
  <c r="AI100" i="39" s="1"/>
  <c r="AL368" i="39"/>
  <c r="AK369" i="39"/>
  <c r="AL359" i="39"/>
  <c r="AK486" i="39"/>
  <c r="AK360" i="39"/>
  <c r="AJ489" i="39"/>
  <c r="AL362" i="39"/>
  <c r="AL361" i="39"/>
  <c r="AK363" i="39"/>
  <c r="AO177" i="39"/>
  <c r="AO92" i="39" s="1"/>
  <c r="AJ348" i="39"/>
  <c r="AJ74" i="39"/>
  <c r="AL346" i="39"/>
  <c r="AK488" i="39"/>
  <c r="AK347" i="39"/>
  <c r="AJ328" i="39"/>
  <c r="AL241" i="39"/>
  <c r="AL286" i="39"/>
  <c r="AK59" i="39"/>
  <c r="AI325" i="39"/>
  <c r="AI276" i="39"/>
  <c r="AI277" i="39" s="1"/>
  <c r="AL281" i="39"/>
  <c r="AP256" i="39"/>
  <c r="AH206" i="39"/>
  <c r="AG474" i="39"/>
  <c r="AI208" i="39"/>
  <c r="S78" i="39"/>
  <c r="S85" i="39"/>
  <c r="T476" i="39"/>
  <c r="S64" i="39"/>
  <c r="S65" i="39" s="1"/>
  <c r="S67" i="39" s="1"/>
  <c r="S497" i="39"/>
  <c r="AG222" i="39"/>
  <c r="S46" i="39"/>
  <c r="AK324" i="39"/>
  <c r="AG207" i="39"/>
  <c r="AG513" i="39"/>
  <c r="AM139" i="39"/>
  <c r="AQ254" i="39"/>
  <c r="AK269" i="39"/>
  <c r="AL267" i="39"/>
  <c r="AO148" i="39"/>
  <c r="AK80" i="39"/>
  <c r="AK287" i="39"/>
  <c r="AL336" i="39"/>
  <c r="AR18" i="39"/>
  <c r="AQ19" i="39"/>
  <c r="AP20" i="39"/>
  <c r="AQ16" i="39"/>
  <c r="AP17" i="39"/>
  <c r="AP133" i="39" s="1"/>
  <c r="AP147" i="39"/>
  <c r="AR21" i="39"/>
  <c r="AQ22" i="39"/>
  <c r="AJ79" i="39"/>
  <c r="AG355" i="39"/>
  <c r="AM135" i="39"/>
  <c r="AJ288" i="39"/>
  <c r="AH506" i="39"/>
  <c r="AK34" i="39"/>
  <c r="AK140" i="39"/>
  <c r="AK47" i="39" s="1"/>
  <c r="AJ274" i="39"/>
  <c r="AH88" i="39"/>
  <c r="AH93" i="39" s="1"/>
  <c r="AK285" i="39"/>
  <c r="AR263" i="39"/>
  <c r="AJ352" i="39"/>
  <c r="AI354" i="39"/>
  <c r="AI63" i="39" s="1"/>
  <c r="AM134" i="39"/>
  <c r="AL138" i="39"/>
  <c r="AL396" i="39"/>
  <c r="AK398" i="39"/>
  <c r="AK102" i="39" s="1"/>
  <c r="AL190" i="39"/>
  <c r="AK292" i="39"/>
  <c r="AK294" i="39" s="1"/>
  <c r="AK295" i="39" s="1"/>
  <c r="AK192" i="39"/>
  <c r="AJ38" i="39"/>
  <c r="AI40" i="39"/>
  <c r="AI107" i="39" s="1"/>
  <c r="AI111" i="39"/>
  <c r="AJ438" i="39"/>
  <c r="AI469" i="39"/>
  <c r="AI440" i="39"/>
  <c r="AL299" i="39"/>
  <c r="AL307" i="39"/>
  <c r="AL195" i="39"/>
  <c r="AL198" i="39" s="1"/>
  <c r="AJ94" i="39"/>
  <c r="AJ193" i="39"/>
  <c r="AH327" i="39"/>
  <c r="AH329" i="39" s="1"/>
  <c r="AQ255" i="39"/>
  <c r="AL303" i="39"/>
  <c r="AL316" i="39"/>
  <c r="AL317" i="39" s="1"/>
  <c r="AH99" i="39"/>
  <c r="AH104" i="39" s="1"/>
  <c r="AL268" i="39"/>
  <c r="AH221" i="39"/>
  <c r="AK90" i="39"/>
  <c r="AL153" i="39"/>
  <c r="AO132" i="39"/>
  <c r="AL311" i="39"/>
  <c r="AI223" i="39"/>
  <c r="AI216" i="39"/>
  <c r="AI112" i="39" s="1"/>
  <c r="AI119" i="39" s="1"/>
  <c r="AI473" i="39"/>
  <c r="AK479" i="39"/>
  <c r="AL266" i="39"/>
  <c r="AJ338" i="39"/>
  <c r="AJ36" i="39" s="1"/>
  <c r="AJ500" i="39"/>
  <c r="AL337" i="39"/>
  <c r="AJ37" i="39"/>
  <c r="AJ103" i="39"/>
  <c r="AH441" i="39"/>
  <c r="AH125" i="39" s="1"/>
  <c r="AH511" i="39"/>
  <c r="AL341" i="39"/>
  <c r="AK342" i="39"/>
  <c r="AK504" i="39"/>
  <c r="AN189" i="39"/>
  <c r="AM136" i="39"/>
  <c r="AM284" i="39" s="1"/>
  <c r="AR253" i="39"/>
  <c r="AK507" i="39"/>
  <c r="AK121" i="39"/>
  <c r="AK334" i="39"/>
  <c r="AK91" i="39"/>
  <c r="AK472" i="39"/>
  <c r="AK237" i="39"/>
  <c r="AJ238" i="39"/>
  <c r="AO187" i="39"/>
  <c r="AN12" i="39"/>
  <c r="AO11" i="39"/>
  <c r="AN13" i="39"/>
  <c r="AN298" i="39" s="1"/>
  <c r="AM14" i="39"/>
  <c r="AQ181" i="39" l="1"/>
  <c r="AN394" i="39"/>
  <c r="AN478" i="39" s="1"/>
  <c r="AN425" i="39"/>
  <c r="AN420" i="39" s="1"/>
  <c r="AO214" i="39" s="1"/>
  <c r="AN429" i="39"/>
  <c r="AN419" i="39"/>
  <c r="AN426" i="39"/>
  <c r="AN421" i="39"/>
  <c r="AO215" i="39" s="1"/>
  <c r="AN265" i="39"/>
  <c r="AN275" i="39"/>
  <c r="AN310" i="39"/>
  <c r="AN302" i="39"/>
  <c r="AN194" i="39"/>
  <c r="AN315" i="39"/>
  <c r="AN280" i="39"/>
  <c r="AN293" i="39"/>
  <c r="AN306" i="39"/>
  <c r="S57" i="39"/>
  <c r="S58" i="39" s="1"/>
  <c r="S60" i="39" s="1"/>
  <c r="AN80" i="4"/>
  <c r="AM146" i="4"/>
  <c r="AK6" i="4"/>
  <c r="AK5" i="4"/>
  <c r="AM10" i="4"/>
  <c r="AL4" i="4"/>
  <c r="AL76" i="4"/>
  <c r="T97" i="39"/>
  <c r="T98" i="39" s="1"/>
  <c r="T229" i="39"/>
  <c r="T230" i="39"/>
  <c r="T231" i="39"/>
  <c r="AE95" i="39"/>
  <c r="AG120" i="39"/>
  <c r="AG126" i="39" s="1"/>
  <c r="AG56" i="39"/>
  <c r="AK481" i="39"/>
  <c r="AK494" i="39" s="1"/>
  <c r="AQ44" i="39"/>
  <c r="AN213" i="39"/>
  <c r="AM422" i="39"/>
  <c r="AL477" i="39"/>
  <c r="AK101" i="39"/>
  <c r="AQ184" i="39"/>
  <c r="AQ186" i="39"/>
  <c r="AQ185" i="39"/>
  <c r="AM371" i="39"/>
  <c r="AL431" i="39"/>
  <c r="AQ175" i="39"/>
  <c r="AM430" i="39"/>
  <c r="AN218" i="39" s="1"/>
  <c r="AQ144" i="39"/>
  <c r="AQ470" i="39" s="1"/>
  <c r="AK505" i="39"/>
  <c r="AO217" i="39"/>
  <c r="AM113" i="39"/>
  <c r="AL501" i="39"/>
  <c r="AP145" i="39"/>
  <c r="AP148" i="39" s="1"/>
  <c r="AP471" i="39"/>
  <c r="AP89" i="39"/>
  <c r="AQ167" i="39"/>
  <c r="AQ152" i="39"/>
  <c r="AG209" i="39"/>
  <c r="AG224" i="39"/>
  <c r="AG225" i="39" s="1"/>
  <c r="AM395" i="39"/>
  <c r="AM397" i="39"/>
  <c r="AM478" i="39"/>
  <c r="AK489" i="39"/>
  <c r="AJ100" i="39"/>
  <c r="AM370" i="39"/>
  <c r="AM368" i="39"/>
  <c r="AL369" i="39"/>
  <c r="AK372" i="39"/>
  <c r="AL363" i="39"/>
  <c r="AM361" i="39"/>
  <c r="AM362" i="39"/>
  <c r="AK364" i="39"/>
  <c r="AM359" i="39"/>
  <c r="AL486" i="39"/>
  <c r="AL360" i="39"/>
  <c r="AP177" i="39"/>
  <c r="AP92" i="39" s="1"/>
  <c r="AK348" i="39"/>
  <c r="AK74" i="39"/>
  <c r="AM346" i="39"/>
  <c r="AL488" i="39"/>
  <c r="AL347" i="39"/>
  <c r="AL59" i="39"/>
  <c r="AK328" i="39"/>
  <c r="AM286" i="39"/>
  <c r="AM281" i="39"/>
  <c r="AJ325" i="39"/>
  <c r="AJ276" i="39"/>
  <c r="AJ277" i="39" s="1"/>
  <c r="AF95" i="39"/>
  <c r="AH474" i="39"/>
  <c r="AI206" i="39"/>
  <c r="AL287" i="39"/>
  <c r="AQ256" i="39"/>
  <c r="AH222" i="39"/>
  <c r="AM336" i="39"/>
  <c r="T228" i="39"/>
  <c r="T48" i="39" s="1"/>
  <c r="S41" i="39"/>
  <c r="S45" i="39" s="1"/>
  <c r="S39" i="39"/>
  <c r="AL324" i="39"/>
  <c r="AH207" i="39"/>
  <c r="S483" i="39"/>
  <c r="S81" i="39"/>
  <c r="S82" i="39" s="1"/>
  <c r="AK288" i="39"/>
  <c r="AN135" i="39"/>
  <c r="AK79" i="39"/>
  <c r="AJ208" i="39"/>
  <c r="AL479" i="39"/>
  <c r="AS21" i="39"/>
  <c r="AR22" i="39"/>
  <c r="AS18" i="39"/>
  <c r="AR19" i="39"/>
  <c r="AQ137" i="39"/>
  <c r="AQ147" i="39"/>
  <c r="AL269" i="39"/>
  <c r="AR16" i="39"/>
  <c r="AR181" i="39" s="1"/>
  <c r="AQ20" i="39"/>
  <c r="AQ17" i="39"/>
  <c r="AQ133" i="39" s="1"/>
  <c r="AR255" i="39"/>
  <c r="AI99" i="39"/>
  <c r="AI104" i="39" s="1"/>
  <c r="AK37" i="39"/>
  <c r="AK103" i="39"/>
  <c r="AI221" i="39"/>
  <c r="AN139" i="39"/>
  <c r="AN136" i="39"/>
  <c r="AN284" i="39" s="1"/>
  <c r="AH513" i="39"/>
  <c r="AK338" i="39"/>
  <c r="AK36" i="39" s="1"/>
  <c r="AK500" i="39"/>
  <c r="AM307" i="39"/>
  <c r="AM396" i="39"/>
  <c r="AL398" i="39"/>
  <c r="AL102" i="39" s="1"/>
  <c r="AL507" i="39"/>
  <c r="AL334" i="39"/>
  <c r="AL121" i="39"/>
  <c r="AL472" i="39"/>
  <c r="AL91" i="39"/>
  <c r="AM268" i="39"/>
  <c r="AI441" i="39"/>
  <c r="AI125" i="39" s="1"/>
  <c r="AI511" i="39"/>
  <c r="AL34" i="39"/>
  <c r="AL140" i="39"/>
  <c r="AL47" i="39" s="1"/>
  <c r="AH355" i="39"/>
  <c r="AH56" i="39" s="1"/>
  <c r="AL80" i="39"/>
  <c r="AJ473" i="39"/>
  <c r="AI88" i="39"/>
  <c r="AI93" i="39" s="1"/>
  <c r="AK38" i="39"/>
  <c r="AJ40" i="39"/>
  <c r="AJ107" i="39" s="1"/>
  <c r="AJ111" i="39"/>
  <c r="AN134" i="39"/>
  <c r="AM138" i="39"/>
  <c r="AI327" i="39"/>
  <c r="AI329" i="39" s="1"/>
  <c r="AM241" i="39"/>
  <c r="AM341" i="39"/>
  <c r="AL342" i="39"/>
  <c r="AL504" i="39"/>
  <c r="AJ239" i="39"/>
  <c r="AS253" i="39"/>
  <c r="AM337" i="39"/>
  <c r="AK438" i="39"/>
  <c r="AJ469" i="39"/>
  <c r="AJ440" i="39"/>
  <c r="AK94" i="39"/>
  <c r="AK193" i="39"/>
  <c r="AI506" i="39"/>
  <c r="AS263" i="39"/>
  <c r="AK274" i="39"/>
  <c r="AP187" i="39"/>
  <c r="AM303" i="39"/>
  <c r="AK238" i="39"/>
  <c r="AL237" i="39"/>
  <c r="AJ223" i="39"/>
  <c r="AJ216" i="39"/>
  <c r="AJ112" i="39" s="1"/>
  <c r="AJ119" i="39" s="1"/>
  <c r="AP132" i="39"/>
  <c r="AM316" i="39"/>
  <c r="AM317" i="39" s="1"/>
  <c r="AM195" i="39"/>
  <c r="AM198" i="39" s="1"/>
  <c r="AM299" i="39"/>
  <c r="AK352" i="39"/>
  <c r="AJ354" i="39"/>
  <c r="AJ63" i="39" s="1"/>
  <c r="AR254" i="39"/>
  <c r="AM311" i="39"/>
  <c r="AO189" i="39"/>
  <c r="AM266" i="39"/>
  <c r="AL90" i="39"/>
  <c r="AM153" i="39"/>
  <c r="AM190" i="39"/>
  <c r="AL292" i="39"/>
  <c r="AL294" i="39" s="1"/>
  <c r="AL295" i="39" s="1"/>
  <c r="AL192" i="39"/>
  <c r="AL285" i="39"/>
  <c r="AM267" i="39"/>
  <c r="AO13" i="39"/>
  <c r="AO298" i="39" s="1"/>
  <c r="AN14" i="39"/>
  <c r="AP11" i="39"/>
  <c r="AO12" i="39"/>
  <c r="AO421" i="39" l="1"/>
  <c r="AP215" i="39" s="1"/>
  <c r="AO426" i="39"/>
  <c r="AO419" i="39"/>
  <c r="AO429" i="39"/>
  <c r="AP217" i="39" s="1"/>
  <c r="AO425" i="39"/>
  <c r="AO394" i="39"/>
  <c r="AO280" i="39"/>
  <c r="AO315" i="39"/>
  <c r="AO194" i="39"/>
  <c r="AO302" i="39"/>
  <c r="AO310" i="39"/>
  <c r="AO306" i="39"/>
  <c r="AO275" i="39"/>
  <c r="AO293" i="39"/>
  <c r="AO265" i="39"/>
  <c r="AL5" i="4"/>
  <c r="AL6" i="4"/>
  <c r="AN10" i="4"/>
  <c r="AM4" i="4"/>
  <c r="AM76" i="4"/>
  <c r="AO80" i="4"/>
  <c r="AN146" i="4"/>
  <c r="AL481" i="39"/>
  <c r="AL494" i="39" s="1"/>
  <c r="AR44" i="39"/>
  <c r="AR144" i="39"/>
  <c r="AO213" i="39"/>
  <c r="AN422" i="39"/>
  <c r="AL101" i="39"/>
  <c r="AR185" i="39"/>
  <c r="AR186" i="39"/>
  <c r="AR184" i="39"/>
  <c r="AR175" i="39"/>
  <c r="AR176" i="39" s="1"/>
  <c r="AQ176" i="39"/>
  <c r="AQ177" i="39" s="1"/>
  <c r="AN371" i="39"/>
  <c r="AQ89" i="39"/>
  <c r="AQ145" i="39"/>
  <c r="AQ148" i="39" s="1"/>
  <c r="AM431" i="39"/>
  <c r="AR152" i="39"/>
  <c r="AR167" i="39"/>
  <c r="AN430" i="39"/>
  <c r="AO218" i="39" s="1"/>
  <c r="AL505" i="39"/>
  <c r="AN113" i="39"/>
  <c r="AM501" i="39"/>
  <c r="AM477" i="39"/>
  <c r="AO420" i="39"/>
  <c r="AP214" i="39" s="1"/>
  <c r="AQ471" i="39"/>
  <c r="AQ168" i="39"/>
  <c r="AQ171" i="39" s="1"/>
  <c r="AH209" i="39"/>
  <c r="AH210" i="39" s="1"/>
  <c r="AH224" i="39"/>
  <c r="AH225" i="39" s="1"/>
  <c r="AG210" i="39"/>
  <c r="AN395" i="39"/>
  <c r="AN77" i="39"/>
  <c r="AN397" i="39"/>
  <c r="AL372" i="39"/>
  <c r="AL373" i="39" s="1"/>
  <c r="AL364" i="39"/>
  <c r="AN370" i="39"/>
  <c r="AN368" i="39"/>
  <c r="AM369" i="39"/>
  <c r="AK373" i="39"/>
  <c r="AK100" i="39" s="1"/>
  <c r="AL489" i="39"/>
  <c r="AN359" i="39"/>
  <c r="AM486" i="39"/>
  <c r="AM360" i="39"/>
  <c r="AN362" i="39"/>
  <c r="AN361" i="39"/>
  <c r="AM363" i="39"/>
  <c r="AL348" i="39"/>
  <c r="AL74" i="39"/>
  <c r="AN346" i="39"/>
  <c r="AM488" i="39"/>
  <c r="AM347" i="39"/>
  <c r="AL328" i="39"/>
  <c r="AN286" i="39"/>
  <c r="AK325" i="39"/>
  <c r="AK276" i="39"/>
  <c r="AK277" i="39" s="1"/>
  <c r="AN281" i="39"/>
  <c r="AJ206" i="39"/>
  <c r="AL288" i="39"/>
  <c r="AI474" i="39"/>
  <c r="AN336" i="39"/>
  <c r="AR256" i="39"/>
  <c r="AI222" i="39"/>
  <c r="AI207" i="39"/>
  <c r="S128" i="39"/>
  <c r="S62" i="39"/>
  <c r="T127" i="39"/>
  <c r="T106" i="39"/>
  <c r="AM324" i="39"/>
  <c r="T485" i="39"/>
  <c r="T482" i="39"/>
  <c r="T493" i="39"/>
  <c r="T53" i="39"/>
  <c r="T232" i="39"/>
  <c r="T35" i="39" s="1"/>
  <c r="AO135" i="39"/>
  <c r="AI513" i="39"/>
  <c r="AR20" i="39"/>
  <c r="AS16" i="39"/>
  <c r="AS181" i="39" s="1"/>
  <c r="AR17" i="39"/>
  <c r="AR133" i="39" s="1"/>
  <c r="AS19" i="39"/>
  <c r="AT18" i="39"/>
  <c r="AT21" i="39"/>
  <c r="AS22" i="39"/>
  <c r="AR147" i="39"/>
  <c r="AR137" i="39"/>
  <c r="AK208" i="39"/>
  <c r="AM80" i="39"/>
  <c r="AI355" i="39"/>
  <c r="AK239" i="39"/>
  <c r="AL79" i="39"/>
  <c r="AS254" i="39"/>
  <c r="AN266" i="39"/>
  <c r="AO136" i="39"/>
  <c r="AO284" i="39" s="1"/>
  <c r="AN267" i="39"/>
  <c r="AP189" i="39"/>
  <c r="AT263" i="39"/>
  <c r="AJ88" i="39"/>
  <c r="AJ93" i="39" s="1"/>
  <c r="AO139" i="39"/>
  <c r="AK223" i="39"/>
  <c r="AK216" i="39"/>
  <c r="AK112" i="39" s="1"/>
  <c r="AK119" i="39" s="1"/>
  <c r="AQ187" i="39"/>
  <c r="AL438" i="39"/>
  <c r="AK469" i="39"/>
  <c r="AK440" i="39"/>
  <c r="AT253" i="39"/>
  <c r="AM285" i="39"/>
  <c r="AN195" i="39"/>
  <c r="AN198" i="39" s="1"/>
  <c r="AL238" i="39"/>
  <c r="AL239" i="39" s="1"/>
  <c r="AM237" i="39"/>
  <c r="AM34" i="39"/>
  <c r="AM140" i="39"/>
  <c r="AM47" i="39" s="1"/>
  <c r="AH120" i="39"/>
  <c r="AH126" i="39" s="1"/>
  <c r="AN268" i="39"/>
  <c r="AQ132" i="39"/>
  <c r="AL274" i="39"/>
  <c r="AN190" i="39"/>
  <c r="AM292" i="39"/>
  <c r="AM294" i="39" s="1"/>
  <c r="AM295" i="39" s="1"/>
  <c r="AM192" i="39"/>
  <c r="AN311" i="39"/>
  <c r="AJ506" i="39"/>
  <c r="AL37" i="39"/>
  <c r="AL103" i="39"/>
  <c r="AO134" i="39"/>
  <c r="AN138" i="39"/>
  <c r="AS255" i="39"/>
  <c r="AJ99" i="39"/>
  <c r="AJ104" i="39" s="1"/>
  <c r="AN396" i="39"/>
  <c r="AM398" i="39"/>
  <c r="AM102" i="39" s="1"/>
  <c r="AN307" i="39"/>
  <c r="AM287" i="39"/>
  <c r="AM59" i="39"/>
  <c r="AM507" i="39"/>
  <c r="AM334" i="39"/>
  <c r="AM121" i="39"/>
  <c r="AM472" i="39"/>
  <c r="AM91" i="39"/>
  <c r="AN303" i="39"/>
  <c r="AM90" i="39"/>
  <c r="AN153" i="39"/>
  <c r="AL352" i="39"/>
  <c r="AK354" i="39"/>
  <c r="AK63" i="39" s="1"/>
  <c r="AN316" i="39"/>
  <c r="AN317" i="39" s="1"/>
  <c r="AK473" i="39"/>
  <c r="AM342" i="39"/>
  <c r="AN341" i="39"/>
  <c r="AM504" i="39"/>
  <c r="AL338" i="39"/>
  <c r="AL36" i="39" s="1"/>
  <c r="AL500" i="39"/>
  <c r="AM479" i="39"/>
  <c r="AJ221" i="39"/>
  <c r="AN299" i="39"/>
  <c r="AJ441" i="39"/>
  <c r="AJ125" i="39" s="1"/>
  <c r="AJ511" i="39"/>
  <c r="AL38" i="39"/>
  <c r="AK40" i="39"/>
  <c r="AK107" i="39" s="1"/>
  <c r="AK111" i="39"/>
  <c r="AL94" i="39"/>
  <c r="AL193" i="39"/>
  <c r="AM269" i="39"/>
  <c r="AJ327" i="39"/>
  <c r="AJ329" i="39" s="1"/>
  <c r="AN337" i="39"/>
  <c r="AN241" i="39"/>
  <c r="AQ11" i="39"/>
  <c r="AP12" i="39"/>
  <c r="AP13" i="39"/>
  <c r="AP298" i="39" s="1"/>
  <c r="AO14" i="39"/>
  <c r="S7" i="39"/>
  <c r="S8" i="39" s="1"/>
  <c r="AP394" i="39" l="1"/>
  <c r="AP395" i="39" s="1"/>
  <c r="AP425" i="39"/>
  <c r="AP420" i="39" s="1"/>
  <c r="AQ214" i="39" s="1"/>
  <c r="AP429" i="39"/>
  <c r="AQ217" i="39" s="1"/>
  <c r="AP419" i="39"/>
  <c r="AP426" i="39"/>
  <c r="AO395" i="39"/>
  <c r="AP421" i="39"/>
  <c r="AQ215" i="39" s="1"/>
  <c r="AP275" i="39"/>
  <c r="AP306" i="39"/>
  <c r="AP310" i="39"/>
  <c r="AP302" i="39"/>
  <c r="AP194" i="39"/>
  <c r="AP265" i="39"/>
  <c r="AP315" i="39"/>
  <c r="AP293" i="39"/>
  <c r="AP280" i="39"/>
  <c r="AP80" i="4"/>
  <c r="AO146" i="4"/>
  <c r="AM6" i="4"/>
  <c r="AM5" i="4"/>
  <c r="AO10" i="4"/>
  <c r="AN4" i="4"/>
  <c r="AN76" i="4"/>
  <c r="AS44" i="39"/>
  <c r="AG95" i="39"/>
  <c r="AI120" i="39"/>
  <c r="AI126" i="39" s="1"/>
  <c r="AI56" i="39"/>
  <c r="AS144" i="39"/>
  <c r="AS470" i="39" s="1"/>
  <c r="AR145" i="39"/>
  <c r="AR148" i="39" s="1"/>
  <c r="AR470" i="39"/>
  <c r="AM481" i="39"/>
  <c r="AM494" i="39" s="1"/>
  <c r="AS152" i="39"/>
  <c r="AS184" i="39"/>
  <c r="AS186" i="39"/>
  <c r="AP213" i="39"/>
  <c r="AO422" i="39"/>
  <c r="AN477" i="39"/>
  <c r="AM101" i="39"/>
  <c r="AS167" i="39"/>
  <c r="AS168" i="39" s="1"/>
  <c r="AS171" i="39" s="1"/>
  <c r="AS185" i="39"/>
  <c r="AO371" i="39"/>
  <c r="AR168" i="39"/>
  <c r="AR171" i="39" s="1"/>
  <c r="AN431" i="39"/>
  <c r="AR471" i="39"/>
  <c r="AS147" i="39"/>
  <c r="AS175" i="39"/>
  <c r="AS137" i="39"/>
  <c r="AO430" i="39"/>
  <c r="AP218" i="39" s="1"/>
  <c r="AQ92" i="39"/>
  <c r="AM505" i="39"/>
  <c r="AO113" i="39"/>
  <c r="AN501" i="39"/>
  <c r="AI209" i="39"/>
  <c r="AI210" i="39" s="1"/>
  <c r="AI224" i="39"/>
  <c r="AI225" i="39" s="1"/>
  <c r="AO397" i="39"/>
  <c r="AO478" i="39"/>
  <c r="AO77" i="39"/>
  <c r="AM489" i="39"/>
  <c r="AO368" i="39"/>
  <c r="AN369" i="39"/>
  <c r="AL100" i="39"/>
  <c r="AO370" i="39"/>
  <c r="AM372" i="39"/>
  <c r="AN363" i="39"/>
  <c r="AR177" i="39"/>
  <c r="AO361" i="39"/>
  <c r="AO362" i="39"/>
  <c r="AM364" i="39"/>
  <c r="AO359" i="39"/>
  <c r="AN486" i="39"/>
  <c r="AN360" i="39"/>
  <c r="AM348" i="39"/>
  <c r="AM74" i="39"/>
  <c r="AO346" i="39"/>
  <c r="AN488" i="39"/>
  <c r="AN347" i="39"/>
  <c r="AM328" i="39"/>
  <c r="AH95" i="39"/>
  <c r="AO286" i="39"/>
  <c r="AO281" i="39"/>
  <c r="AL325" i="39"/>
  <c r="AL276" i="39"/>
  <c r="AL277" i="39" s="1"/>
  <c r="AK206" i="39"/>
  <c r="AO336" i="39"/>
  <c r="AS256" i="39"/>
  <c r="AJ474" i="39"/>
  <c r="AR89" i="39"/>
  <c r="AP135" i="39"/>
  <c r="AT254" i="39"/>
  <c r="T496" i="39"/>
  <c r="T71" i="39" s="1"/>
  <c r="U475" i="39" s="1"/>
  <c r="T499" i="39"/>
  <c r="T514" i="39" s="1"/>
  <c r="T51" i="39"/>
  <c r="T490" i="39"/>
  <c r="AO268" i="39"/>
  <c r="AN324" i="39"/>
  <c r="T46" i="39"/>
  <c r="T108" i="39"/>
  <c r="T109" i="39" s="1"/>
  <c r="T70" i="39"/>
  <c r="U96" i="39" s="1"/>
  <c r="AJ207" i="39"/>
  <c r="T49" i="39"/>
  <c r="T50" i="39"/>
  <c r="AJ222" i="39"/>
  <c r="AK99" i="39"/>
  <c r="AK104" i="39" s="1"/>
  <c r="AN59" i="39"/>
  <c r="AN80" i="39"/>
  <c r="AM79" i="39"/>
  <c r="AU18" i="39"/>
  <c r="AT19" i="39"/>
  <c r="AS17" i="39"/>
  <c r="AS133" i="39" s="1"/>
  <c r="AS20" i="39"/>
  <c r="AT16" i="39"/>
  <c r="AT181" i="39" s="1"/>
  <c r="AT22" i="39"/>
  <c r="AU21" i="39"/>
  <c r="AO267" i="39"/>
  <c r="AN237" i="39"/>
  <c r="AM238" i="39"/>
  <c r="AM239" i="39" s="1"/>
  <c r="AM38" i="39"/>
  <c r="AL40" i="39"/>
  <c r="AL107" i="39" s="1"/>
  <c r="AL111" i="39"/>
  <c r="AL223" i="39"/>
  <c r="AL216" i="39"/>
  <c r="AL112" i="39" s="1"/>
  <c r="AL119" i="39" s="1"/>
  <c r="AK221" i="39"/>
  <c r="AK506" i="39"/>
  <c r="AN34" i="39"/>
  <c r="AN140" i="39"/>
  <c r="AN47" i="39" s="1"/>
  <c r="AM94" i="39"/>
  <c r="AM193" i="39"/>
  <c r="AK88" i="39"/>
  <c r="AK93" i="39" s="1"/>
  <c r="AN342" i="39"/>
  <c r="AN504" i="39"/>
  <c r="AO341" i="39"/>
  <c r="AM352" i="39"/>
  <c r="AL354" i="39"/>
  <c r="AL63" i="39" s="1"/>
  <c r="AO307" i="39"/>
  <c r="AP134" i="39"/>
  <c r="AO138" i="39"/>
  <c r="AM438" i="39"/>
  <c r="AL469" i="39"/>
  <c r="AL440" i="39"/>
  <c r="AP136" i="39"/>
  <c r="AP284" i="39" s="1"/>
  <c r="AN285" i="39"/>
  <c r="AK511" i="39"/>
  <c r="AK441" i="39"/>
  <c r="AK125" i="39" s="1"/>
  <c r="AM37" i="39"/>
  <c r="AM103" i="39"/>
  <c r="AJ513" i="39"/>
  <c r="AO311" i="39"/>
  <c r="AO190" i="39"/>
  <c r="AN292" i="39"/>
  <c r="AN294" i="39" s="1"/>
  <c r="AN295" i="39" s="1"/>
  <c r="AN192" i="39"/>
  <c r="AO195" i="39"/>
  <c r="AO198" i="39" s="1"/>
  <c r="AN269" i="39"/>
  <c r="AU253" i="39"/>
  <c r="AM338" i="39"/>
  <c r="AM36" i="39" s="1"/>
  <c r="AM500" i="39"/>
  <c r="AL208" i="39"/>
  <c r="AO396" i="39"/>
  <c r="AN398" i="39"/>
  <c r="AN102" i="39" s="1"/>
  <c r="AJ355" i="39"/>
  <c r="AJ56" i="39" s="1"/>
  <c r="AK327" i="39"/>
  <c r="AK329" i="39" s="1"/>
  <c r="AQ189" i="39"/>
  <c r="AP139" i="39"/>
  <c r="AU263" i="39"/>
  <c r="AO266" i="39"/>
  <c r="AO316" i="39"/>
  <c r="AO317" i="39" s="1"/>
  <c r="AN287" i="39"/>
  <c r="AO241" i="39"/>
  <c r="AN90" i="39"/>
  <c r="AO153" i="39"/>
  <c r="AM274" i="39"/>
  <c r="AM288" i="39"/>
  <c r="AR187" i="39"/>
  <c r="AR132" i="39"/>
  <c r="AO303" i="39"/>
  <c r="AN479" i="39"/>
  <c r="AL473" i="39"/>
  <c r="AO337" i="39"/>
  <c r="AO299" i="39"/>
  <c r="AN507" i="39"/>
  <c r="AN334" i="39"/>
  <c r="AN121" i="39"/>
  <c r="AN472" i="39"/>
  <c r="AN91" i="39"/>
  <c r="AT255" i="39"/>
  <c r="AQ13" i="39"/>
  <c r="AQ298" i="39" s="1"/>
  <c r="AP14" i="39"/>
  <c r="AR11" i="39"/>
  <c r="AQ12" i="39"/>
  <c r="AQ421" i="39" l="1"/>
  <c r="AR215" i="39" s="1"/>
  <c r="AQ426" i="39"/>
  <c r="AQ419" i="39"/>
  <c r="AQ429" i="39"/>
  <c r="AQ425" i="39"/>
  <c r="AQ420" i="39" s="1"/>
  <c r="AR214" i="39" s="1"/>
  <c r="AQ394" i="39"/>
  <c r="AQ395" i="39" s="1"/>
  <c r="AQ315" i="39"/>
  <c r="AQ265" i="39"/>
  <c r="AQ194" i="39"/>
  <c r="AQ302" i="39"/>
  <c r="AQ310" i="39"/>
  <c r="AQ280" i="39"/>
  <c r="AQ306" i="39"/>
  <c r="AQ293" i="39"/>
  <c r="AQ275" i="39"/>
  <c r="AN5" i="4"/>
  <c r="AN6" i="4"/>
  <c r="AP10" i="4"/>
  <c r="AO4" i="4"/>
  <c r="AO76" i="4"/>
  <c r="AQ80" i="4"/>
  <c r="AQ146" i="4" s="1"/>
  <c r="AP146" i="4"/>
  <c r="AT44" i="39"/>
  <c r="U97" i="39"/>
  <c r="U98" i="39" s="1"/>
  <c r="U230" i="39"/>
  <c r="U231" i="39"/>
  <c r="U229" i="39"/>
  <c r="AS145" i="39"/>
  <c r="AS148" i="39" s="1"/>
  <c r="AS89" i="39"/>
  <c r="AT144" i="39"/>
  <c r="AT470" i="39" s="1"/>
  <c r="AN481" i="39"/>
  <c r="AN494" i="39" s="1"/>
  <c r="AT184" i="39"/>
  <c r="AQ213" i="39"/>
  <c r="AP422" i="39"/>
  <c r="AP371" i="39"/>
  <c r="AN101" i="39"/>
  <c r="AS471" i="39"/>
  <c r="AT185" i="39"/>
  <c r="AT186" i="39"/>
  <c r="AR92" i="39"/>
  <c r="AN505" i="39"/>
  <c r="AT175" i="39"/>
  <c r="AT176" i="39" s="1"/>
  <c r="AS176" i="39"/>
  <c r="AS177" i="39" s="1"/>
  <c r="AS92" i="39" s="1"/>
  <c r="AO431" i="39"/>
  <c r="AT167" i="39"/>
  <c r="AT168" i="39" s="1"/>
  <c r="AT171" i="39" s="1"/>
  <c r="AT152" i="39"/>
  <c r="AP430" i="39"/>
  <c r="AQ218" i="39" s="1"/>
  <c r="AP113" i="39"/>
  <c r="AO501" i="39"/>
  <c r="AO477" i="39"/>
  <c r="AJ224" i="39"/>
  <c r="AJ225" i="39" s="1"/>
  <c r="AJ209" i="39"/>
  <c r="AJ210" i="39" s="1"/>
  <c r="AT137" i="39"/>
  <c r="AP478" i="39"/>
  <c r="AP77" i="39"/>
  <c r="AP397" i="39"/>
  <c r="AN372" i="39"/>
  <c r="AN373" i="39" s="1"/>
  <c r="AN364" i="39"/>
  <c r="AP370" i="39"/>
  <c r="AP368" i="39"/>
  <c r="AO369" i="39"/>
  <c r="AM373" i="39"/>
  <c r="AM100" i="39" s="1"/>
  <c r="AP359" i="39"/>
  <c r="AO486" i="39"/>
  <c r="AO360" i="39"/>
  <c r="AN489" i="39"/>
  <c r="AP362" i="39"/>
  <c r="AP361" i="39"/>
  <c r="AO363" i="39"/>
  <c r="AN348" i="39"/>
  <c r="AN74" i="39"/>
  <c r="AP346" i="39"/>
  <c r="AO488" i="39"/>
  <c r="AO347" i="39"/>
  <c r="AN328" i="39"/>
  <c r="AP286" i="39"/>
  <c r="AM325" i="39"/>
  <c r="AM276" i="39"/>
  <c r="AM277" i="39" s="1"/>
  <c r="AP336" i="39"/>
  <c r="AP281" i="39"/>
  <c r="AK474" i="39"/>
  <c r="AQ135" i="39"/>
  <c r="AI95" i="39"/>
  <c r="AO59" i="39"/>
  <c r="AU254" i="39"/>
  <c r="AL206" i="39"/>
  <c r="AO324" i="39"/>
  <c r="AU255" i="39"/>
  <c r="AK207" i="39"/>
  <c r="T57" i="39"/>
  <c r="T58" i="39" s="1"/>
  <c r="T60" i="39" s="1"/>
  <c r="T515" i="39"/>
  <c r="AK222" i="39"/>
  <c r="T39" i="39"/>
  <c r="T41" i="39"/>
  <c r="T45" i="39" s="1"/>
  <c r="U476" i="39"/>
  <c r="T64" i="39"/>
  <c r="T65" i="39" s="1"/>
  <c r="T67" i="39" s="1"/>
  <c r="T78" i="39"/>
  <c r="T85" i="39"/>
  <c r="AM208" i="39"/>
  <c r="T497" i="39"/>
  <c r="AT256" i="39"/>
  <c r="AN79" i="39"/>
  <c r="AO287" i="39"/>
  <c r="AO269" i="39"/>
  <c r="AV18" i="39"/>
  <c r="AU19" i="39"/>
  <c r="AP267" i="39"/>
  <c r="AU22" i="39"/>
  <c r="AV21" i="39"/>
  <c r="AT147" i="39"/>
  <c r="AT20" i="39"/>
  <c r="AU16" i="39"/>
  <c r="AU181" i="39" s="1"/>
  <c r="AT17" i="39"/>
  <c r="AT133" i="39" s="1"/>
  <c r="AQ139" i="39"/>
  <c r="AL99" i="39"/>
  <c r="AL104" i="39" s="1"/>
  <c r="AP268" i="39"/>
  <c r="AN288" i="39"/>
  <c r="AP337" i="39"/>
  <c r="AO34" i="39"/>
  <c r="AO140" i="39"/>
  <c r="AO47" i="39" s="1"/>
  <c r="AL506" i="39"/>
  <c r="AO237" i="39"/>
  <c r="AN238" i="39"/>
  <c r="AN239" i="39" s="1"/>
  <c r="AN338" i="39"/>
  <c r="AN36" i="39" s="1"/>
  <c r="AN500" i="39"/>
  <c r="AL327" i="39"/>
  <c r="AL329" i="39" s="1"/>
  <c r="AP241" i="39"/>
  <c r="AJ120" i="39"/>
  <c r="AJ126" i="39" s="1"/>
  <c r="AP311" i="39"/>
  <c r="AL441" i="39"/>
  <c r="AL125" i="39" s="1"/>
  <c r="AL511" i="39"/>
  <c r="AQ134" i="39"/>
  <c r="AP138" i="39"/>
  <c r="AN352" i="39"/>
  <c r="AM354" i="39"/>
  <c r="AM63" i="39" s="1"/>
  <c r="AS132" i="39"/>
  <c r="AN274" i="39"/>
  <c r="AO285" i="39"/>
  <c r="AL88" i="39"/>
  <c r="AL93" i="39" s="1"/>
  <c r="AP341" i="39"/>
  <c r="AO342" i="39"/>
  <c r="AO504" i="39"/>
  <c r="AN38" i="39"/>
  <c r="AM40" i="39"/>
  <c r="AM107" i="39" s="1"/>
  <c r="AM111" i="39"/>
  <c r="AV253" i="39"/>
  <c r="AO507" i="39"/>
  <c r="AO334" i="39"/>
  <c r="AO121" i="39"/>
  <c r="AO472" i="39"/>
  <c r="AO91" i="39"/>
  <c r="AR189" i="39"/>
  <c r="AP396" i="39"/>
  <c r="AO398" i="39"/>
  <c r="AO102" i="39" s="1"/>
  <c r="AN438" i="39"/>
  <c r="AM469" i="39"/>
  <c r="AM440" i="39"/>
  <c r="AP307" i="39"/>
  <c r="AS187" i="39"/>
  <c r="AP195" i="39"/>
  <c r="AP198" i="39" s="1"/>
  <c r="AN37" i="39"/>
  <c r="AN103" i="39"/>
  <c r="AO80" i="39"/>
  <c r="AP266" i="39"/>
  <c r="AN94" i="39"/>
  <c r="AN193" i="39"/>
  <c r="AO479" i="39"/>
  <c r="AK513" i="39"/>
  <c r="AM223" i="39"/>
  <c r="AM216" i="39"/>
  <c r="AM112" i="39" s="1"/>
  <c r="AM119" i="39" s="1"/>
  <c r="AP299" i="39"/>
  <c r="AK355" i="39"/>
  <c r="AK56" i="39" s="1"/>
  <c r="AP303" i="39"/>
  <c r="AO90" i="39"/>
  <c r="AP153" i="39"/>
  <c r="AP316" i="39"/>
  <c r="AP317" i="39" s="1"/>
  <c r="AV263" i="39"/>
  <c r="AP190" i="39"/>
  <c r="AO292" i="39"/>
  <c r="AO294" i="39" s="1"/>
  <c r="AO295" i="39" s="1"/>
  <c r="AO192" i="39"/>
  <c r="AQ136" i="39"/>
  <c r="AQ284" i="39" s="1"/>
  <c r="AM473" i="39"/>
  <c r="AL221" i="39"/>
  <c r="AS11" i="39"/>
  <c r="AR12" i="39"/>
  <c r="AR13" i="39"/>
  <c r="AR298" i="39" s="1"/>
  <c r="AQ14" i="39"/>
  <c r="AR394" i="39" l="1"/>
  <c r="AR77" i="39" s="1"/>
  <c r="AR425" i="39"/>
  <c r="AR420" i="39" s="1"/>
  <c r="AS214" i="39" s="1"/>
  <c r="AR429" i="39"/>
  <c r="AR419" i="39"/>
  <c r="AR426" i="39"/>
  <c r="AR421" i="39"/>
  <c r="AR217" i="39"/>
  <c r="AS217" i="39" s="1"/>
  <c r="AR306" i="39"/>
  <c r="AR280" i="39"/>
  <c r="AR310" i="39"/>
  <c r="AR302" i="39"/>
  <c r="AR194" i="39"/>
  <c r="AR275" i="39"/>
  <c r="AR265" i="39"/>
  <c r="AR293" i="39"/>
  <c r="AR315" i="39"/>
  <c r="AU44" i="39"/>
  <c r="AO5" i="4"/>
  <c r="AO6" i="4"/>
  <c r="AQ10" i="4"/>
  <c r="AP4" i="4"/>
  <c r="AP76" i="4"/>
  <c r="AT145" i="39"/>
  <c r="AT148" i="39" s="1"/>
  <c r="AQ371" i="39"/>
  <c r="AU144" i="39"/>
  <c r="AU470" i="39" s="1"/>
  <c r="AO481" i="39"/>
  <c r="AO494" i="39" s="1"/>
  <c r="AR213" i="39"/>
  <c r="AQ422" i="39"/>
  <c r="AP477" i="39"/>
  <c r="AO101" i="39"/>
  <c r="AU152" i="39"/>
  <c r="AU186" i="39"/>
  <c r="AU184" i="39"/>
  <c r="AU185" i="39"/>
  <c r="AP431" i="39"/>
  <c r="AT471" i="39"/>
  <c r="AU175" i="39"/>
  <c r="AU176" i="39" s="1"/>
  <c r="AU167" i="39"/>
  <c r="AU168" i="39" s="1"/>
  <c r="AU171" i="39" s="1"/>
  <c r="AU137" i="39"/>
  <c r="AQ430" i="39"/>
  <c r="AR218" i="39" s="1"/>
  <c r="AK209" i="39"/>
  <c r="AK210" i="39" s="1"/>
  <c r="AO505" i="39"/>
  <c r="AK224" i="39"/>
  <c r="AK225" i="39" s="1"/>
  <c r="AQ113" i="39"/>
  <c r="AP501" i="39"/>
  <c r="AU147" i="39"/>
  <c r="AQ397" i="39"/>
  <c r="AT177" i="39"/>
  <c r="AT92" i="39" s="1"/>
  <c r="AQ77" i="39"/>
  <c r="AO372" i="39"/>
  <c r="AO373" i="39" s="1"/>
  <c r="AQ478" i="39"/>
  <c r="AQ368" i="39"/>
  <c r="AP369" i="39"/>
  <c r="AQ370" i="39"/>
  <c r="AN100" i="39"/>
  <c r="AO489" i="39"/>
  <c r="AP363" i="39"/>
  <c r="AQ361" i="39"/>
  <c r="AQ362" i="39"/>
  <c r="AO364" i="39"/>
  <c r="AQ359" i="39"/>
  <c r="AP486" i="39"/>
  <c r="AP360" i="39"/>
  <c r="AO348" i="39"/>
  <c r="AO74" i="39"/>
  <c r="AQ346" i="39"/>
  <c r="AP488" i="39"/>
  <c r="AP347" i="39"/>
  <c r="AO328" i="39"/>
  <c r="AQ336" i="39"/>
  <c r="AQ286" i="39"/>
  <c r="AN325" i="39"/>
  <c r="AN276" i="39"/>
  <c r="AN277" i="39" s="1"/>
  <c r="AQ281" i="39"/>
  <c r="AO288" i="39"/>
  <c r="AP287" i="39"/>
  <c r="AL474" i="39"/>
  <c r="AV254" i="39"/>
  <c r="AU256" i="39"/>
  <c r="AJ95" i="39"/>
  <c r="AM206" i="39"/>
  <c r="AP324" i="39"/>
  <c r="AL222" i="39"/>
  <c r="AQ267" i="39"/>
  <c r="T81" i="39"/>
  <c r="T82" i="39" s="1"/>
  <c r="T483" i="39"/>
  <c r="U228" i="39"/>
  <c r="U48" i="39" s="1"/>
  <c r="AL207" i="39"/>
  <c r="T128" i="39"/>
  <c r="T62" i="39"/>
  <c r="AT89" i="39"/>
  <c r="AP269" i="39"/>
  <c r="AN208" i="39"/>
  <c r="AV22" i="39"/>
  <c r="AW21" i="39"/>
  <c r="AU17" i="39"/>
  <c r="AU133" i="39" s="1"/>
  <c r="AU20" i="39"/>
  <c r="AV16" i="39"/>
  <c r="AV181" i="39" s="1"/>
  <c r="AW18" i="39"/>
  <c r="AV19" i="39"/>
  <c r="AV255" i="39"/>
  <c r="AP80" i="39"/>
  <c r="AO79" i="39"/>
  <c r="AP507" i="39"/>
  <c r="AP334" i="39"/>
  <c r="AP121" i="39"/>
  <c r="AP472" i="39"/>
  <c r="AP91" i="39"/>
  <c r="AT132" i="39"/>
  <c r="AQ311" i="39"/>
  <c r="AP479" i="39"/>
  <c r="AR139" i="39"/>
  <c r="AQ307" i="39"/>
  <c r="AM506" i="39"/>
  <c r="AL513" i="39"/>
  <c r="AR135" i="39"/>
  <c r="AK120" i="39"/>
  <c r="AK126" i="39" s="1"/>
  <c r="AQ337" i="39"/>
  <c r="AS189" i="39"/>
  <c r="AM441" i="39"/>
  <c r="AM125" i="39" s="1"/>
  <c r="AM511" i="39"/>
  <c r="AX253" i="39"/>
  <c r="AW253" i="39"/>
  <c r="AO352" i="39"/>
  <c r="AN354" i="39"/>
  <c r="AN63" i="39" s="1"/>
  <c r="AL355" i="39"/>
  <c r="AL56" i="39" s="1"/>
  <c r="AQ266" i="39"/>
  <c r="AM99" i="39"/>
  <c r="AM104" i="39" s="1"/>
  <c r="AO94" i="39"/>
  <c r="AO193" i="39"/>
  <c r="AQ299" i="39"/>
  <c r="AN223" i="39"/>
  <c r="AN216" i="39"/>
  <c r="AN112" i="39" s="1"/>
  <c r="AN119" i="39" s="1"/>
  <c r="AN473" i="39"/>
  <c r="AT187" i="39"/>
  <c r="AM88" i="39"/>
  <c r="AM93" i="39" s="1"/>
  <c r="AQ396" i="39"/>
  <c r="AP398" i="39"/>
  <c r="AP102" i="39" s="1"/>
  <c r="AP34" i="39"/>
  <c r="AP140" i="39"/>
  <c r="AP47" i="39" s="1"/>
  <c r="AQ241" i="39"/>
  <c r="AO37" i="39"/>
  <c r="AO103" i="39"/>
  <c r="AQ341" i="39"/>
  <c r="AP342" i="39"/>
  <c r="AP504" i="39"/>
  <c r="AX263" i="39"/>
  <c r="AW263" i="39"/>
  <c r="AM221" i="39"/>
  <c r="AQ316" i="39"/>
  <c r="AQ317" i="39" s="1"/>
  <c r="AO438" i="39"/>
  <c r="AN469" i="39"/>
  <c r="AN440" i="39"/>
  <c r="AR134" i="39"/>
  <c r="AQ138" i="39"/>
  <c r="AQ303" i="39"/>
  <c r="AR136" i="39"/>
  <c r="AR284" i="39" s="1"/>
  <c r="AQ190" i="39"/>
  <c r="AP292" i="39"/>
  <c r="AP294" i="39" s="1"/>
  <c r="AP295" i="39" s="1"/>
  <c r="AP192" i="39"/>
  <c r="AP90" i="39"/>
  <c r="AQ153" i="39"/>
  <c r="AQ195" i="39"/>
  <c r="AQ198" i="39" s="1"/>
  <c r="AP59" i="39"/>
  <c r="AP285" i="39"/>
  <c r="AM327" i="39"/>
  <c r="AM329" i="39" s="1"/>
  <c r="AQ268" i="39"/>
  <c r="AO338" i="39"/>
  <c r="AO36" i="39" s="1"/>
  <c r="AO500" i="39"/>
  <c r="AN40" i="39"/>
  <c r="AN107" i="39" s="1"/>
  <c r="AO38" i="39"/>
  <c r="AN111" i="39"/>
  <c r="AO274" i="39"/>
  <c r="AP237" i="39"/>
  <c r="AO238" i="39"/>
  <c r="AO239" i="39" s="1"/>
  <c r="AR14" i="39"/>
  <c r="AS13" i="39"/>
  <c r="AS298" i="39" s="1"/>
  <c r="AT11" i="39"/>
  <c r="AS12" i="39"/>
  <c r="AS421" i="39" l="1"/>
  <c r="AT215" i="39" s="1"/>
  <c r="AS426" i="39"/>
  <c r="AS419" i="39"/>
  <c r="AS429" i="39"/>
  <c r="AS425" i="39"/>
  <c r="AS420" i="39" s="1"/>
  <c r="AT214" i="39" s="1"/>
  <c r="AS394" i="39"/>
  <c r="AS215" i="39"/>
  <c r="AS265" i="39"/>
  <c r="AS275" i="39"/>
  <c r="AS194" i="39"/>
  <c r="AS302" i="39"/>
  <c r="AS310" i="39"/>
  <c r="AS315" i="39"/>
  <c r="AS280" i="39"/>
  <c r="AS293" i="39"/>
  <c r="AS306" i="39"/>
  <c r="AP5" i="4"/>
  <c r="AP6" i="4"/>
  <c r="AQ4" i="4"/>
  <c r="AQ76" i="4"/>
  <c r="AV144" i="39"/>
  <c r="AV470" i="39" s="1"/>
  <c r="AU145" i="39"/>
  <c r="AU148" i="39" s="1"/>
  <c r="AU89" i="39"/>
  <c r="AP481" i="39"/>
  <c r="AP494" i="39" s="1"/>
  <c r="AS213" i="39"/>
  <c r="AR422" i="39"/>
  <c r="AP101" i="39"/>
  <c r="AV185" i="39"/>
  <c r="AV184" i="39"/>
  <c r="AV186" i="39"/>
  <c r="AU471" i="39"/>
  <c r="AV167" i="39"/>
  <c r="AV168" i="39" s="1"/>
  <c r="AV171" i="39" s="1"/>
  <c r="AQ431" i="39"/>
  <c r="AL224" i="39"/>
  <c r="AV152" i="39"/>
  <c r="AL209" i="39"/>
  <c r="AL210" i="39" s="1"/>
  <c r="AR430" i="39"/>
  <c r="AS218" i="39" s="1"/>
  <c r="AP505" i="39"/>
  <c r="AT217" i="39"/>
  <c r="AR113" i="39"/>
  <c r="AQ501" i="39"/>
  <c r="AQ477" i="39"/>
  <c r="AU177" i="39"/>
  <c r="AU92" i="39" s="1"/>
  <c r="AR395" i="39"/>
  <c r="AR478" i="39"/>
  <c r="AR397" i="39"/>
  <c r="AR336" i="39"/>
  <c r="AP364" i="39"/>
  <c r="AR370" i="39"/>
  <c r="AO100" i="39"/>
  <c r="AR368" i="39"/>
  <c r="AQ369" i="39"/>
  <c r="AP372" i="39"/>
  <c r="AR371" i="39"/>
  <c r="AR359" i="39"/>
  <c r="AQ486" i="39"/>
  <c r="AQ360" i="39"/>
  <c r="AP489" i="39"/>
  <c r="AR362" i="39"/>
  <c r="AR361" i="39"/>
  <c r="AQ363" i="39"/>
  <c r="AP348" i="39"/>
  <c r="AP74" i="39"/>
  <c r="AR346" i="39"/>
  <c r="AQ488" i="39"/>
  <c r="AQ347" i="39"/>
  <c r="AP328" i="39"/>
  <c r="AR286" i="39"/>
  <c r="AO325" i="39"/>
  <c r="AO276" i="39"/>
  <c r="AO277" i="39" s="1"/>
  <c r="AQ287" i="39"/>
  <c r="AR281" i="39"/>
  <c r="AP288" i="39"/>
  <c r="AQ59" i="39"/>
  <c r="AK95" i="39"/>
  <c r="AQ80" i="39"/>
  <c r="AN206" i="39"/>
  <c r="AM474" i="39"/>
  <c r="AQ324" i="39"/>
  <c r="AM222" i="39"/>
  <c r="AM207" i="39"/>
  <c r="U485" i="39"/>
  <c r="U482" i="39"/>
  <c r="U493" i="39"/>
  <c r="U53" i="39"/>
  <c r="U232" i="39"/>
  <c r="U35" i="39" s="1"/>
  <c r="U127" i="39"/>
  <c r="U106" i="39"/>
  <c r="AR267" i="39"/>
  <c r="AV256" i="39"/>
  <c r="AW255" i="39"/>
  <c r="AP79" i="39"/>
  <c r="AV44" i="39"/>
  <c r="AW22" i="39"/>
  <c r="AX21" i="39"/>
  <c r="AX22" i="39" s="1"/>
  <c r="AX18" i="39"/>
  <c r="AX19" i="39" s="1"/>
  <c r="AW19" i="39"/>
  <c r="AV175" i="39"/>
  <c r="AV176" i="39" s="1"/>
  <c r="AV137" i="39"/>
  <c r="AV20" i="39"/>
  <c r="AW16" i="39"/>
  <c r="AW181" i="39" s="1"/>
  <c r="AV17" i="39"/>
  <c r="AV133" i="39" s="1"/>
  <c r="AV147" i="39"/>
  <c r="AQ479" i="39"/>
  <c r="AN99" i="39"/>
  <c r="AN104" i="39" s="1"/>
  <c r="AO208" i="39"/>
  <c r="AM355" i="39"/>
  <c r="AM56" i="39" s="1"/>
  <c r="AW254" i="39"/>
  <c r="AX254" i="39" s="1"/>
  <c r="AR241" i="39"/>
  <c r="AR268" i="39"/>
  <c r="AP94" i="39"/>
  <c r="AP193" i="39"/>
  <c r="AL120" i="39"/>
  <c r="AL126" i="39" s="1"/>
  <c r="AO223" i="39"/>
  <c r="AO216" i="39"/>
  <c r="AO112" i="39" s="1"/>
  <c r="AO119" i="39" s="1"/>
  <c r="AP274" i="39"/>
  <c r="AN441" i="39"/>
  <c r="AN125" i="39" s="1"/>
  <c r="AN511" i="39"/>
  <c r="AN221" i="39"/>
  <c r="AU187" i="39"/>
  <c r="AN506" i="39"/>
  <c r="AQ237" i="39"/>
  <c r="AP238" i="39"/>
  <c r="AR195" i="39"/>
  <c r="AR198" i="39" s="1"/>
  <c r="AR190" i="39"/>
  <c r="AQ292" i="39"/>
  <c r="AQ294" i="39" s="1"/>
  <c r="AQ295" i="39" s="1"/>
  <c r="AQ192" i="39"/>
  <c r="AR303" i="39"/>
  <c r="AN88" i="39"/>
  <c r="AN93" i="39" s="1"/>
  <c r="AR299" i="39"/>
  <c r="AP352" i="39"/>
  <c r="AO354" i="39"/>
  <c r="AO63" i="39" s="1"/>
  <c r="AS135" i="39"/>
  <c r="AR307" i="39"/>
  <c r="AR311" i="39"/>
  <c r="AO40" i="39"/>
  <c r="AO107" i="39" s="1"/>
  <c r="AP38" i="39"/>
  <c r="AO111" i="39"/>
  <c r="AR341" i="39"/>
  <c r="AQ342" i="39"/>
  <c r="AQ504" i="39"/>
  <c r="AU132" i="39"/>
  <c r="AR316" i="39"/>
  <c r="AR317" i="39" s="1"/>
  <c r="AP438" i="39"/>
  <c r="AO469" i="39"/>
  <c r="AO440" i="39"/>
  <c r="AQ269" i="39"/>
  <c r="AP338" i="39"/>
  <c r="AP36" i="39" s="1"/>
  <c r="AP500" i="39"/>
  <c r="AQ285" i="39"/>
  <c r="AR266" i="39"/>
  <c r="AQ507" i="39"/>
  <c r="AQ334" i="39"/>
  <c r="AQ121" i="39"/>
  <c r="AQ91" i="39"/>
  <c r="AQ472" i="39"/>
  <c r="AN327" i="39"/>
  <c r="AN329" i="39" s="1"/>
  <c r="AS136" i="39"/>
  <c r="AS284" i="39" s="1"/>
  <c r="AQ34" i="39"/>
  <c r="AQ140" i="39"/>
  <c r="AQ47" i="39" s="1"/>
  <c r="AR396" i="39"/>
  <c r="AQ398" i="39"/>
  <c r="AQ102" i="39" s="1"/>
  <c r="AO473" i="39"/>
  <c r="AR337" i="39"/>
  <c r="AS139" i="39"/>
  <c r="AT189" i="39"/>
  <c r="AQ90" i="39"/>
  <c r="AR153" i="39"/>
  <c r="AS134" i="39"/>
  <c r="AR138" i="39"/>
  <c r="AP37" i="39"/>
  <c r="AP103" i="39"/>
  <c r="AV145" i="39"/>
  <c r="AM513" i="39"/>
  <c r="AU11" i="39"/>
  <c r="AT12" i="39"/>
  <c r="AT13" i="39"/>
  <c r="AT298" i="39" s="1"/>
  <c r="AS14" i="39"/>
  <c r="T7" i="39"/>
  <c r="T8" i="39" s="1"/>
  <c r="AT394" i="39" l="1"/>
  <c r="AT77" i="39" s="1"/>
  <c r="AT425" i="39"/>
  <c r="AT420" i="39" s="1"/>
  <c r="AU214" i="39" s="1"/>
  <c r="AT429" i="39"/>
  <c r="AT419" i="39"/>
  <c r="AT426" i="39"/>
  <c r="AT421" i="39"/>
  <c r="AS77" i="39"/>
  <c r="AT280" i="39"/>
  <c r="AT315" i="39"/>
  <c r="AT310" i="39"/>
  <c r="AT302" i="39"/>
  <c r="AT194" i="39"/>
  <c r="AT306" i="39"/>
  <c r="AT275" i="39"/>
  <c r="AT293" i="39"/>
  <c r="AT265" i="39"/>
  <c r="AQ5" i="4"/>
  <c r="AQ6" i="4"/>
  <c r="AQ481" i="39"/>
  <c r="AQ494" i="39" s="1"/>
  <c r="AT213" i="39"/>
  <c r="AS422" i="39"/>
  <c r="AQ101" i="39"/>
  <c r="AW186" i="39"/>
  <c r="AX186" i="39" s="1"/>
  <c r="AW184" i="39"/>
  <c r="AX184" i="39" s="1"/>
  <c r="AW185" i="39"/>
  <c r="AX185" i="39" s="1"/>
  <c r="AM224" i="39"/>
  <c r="AM225" i="39" s="1"/>
  <c r="AQ505" i="39"/>
  <c r="AL225" i="39"/>
  <c r="AL95" i="39" s="1"/>
  <c r="AM209" i="39"/>
  <c r="AM210" i="39" s="1"/>
  <c r="AR431" i="39"/>
  <c r="AW152" i="39"/>
  <c r="AX152" i="39" s="1"/>
  <c r="AW147" i="39"/>
  <c r="AX147" i="39" s="1"/>
  <c r="AV177" i="39"/>
  <c r="AV92" i="39" s="1"/>
  <c r="AS430" i="39"/>
  <c r="AT218" i="39" s="1"/>
  <c r="AU217" i="39"/>
  <c r="AS113" i="39"/>
  <c r="AR501" i="39"/>
  <c r="AR477" i="39"/>
  <c r="AS397" i="39"/>
  <c r="AS395" i="39"/>
  <c r="AS478" i="39"/>
  <c r="AS336" i="39"/>
  <c r="AQ489" i="39"/>
  <c r="AS371" i="39"/>
  <c r="AQ372" i="39"/>
  <c r="AQ373" i="39" s="1"/>
  <c r="AS368" i="39"/>
  <c r="AR369" i="39"/>
  <c r="AP373" i="39"/>
  <c r="AP100" i="39" s="1"/>
  <c r="AS370" i="39"/>
  <c r="AR363" i="39"/>
  <c r="AS361" i="39"/>
  <c r="AS362" i="39"/>
  <c r="AQ364" i="39"/>
  <c r="AS359" i="39"/>
  <c r="AR486" i="39"/>
  <c r="AR360" i="39"/>
  <c r="AQ348" i="39"/>
  <c r="AQ74" i="39"/>
  <c r="AS346" i="39"/>
  <c r="AR488" i="39"/>
  <c r="AR347" i="39"/>
  <c r="AQ328" i="39"/>
  <c r="AQ288" i="39"/>
  <c r="AS286" i="39"/>
  <c r="AS281" i="39"/>
  <c r="AP325" i="39"/>
  <c r="AP276" i="39"/>
  <c r="AP277" i="39" s="1"/>
  <c r="AR80" i="39"/>
  <c r="AR59" i="39"/>
  <c r="AQ79" i="39"/>
  <c r="AN474" i="39"/>
  <c r="AO206" i="39"/>
  <c r="AW256" i="39"/>
  <c r="AN355" i="39"/>
  <c r="AN207" i="39"/>
  <c r="U46" i="39"/>
  <c r="AM120" i="39"/>
  <c r="AM126" i="39" s="1"/>
  <c r="U49" i="39"/>
  <c r="U50" i="39"/>
  <c r="U108" i="39"/>
  <c r="U109" i="39" s="1"/>
  <c r="U70" i="39"/>
  <c r="V96" i="39" s="1"/>
  <c r="U499" i="39"/>
  <c r="U514" i="39" s="1"/>
  <c r="U496" i="39"/>
  <c r="U71" i="39" s="1"/>
  <c r="V475" i="39" s="1"/>
  <c r="AR324" i="39"/>
  <c r="U51" i="39"/>
  <c r="U490" i="39"/>
  <c r="AN222" i="39"/>
  <c r="AX255" i="39"/>
  <c r="AV89" i="39"/>
  <c r="AS268" i="39"/>
  <c r="AV471" i="39"/>
  <c r="AW175" i="39"/>
  <c r="AX175" i="39" s="1"/>
  <c r="AW17" i="39"/>
  <c r="AW133" i="39" s="1"/>
  <c r="AW20" i="39"/>
  <c r="AX16" i="39"/>
  <c r="AX181" i="39" s="1"/>
  <c r="AW167" i="39"/>
  <c r="AV148" i="39"/>
  <c r="AW137" i="39"/>
  <c r="AX137" i="39" s="1"/>
  <c r="AW44" i="39"/>
  <c r="AX44" i="39" s="1"/>
  <c r="AR269" i="39"/>
  <c r="AN513" i="39"/>
  <c r="AW144" i="39"/>
  <c r="AO99" i="39"/>
  <c r="AO104" i="39" s="1"/>
  <c r="AP208" i="39"/>
  <c r="AR34" i="39"/>
  <c r="AR140" i="39"/>
  <c r="AR47" i="39" s="1"/>
  <c r="AT134" i="39"/>
  <c r="AS138" i="39"/>
  <c r="AS341" i="39"/>
  <c r="AR342" i="39"/>
  <c r="AR504" i="39"/>
  <c r="AS299" i="39"/>
  <c r="AP239" i="39"/>
  <c r="AO327" i="39"/>
  <c r="AO329" i="39" s="1"/>
  <c r="AS190" i="39"/>
  <c r="AR292" i="39"/>
  <c r="AR294" i="39" s="1"/>
  <c r="AR295" i="39" s="1"/>
  <c r="AR192" i="39"/>
  <c r="AR90" i="39"/>
  <c r="AS153" i="39"/>
  <c r="AS337" i="39"/>
  <c r="AS266" i="39"/>
  <c r="AS307" i="39"/>
  <c r="AO221" i="39"/>
  <c r="AQ274" i="39"/>
  <c r="AS396" i="39"/>
  <c r="AR398" i="39"/>
  <c r="AR102" i="39" s="1"/>
  <c r="AR479" i="39"/>
  <c r="AS195" i="39"/>
  <c r="AS198" i="39" s="1"/>
  <c r="AR287" i="39"/>
  <c r="AS267" i="39"/>
  <c r="AS241" i="39"/>
  <c r="AO441" i="39"/>
  <c r="AO125" i="39" s="1"/>
  <c r="AO511" i="39"/>
  <c r="AS316" i="39"/>
  <c r="AS317" i="39" s="1"/>
  <c r="AP40" i="39"/>
  <c r="AP107" i="39" s="1"/>
  <c r="AQ38" i="39"/>
  <c r="AP111" i="39"/>
  <c r="AT135" i="39"/>
  <c r="AQ37" i="39"/>
  <c r="AQ103" i="39"/>
  <c r="AT136" i="39"/>
  <c r="AT284" i="39" s="1"/>
  <c r="AQ338" i="39"/>
  <c r="AQ36" i="39" s="1"/>
  <c r="AQ500" i="39"/>
  <c r="AO88" i="39"/>
  <c r="AO93" i="39" s="1"/>
  <c r="AV132" i="39"/>
  <c r="AS303" i="39"/>
  <c r="AR237" i="39"/>
  <c r="AQ238" i="39"/>
  <c r="AQ438" i="39"/>
  <c r="AP469" i="39"/>
  <c r="AP440" i="39"/>
  <c r="AO506" i="39"/>
  <c r="AQ94" i="39"/>
  <c r="AQ193" i="39"/>
  <c r="AU189" i="39"/>
  <c r="AP223" i="39"/>
  <c r="AP216" i="39"/>
  <c r="AP112" i="39" s="1"/>
  <c r="AP119" i="39" s="1"/>
  <c r="AT139" i="39"/>
  <c r="AR507" i="39"/>
  <c r="AR121" i="39"/>
  <c r="AR334" i="39"/>
  <c r="AR472" i="39"/>
  <c r="AR91" i="39"/>
  <c r="AR285" i="39"/>
  <c r="AS311" i="39"/>
  <c r="AQ352" i="39"/>
  <c r="AP354" i="39"/>
  <c r="AP63" i="39" s="1"/>
  <c r="AV187" i="39"/>
  <c r="AP473" i="39"/>
  <c r="AU13" i="39"/>
  <c r="AU298" i="39" s="1"/>
  <c r="AT14" i="39"/>
  <c r="AU12" i="39"/>
  <c r="AV11" i="39"/>
  <c r="AU421" i="39" l="1"/>
  <c r="AV215" i="39" s="1"/>
  <c r="AU426" i="39"/>
  <c r="AU419" i="39"/>
  <c r="AU429" i="39"/>
  <c r="AV217" i="39" s="1"/>
  <c r="AU425" i="39"/>
  <c r="AU420" i="39" s="1"/>
  <c r="AV214" i="39" s="1"/>
  <c r="AU394" i="39"/>
  <c r="AU77" i="39" s="1"/>
  <c r="AU215" i="39"/>
  <c r="AU275" i="39"/>
  <c r="AU306" i="39"/>
  <c r="AU194" i="39"/>
  <c r="AU302" i="39"/>
  <c r="AU310" i="39"/>
  <c r="AU315" i="39"/>
  <c r="AU265" i="39"/>
  <c r="AU280" i="39"/>
  <c r="AU293" i="39"/>
  <c r="V97" i="39"/>
  <c r="V98" i="39" s="1"/>
  <c r="V230" i="39"/>
  <c r="V231" i="39"/>
  <c r="V229" i="39"/>
  <c r="AN120" i="39"/>
  <c r="AN126" i="39" s="1"/>
  <c r="AN56" i="39"/>
  <c r="AR481" i="39"/>
  <c r="AR494" i="39" s="1"/>
  <c r="AU213" i="39"/>
  <c r="AT422" i="39"/>
  <c r="AS477" i="39"/>
  <c r="AR101" i="39"/>
  <c r="AN224" i="39"/>
  <c r="AN225" i="39" s="1"/>
  <c r="AW89" i="39"/>
  <c r="AN209" i="39"/>
  <c r="AN210" i="39" s="1"/>
  <c r="AX176" i="39"/>
  <c r="AS431" i="39"/>
  <c r="AR505" i="39"/>
  <c r="AT430" i="39"/>
  <c r="AU218" i="39" s="1"/>
  <c r="AT113" i="39"/>
  <c r="AS501" i="39"/>
  <c r="AT336" i="39"/>
  <c r="AT395" i="39"/>
  <c r="AT478" i="39"/>
  <c r="AT397" i="39"/>
  <c r="AT370" i="39"/>
  <c r="AR364" i="39"/>
  <c r="AT368" i="39"/>
  <c r="AS369" i="39"/>
  <c r="AQ100" i="39"/>
  <c r="AT371" i="39"/>
  <c r="AR372" i="39"/>
  <c r="AT359" i="39"/>
  <c r="AS486" i="39"/>
  <c r="AS360" i="39"/>
  <c r="AR489" i="39"/>
  <c r="AT362" i="39"/>
  <c r="AT361" i="39"/>
  <c r="AS363" i="39"/>
  <c r="AR348" i="39"/>
  <c r="AR74" i="39"/>
  <c r="AT346" i="39"/>
  <c r="AS488" i="39"/>
  <c r="AS347" i="39"/>
  <c r="AS59" i="39"/>
  <c r="AR328" i="39"/>
  <c r="AR79" i="39"/>
  <c r="AT286" i="39"/>
  <c r="AQ325" i="39"/>
  <c r="AQ276" i="39"/>
  <c r="AQ277" i="39" s="1"/>
  <c r="AT281" i="39"/>
  <c r="AM95" i="39"/>
  <c r="AP206" i="39"/>
  <c r="AO474" i="39"/>
  <c r="AT268" i="39"/>
  <c r="AS324" i="39"/>
  <c r="AW176" i="39"/>
  <c r="AW177" i="39" s="1"/>
  <c r="U515" i="39"/>
  <c r="U64" i="39"/>
  <c r="U65" i="39" s="1"/>
  <c r="U67" i="39" s="1"/>
  <c r="U78" i="39"/>
  <c r="U85" i="39"/>
  <c r="V476" i="39"/>
  <c r="AX256" i="39"/>
  <c r="U497" i="39"/>
  <c r="AO222" i="39"/>
  <c r="U57" i="39"/>
  <c r="U58" i="39" s="1"/>
  <c r="U60" i="39" s="1"/>
  <c r="U39" i="39"/>
  <c r="U41" i="39"/>
  <c r="U45" i="39" s="1"/>
  <c r="AO207" i="39"/>
  <c r="AO513" i="39"/>
  <c r="AW471" i="39"/>
  <c r="AW168" i="39"/>
  <c r="AW171" i="39" s="1"/>
  <c r="AX20" i="39"/>
  <c r="AX17" i="39"/>
  <c r="AX133" i="39" s="1"/>
  <c r="AX167" i="39"/>
  <c r="AW145" i="39"/>
  <c r="AW148" i="39" s="1"/>
  <c r="AW470" i="39"/>
  <c r="AX144" i="39"/>
  <c r="AR288" i="39"/>
  <c r="AQ208" i="39"/>
  <c r="AQ239" i="39"/>
  <c r="AO355" i="39"/>
  <c r="AR338" i="39"/>
  <c r="AR36" i="39" s="1"/>
  <c r="AR500" i="39"/>
  <c r="AQ223" i="39"/>
  <c r="AQ216" i="39"/>
  <c r="AQ112" i="39" s="1"/>
  <c r="AQ119" i="39" s="1"/>
  <c r="AQ40" i="39"/>
  <c r="AQ107" i="39" s="1"/>
  <c r="AR38" i="39"/>
  <c r="AQ111" i="39"/>
  <c r="AS287" i="39"/>
  <c r="AT307" i="39"/>
  <c r="AR94" i="39"/>
  <c r="AR193" i="39"/>
  <c r="AS34" i="39"/>
  <c r="AS140" i="39"/>
  <c r="AS47" i="39" s="1"/>
  <c r="AS237" i="39"/>
  <c r="AR238" i="39"/>
  <c r="AP99" i="39"/>
  <c r="AP104" i="39" s="1"/>
  <c r="AR37" i="39"/>
  <c r="AR103" i="39"/>
  <c r="AU134" i="39"/>
  <c r="AT138" i="39"/>
  <c r="AX187" i="39"/>
  <c r="AW187" i="39"/>
  <c r="AS479" i="39"/>
  <c r="AT190" i="39"/>
  <c r="AS292" i="39"/>
  <c r="AS294" i="39" s="1"/>
  <c r="AS295" i="39" s="1"/>
  <c r="AS192" i="39"/>
  <c r="AT341" i="39"/>
  <c r="AS342" i="39"/>
  <c r="AS504" i="39"/>
  <c r="AS507" i="39"/>
  <c r="AS121" i="39"/>
  <c r="AS334" i="39"/>
  <c r="AS91" i="39"/>
  <c r="AS472" i="39"/>
  <c r="AT303" i="39"/>
  <c r="AT316" i="39"/>
  <c r="AT317" i="39" s="1"/>
  <c r="AT241" i="39"/>
  <c r="AP506" i="39"/>
  <c r="AS285" i="39"/>
  <c r="AU139" i="39"/>
  <c r="AP441" i="39"/>
  <c r="AP125" i="39" s="1"/>
  <c r="AP511" i="39"/>
  <c r="AU136" i="39"/>
  <c r="AU284" i="39" s="1"/>
  <c r="AP327" i="39"/>
  <c r="AP329" i="39" s="1"/>
  <c r="AS269" i="39"/>
  <c r="AT337" i="39"/>
  <c r="AW132" i="39"/>
  <c r="AU135" i="39"/>
  <c r="AR274" i="39"/>
  <c r="AT266" i="39"/>
  <c r="AR352" i="39"/>
  <c r="AQ354" i="39"/>
  <c r="AQ63" i="39" s="1"/>
  <c r="AP88" i="39"/>
  <c r="AP93" i="39" s="1"/>
  <c r="AT311" i="39"/>
  <c r="AQ473" i="39"/>
  <c r="AR438" i="39"/>
  <c r="AQ469" i="39"/>
  <c r="AQ440" i="39"/>
  <c r="AT396" i="39"/>
  <c r="AS398" i="39"/>
  <c r="AS102" i="39" s="1"/>
  <c r="AP221" i="39"/>
  <c r="AS90" i="39"/>
  <c r="AT153" i="39"/>
  <c r="AS80" i="39"/>
  <c r="AV189" i="39"/>
  <c r="AT267" i="39"/>
  <c r="AT195" i="39"/>
  <c r="AT198" i="39" s="1"/>
  <c r="AT299" i="39"/>
  <c r="AV12" i="39"/>
  <c r="AW11" i="39"/>
  <c r="AV13" i="39"/>
  <c r="AV298" i="39" s="1"/>
  <c r="AU14" i="39"/>
  <c r="AV394" i="39" l="1"/>
  <c r="AV425" i="39"/>
  <c r="AV420" i="39" s="1"/>
  <c r="AW214" i="39" s="1"/>
  <c r="AV429" i="39"/>
  <c r="AV419" i="39"/>
  <c r="AV426" i="39"/>
  <c r="AV421" i="39"/>
  <c r="AW215" i="39" s="1"/>
  <c r="AV265" i="39"/>
  <c r="AV315" i="39"/>
  <c r="AV310" i="39"/>
  <c r="AV302" i="39"/>
  <c r="AV194" i="39"/>
  <c r="AV306" i="39"/>
  <c r="AV293" i="39"/>
  <c r="AV275" i="39"/>
  <c r="AV280" i="39"/>
  <c r="AO120" i="39"/>
  <c r="AO126" i="39" s="1"/>
  <c r="AO56" i="39"/>
  <c r="AS481" i="39"/>
  <c r="AS494" i="39" s="1"/>
  <c r="AV213" i="39"/>
  <c r="AU422" i="39"/>
  <c r="AT477" i="39"/>
  <c r="AX177" i="39"/>
  <c r="AS101" i="39"/>
  <c r="AO224" i="39"/>
  <c r="AO225" i="39" s="1"/>
  <c r="AO209" i="39"/>
  <c r="AX470" i="39"/>
  <c r="AX168" i="39"/>
  <c r="AS505" i="39"/>
  <c r="AT431" i="39"/>
  <c r="AU430" i="39"/>
  <c r="AV218" i="39" s="1"/>
  <c r="AW217" i="39"/>
  <c r="AU113" i="39"/>
  <c r="AT501" i="39"/>
  <c r="AU336" i="39"/>
  <c r="AU397" i="39"/>
  <c r="AU395" i="39"/>
  <c r="AU478" i="39"/>
  <c r="AS372" i="39"/>
  <c r="AS373" i="39" s="1"/>
  <c r="AU368" i="39"/>
  <c r="AT369" i="39"/>
  <c r="AR373" i="39"/>
  <c r="AR100" i="39" s="1"/>
  <c r="AU371" i="39"/>
  <c r="AU370" i="39"/>
  <c r="AS489" i="39"/>
  <c r="AT363" i="39"/>
  <c r="AU361" i="39"/>
  <c r="AU362" i="39"/>
  <c r="AS364" i="39"/>
  <c r="AU359" i="39"/>
  <c r="AT486" i="39"/>
  <c r="AT360" i="39"/>
  <c r="AS348" i="39"/>
  <c r="AS74" i="39"/>
  <c r="AU346" i="39"/>
  <c r="AT488" i="39"/>
  <c r="AT347" i="39"/>
  <c r="AQ206" i="39"/>
  <c r="AS328" i="39"/>
  <c r="AU286" i="39"/>
  <c r="AR325" i="39"/>
  <c r="AR276" i="39"/>
  <c r="AR277" i="39" s="1"/>
  <c r="AU281" i="39"/>
  <c r="AN95" i="39"/>
  <c r="AW92" i="39"/>
  <c r="AP474" i="39"/>
  <c r="AT324" i="39"/>
  <c r="AR208" i="39"/>
  <c r="U128" i="39"/>
  <c r="U62" i="39"/>
  <c r="V228" i="39"/>
  <c r="V48" i="39" s="1"/>
  <c r="AP207" i="39"/>
  <c r="U81" i="39"/>
  <c r="U82" i="39" s="1"/>
  <c r="U483" i="39"/>
  <c r="AP222" i="39"/>
  <c r="AS288" i="39"/>
  <c r="AQ99" i="39"/>
  <c r="AQ104" i="39" s="1"/>
  <c r="AX89" i="39"/>
  <c r="AX145" i="39"/>
  <c r="AX471" i="39"/>
  <c r="AT80" i="39"/>
  <c r="AT479" i="39"/>
  <c r="AU267" i="39"/>
  <c r="AR239" i="39"/>
  <c r="AQ506" i="39"/>
  <c r="AS352" i="39"/>
  <c r="AR354" i="39"/>
  <c r="AR63" i="39" s="1"/>
  <c r="AP513" i="39"/>
  <c r="AU241" i="39"/>
  <c r="AW189" i="39"/>
  <c r="AU307" i="39"/>
  <c r="AT90" i="39"/>
  <c r="AU153" i="39"/>
  <c r="AU311" i="39"/>
  <c r="AQ327" i="39"/>
  <c r="AQ329" i="39" s="1"/>
  <c r="AP355" i="39"/>
  <c r="AP56" i="39" s="1"/>
  <c r="AS37" i="39"/>
  <c r="AS103" i="39"/>
  <c r="AX189" i="39"/>
  <c r="AU195" i="39"/>
  <c r="AU198" i="39" s="1"/>
  <c r="AS274" i="39"/>
  <c r="AU337" i="39"/>
  <c r="AU316" i="39"/>
  <c r="AU317" i="39" s="1"/>
  <c r="AU341" i="39"/>
  <c r="AT342" i="39"/>
  <c r="AT504" i="39"/>
  <c r="AT34" i="39"/>
  <c r="AT140" i="39"/>
  <c r="AT47" i="39" s="1"/>
  <c r="AR473" i="39"/>
  <c r="AT287" i="39"/>
  <c r="AR223" i="39"/>
  <c r="AR216" i="39"/>
  <c r="AR112" i="39" s="1"/>
  <c r="AR119" i="39" s="1"/>
  <c r="AU299" i="39"/>
  <c r="AQ221" i="39"/>
  <c r="AV135" i="39"/>
  <c r="AV139" i="39"/>
  <c r="AS94" i="39"/>
  <c r="AS193" i="39"/>
  <c r="AV134" i="39"/>
  <c r="AU138" i="39"/>
  <c r="AQ441" i="39"/>
  <c r="AQ125" i="39" s="1"/>
  <c r="AQ511" i="39"/>
  <c r="AT269" i="39"/>
  <c r="AS79" i="39"/>
  <c r="AT285" i="39"/>
  <c r="AU303" i="39"/>
  <c r="AS338" i="39"/>
  <c r="AS36" i="39" s="1"/>
  <c r="AS500" i="39"/>
  <c r="AS238" i="39"/>
  <c r="AS239" i="39" s="1"/>
  <c r="AT237" i="39"/>
  <c r="AQ88" i="39"/>
  <c r="AQ93" i="39" s="1"/>
  <c r="AU266" i="39"/>
  <c r="AU190" i="39"/>
  <c r="AT292" i="39"/>
  <c r="AT294" i="39" s="1"/>
  <c r="AT295" i="39" s="1"/>
  <c r="AT192" i="39"/>
  <c r="AU268" i="39"/>
  <c r="AR40" i="39"/>
  <c r="AR107" i="39" s="1"/>
  <c r="AS38" i="39"/>
  <c r="AR111" i="39"/>
  <c r="AT507" i="39"/>
  <c r="AT334" i="39"/>
  <c r="AT121" i="39"/>
  <c r="AT472" i="39"/>
  <c r="AT91" i="39"/>
  <c r="AU396" i="39"/>
  <c r="AT398" i="39"/>
  <c r="AT102" i="39" s="1"/>
  <c r="AS438" i="39"/>
  <c r="AR469" i="39"/>
  <c r="AR440" i="39"/>
  <c r="AX132" i="39"/>
  <c r="AV136" i="39"/>
  <c r="AV284" i="39" s="1"/>
  <c r="AT59" i="39"/>
  <c r="AW13" i="39"/>
  <c r="AW298" i="39" s="1"/>
  <c r="AV14" i="39"/>
  <c r="AX11" i="39"/>
  <c r="AW12" i="39"/>
  <c r="AW421" i="39" l="1"/>
  <c r="AW426" i="39"/>
  <c r="AW419" i="39"/>
  <c r="AW429" i="39"/>
  <c r="AX217" i="39" s="1"/>
  <c r="AW425" i="39"/>
  <c r="AW394" i="39"/>
  <c r="AW306" i="39"/>
  <c r="AW194" i="39"/>
  <c r="AW293" i="39"/>
  <c r="AW302" i="39"/>
  <c r="AW310" i="39"/>
  <c r="AW315" i="39"/>
  <c r="AW280" i="39"/>
  <c r="AW265" i="39"/>
  <c r="AW275" i="39"/>
  <c r="AT481" i="39"/>
  <c r="AT494" i="39" s="1"/>
  <c r="AW213" i="39"/>
  <c r="AV422" i="39"/>
  <c r="AP209" i="39"/>
  <c r="AP210" i="39" s="1"/>
  <c r="AT101" i="39"/>
  <c r="AO210" i="39"/>
  <c r="AP224" i="39"/>
  <c r="AX171" i="39"/>
  <c r="AX148" i="39"/>
  <c r="AX12" i="39"/>
  <c r="AU431" i="39"/>
  <c r="AV430" i="39"/>
  <c r="AW218" i="39" s="1"/>
  <c r="AT505" i="39"/>
  <c r="AV113" i="39"/>
  <c r="AU501" i="39"/>
  <c r="AU477" i="39"/>
  <c r="AX215" i="39"/>
  <c r="AV336" i="39"/>
  <c r="AV397" i="39"/>
  <c r="AV395" i="39"/>
  <c r="AV77" i="39"/>
  <c r="AV478" i="39"/>
  <c r="AT372" i="39"/>
  <c r="AT373" i="39" s="1"/>
  <c r="AT364" i="39"/>
  <c r="AS100" i="39"/>
  <c r="AV370" i="39"/>
  <c r="AV371" i="39"/>
  <c r="AV368" i="39"/>
  <c r="AU369" i="39"/>
  <c r="AV359" i="39"/>
  <c r="AU486" i="39"/>
  <c r="AU360" i="39"/>
  <c r="AT489" i="39"/>
  <c r="AV362" i="39"/>
  <c r="AV361" i="39"/>
  <c r="AU363" i="39"/>
  <c r="AT348" i="39"/>
  <c r="AT74" i="39"/>
  <c r="AV346" i="39"/>
  <c r="AU488" i="39"/>
  <c r="AU347" i="39"/>
  <c r="AT328" i="39"/>
  <c r="AV286" i="39"/>
  <c r="AV281" i="39"/>
  <c r="AS325" i="39"/>
  <c r="AS276" i="39"/>
  <c r="AS277" i="39" s="1"/>
  <c r="AR206" i="39"/>
  <c r="AQ474" i="39"/>
  <c r="AT79" i="39"/>
  <c r="AU324" i="39"/>
  <c r="AQ222" i="39"/>
  <c r="V127" i="39"/>
  <c r="V106" i="39"/>
  <c r="V485" i="39"/>
  <c r="V482" i="39"/>
  <c r="V493" i="39"/>
  <c r="AQ207" i="39"/>
  <c r="V53" i="39"/>
  <c r="V232" i="39"/>
  <c r="V35" i="39" s="1"/>
  <c r="AU479" i="39"/>
  <c r="AU59" i="39"/>
  <c r="AV268" i="39"/>
  <c r="AT288" i="39"/>
  <c r="AW134" i="39"/>
  <c r="AV138" i="39"/>
  <c r="AV337" i="39"/>
  <c r="AT438" i="39"/>
  <c r="AS469" i="39"/>
  <c r="AS440" i="39"/>
  <c r="AV190" i="39"/>
  <c r="AU292" i="39"/>
  <c r="AU294" i="39" s="1"/>
  <c r="AU295" i="39" s="1"/>
  <c r="AU192" i="39"/>
  <c r="AU285" i="39"/>
  <c r="AS473" i="39"/>
  <c r="AR327" i="39"/>
  <c r="AR329" i="39" s="1"/>
  <c r="AP120" i="39"/>
  <c r="AP126" i="39" s="1"/>
  <c r="AV299" i="39"/>
  <c r="AT238" i="39"/>
  <c r="AT239" i="39" s="1"/>
  <c r="AU237" i="39"/>
  <c r="AT274" i="39"/>
  <c r="AV241" i="39"/>
  <c r="AQ513" i="39"/>
  <c r="AR88" i="39"/>
  <c r="AR93" i="39" s="1"/>
  <c r="AV396" i="39"/>
  <c r="AU398" i="39"/>
  <c r="AU102" i="39" s="1"/>
  <c r="AQ355" i="39"/>
  <c r="AQ56" i="39" s="1"/>
  <c r="AW136" i="39"/>
  <c r="AW284" i="39" s="1"/>
  <c r="AU269" i="39"/>
  <c r="AS208" i="39"/>
  <c r="AW139" i="39"/>
  <c r="AS223" i="39"/>
  <c r="AS216" i="39"/>
  <c r="AS112" i="39" s="1"/>
  <c r="AS119" i="39" s="1"/>
  <c r="AT37" i="39"/>
  <c r="AT103" i="39"/>
  <c r="AV307" i="39"/>
  <c r="AR506" i="39"/>
  <c r="AV195" i="39"/>
  <c r="AV198" i="39" s="1"/>
  <c r="AT338" i="39"/>
  <c r="AT36" i="39" s="1"/>
  <c r="AT500" i="39"/>
  <c r="AV266" i="39"/>
  <c r="AR221" i="39"/>
  <c r="AU342" i="39"/>
  <c r="AV341" i="39"/>
  <c r="AU504" i="39"/>
  <c r="AV311" i="39"/>
  <c r="AT352" i="39"/>
  <c r="AS354" i="39"/>
  <c r="AS63" i="39" s="1"/>
  <c r="AV303" i="39"/>
  <c r="AU287" i="39"/>
  <c r="AU90" i="39"/>
  <c r="AV153" i="39"/>
  <c r="AU80" i="39"/>
  <c r="AR441" i="39"/>
  <c r="AR125" i="39" s="1"/>
  <c r="AR511" i="39"/>
  <c r="AU507" i="39"/>
  <c r="AU334" i="39"/>
  <c r="AU121" i="39"/>
  <c r="AU472" i="39"/>
  <c r="AU91" i="39"/>
  <c r="AT38" i="39"/>
  <c r="AS40" i="39"/>
  <c r="AS107" i="39" s="1"/>
  <c r="AS111" i="39"/>
  <c r="AT94" i="39"/>
  <c r="AT193" i="39"/>
  <c r="AU34" i="39"/>
  <c r="AU140" i="39"/>
  <c r="AU47" i="39" s="1"/>
  <c r="AW135" i="39"/>
  <c r="AR99" i="39"/>
  <c r="AR104" i="39" s="1"/>
  <c r="AV316" i="39"/>
  <c r="AV317" i="39" s="1"/>
  <c r="AV267" i="39"/>
  <c r="AX13" i="39"/>
  <c r="AX298" i="39" s="1"/>
  <c r="AW14" i="39"/>
  <c r="U7" i="39"/>
  <c r="U8" i="39" s="1"/>
  <c r="AX394" i="39" l="1"/>
  <c r="AX425" i="39"/>
  <c r="AX429" i="39"/>
  <c r="AX419" i="39"/>
  <c r="AX426" i="39"/>
  <c r="AW420" i="39"/>
  <c r="AX214" i="39" s="1"/>
  <c r="AX421" i="39"/>
  <c r="AW478" i="39"/>
  <c r="AX280" i="39"/>
  <c r="AX315" i="39"/>
  <c r="AX310" i="39"/>
  <c r="AX302" i="39"/>
  <c r="AX293" i="39"/>
  <c r="AX194" i="39"/>
  <c r="AX275" i="39"/>
  <c r="AX306" i="39"/>
  <c r="AX265" i="39"/>
  <c r="AO95" i="39"/>
  <c r="AU481" i="39"/>
  <c r="AU494" i="39" s="1"/>
  <c r="AQ209" i="39"/>
  <c r="AQ210" i="39" s="1"/>
  <c r="AQ224" i="39"/>
  <c r="AP225" i="39"/>
  <c r="AP95" i="39" s="1"/>
  <c r="AX213" i="39"/>
  <c r="AV477" i="39"/>
  <c r="AU101" i="39"/>
  <c r="AX92" i="39"/>
  <c r="AX14" i="39"/>
  <c r="AV431" i="39"/>
  <c r="AU505" i="39"/>
  <c r="AW430" i="39"/>
  <c r="AX218" i="39" s="1"/>
  <c r="AW113" i="39"/>
  <c r="AV501" i="39"/>
  <c r="AW336" i="39"/>
  <c r="AW397" i="39"/>
  <c r="AW77" i="39"/>
  <c r="AW395" i="39"/>
  <c r="AT100" i="39"/>
  <c r="AW368" i="39"/>
  <c r="AW369" i="39" s="1"/>
  <c r="AV369" i="39"/>
  <c r="AW371" i="39"/>
  <c r="AW370" i="39"/>
  <c r="AU372" i="39"/>
  <c r="AV363" i="39"/>
  <c r="AU489" i="39"/>
  <c r="AW361" i="39"/>
  <c r="AW362" i="39"/>
  <c r="AU364" i="39"/>
  <c r="AW359" i="39"/>
  <c r="AV486" i="39"/>
  <c r="AV360" i="39"/>
  <c r="AU348" i="39"/>
  <c r="AU74" i="39"/>
  <c r="AW346" i="39"/>
  <c r="AV488" i="39"/>
  <c r="AV347" i="39"/>
  <c r="AU328" i="39"/>
  <c r="AW286" i="39"/>
  <c r="AT325" i="39"/>
  <c r="AT276" i="39"/>
  <c r="AT277" i="39" s="1"/>
  <c r="AW281" i="39"/>
  <c r="AR474" i="39"/>
  <c r="AS206" i="39"/>
  <c r="AV324" i="39"/>
  <c r="AR207" i="39"/>
  <c r="V46" i="39"/>
  <c r="V49" i="39"/>
  <c r="V50" i="39"/>
  <c r="AR222" i="39"/>
  <c r="V496" i="39"/>
  <c r="V71" i="39" s="1"/>
  <c r="W475" i="39" s="1"/>
  <c r="V499" i="39"/>
  <c r="V514" i="39" s="1"/>
  <c r="V490" i="39"/>
  <c r="V51" i="39"/>
  <c r="V108" i="39"/>
  <c r="V109" i="39" s="1"/>
  <c r="V70" i="39"/>
  <c r="W96" i="39" s="1"/>
  <c r="AV287" i="39"/>
  <c r="AV479" i="39"/>
  <c r="AW268" i="39"/>
  <c r="AT208" i="39"/>
  <c r="AV80" i="39"/>
  <c r="AU79" i="39"/>
  <c r="AW267" i="39"/>
  <c r="AX135" i="39"/>
  <c r="AU288" i="39"/>
  <c r="AW299" i="39"/>
  <c r="AU352" i="39"/>
  <c r="AT354" i="39"/>
  <c r="AT63" i="39" s="1"/>
  <c r="AV269" i="39"/>
  <c r="AQ120" i="39"/>
  <c r="AQ126" i="39" s="1"/>
  <c r="AX134" i="39"/>
  <c r="AW138" i="39"/>
  <c r="AU38" i="39"/>
  <c r="AT40" i="39"/>
  <c r="AT107" i="39" s="1"/>
  <c r="AT111" i="39"/>
  <c r="AS506" i="39"/>
  <c r="AV34" i="39"/>
  <c r="AV140" i="39"/>
  <c r="AV47" i="39" s="1"/>
  <c r="AT473" i="39"/>
  <c r="AW266" i="39"/>
  <c r="AR513" i="39"/>
  <c r="AS99" i="39"/>
  <c r="AS104" i="39" s="1"/>
  <c r="AU274" i="39"/>
  <c r="AW311" i="39"/>
  <c r="AR355" i="39"/>
  <c r="AR56" i="39" s="1"/>
  <c r="AT223" i="39"/>
  <c r="AT216" i="39"/>
  <c r="AT112" i="39" s="1"/>
  <c r="AT119" i="39" s="1"/>
  <c r="AW190" i="39"/>
  <c r="AV292" i="39"/>
  <c r="AV294" i="39" s="1"/>
  <c r="AV295" i="39" s="1"/>
  <c r="AV192" i="39"/>
  <c r="AU338" i="39"/>
  <c r="AU36" i="39" s="1"/>
  <c r="AU500" i="39"/>
  <c r="AS511" i="39"/>
  <c r="AS441" i="39"/>
  <c r="AS125" i="39" s="1"/>
  <c r="AW316" i="39"/>
  <c r="AW317" i="39" s="1"/>
  <c r="AV342" i="39"/>
  <c r="AV504" i="39"/>
  <c r="AW341" i="39"/>
  <c r="AW307" i="39"/>
  <c r="AV285" i="39"/>
  <c r="AS88" i="39"/>
  <c r="AS93" i="39" s="1"/>
  <c r="AX333" i="39"/>
  <c r="AV507" i="39"/>
  <c r="AV121" i="39"/>
  <c r="AV334" i="39"/>
  <c r="AV472" i="39"/>
  <c r="AV91" i="39"/>
  <c r="AU37" i="39"/>
  <c r="AU103" i="39"/>
  <c r="AW195" i="39"/>
  <c r="AW198" i="39" s="1"/>
  <c r="AW396" i="39"/>
  <c r="AV398" i="39"/>
  <c r="AV102" i="39" s="1"/>
  <c r="AW241" i="39"/>
  <c r="AU94" i="39"/>
  <c r="AU193" i="39"/>
  <c r="AU438" i="39"/>
  <c r="AT469" i="39"/>
  <c r="AT440" i="39"/>
  <c r="AV90" i="39"/>
  <c r="AW153" i="39"/>
  <c r="AW303" i="39"/>
  <c r="AS221" i="39"/>
  <c r="AX139" i="39"/>
  <c r="AX136" i="39"/>
  <c r="AS327" i="39"/>
  <c r="AS329" i="39" s="1"/>
  <c r="AV237" i="39"/>
  <c r="AU238" i="39"/>
  <c r="AU239" i="39" s="1"/>
  <c r="AV59" i="39"/>
  <c r="AW337" i="39"/>
  <c r="AW422" i="39" l="1"/>
  <c r="W97" i="39"/>
  <c r="W98" i="39" s="1"/>
  <c r="W231" i="39"/>
  <c r="W230" i="39"/>
  <c r="W229" i="39"/>
  <c r="AR209" i="39"/>
  <c r="AR210" i="39" s="1"/>
  <c r="AV481" i="39"/>
  <c r="AV494" i="39" s="1"/>
  <c r="AR224" i="39"/>
  <c r="AR225" i="39" s="1"/>
  <c r="AQ225" i="39"/>
  <c r="AQ95" i="39" s="1"/>
  <c r="AV101" i="39"/>
  <c r="AW431" i="39"/>
  <c r="AW101" i="39" s="1"/>
  <c r="AX337" i="39"/>
  <c r="AX241" i="39"/>
  <c r="AX370" i="39"/>
  <c r="AX299" i="39"/>
  <c r="AX420" i="39"/>
  <c r="AX316" i="39"/>
  <c r="AX371" i="39"/>
  <c r="AX336" i="39"/>
  <c r="AX286" i="39"/>
  <c r="AX346" i="39"/>
  <c r="AX430" i="39"/>
  <c r="AV505" i="39"/>
  <c r="AW501" i="39"/>
  <c r="AW477" i="39"/>
  <c r="AX397" i="39"/>
  <c r="AX77" i="39"/>
  <c r="AX478" i="39"/>
  <c r="AX395" i="39"/>
  <c r="AV372" i="39"/>
  <c r="AW372" i="39" s="1"/>
  <c r="AW373" i="39" s="1"/>
  <c r="AX368" i="39"/>
  <c r="AW363" i="39"/>
  <c r="AU373" i="39"/>
  <c r="AU100" i="39" s="1"/>
  <c r="AV364" i="39"/>
  <c r="AX359" i="39"/>
  <c r="AV489" i="39"/>
  <c r="AW486" i="39"/>
  <c r="AW360" i="39"/>
  <c r="AX361" i="39"/>
  <c r="AV348" i="39"/>
  <c r="AV74" i="39"/>
  <c r="AW488" i="39"/>
  <c r="AW347" i="39"/>
  <c r="AV328" i="39"/>
  <c r="AX281" i="39"/>
  <c r="AX284" i="39"/>
  <c r="AU325" i="39"/>
  <c r="AU276" i="39"/>
  <c r="AU277" i="39" s="1"/>
  <c r="AT206" i="39"/>
  <c r="AS474" i="39"/>
  <c r="AS207" i="39"/>
  <c r="AW324" i="39"/>
  <c r="V515" i="39"/>
  <c r="AW269" i="39"/>
  <c r="AX266" i="39"/>
  <c r="V78" i="39"/>
  <c r="V85" i="39"/>
  <c r="W476" i="39"/>
  <c r="V64" i="39"/>
  <c r="V65" i="39" s="1"/>
  <c r="V67" i="39" s="1"/>
  <c r="V497" i="39"/>
  <c r="V41" i="39"/>
  <c r="V45" i="39" s="1"/>
  <c r="V39" i="39"/>
  <c r="V57" i="39"/>
  <c r="V58" i="39" s="1"/>
  <c r="V60" i="39" s="1"/>
  <c r="AS222" i="39"/>
  <c r="AV288" i="39"/>
  <c r="AW287" i="39"/>
  <c r="AV79" i="39"/>
  <c r="AX311" i="39"/>
  <c r="AT99" i="39"/>
  <c r="AT104" i="39" s="1"/>
  <c r="AX267" i="39"/>
  <c r="AW59" i="39"/>
  <c r="AW479" i="39"/>
  <c r="AX307" i="39"/>
  <c r="AW237" i="39"/>
  <c r="AV238" i="39"/>
  <c r="AV239" i="39" s="1"/>
  <c r="AW90" i="39"/>
  <c r="AX153" i="39"/>
  <c r="AV338" i="39"/>
  <c r="AV36" i="39" s="1"/>
  <c r="AV500" i="39"/>
  <c r="AX341" i="39"/>
  <c r="AW342" i="39"/>
  <c r="AW504" i="39"/>
  <c r="AX138" i="39"/>
  <c r="AV352" i="39"/>
  <c r="AU354" i="39"/>
  <c r="AU63" i="39" s="1"/>
  <c r="AW285" i="39"/>
  <c r="AV94" i="39"/>
  <c r="AV193" i="39"/>
  <c r="AS513" i="39"/>
  <c r="AU208" i="39"/>
  <c r="AV37" i="39"/>
  <c r="AV103" i="39"/>
  <c r="AS355" i="39"/>
  <c r="AS56" i="39" s="1"/>
  <c r="AW507" i="39"/>
  <c r="AW121" i="39"/>
  <c r="AW334" i="39"/>
  <c r="AW472" i="39"/>
  <c r="AW91" i="39"/>
  <c r="AX190" i="39"/>
  <c r="AW292" i="39"/>
  <c r="AW294" i="39" s="1"/>
  <c r="AW295" i="39" s="1"/>
  <c r="AW192" i="39"/>
  <c r="AU223" i="39"/>
  <c r="AU216" i="39"/>
  <c r="AU112" i="39" s="1"/>
  <c r="AU119" i="39" s="1"/>
  <c r="AX195" i="39"/>
  <c r="AW34" i="39"/>
  <c r="AW140" i="39"/>
  <c r="AW47" i="39" s="1"/>
  <c r="AT221" i="39"/>
  <c r="AT441" i="39"/>
  <c r="AT125" i="39" s="1"/>
  <c r="AT511" i="39"/>
  <c r="AX396" i="39"/>
  <c r="AW398" i="39"/>
  <c r="AW102" i="39" s="1"/>
  <c r="AX362" i="39"/>
  <c r="AU473" i="39"/>
  <c r="AT88" i="39"/>
  <c r="AT93" i="39" s="1"/>
  <c r="AW80" i="39"/>
  <c r="AR120" i="39"/>
  <c r="AR126" i="39" s="1"/>
  <c r="AT327" i="39"/>
  <c r="AT329" i="39" s="1"/>
  <c r="AX268" i="39"/>
  <c r="AX303" i="39"/>
  <c r="AV438" i="39"/>
  <c r="AU469" i="39"/>
  <c r="AU440" i="39"/>
  <c r="AV274" i="39"/>
  <c r="AV38" i="39"/>
  <c r="AU40" i="39"/>
  <c r="AU107" i="39" s="1"/>
  <c r="AU111" i="39"/>
  <c r="AT506" i="39"/>
  <c r="AX113" i="39" l="1"/>
  <c r="AS224" i="39"/>
  <c r="AS225" i="39" s="1"/>
  <c r="AS209" i="39"/>
  <c r="AW481" i="39"/>
  <c r="AW494" i="39" s="1"/>
  <c r="AX422" i="39"/>
  <c r="AX324" i="39"/>
  <c r="AX488" i="39"/>
  <c r="AX347" i="39"/>
  <c r="AX90" i="39"/>
  <c r="AX369" i="39"/>
  <c r="AX198" i="39"/>
  <c r="AX501" i="39"/>
  <c r="AX317" i="39"/>
  <c r="AX431" i="39"/>
  <c r="AW505" i="39"/>
  <c r="AX477" i="39"/>
  <c r="AX398" i="39"/>
  <c r="AX363" i="39"/>
  <c r="AV373" i="39"/>
  <c r="AV100" i="39" s="1"/>
  <c r="AX486" i="39"/>
  <c r="AW364" i="39"/>
  <c r="AX360" i="39"/>
  <c r="AW489" i="39"/>
  <c r="AW348" i="39"/>
  <c r="AW74" i="39"/>
  <c r="AW328" i="39"/>
  <c r="AV325" i="39"/>
  <c r="AV276" i="39"/>
  <c r="AV277" i="39" s="1"/>
  <c r="AT474" i="39"/>
  <c r="AU206" i="39"/>
  <c r="AW288" i="39"/>
  <c r="AR95" i="39"/>
  <c r="AX269" i="39"/>
  <c r="AT207" i="39"/>
  <c r="V128" i="39"/>
  <c r="V62" i="39"/>
  <c r="V81" i="39"/>
  <c r="V82" i="39" s="1"/>
  <c r="V483" i="39"/>
  <c r="AT222" i="39"/>
  <c r="W228" i="39"/>
  <c r="W48" i="39" s="1"/>
  <c r="AT513" i="39"/>
  <c r="AT355" i="39"/>
  <c r="AV208" i="39"/>
  <c r="AS120" i="39"/>
  <c r="AS126" i="39" s="1"/>
  <c r="AV40" i="39"/>
  <c r="AV107" i="39" s="1"/>
  <c r="AW38" i="39"/>
  <c r="AV111" i="39"/>
  <c r="AW338" i="39"/>
  <c r="AW36" i="39" s="1"/>
  <c r="AW500" i="39"/>
  <c r="AU99" i="39"/>
  <c r="AU104" i="39" s="1"/>
  <c r="AU327" i="39"/>
  <c r="AU329" i="39" s="1"/>
  <c r="AU441" i="39"/>
  <c r="AU125" i="39" s="1"/>
  <c r="AU511" i="39"/>
  <c r="AX34" i="39"/>
  <c r="AX140" i="39"/>
  <c r="AX237" i="39"/>
  <c r="AW238" i="39"/>
  <c r="AW239" i="39" s="1"/>
  <c r="AW274" i="39"/>
  <c r="AU88" i="39"/>
  <c r="AU93" i="39" s="1"/>
  <c r="AX80" i="39"/>
  <c r="AW79" i="39"/>
  <c r="AU221" i="39"/>
  <c r="AV223" i="39"/>
  <c r="AV216" i="39"/>
  <c r="AV112" i="39" s="1"/>
  <c r="AV119" i="39" s="1"/>
  <c r="AW438" i="39"/>
  <c r="AV469" i="39"/>
  <c r="AV440" i="39"/>
  <c r="AW94" i="39"/>
  <c r="AW193" i="39"/>
  <c r="AX507" i="39"/>
  <c r="AX334" i="39"/>
  <c r="AX121" i="39"/>
  <c r="AX91" i="39"/>
  <c r="AX472" i="39"/>
  <c r="AX285" i="39"/>
  <c r="AX287" i="39"/>
  <c r="AU506" i="39"/>
  <c r="AW37" i="39"/>
  <c r="AW103" i="39"/>
  <c r="AX479" i="39"/>
  <c r="AX292" i="39"/>
  <c r="AX192" i="39"/>
  <c r="AW352" i="39"/>
  <c r="AV354" i="39"/>
  <c r="AV63" i="39" s="1"/>
  <c r="AX342" i="39"/>
  <c r="AX504" i="39"/>
  <c r="AX59" i="39"/>
  <c r="AV473" i="39"/>
  <c r="AT209" i="39" l="1"/>
  <c r="AT210" i="39" s="1"/>
  <c r="AT224" i="39"/>
  <c r="AT225" i="39" s="1"/>
  <c r="AS210" i="39"/>
  <c r="AS95" i="39" s="1"/>
  <c r="AT120" i="39"/>
  <c r="AT126" i="39" s="1"/>
  <c r="AT56" i="39"/>
  <c r="AX481" i="39"/>
  <c r="AX494" i="39" s="1"/>
  <c r="AX348" i="39"/>
  <c r="AX372" i="39"/>
  <c r="AX373" i="39" s="1"/>
  <c r="AX101" i="39"/>
  <c r="AX505" i="39"/>
  <c r="AX489" i="39"/>
  <c r="AX47" i="39"/>
  <c r="AX102" i="39"/>
  <c r="AX294" i="39"/>
  <c r="AX364" i="39"/>
  <c r="AW100" i="39"/>
  <c r="AX74" i="39"/>
  <c r="AW325" i="39"/>
  <c r="AW276" i="39"/>
  <c r="AW277" i="39" s="1"/>
  <c r="AU474" i="39"/>
  <c r="AV206" i="39"/>
  <c r="AU513" i="39"/>
  <c r="AU222" i="39"/>
  <c r="W485" i="39"/>
  <c r="W482" i="39"/>
  <c r="W493" i="39"/>
  <c r="W127" i="39"/>
  <c r="W106" i="39"/>
  <c r="W53" i="39"/>
  <c r="W232" i="39"/>
  <c r="W35" i="39" s="1"/>
  <c r="AU207" i="39"/>
  <c r="AU355" i="39"/>
  <c r="AW208" i="39"/>
  <c r="AX79" i="39"/>
  <c r="AV99" i="39"/>
  <c r="AV104" i="39" s="1"/>
  <c r="AX288" i="39"/>
  <c r="AX37" i="39"/>
  <c r="AX103" i="39"/>
  <c r="AX274" i="39"/>
  <c r="AX238" i="39"/>
  <c r="AV506" i="39"/>
  <c r="AV88" i="39"/>
  <c r="AV93" i="39" s="1"/>
  <c r="AV221" i="39"/>
  <c r="AX352" i="39"/>
  <c r="AW354" i="39"/>
  <c r="AW63" i="39" s="1"/>
  <c r="AW473" i="39"/>
  <c r="AX438" i="39"/>
  <c r="AW469" i="39"/>
  <c r="AW440" i="39"/>
  <c r="AW40" i="39"/>
  <c r="AW107" i="39" s="1"/>
  <c r="AX38" i="39"/>
  <c r="AW111" i="39"/>
  <c r="AX338" i="39"/>
  <c r="AX500" i="39"/>
  <c r="AX94" i="39"/>
  <c r="AX193" i="39"/>
  <c r="AV441" i="39"/>
  <c r="AV125" i="39" s="1"/>
  <c r="AV511" i="39"/>
  <c r="AW223" i="39"/>
  <c r="AW216" i="39"/>
  <c r="AW112" i="39" s="1"/>
  <c r="AW119" i="39" s="1"/>
  <c r="AV327" i="39"/>
  <c r="AV329" i="39" s="1"/>
  <c r="V7" i="39"/>
  <c r="V8" i="39" s="1"/>
  <c r="AU224" i="39" l="1"/>
  <c r="AU225" i="39" s="1"/>
  <c r="AU209" i="39"/>
  <c r="AU210" i="39" s="1"/>
  <c r="AU120" i="39"/>
  <c r="AU126" i="39" s="1"/>
  <c r="AU56" i="39"/>
  <c r="AX239" i="39"/>
  <c r="AX276" i="39"/>
  <c r="AX100" i="39"/>
  <c r="AX36" i="39"/>
  <c r="AX354" i="39"/>
  <c r="AX63" i="39" s="1"/>
  <c r="AX295" i="39"/>
  <c r="AV474" i="39"/>
  <c r="AW206" i="39"/>
  <c r="AT95" i="39"/>
  <c r="AV207" i="39"/>
  <c r="W499" i="39"/>
  <c r="W514" i="39" s="1"/>
  <c r="W496" i="39"/>
  <c r="W71" i="39" s="1"/>
  <c r="X475" i="39" s="1"/>
  <c r="W51" i="39"/>
  <c r="W490" i="39"/>
  <c r="W46" i="39"/>
  <c r="AX325" i="39"/>
  <c r="W49" i="39"/>
  <c r="W50" i="39"/>
  <c r="W108" i="39"/>
  <c r="W109" i="39" s="1"/>
  <c r="W70" i="39"/>
  <c r="X96" i="39" s="1"/>
  <c r="AV222" i="39"/>
  <c r="AW88" i="39"/>
  <c r="AW93" i="39" s="1"/>
  <c r="AX469" i="39"/>
  <c r="AX440" i="39"/>
  <c r="AW506" i="39"/>
  <c r="AX473" i="39"/>
  <c r="AW99" i="39"/>
  <c r="AW104" i="39" s="1"/>
  <c r="AV513" i="39"/>
  <c r="AW441" i="39"/>
  <c r="AW125" i="39" s="1"/>
  <c r="AW511" i="39"/>
  <c r="AW221" i="39"/>
  <c r="AX216" i="39"/>
  <c r="AX40" i="39"/>
  <c r="AX111" i="39"/>
  <c r="AV355" i="39"/>
  <c r="AV56" i="39" s="1"/>
  <c r="AW327" i="39"/>
  <c r="AW329" i="39" s="1"/>
  <c r="AV224" i="39" l="1"/>
  <c r="AV225" i="39" s="1"/>
  <c r="AV209" i="39"/>
  <c r="AV210" i="39" s="1"/>
  <c r="X97" i="39"/>
  <c r="X98" i="39" s="1"/>
  <c r="X229" i="39"/>
  <c r="X230" i="39"/>
  <c r="X231" i="39"/>
  <c r="AX506" i="39"/>
  <c r="AX277" i="39"/>
  <c r="AX327" i="39" s="1"/>
  <c r="AX328" i="39"/>
  <c r="AX107" i="39"/>
  <c r="AX206" i="39"/>
  <c r="AU95" i="39"/>
  <c r="AW474" i="39"/>
  <c r="AW207" i="39"/>
  <c r="W39" i="39"/>
  <c r="W41" i="39"/>
  <c r="W45" i="39" s="1"/>
  <c r="X476" i="39"/>
  <c r="W85" i="39"/>
  <c r="W64" i="39"/>
  <c r="W65" i="39" s="1"/>
  <c r="W67" i="39" s="1"/>
  <c r="W78" i="39"/>
  <c r="AW222" i="39"/>
  <c r="W515" i="39"/>
  <c r="W57" i="39"/>
  <c r="W58" i="39" s="1"/>
  <c r="W60" i="39" s="1"/>
  <c r="W497" i="39"/>
  <c r="AV120" i="39"/>
  <c r="AV126" i="39" s="1"/>
  <c r="AW513" i="39"/>
  <c r="AW355" i="39"/>
  <c r="AW56" i="39" s="1"/>
  <c r="AX441" i="39"/>
  <c r="AX511" i="39"/>
  <c r="AX88" i="39"/>
  <c r="AX112" i="39"/>
  <c r="AX99" i="39"/>
  <c r="AX104" i="39" s="1"/>
  <c r="AX221" i="39"/>
  <c r="AW224" i="39" l="1"/>
  <c r="AW225" i="39" s="1"/>
  <c r="AW209" i="39"/>
  <c r="AW210" i="39" s="1"/>
  <c r="AX93" i="39"/>
  <c r="AX119" i="39"/>
  <c r="AX513" i="39"/>
  <c r="AX329" i="39"/>
  <c r="AX223" i="39"/>
  <c r="AX208" i="39"/>
  <c r="AX474" i="39"/>
  <c r="AV95" i="39"/>
  <c r="X228" i="39"/>
  <c r="X48" i="39" s="1"/>
  <c r="W128" i="39"/>
  <c r="W62" i="39"/>
  <c r="AX222" i="39"/>
  <c r="AX207" i="39"/>
  <c r="W81" i="39"/>
  <c r="W82" i="39" s="1"/>
  <c r="W483" i="39"/>
  <c r="AX125" i="39"/>
  <c r="AX355" i="39"/>
  <c r="AX56" i="39" s="1"/>
  <c r="AW120" i="39"/>
  <c r="AW126" i="39" s="1"/>
  <c r="AX209" i="39" l="1"/>
  <c r="AX224" i="39"/>
  <c r="AW95" i="39"/>
  <c r="X485" i="39"/>
  <c r="X482" i="39"/>
  <c r="X493" i="39"/>
  <c r="X53" i="39"/>
  <c r="X232" i="39"/>
  <c r="X35" i="39" s="1"/>
  <c r="X127" i="39"/>
  <c r="X106" i="39"/>
  <c r="AX120" i="39"/>
  <c r="W7" i="39"/>
  <c r="W8" i="39" s="1"/>
  <c r="AX210" i="39" l="1"/>
  <c r="AX225" i="39"/>
  <c r="AX126" i="39"/>
  <c r="X46" i="39"/>
  <c r="X49" i="39"/>
  <c r="X50" i="39"/>
  <c r="X108" i="39"/>
  <c r="X109" i="39" s="1"/>
  <c r="X70" i="39"/>
  <c r="Y96" i="39" s="1"/>
  <c r="X499" i="39"/>
  <c r="X514" i="39" s="1"/>
  <c r="X496" i="39"/>
  <c r="X71" i="39" s="1"/>
  <c r="Y475" i="39" s="1"/>
  <c r="X51" i="39"/>
  <c r="X490" i="39"/>
  <c r="Y97" i="39" l="1"/>
  <c r="Y98" i="39" s="1"/>
  <c r="Y229" i="39"/>
  <c r="Y230" i="39"/>
  <c r="Y231" i="39"/>
  <c r="AX95" i="39"/>
  <c r="X497" i="39"/>
  <c r="X57" i="39"/>
  <c r="X58" i="39" s="1"/>
  <c r="X60" i="39" s="1"/>
  <c r="X64" i="39"/>
  <c r="X65" i="39" s="1"/>
  <c r="X67" i="39" s="1"/>
  <c r="X78" i="39"/>
  <c r="X85" i="39"/>
  <c r="Y476" i="39"/>
  <c r="X41" i="39"/>
  <c r="X45" i="39" s="1"/>
  <c r="X39" i="39"/>
  <c r="X515" i="39"/>
  <c r="X7" i="39" l="1"/>
  <c r="X8" i="39" s="1"/>
  <c r="X81" i="39"/>
  <c r="X82" i="39" s="1"/>
  <c r="X483" i="39"/>
  <c r="Y228" i="39"/>
  <c r="Y48" i="39" s="1"/>
  <c r="X128" i="39"/>
  <c r="X62" i="39"/>
  <c r="Y106" i="39" l="1"/>
  <c r="Y127" i="39"/>
  <c r="Y482" i="39"/>
  <c r="Y493" i="39"/>
  <c r="Y485" i="39"/>
  <c r="Y53" i="39"/>
  <c r="Y232" i="39"/>
  <c r="Y35" i="39" s="1"/>
  <c r="Y51" i="39" l="1"/>
  <c r="Y490" i="39"/>
  <c r="Y496" i="39"/>
  <c r="Y71" i="39" s="1"/>
  <c r="Z475" i="39" s="1"/>
  <c r="Y499" i="39"/>
  <c r="Y514" i="39" s="1"/>
  <c r="Y46" i="39"/>
  <c r="Y108" i="39"/>
  <c r="Y109" i="39" s="1"/>
  <c r="Y70" i="39"/>
  <c r="Z96" i="39" s="1"/>
  <c r="Y49" i="39"/>
  <c r="Y50" i="39"/>
  <c r="Z97" i="39" l="1"/>
  <c r="Z98" i="39" s="1"/>
  <c r="Z231" i="39"/>
  <c r="Z229" i="39"/>
  <c r="Z230" i="39"/>
  <c r="Y515" i="39"/>
  <c r="Y39" i="39"/>
  <c r="Y41" i="39"/>
  <c r="Y45" i="39" s="1"/>
  <c r="Y497" i="39"/>
  <c r="Y85" i="39"/>
  <c r="Y64" i="39"/>
  <c r="Y65" i="39" s="1"/>
  <c r="Y67" i="39" s="1"/>
  <c r="Y78" i="39"/>
  <c r="Z476" i="39"/>
  <c r="Y57" i="39"/>
  <c r="Y58" i="39" s="1"/>
  <c r="Y60" i="39" s="1"/>
  <c r="Y7" i="39" l="1"/>
  <c r="Y8" i="39" s="1"/>
  <c r="Y81" i="39"/>
  <c r="Y82" i="39" s="1"/>
  <c r="Y483" i="39"/>
  <c r="Z228" i="39"/>
  <c r="Z48" i="39" s="1"/>
  <c r="Y128" i="39"/>
  <c r="Y62" i="39"/>
  <c r="Z53" i="39" l="1"/>
  <c r="Z232" i="39"/>
  <c r="Z35" i="39" s="1"/>
  <c r="Z482" i="39"/>
  <c r="Z493" i="39"/>
  <c r="Z485" i="39"/>
  <c r="Z127" i="39"/>
  <c r="Z106" i="39"/>
  <c r="Z499" i="39" l="1"/>
  <c r="Z514" i="39" s="1"/>
  <c r="Z496" i="39"/>
  <c r="Z71" i="39" s="1"/>
  <c r="AA475" i="39" s="1"/>
  <c r="Z51" i="39"/>
  <c r="Z490" i="39"/>
  <c r="Z46" i="39"/>
  <c r="Z108" i="39"/>
  <c r="Z109" i="39" s="1"/>
  <c r="Z70" i="39"/>
  <c r="AA96" i="39" s="1"/>
  <c r="Z49" i="39"/>
  <c r="Z50" i="39"/>
  <c r="AA97" i="39" l="1"/>
  <c r="AA98" i="39" s="1"/>
  <c r="AA231" i="39"/>
  <c r="AA229" i="39"/>
  <c r="AA230" i="39"/>
  <c r="Z41" i="39"/>
  <c r="Z45" i="39" s="1"/>
  <c r="Z39" i="39"/>
  <c r="AA476" i="39"/>
  <c r="Z64" i="39"/>
  <c r="Z65" i="39" s="1"/>
  <c r="Z67" i="39" s="1"/>
  <c r="Z78" i="39"/>
  <c r="Z85" i="39"/>
  <c r="Z497" i="39"/>
  <c r="Z57" i="39"/>
  <c r="Z58" i="39" s="1"/>
  <c r="Z60" i="39" s="1"/>
  <c r="Z515" i="39"/>
  <c r="Z7" i="39" l="1"/>
  <c r="Z8" i="39" s="1"/>
  <c r="Z81" i="39"/>
  <c r="Z82" i="39" s="1"/>
  <c r="Z483" i="39"/>
  <c r="AA228" i="39"/>
  <c r="AA48" i="39" s="1"/>
  <c r="Z128" i="39"/>
  <c r="Z62" i="39"/>
  <c r="AA127" i="39" l="1"/>
  <c r="AA106" i="39"/>
  <c r="AA485" i="39"/>
  <c r="AA482" i="39"/>
  <c r="AA493" i="39"/>
  <c r="AA53" i="39"/>
  <c r="AA232" i="39"/>
  <c r="AA35" i="39" s="1"/>
  <c r="AA51" i="39" l="1"/>
  <c r="AA490" i="39"/>
  <c r="AA108" i="39"/>
  <c r="AA109" i="39" s="1"/>
  <c r="AA70" i="39"/>
  <c r="AB96" i="39" s="1"/>
  <c r="AA46" i="39"/>
  <c r="AA496" i="39"/>
  <c r="AA71" i="39" s="1"/>
  <c r="AB475" i="39" s="1"/>
  <c r="AA499" i="39"/>
  <c r="AA514" i="39" s="1"/>
  <c r="AA49" i="39"/>
  <c r="AA50" i="39"/>
  <c r="AB97" i="39" l="1"/>
  <c r="AB98" i="39" s="1"/>
  <c r="AB231" i="39"/>
  <c r="AB229" i="39"/>
  <c r="AB230" i="39"/>
  <c r="AA497" i="39"/>
  <c r="AA57" i="39"/>
  <c r="AA58" i="39" s="1"/>
  <c r="AA60" i="39" s="1"/>
  <c r="AA78" i="39"/>
  <c r="AA85" i="39"/>
  <c r="AA64" i="39"/>
  <c r="AA65" i="39" s="1"/>
  <c r="AA67" i="39" s="1"/>
  <c r="AB476" i="39"/>
  <c r="AA41" i="39"/>
  <c r="AA45" i="39" s="1"/>
  <c r="AA39" i="39"/>
  <c r="AA515" i="39"/>
  <c r="AA7" i="39" l="1"/>
  <c r="AA8" i="39" s="1"/>
  <c r="AA483" i="39"/>
  <c r="AA81" i="39"/>
  <c r="AA82" i="39" s="1"/>
  <c r="AA128" i="39"/>
  <c r="AA62" i="39"/>
  <c r="AB228" i="39"/>
  <c r="AB48" i="39" s="1"/>
  <c r="AB127" i="39" l="1"/>
  <c r="AB106" i="39"/>
  <c r="AB485" i="39"/>
  <c r="AB482" i="39"/>
  <c r="AB493" i="39"/>
  <c r="AB53" i="39"/>
  <c r="AB232" i="39"/>
  <c r="AB35" i="39" s="1"/>
  <c r="AB51" i="39" l="1"/>
  <c r="AB490" i="39"/>
  <c r="AB499" i="39"/>
  <c r="AB514" i="39" s="1"/>
  <c r="AB496" i="39"/>
  <c r="AB71" i="39" s="1"/>
  <c r="AC475" i="39" s="1"/>
  <c r="AB108" i="39"/>
  <c r="AB109" i="39" s="1"/>
  <c r="AB70" i="39"/>
  <c r="AC96" i="39" s="1"/>
  <c r="AB46" i="39"/>
  <c r="AB49" i="39"/>
  <c r="AB50" i="39"/>
  <c r="AC97" i="39" l="1"/>
  <c r="AC98" i="39" s="1"/>
  <c r="AC230" i="39"/>
  <c r="AC231" i="39"/>
  <c r="AC229" i="39"/>
  <c r="AB515" i="39"/>
  <c r="AB57" i="39"/>
  <c r="AB58" i="39" s="1"/>
  <c r="AB60" i="39" s="1"/>
  <c r="AB85" i="39"/>
  <c r="AB78" i="39"/>
  <c r="AC476" i="39"/>
  <c r="AB64" i="39"/>
  <c r="AB65" i="39" s="1"/>
  <c r="AB67" i="39" s="1"/>
  <c r="AB497" i="39"/>
  <c r="AB39" i="39"/>
  <c r="AB41" i="39"/>
  <c r="AB45" i="39" s="1"/>
  <c r="AB7" i="39" l="1"/>
  <c r="AB8" i="39" s="1"/>
  <c r="AC228" i="39"/>
  <c r="AC48" i="39" s="1"/>
  <c r="AB81" i="39"/>
  <c r="AB82" i="39" s="1"/>
  <c r="AB483" i="39"/>
  <c r="AB128" i="39"/>
  <c r="AB62" i="39"/>
  <c r="AC49" i="39" l="1"/>
  <c r="AC53" i="39"/>
  <c r="AC106" i="39"/>
  <c r="AC70" i="39" s="1"/>
  <c r="AD96" i="39" s="1"/>
  <c r="AC127" i="39"/>
  <c r="AC232" i="39"/>
  <c r="AC50" i="39"/>
  <c r="AC485" i="39"/>
  <c r="AC482" i="39"/>
  <c r="AC493" i="39"/>
  <c r="AD97" i="39" l="1"/>
  <c r="AD98" i="39" s="1"/>
  <c r="AC35" i="39"/>
  <c r="AC46" i="39" s="1"/>
  <c r="AC108" i="39"/>
  <c r="AC109" i="39" s="1"/>
  <c r="AC51" i="39"/>
  <c r="AC490" i="39"/>
  <c r="AC57" i="39"/>
  <c r="AC58" i="39" s="1"/>
  <c r="AC60" i="39" s="1"/>
  <c r="AC499" i="39"/>
  <c r="AC514" i="39" s="1"/>
  <c r="AC515" i="39" s="1"/>
  <c r="AC496" i="39"/>
  <c r="AC71" i="39" s="1"/>
  <c r="AD475" i="39" s="1"/>
  <c r="AD230" i="39" s="1"/>
  <c r="AD229" i="39" l="1"/>
  <c r="AD231" i="39"/>
  <c r="AC41" i="39"/>
  <c r="AC45" i="39" s="1"/>
  <c r="AC39" i="39"/>
  <c r="AC128" i="39" s="1"/>
  <c r="AC497" i="39"/>
  <c r="AC64" i="39"/>
  <c r="AC65" i="39" s="1"/>
  <c r="AC67" i="39" s="1"/>
  <c r="AC85" i="39"/>
  <c r="AC78" i="39"/>
  <c r="AC7" i="39" s="1"/>
  <c r="AC8" i="39" s="1"/>
  <c r="AC62" i="39" l="1"/>
  <c r="AD476" i="39"/>
  <c r="AD127" i="39"/>
  <c r="AD106" i="39"/>
  <c r="AD108" i="39" s="1"/>
  <c r="AD109" i="39" s="1"/>
  <c r="AD228" i="39"/>
  <c r="AD48" i="39" s="1"/>
  <c r="AC81" i="39"/>
  <c r="AC82" i="39" s="1"/>
  <c r="AC483" i="39"/>
  <c r="AD49" i="39" l="1"/>
  <c r="AD53" i="39"/>
  <c r="AD70" i="39"/>
  <c r="AE96" i="39" s="1"/>
  <c r="AD232" i="39"/>
  <c r="AD50" i="39"/>
  <c r="AD485" i="39"/>
  <c r="AD482" i="39"/>
  <c r="AD493" i="39"/>
  <c r="AE97" i="39" l="1"/>
  <c r="AE98" i="39" s="1"/>
  <c r="AD35" i="39"/>
  <c r="AD46" i="39" s="1"/>
  <c r="AD57" i="39"/>
  <c r="AD58" i="39" s="1"/>
  <c r="AD60" i="39" s="1"/>
  <c r="AD51" i="39"/>
  <c r="AD490" i="39"/>
  <c r="AD499" i="39"/>
  <c r="AD514" i="39" s="1"/>
  <c r="AD515" i="39" s="1"/>
  <c r="AD496" i="39"/>
  <c r="AD71" i="39" s="1"/>
  <c r="AE475" i="39" s="1"/>
  <c r="AE230" i="39" s="1"/>
  <c r="AE229" i="39" l="1"/>
  <c r="AD39" i="39"/>
  <c r="AD128" i="39" s="1"/>
  <c r="AE231" i="39"/>
  <c r="AD41" i="39"/>
  <c r="AD45" i="39" s="1"/>
  <c r="AE127" i="39"/>
  <c r="AE106" i="39"/>
  <c r="AE108" i="39" s="1"/>
  <c r="AE109" i="39" s="1"/>
  <c r="AD85" i="39"/>
  <c r="AE476" i="39"/>
  <c r="AD78" i="39"/>
  <c r="AD64" i="39"/>
  <c r="AD65" i="39" s="1"/>
  <c r="AD67" i="39" s="1"/>
  <c r="AD497" i="39"/>
  <c r="AD62" i="39" l="1"/>
  <c r="AD7" i="39"/>
  <c r="AD8" i="39" s="1"/>
  <c r="AE70" i="39"/>
  <c r="AF96" i="39" s="1"/>
  <c r="AD81" i="39"/>
  <c r="AD82" i="39" s="1"/>
  <c r="AD483" i="39"/>
  <c r="AE228" i="39"/>
  <c r="AE48" i="39" s="1"/>
  <c r="AE57" i="39" l="1"/>
  <c r="AE58" i="39" s="1"/>
  <c r="AE60" i="39" s="1"/>
  <c r="AF97" i="39"/>
  <c r="AF98" i="39" s="1"/>
  <c r="AE485" i="39"/>
  <c r="AE482" i="39"/>
  <c r="AE493" i="39"/>
  <c r="AE53" i="39"/>
  <c r="AE232" i="39"/>
  <c r="AE35" i="39" s="1"/>
  <c r="AF106" i="39" l="1"/>
  <c r="AF70" i="39" s="1"/>
  <c r="AG96" i="39" s="1"/>
  <c r="AF127" i="39"/>
  <c r="AE49" i="39"/>
  <c r="AE50" i="39"/>
  <c r="AE499" i="39"/>
  <c r="AE514" i="39" s="1"/>
  <c r="AE496" i="39"/>
  <c r="AE71" i="39" s="1"/>
  <c r="AF475" i="39" s="1"/>
  <c r="AE51" i="39"/>
  <c r="AE490" i="39"/>
  <c r="AE46" i="39"/>
  <c r="AF229" i="39" l="1"/>
  <c r="AF231" i="39"/>
  <c r="AF230" i="39"/>
  <c r="AG97" i="39"/>
  <c r="AG98" i="39" s="1"/>
  <c r="AF108" i="39"/>
  <c r="AF109" i="39" s="1"/>
  <c r="AE515" i="39"/>
  <c r="AE78" i="39"/>
  <c r="AE85" i="39"/>
  <c r="AE64" i="39"/>
  <c r="AE65" i="39" s="1"/>
  <c r="AE67" i="39" s="1"/>
  <c r="AF476" i="39"/>
  <c r="AF57" i="39"/>
  <c r="AF58" i="39" s="1"/>
  <c r="AF60" i="39" s="1"/>
  <c r="AE497" i="39"/>
  <c r="AE39" i="39"/>
  <c r="AE41" i="39"/>
  <c r="AE45" i="39" s="1"/>
  <c r="AE7" i="39" l="1"/>
  <c r="AE8" i="39" s="1"/>
  <c r="AF228" i="39"/>
  <c r="AF48" i="39" s="1"/>
  <c r="AE128" i="39"/>
  <c r="AE62" i="39"/>
  <c r="AE81" i="39"/>
  <c r="AE82" i="39" s="1"/>
  <c r="AE483" i="39"/>
  <c r="AG106" i="39" l="1"/>
  <c r="AG108" i="39" s="1"/>
  <c r="AG109" i="39" s="1"/>
  <c r="AG127" i="39"/>
  <c r="AF485" i="39"/>
  <c r="AF493" i="39"/>
  <c r="AF482" i="39"/>
  <c r="AF53" i="39"/>
  <c r="AF232" i="39"/>
  <c r="AF35" i="39" s="1"/>
  <c r="AG70" i="39" l="1"/>
  <c r="AH96" i="39" s="1"/>
  <c r="AH97" i="39" s="1"/>
  <c r="AH98" i="39" s="1"/>
  <c r="AF46" i="39"/>
  <c r="AF51" i="39"/>
  <c r="AF490" i="39"/>
  <c r="AF499" i="39"/>
  <c r="AF514" i="39" s="1"/>
  <c r="AF496" i="39"/>
  <c r="AF71" i="39" s="1"/>
  <c r="AG475" i="39" s="1"/>
  <c r="AF49" i="39"/>
  <c r="AF50" i="39"/>
  <c r="AG57" i="39" l="1"/>
  <c r="AG58" i="39" s="1"/>
  <c r="AG60" i="39" s="1"/>
  <c r="AG229" i="39"/>
  <c r="AG230" i="39"/>
  <c r="AG231" i="39"/>
  <c r="AF85" i="39"/>
  <c r="AG476" i="39"/>
  <c r="AF78" i="39"/>
  <c r="AF64" i="39"/>
  <c r="AF65" i="39" s="1"/>
  <c r="AF67" i="39" s="1"/>
  <c r="AF515" i="39"/>
  <c r="AF497" i="39"/>
  <c r="AF39" i="39"/>
  <c r="AF41" i="39"/>
  <c r="AF45" i="39" s="1"/>
  <c r="AH127" i="39" l="1"/>
  <c r="AH106" i="39"/>
  <c r="AH108" i="39" s="1"/>
  <c r="AH109" i="39" s="1"/>
  <c r="AF7" i="39"/>
  <c r="AF8" i="39" s="1"/>
  <c r="AF483" i="39"/>
  <c r="AF81" i="39"/>
  <c r="AF82" i="39" s="1"/>
  <c r="AG228" i="39"/>
  <c r="AG48" i="39" s="1"/>
  <c r="AF128" i="39"/>
  <c r="AF62" i="39"/>
  <c r="AH70" i="39" l="1"/>
  <c r="AI96" i="39" s="1"/>
  <c r="AG493" i="39"/>
  <c r="AG485" i="39"/>
  <c r="AG482" i="39"/>
  <c r="AG53" i="39"/>
  <c r="AG232" i="39"/>
  <c r="AG35" i="39" s="1"/>
  <c r="AH57" i="39"/>
  <c r="AH58" i="39" s="1"/>
  <c r="AH60" i="39" s="1"/>
  <c r="AI97" i="39" l="1"/>
  <c r="AI98" i="39" s="1"/>
  <c r="AG46" i="39"/>
  <c r="AG49" i="39"/>
  <c r="AG50" i="39"/>
  <c r="AG51" i="39"/>
  <c r="AG490" i="39"/>
  <c r="AG496" i="39"/>
  <c r="AG71" i="39" s="1"/>
  <c r="AH475" i="39" s="1"/>
  <c r="AG499" i="39"/>
  <c r="AG514" i="39" s="1"/>
  <c r="AH231" i="39" l="1"/>
  <c r="AH229" i="39"/>
  <c r="AH230" i="39"/>
  <c r="AI127" i="39"/>
  <c r="AI106" i="39"/>
  <c r="AI70" i="39" s="1"/>
  <c r="AJ96" i="39" s="1"/>
  <c r="AG515" i="39"/>
  <c r="AG64" i="39"/>
  <c r="AG65" i="39" s="1"/>
  <c r="AG67" i="39" s="1"/>
  <c r="AG85" i="39"/>
  <c r="AH476" i="39"/>
  <c r="AG78" i="39"/>
  <c r="AG41" i="39"/>
  <c r="AG45" i="39" s="1"/>
  <c r="AG39" i="39"/>
  <c r="AG497" i="39"/>
  <c r="AJ97" i="39" l="1"/>
  <c r="AJ98" i="39" s="1"/>
  <c r="AI108" i="39"/>
  <c r="AI109" i="39" s="1"/>
  <c r="AG7" i="39"/>
  <c r="AG8" i="39" s="1"/>
  <c r="AI57" i="39"/>
  <c r="AI58" i="39" s="1"/>
  <c r="AI60" i="39" s="1"/>
  <c r="AG81" i="39"/>
  <c r="AG82" i="39" s="1"/>
  <c r="AG483" i="39"/>
  <c r="AH228" i="39"/>
  <c r="AH48" i="39" s="1"/>
  <c r="AG128" i="39"/>
  <c r="AG62" i="39"/>
  <c r="AH482" i="39" l="1"/>
  <c r="AH493" i="39"/>
  <c r="AH485" i="39"/>
  <c r="AH53" i="39"/>
  <c r="AH232" i="39"/>
  <c r="AH35" i="39" s="1"/>
  <c r="AJ106" i="39" l="1"/>
  <c r="AJ108" i="39" s="1"/>
  <c r="AJ109" i="39" s="1"/>
  <c r="AJ127" i="39"/>
  <c r="AH49" i="39"/>
  <c r="AH50" i="39"/>
  <c r="AH46" i="39"/>
  <c r="AH499" i="39"/>
  <c r="AH514" i="39" s="1"/>
  <c r="AH496" i="39"/>
  <c r="AH71" i="39" s="1"/>
  <c r="AI475" i="39" s="1"/>
  <c r="AH51" i="39"/>
  <c r="AH490" i="39"/>
  <c r="AJ70" i="39" l="1"/>
  <c r="AK96" i="39" s="1"/>
  <c r="AK97" i="39" s="1"/>
  <c r="AK98" i="39" s="1"/>
  <c r="AI231" i="39"/>
  <c r="AI229" i="39"/>
  <c r="AI230" i="39"/>
  <c r="AH515" i="39"/>
  <c r="AH41" i="39"/>
  <c r="AH45" i="39" s="1"/>
  <c r="AH39" i="39"/>
  <c r="AI476" i="39"/>
  <c r="AH64" i="39"/>
  <c r="AH65" i="39" s="1"/>
  <c r="AH67" i="39" s="1"/>
  <c r="AH85" i="39"/>
  <c r="AH78" i="39"/>
  <c r="AH497" i="39"/>
  <c r="AJ57" i="39" l="1"/>
  <c r="AJ58" i="39" s="1"/>
  <c r="AJ60" i="39" s="1"/>
  <c r="AH7" i="39"/>
  <c r="AH8" i="39" s="1"/>
  <c r="AH128" i="39"/>
  <c r="AH62" i="39"/>
  <c r="AH483" i="39"/>
  <c r="AH81" i="39"/>
  <c r="AH82" i="39" s="1"/>
  <c r="AI228" i="39"/>
  <c r="AI48" i="39" s="1"/>
  <c r="AK106" i="39" l="1"/>
  <c r="AK108" i="39" s="1"/>
  <c r="AK109" i="39" s="1"/>
  <c r="AK127" i="39"/>
  <c r="AI53" i="39"/>
  <c r="AI232" i="39"/>
  <c r="AI35" i="39" s="1"/>
  <c r="AI493" i="39"/>
  <c r="AI485" i="39"/>
  <c r="AI482" i="39"/>
  <c r="AK70" i="39" l="1"/>
  <c r="AL96" i="39" s="1"/>
  <c r="AI46" i="39"/>
  <c r="AI496" i="39"/>
  <c r="AI71" i="39" s="1"/>
  <c r="AJ475" i="39" s="1"/>
  <c r="AI499" i="39"/>
  <c r="AI514" i="39" s="1"/>
  <c r="AI49" i="39"/>
  <c r="AI50" i="39"/>
  <c r="AI51" i="39"/>
  <c r="AI490" i="39"/>
  <c r="AK57" i="39" l="1"/>
  <c r="AK58" i="39" s="1"/>
  <c r="AK60" i="39" s="1"/>
  <c r="AJ230" i="39"/>
  <c r="AJ231" i="39"/>
  <c r="AJ229" i="39"/>
  <c r="AL97" i="39"/>
  <c r="AL98" i="39" s="1"/>
  <c r="AI515" i="39"/>
  <c r="AI497" i="39"/>
  <c r="AI78" i="39"/>
  <c r="AI64" i="39"/>
  <c r="AI65" i="39" s="1"/>
  <c r="AI67" i="39" s="1"/>
  <c r="AI85" i="39"/>
  <c r="AJ476" i="39"/>
  <c r="AI41" i="39"/>
  <c r="AI45" i="39" s="1"/>
  <c r="AI39" i="39"/>
  <c r="AL127" i="39" l="1"/>
  <c r="AL106" i="39"/>
  <c r="AL108" i="39" s="1"/>
  <c r="AL109" i="39" s="1"/>
  <c r="AI7" i="39"/>
  <c r="AI8" i="39" s="1"/>
  <c r="AJ228" i="39"/>
  <c r="AJ48" i="39" s="1"/>
  <c r="AI81" i="39"/>
  <c r="AI82" i="39" s="1"/>
  <c r="AI483" i="39"/>
  <c r="AI128" i="39"/>
  <c r="AI62" i="39"/>
  <c r="AL70" i="39" l="1"/>
  <c r="AM96" i="39" s="1"/>
  <c r="AJ485" i="39"/>
  <c r="AJ482" i="39"/>
  <c r="AJ493" i="39"/>
  <c r="AJ53" i="39"/>
  <c r="AJ232" i="39"/>
  <c r="AJ35" i="39" s="1"/>
  <c r="AM97" i="39" l="1"/>
  <c r="AM98" i="39" s="1"/>
  <c r="AL57" i="39"/>
  <c r="AL58" i="39" s="1"/>
  <c r="AL60" i="39" s="1"/>
  <c r="AJ51" i="39"/>
  <c r="AJ490" i="39"/>
  <c r="AJ496" i="39"/>
  <c r="AJ71" i="39" s="1"/>
  <c r="AK475" i="39" s="1"/>
  <c r="AJ499" i="39"/>
  <c r="AJ514" i="39" s="1"/>
  <c r="AJ46" i="39"/>
  <c r="AJ49" i="39"/>
  <c r="AJ50" i="39"/>
  <c r="AK230" i="39" l="1"/>
  <c r="AK229" i="39"/>
  <c r="AK231" i="39"/>
  <c r="AM106" i="39"/>
  <c r="AM70" i="39" s="1"/>
  <c r="AN96" i="39" s="1"/>
  <c r="AM127" i="39"/>
  <c r="AJ515" i="39"/>
  <c r="AJ497" i="39"/>
  <c r="AJ85" i="39"/>
  <c r="AJ64" i="39"/>
  <c r="AJ65" i="39" s="1"/>
  <c r="AJ67" i="39" s="1"/>
  <c r="AK476" i="39"/>
  <c r="AJ78" i="39"/>
  <c r="AJ39" i="39"/>
  <c r="AJ41" i="39"/>
  <c r="AJ45" i="39" s="1"/>
  <c r="AN97" i="39" l="1"/>
  <c r="AN98" i="39" s="1"/>
  <c r="AM108" i="39"/>
  <c r="AM109" i="39" s="1"/>
  <c r="AJ7" i="39"/>
  <c r="AJ8" i="39" s="1"/>
  <c r="AM57" i="39"/>
  <c r="AM58" i="39" s="1"/>
  <c r="AM60" i="39" s="1"/>
  <c r="AJ81" i="39"/>
  <c r="AJ82" i="39" s="1"/>
  <c r="AJ483" i="39"/>
  <c r="AJ128" i="39"/>
  <c r="AJ62" i="39"/>
  <c r="AK228" i="39"/>
  <c r="AK48" i="39" s="1"/>
  <c r="AK53" i="39" l="1"/>
  <c r="AK232" i="39"/>
  <c r="AK35" i="39" s="1"/>
  <c r="AK485" i="39"/>
  <c r="AK482" i="39"/>
  <c r="AK493" i="39"/>
  <c r="AN127" i="39" l="1"/>
  <c r="AN106" i="39"/>
  <c r="AN108" i="39" s="1"/>
  <c r="AN109" i="39" s="1"/>
  <c r="AK499" i="39"/>
  <c r="AK514" i="39" s="1"/>
  <c r="AK496" i="39"/>
  <c r="AK71" i="39" s="1"/>
  <c r="AL475" i="39" s="1"/>
  <c r="AK46" i="39"/>
  <c r="AK51" i="39"/>
  <c r="AK490" i="39"/>
  <c r="AK49" i="39"/>
  <c r="AK50" i="39"/>
  <c r="AN70" i="39" l="1"/>
  <c r="AO96" i="39" s="1"/>
  <c r="AO97" i="39" s="1"/>
  <c r="AO98" i="39" s="1"/>
  <c r="AL231" i="39"/>
  <c r="AL230" i="39"/>
  <c r="AL229" i="39"/>
  <c r="AK515" i="39"/>
  <c r="AN57" i="39"/>
  <c r="AN58" i="39" s="1"/>
  <c r="AN60" i="39" s="1"/>
  <c r="AK85" i="39"/>
  <c r="AK64" i="39"/>
  <c r="AK65" i="39" s="1"/>
  <c r="AK67" i="39" s="1"/>
  <c r="AK78" i="39"/>
  <c r="AL476" i="39"/>
  <c r="AK41" i="39"/>
  <c r="AK45" i="39" s="1"/>
  <c r="AK39" i="39"/>
  <c r="AK497" i="39"/>
  <c r="AK7" i="39" l="1"/>
  <c r="AK8" i="39" s="1"/>
  <c r="AL228" i="39"/>
  <c r="AL48" i="39" s="1"/>
  <c r="AK81" i="39"/>
  <c r="AK82" i="39" s="1"/>
  <c r="AK483" i="39"/>
  <c r="AK128" i="39"/>
  <c r="AK62" i="39"/>
  <c r="AO127" i="39" l="1"/>
  <c r="AO106" i="39"/>
  <c r="AO108" i="39" s="1"/>
  <c r="AO109" i="39" s="1"/>
  <c r="AL485" i="39"/>
  <c r="AL482" i="39"/>
  <c r="AL493" i="39"/>
  <c r="AL53" i="39"/>
  <c r="AL232" i="39"/>
  <c r="AL35" i="39" s="1"/>
  <c r="AO70" i="39" l="1"/>
  <c r="AP96" i="39" s="1"/>
  <c r="AL496" i="39"/>
  <c r="AL71" i="39" s="1"/>
  <c r="AM475" i="39" s="1"/>
  <c r="AL499" i="39"/>
  <c r="AL514" i="39" s="1"/>
  <c r="AL51" i="39"/>
  <c r="AL490" i="39"/>
  <c r="AL46" i="39"/>
  <c r="AL49" i="39"/>
  <c r="AL50" i="39"/>
  <c r="AM231" i="39" l="1"/>
  <c r="AM229" i="39"/>
  <c r="AM230" i="39"/>
  <c r="AP97" i="39"/>
  <c r="AP98" i="39" s="1"/>
  <c r="AO57" i="39"/>
  <c r="AO58" i="39" s="1"/>
  <c r="AO60" i="39" s="1"/>
  <c r="AL41" i="39"/>
  <c r="AL45" i="39" s="1"/>
  <c r="AL39" i="39"/>
  <c r="AL515" i="39"/>
  <c r="AM476" i="39"/>
  <c r="AL85" i="39"/>
  <c r="AL64" i="39"/>
  <c r="AL65" i="39" s="1"/>
  <c r="AL67" i="39" s="1"/>
  <c r="AL78" i="39"/>
  <c r="AL497" i="39"/>
  <c r="AP106" i="39" l="1"/>
  <c r="AP108" i="39" s="1"/>
  <c r="AP109" i="39" s="1"/>
  <c r="AP127" i="39"/>
  <c r="AL7" i="39"/>
  <c r="AL8" i="39" s="1"/>
  <c r="AM228" i="39"/>
  <c r="AM48" i="39" s="1"/>
  <c r="AL128" i="39"/>
  <c r="AL62" i="39"/>
  <c r="AL483" i="39"/>
  <c r="AL81" i="39"/>
  <c r="AL82" i="39" s="1"/>
  <c r="AP70" i="39" l="1"/>
  <c r="AQ96" i="39" s="1"/>
  <c r="AQ97" i="39" s="1"/>
  <c r="AQ98" i="39" s="1"/>
  <c r="AM493" i="39"/>
  <c r="AM482" i="39"/>
  <c r="AM485" i="39"/>
  <c r="AM53" i="39"/>
  <c r="AM232" i="39"/>
  <c r="AM35" i="39" s="1"/>
  <c r="AP57" i="39" l="1"/>
  <c r="AP58" i="39" s="1"/>
  <c r="AP60" i="39" s="1"/>
  <c r="AM51" i="39"/>
  <c r="AM490" i="39"/>
  <c r="AM496" i="39"/>
  <c r="AM71" i="39" s="1"/>
  <c r="AN475" i="39" s="1"/>
  <c r="AM499" i="39"/>
  <c r="AM514" i="39" s="1"/>
  <c r="AM46" i="39"/>
  <c r="AM49" i="39"/>
  <c r="AM50" i="39"/>
  <c r="AN229" i="39" l="1"/>
  <c r="AN230" i="39"/>
  <c r="AN231" i="39"/>
  <c r="AQ127" i="39"/>
  <c r="AQ106" i="39"/>
  <c r="AQ108" i="39" s="1"/>
  <c r="AQ109" i="39" s="1"/>
  <c r="AM497" i="39"/>
  <c r="AM515" i="39"/>
  <c r="AM41" i="39"/>
  <c r="AM45" i="39" s="1"/>
  <c r="AM39" i="39"/>
  <c r="AM78" i="39"/>
  <c r="AM64" i="39"/>
  <c r="AM65" i="39" s="1"/>
  <c r="AM67" i="39" s="1"/>
  <c r="AN476" i="39"/>
  <c r="AM85" i="39"/>
  <c r="AQ70" i="39" l="1"/>
  <c r="AR96" i="39" s="1"/>
  <c r="AR97" i="39" s="1"/>
  <c r="AR98" i="39" s="1"/>
  <c r="AM7" i="39"/>
  <c r="AM8" i="39" s="1"/>
  <c r="AN228" i="39"/>
  <c r="AN48" i="39" s="1"/>
  <c r="AM128" i="39"/>
  <c r="AM62" i="39"/>
  <c r="AM81" i="39"/>
  <c r="AM82" i="39" s="1"/>
  <c r="AM483" i="39"/>
  <c r="AQ57" i="39" l="1"/>
  <c r="AQ58" i="39" s="1"/>
  <c r="AQ60" i="39" s="1"/>
  <c r="AN485" i="39"/>
  <c r="AN493" i="39"/>
  <c r="AN482" i="39"/>
  <c r="AN53" i="39"/>
  <c r="AN232" i="39"/>
  <c r="AN35" i="39" s="1"/>
  <c r="AR106" i="39" l="1"/>
  <c r="AR108" i="39" s="1"/>
  <c r="AR109" i="39" s="1"/>
  <c r="AR127" i="39"/>
  <c r="AN49" i="39"/>
  <c r="AN50" i="39"/>
  <c r="AN51" i="39"/>
  <c r="AN490" i="39"/>
  <c r="AN499" i="39"/>
  <c r="AN514" i="39" s="1"/>
  <c r="AN496" i="39"/>
  <c r="AN71" i="39" s="1"/>
  <c r="AO475" i="39" s="1"/>
  <c r="AN46" i="39"/>
  <c r="AO229" i="39" l="1"/>
  <c r="AO230" i="39"/>
  <c r="AO231" i="39"/>
  <c r="AR70" i="39"/>
  <c r="AS96" i="39" s="1"/>
  <c r="AN515" i="39"/>
  <c r="AN85" i="39"/>
  <c r="AN78" i="39"/>
  <c r="AO476" i="39"/>
  <c r="AN64" i="39"/>
  <c r="AN65" i="39" s="1"/>
  <c r="AN67" i="39" s="1"/>
  <c r="AN497" i="39"/>
  <c r="AN41" i="39"/>
  <c r="AN45" i="39" s="1"/>
  <c r="AN39" i="39"/>
  <c r="AR57" i="39" l="1"/>
  <c r="AR58" i="39" s="1"/>
  <c r="AR60" i="39" s="1"/>
  <c r="AS97" i="39"/>
  <c r="AS98" i="39" s="1"/>
  <c r="AN7" i="39"/>
  <c r="AN8" i="39" s="1"/>
  <c r="AO228" i="39"/>
  <c r="AO48" i="39" s="1"/>
  <c r="AN128" i="39"/>
  <c r="AN62" i="39"/>
  <c r="AN483" i="39"/>
  <c r="AN81" i="39"/>
  <c r="AN82" i="39" s="1"/>
  <c r="AS127" i="39" l="1"/>
  <c r="AS106" i="39"/>
  <c r="AS108" i="39" s="1"/>
  <c r="AS109" i="39" s="1"/>
  <c r="AO493" i="39"/>
  <c r="AO485" i="39"/>
  <c r="AO482" i="39"/>
  <c r="AO53" i="39"/>
  <c r="AO232" i="39"/>
  <c r="AO35" i="39" s="1"/>
  <c r="AS70" i="39" l="1"/>
  <c r="AT96" i="39" s="1"/>
  <c r="AO46" i="39"/>
  <c r="AO51" i="39"/>
  <c r="AO490" i="39"/>
  <c r="AO499" i="39"/>
  <c r="AO514" i="39" s="1"/>
  <c r="AO496" i="39"/>
  <c r="AO71" i="39" s="1"/>
  <c r="AP475" i="39" s="1"/>
  <c r="AO49" i="39"/>
  <c r="AO50" i="39"/>
  <c r="AS57" i="39" l="1"/>
  <c r="AS58" i="39" s="1"/>
  <c r="AS60" i="39" s="1"/>
  <c r="AP230" i="39"/>
  <c r="AP231" i="39"/>
  <c r="AP229" i="39"/>
  <c r="AT97" i="39"/>
  <c r="AT98" i="39" s="1"/>
  <c r="AO515" i="39"/>
  <c r="AO41" i="39"/>
  <c r="AO45" i="39" s="1"/>
  <c r="AO39" i="39"/>
  <c r="AO64" i="39"/>
  <c r="AO65" i="39" s="1"/>
  <c r="AO67" i="39" s="1"/>
  <c r="AP476" i="39"/>
  <c r="AO85" i="39"/>
  <c r="AO78" i="39"/>
  <c r="AO497" i="39"/>
  <c r="AT127" i="39" l="1"/>
  <c r="AT106" i="39"/>
  <c r="AT108" i="39" s="1"/>
  <c r="AT109" i="39" s="1"/>
  <c r="AO7" i="39"/>
  <c r="AO8" i="39" s="1"/>
  <c r="AO81" i="39"/>
  <c r="AO82" i="39" s="1"/>
  <c r="AO483" i="39"/>
  <c r="AP228" i="39"/>
  <c r="AP48" i="39" s="1"/>
  <c r="AO128" i="39"/>
  <c r="AO62" i="39"/>
  <c r="AT70" i="39" l="1"/>
  <c r="AU96" i="39" s="1"/>
  <c r="AP482" i="39"/>
  <c r="AP493" i="39"/>
  <c r="AP485" i="39"/>
  <c r="AP53" i="39"/>
  <c r="AP232" i="39"/>
  <c r="AP35" i="39" s="1"/>
  <c r="AT57" i="39" l="1"/>
  <c r="AT58" i="39" s="1"/>
  <c r="AT60" i="39" s="1"/>
  <c r="AU97" i="39"/>
  <c r="AU98" i="39" s="1"/>
  <c r="AP46" i="39"/>
  <c r="AP496" i="39"/>
  <c r="AP71" i="39" s="1"/>
  <c r="AQ475" i="39" s="1"/>
  <c r="AP499" i="39"/>
  <c r="AP514" i="39" s="1"/>
  <c r="AP49" i="39"/>
  <c r="AP50" i="39"/>
  <c r="AP490" i="39"/>
  <c r="AP51" i="39"/>
  <c r="AQ229" i="39" l="1"/>
  <c r="AQ231" i="39"/>
  <c r="AQ230" i="39"/>
  <c r="AU127" i="39"/>
  <c r="AU106" i="39"/>
  <c r="AU70" i="39" s="1"/>
  <c r="AV96" i="39" s="1"/>
  <c r="AP515" i="39"/>
  <c r="AP64" i="39"/>
  <c r="AP65" i="39" s="1"/>
  <c r="AP67" i="39" s="1"/>
  <c r="AP85" i="39"/>
  <c r="AP78" i="39"/>
  <c r="AQ476" i="39"/>
  <c r="AP39" i="39"/>
  <c r="AP41" i="39"/>
  <c r="AP45" i="39" s="1"/>
  <c r="AP497" i="39"/>
  <c r="AV97" i="39" l="1"/>
  <c r="AV98" i="39" s="1"/>
  <c r="AU108" i="39"/>
  <c r="AU109" i="39" s="1"/>
  <c r="AP7" i="39"/>
  <c r="AP8" i="39" s="1"/>
  <c r="AP483" i="39"/>
  <c r="AP81" i="39"/>
  <c r="AP82" i="39" s="1"/>
  <c r="AQ228" i="39"/>
  <c r="AQ48" i="39" s="1"/>
  <c r="AP128" i="39"/>
  <c r="AP62" i="39"/>
  <c r="AU57" i="39"/>
  <c r="AU58" i="39" s="1"/>
  <c r="AU60" i="39" s="1"/>
  <c r="AQ485" i="39" l="1"/>
  <c r="AQ482" i="39"/>
  <c r="AQ493" i="39"/>
  <c r="AQ53" i="39"/>
  <c r="AQ232" i="39"/>
  <c r="AQ35" i="39" s="1"/>
  <c r="AV106" i="39" l="1"/>
  <c r="AV70" i="39" s="1"/>
  <c r="AW96" i="39" s="1"/>
  <c r="AV127" i="39"/>
  <c r="AQ499" i="39"/>
  <c r="AQ514" i="39" s="1"/>
  <c r="AQ496" i="39"/>
  <c r="AQ71" i="39" s="1"/>
  <c r="AR475" i="39" s="1"/>
  <c r="AQ49" i="39"/>
  <c r="AQ50" i="39"/>
  <c r="AQ51" i="39"/>
  <c r="AQ490" i="39"/>
  <c r="AQ46" i="39"/>
  <c r="AR229" i="39" l="1"/>
  <c r="AR230" i="39"/>
  <c r="AR231" i="39"/>
  <c r="AW97" i="39"/>
  <c r="AW98" i="39" s="1"/>
  <c r="AV108" i="39"/>
  <c r="AV109" i="39" s="1"/>
  <c r="AQ41" i="39"/>
  <c r="AQ45" i="39" s="1"/>
  <c r="AQ39" i="39"/>
  <c r="AQ497" i="39"/>
  <c r="AV57" i="39"/>
  <c r="AV58" i="39" s="1"/>
  <c r="AV60" i="39" s="1"/>
  <c r="AQ85" i="39"/>
  <c r="AR476" i="39"/>
  <c r="AQ78" i="39"/>
  <c r="AQ64" i="39"/>
  <c r="AQ65" i="39" s="1"/>
  <c r="AQ67" i="39" s="1"/>
  <c r="AQ515" i="39"/>
  <c r="AQ7" i="39" l="1"/>
  <c r="AQ8" i="39" s="1"/>
  <c r="AQ128" i="39"/>
  <c r="AQ62" i="39"/>
  <c r="AQ483" i="39"/>
  <c r="AQ81" i="39"/>
  <c r="AQ82" i="39" s="1"/>
  <c r="AR228" i="39"/>
  <c r="AR48" i="39" s="1"/>
  <c r="AW106" i="39" l="1"/>
  <c r="AW108" i="39" s="1"/>
  <c r="AW109" i="39" s="1"/>
  <c r="AW127" i="39"/>
  <c r="AR53" i="39"/>
  <c r="AR232" i="39"/>
  <c r="AR35" i="39" s="1"/>
  <c r="AR485" i="39"/>
  <c r="AR482" i="39"/>
  <c r="AR493" i="39"/>
  <c r="AW70" i="39" l="1"/>
  <c r="AX96" i="39" s="1"/>
  <c r="AR46" i="39"/>
  <c r="AR499" i="39"/>
  <c r="AR514" i="39" s="1"/>
  <c r="AR496" i="39"/>
  <c r="AR71" i="39" s="1"/>
  <c r="AS475" i="39" s="1"/>
  <c r="AR51" i="39"/>
  <c r="AR490" i="39"/>
  <c r="AR49" i="39"/>
  <c r="AR50" i="39"/>
  <c r="AS231" i="39" l="1"/>
  <c r="AS229" i="39"/>
  <c r="AS230" i="39"/>
  <c r="AX97" i="39"/>
  <c r="AX98" i="39" s="1"/>
  <c r="AW57" i="39"/>
  <c r="AW58" i="39" s="1"/>
  <c r="AW60" i="39" s="1"/>
  <c r="AR515" i="39"/>
  <c r="AR39" i="39"/>
  <c r="AR41" i="39"/>
  <c r="AR45" i="39" s="1"/>
  <c r="AR85" i="39"/>
  <c r="AR78" i="39"/>
  <c r="AS476" i="39"/>
  <c r="AR64" i="39"/>
  <c r="AR65" i="39" s="1"/>
  <c r="AR67" i="39" s="1"/>
  <c r="AR497" i="39"/>
  <c r="AR7" i="39" l="1"/>
  <c r="AR8" i="39" s="1"/>
  <c r="AS228" i="39"/>
  <c r="AS48" i="39" s="1"/>
  <c r="AR483" i="39"/>
  <c r="AR81" i="39"/>
  <c r="AR82" i="39" s="1"/>
  <c r="AR128" i="39"/>
  <c r="AR62" i="39"/>
  <c r="AX106" i="39" l="1"/>
  <c r="AX127" i="39"/>
  <c r="AS493" i="39"/>
  <c r="AS482" i="39"/>
  <c r="AS485" i="39"/>
  <c r="AS53" i="39"/>
  <c r="AS232" i="39"/>
  <c r="AS35" i="39" s="1"/>
  <c r="AX70" i="39" l="1"/>
  <c r="AX108" i="39"/>
  <c r="AS49" i="39"/>
  <c r="AS50" i="39"/>
  <c r="AS46" i="39"/>
  <c r="AS51" i="39"/>
  <c r="AS490" i="39"/>
  <c r="AS499" i="39"/>
  <c r="AS514" i="39" s="1"/>
  <c r="AS496" i="39"/>
  <c r="AS71" i="39" s="1"/>
  <c r="AT475" i="39" s="1"/>
  <c r="AT230" i="39" l="1"/>
  <c r="AT231" i="39"/>
  <c r="AT229" i="39"/>
  <c r="AX109" i="39"/>
  <c r="AX57" i="39"/>
  <c r="AS515" i="39"/>
  <c r="AS497" i="39"/>
  <c r="AS41" i="39"/>
  <c r="AS45" i="39" s="1"/>
  <c r="AS39" i="39"/>
  <c r="AS78" i="39"/>
  <c r="AT476" i="39"/>
  <c r="AS85" i="39"/>
  <c r="AS64" i="39"/>
  <c r="AS65" i="39" s="1"/>
  <c r="AS67" i="39" s="1"/>
  <c r="AX58" i="39" l="1"/>
  <c r="AS7" i="39"/>
  <c r="AS8" i="39" s="1"/>
  <c r="AT228" i="39"/>
  <c r="AT48" i="39" s="1"/>
  <c r="AS128" i="39"/>
  <c r="AS62" i="39"/>
  <c r="AS483" i="39"/>
  <c r="AS81" i="39"/>
  <c r="AS82" i="39" s="1"/>
  <c r="AX60" i="39" l="1"/>
  <c r="AT485" i="39"/>
  <c r="AT482" i="39"/>
  <c r="AT493" i="39"/>
  <c r="AT53" i="39"/>
  <c r="AT232" i="39"/>
  <c r="AT35" i="39" s="1"/>
  <c r="AT49" i="39" l="1"/>
  <c r="AT50" i="39"/>
  <c r="AT499" i="39"/>
  <c r="AT514" i="39" s="1"/>
  <c r="AT496" i="39"/>
  <c r="AT71" i="39" s="1"/>
  <c r="AU475" i="39" s="1"/>
  <c r="AT46" i="39"/>
  <c r="AT51" i="39"/>
  <c r="AT490" i="39"/>
  <c r="AU229" i="39" l="1"/>
  <c r="AU230" i="39"/>
  <c r="AU231" i="39"/>
  <c r="AT515" i="39"/>
  <c r="AT41" i="39"/>
  <c r="AT45" i="39" s="1"/>
  <c r="AT39" i="39"/>
  <c r="AT497" i="39"/>
  <c r="AU476" i="39"/>
  <c r="AT85" i="39"/>
  <c r="AT78" i="39"/>
  <c r="AT64" i="39"/>
  <c r="AT65" i="39" s="1"/>
  <c r="AT67" i="39" s="1"/>
  <c r="AT7" i="39" l="1"/>
  <c r="AT8" i="39" s="1"/>
  <c r="AU228" i="39"/>
  <c r="AU48" i="39" s="1"/>
  <c r="AT128" i="39"/>
  <c r="AT62" i="39"/>
  <c r="AT81" i="39"/>
  <c r="AT82" i="39" s="1"/>
  <c r="AT483" i="39"/>
  <c r="AU485" i="39" l="1"/>
  <c r="AU482" i="39"/>
  <c r="AU493" i="39"/>
  <c r="AU53" i="39"/>
  <c r="AU232" i="39"/>
  <c r="AU35" i="39" s="1"/>
  <c r="AU46" i="39" l="1"/>
  <c r="AU49" i="39"/>
  <c r="AU50" i="39"/>
  <c r="AU496" i="39"/>
  <c r="AU71" i="39" s="1"/>
  <c r="AV475" i="39" s="1"/>
  <c r="AU499" i="39"/>
  <c r="AU514" i="39" s="1"/>
  <c r="AU51" i="39"/>
  <c r="AU490" i="39"/>
  <c r="AV229" i="39" l="1"/>
  <c r="AV230" i="39"/>
  <c r="AV231" i="39"/>
  <c r="AU515" i="39"/>
  <c r="AU64" i="39"/>
  <c r="AU65" i="39" s="1"/>
  <c r="AU67" i="39" s="1"/>
  <c r="AV476" i="39"/>
  <c r="AU85" i="39"/>
  <c r="AU78" i="39"/>
  <c r="AU497" i="39"/>
  <c r="AU41" i="39"/>
  <c r="AU45" i="39" s="1"/>
  <c r="AU39" i="39"/>
  <c r="AU7" i="39" l="1"/>
  <c r="AU8" i="39" s="1"/>
  <c r="AU483" i="39"/>
  <c r="AU81" i="39"/>
  <c r="AU82" i="39" s="1"/>
  <c r="AU128" i="39"/>
  <c r="AU62" i="39"/>
  <c r="AV228" i="39"/>
  <c r="AV48" i="39" s="1"/>
  <c r="AV485" i="39" l="1"/>
  <c r="AV493" i="39"/>
  <c r="AV482" i="39"/>
  <c r="AV53" i="39"/>
  <c r="AV232" i="39"/>
  <c r="AV35" i="39" s="1"/>
  <c r="AV46" i="39" l="1"/>
  <c r="AV499" i="39"/>
  <c r="AV514" i="39" s="1"/>
  <c r="AV496" i="39"/>
  <c r="AV71" i="39" s="1"/>
  <c r="AW475" i="39" s="1"/>
  <c r="AV49" i="39"/>
  <c r="AV50" i="39"/>
  <c r="AV51" i="39"/>
  <c r="AV490" i="39"/>
  <c r="AW231" i="39" l="1"/>
  <c r="AW230" i="39"/>
  <c r="AW229" i="39"/>
  <c r="AV64" i="39"/>
  <c r="AV65" i="39" s="1"/>
  <c r="AV67" i="39" s="1"/>
  <c r="AV85" i="39"/>
  <c r="AW476" i="39"/>
  <c r="AV78" i="39"/>
  <c r="AV497" i="39"/>
  <c r="AV515" i="39"/>
  <c r="AV39" i="39"/>
  <c r="AV41" i="39"/>
  <c r="AV45" i="39" s="1"/>
  <c r="AV7" i="39" l="1"/>
  <c r="AV8" i="39" s="1"/>
  <c r="AW228" i="39"/>
  <c r="AW48" i="39" s="1"/>
  <c r="AV128" i="39"/>
  <c r="AV62" i="39"/>
  <c r="AV483" i="39"/>
  <c r="AV81" i="39"/>
  <c r="AV82" i="39" s="1"/>
  <c r="AW482" i="39" l="1"/>
  <c r="AW493" i="39"/>
  <c r="AW485" i="39"/>
  <c r="AW53" i="39"/>
  <c r="AW232" i="39"/>
  <c r="AW35" i="39" s="1"/>
  <c r="AW49" i="39" l="1"/>
  <c r="AW50" i="39"/>
  <c r="AW490" i="39"/>
  <c r="AW51" i="39"/>
  <c r="AW46" i="39"/>
  <c r="AW496" i="39"/>
  <c r="AW71" i="39" s="1"/>
  <c r="AX475" i="39" s="1"/>
  <c r="AW499" i="39"/>
  <c r="AW514" i="39" s="1"/>
  <c r="AX230" i="39" l="1"/>
  <c r="AX229" i="39"/>
  <c r="AX231" i="39"/>
  <c r="AW515" i="39"/>
  <c r="AW41" i="39"/>
  <c r="AW45" i="39" s="1"/>
  <c r="AW39" i="39"/>
  <c r="AW497" i="39"/>
  <c r="AW64" i="39"/>
  <c r="AW65" i="39" s="1"/>
  <c r="AW67" i="39" s="1"/>
  <c r="AW85" i="39"/>
  <c r="AW78" i="39"/>
  <c r="AX476" i="39" l="1"/>
  <c r="AW7" i="39"/>
  <c r="AW8" i="39" s="1"/>
  <c r="AX228" i="39"/>
  <c r="AW128" i="39"/>
  <c r="AW62" i="39"/>
  <c r="AW483" i="39"/>
  <c r="AW81" i="39"/>
  <c r="AW82" i="39" s="1"/>
  <c r="AX48" i="39" l="1"/>
  <c r="AX482" i="39"/>
  <c r="AX493" i="39"/>
  <c r="AX485" i="39"/>
  <c r="AX232" i="39"/>
  <c r="AX35" i="39" l="1"/>
  <c r="AX46" i="39" s="1"/>
  <c r="AX53" i="39"/>
  <c r="AX49" i="39"/>
  <c r="AX50" i="39"/>
  <c r="AX499" i="39"/>
  <c r="AX496" i="39"/>
  <c r="AX51" i="39"/>
  <c r="AX490" i="39"/>
  <c r="AX514" i="39" l="1"/>
  <c r="AX71" i="39"/>
  <c r="AX41" i="39"/>
  <c r="AX39" i="39"/>
  <c r="AX497" i="39"/>
  <c r="AX515" i="39" l="1"/>
  <c r="AX78" i="39"/>
  <c r="AX64" i="39"/>
  <c r="AX85" i="39"/>
  <c r="AX45" i="39"/>
  <c r="AX128" i="39"/>
  <c r="AX62" i="39"/>
  <c r="AX483" i="39" l="1"/>
  <c r="AX81" i="39"/>
  <c r="AX7" i="39"/>
  <c r="AX8" i="39" s="1"/>
  <c r="AX65" i="39"/>
  <c r="AX82" i="39" l="1"/>
  <c r="AX67"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7" authorId="0" shapeId="0" xr:uid="{BAE68FC5-2A4B-4BE0-9500-EEF0AE79C865}">
      <text>
        <r>
          <rPr>
            <sz val="9"/>
            <color indexed="81"/>
            <rFont val="Tahoma"/>
            <family val="2"/>
          </rPr>
          <t xml:space="preserve">Non-Earners' Account and non-earners' share of the Treatment Injury Account is paid by the government. Hence those shares of the levy income are removed in the preparation of consolidated accounts.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9" authorId="0" shapeId="0" xr:uid="{89830A34-B1EA-404E-992F-75ABA54C065A}">
      <text>
        <r>
          <rPr>
            <sz val="9"/>
            <color indexed="81"/>
            <rFont val="Tahoma"/>
            <family val="2"/>
          </rPr>
          <t xml:space="preserve">NAC stands for Needed As Check. The data in this row is not actually picked up in the model itself, but is used as a check on other data in this worksheet.
</t>
        </r>
      </text>
    </comment>
    <comment ref="B10" authorId="0" shapeId="0" xr:uid="{AB555A6F-7582-4AB6-9184-ABDC686AE1A5}">
      <text>
        <r>
          <rPr>
            <sz val="9"/>
            <color indexed="81"/>
            <rFont val="Tahoma"/>
            <family val="2"/>
          </rPr>
          <t xml:space="preserve">UIM stands for Used In Model. The data in this row is directly referenced in the main modelling worksheets of the model.
</t>
        </r>
      </text>
    </comment>
    <comment ref="A147" authorId="0" shapeId="0" xr:uid="{A34BBC6C-8FC7-434F-A0F6-DDFB9AA3AB38}">
      <text>
        <r>
          <rPr>
            <sz val="9"/>
            <color indexed="81"/>
            <rFont val="Tahoma"/>
            <family val="2"/>
          </rPr>
          <t>Includes unsettled purchases of securities, which are classified as accounts payable in the Statement of Financial Position.</t>
        </r>
      </text>
    </comment>
    <comment ref="A153" authorId="0" shapeId="0" xr:uid="{BB776F47-ADC2-429E-8AAD-1DAA6D2E5363}">
      <text>
        <r>
          <rPr>
            <sz val="9"/>
            <color indexed="81"/>
            <rFont val="Tahoma"/>
            <family val="2"/>
          </rPr>
          <t>Includes unsettled purchases of securities, which are classified as accounts payable in the Statement of Financial Position.</t>
        </r>
      </text>
    </comment>
    <comment ref="A170" authorId="0" shapeId="0" xr:uid="{9FFACE3B-9D11-45F4-99CE-E8B689511CA9}">
      <text>
        <r>
          <rPr>
            <sz val="9"/>
            <color indexed="81"/>
            <rFont val="Tahoma"/>
            <family val="2"/>
          </rPr>
          <t>In the Statement of Segments this variable is labelled Social assistance and official development assistance, but it is exactly the same variable which is labelled Transfer payments and subsidies in the Statement of Financial Performance.</t>
        </r>
      </text>
    </comment>
    <comment ref="A204" authorId="0" shapeId="0" xr:uid="{507A74F1-BE2F-445B-9557-965B852EA8ED}">
      <text>
        <r>
          <rPr>
            <sz val="9"/>
            <color indexed="81"/>
            <rFont val="Tahoma"/>
            <family val="2"/>
          </rPr>
          <t xml:space="preserve">Often there are no inter-segment eliminations for Insurance expenses and this is what is assumed in projected years. However, occasionally they occur in historical and forecast years, and, if they do, they are normally very small. In such cases they are included with State-owned enterprises numbers. </t>
        </r>
      </text>
    </comment>
    <comment ref="A240" authorId="0" shapeId="0" xr:uid="{A7D22ECA-3BAA-4A28-9832-B67A120E7939}">
      <text>
        <r>
          <rPr>
            <sz val="9"/>
            <color indexed="81"/>
            <rFont val="Tahoma"/>
            <family val="2"/>
          </rPr>
          <t xml:space="preserve">Often there is no State-owned enterprises Dividend revenue and this is what is assumed in projected years. However, occasionally it occurs in historical and forecast years, and, if it does, it is normally very small. In such cases it is included with Inter-segment eliminations numbers. </t>
        </r>
      </text>
    </comment>
    <comment ref="A262" authorId="0" shapeId="0" xr:uid="{3750AAE9-EE24-4486-A001-B29AE97F062F}">
      <text>
        <r>
          <rPr>
            <sz val="9"/>
            <color indexed="81"/>
            <rFont val="Tahoma"/>
            <family val="2"/>
          </rPr>
          <t xml:space="preserve">Often there are no inter-segment eliminations for Depreciation expenses and this is what is assumed in projected years. However, occasionally they occur in historical and forecast years, and, if they do, they are normally very small. In such cases they are included with State-owned enterprises numbers. </t>
        </r>
      </text>
    </comment>
    <comment ref="A267" authorId="0" shapeId="0" xr:uid="{C4E9CDFA-9C56-4D3D-91FC-666472B4DD5A}">
      <text>
        <r>
          <rPr>
            <sz val="9"/>
            <color indexed="81"/>
            <rFont val="Tahoma"/>
            <family val="2"/>
          </rPr>
          <t xml:space="preserve">Often there are no inter-segment eliminations for Amortisation expenses and this is what is assumed in projected years. However, occasionally they occur in historical and forecast years, and, if they do, they are normally very small. In such cases they are included with State-owned enterprises numbers. </t>
        </r>
      </text>
    </comment>
    <comment ref="D351" authorId="0" shapeId="0" xr:uid="{3A3740EE-E7BC-4E3C-8A71-C0D2CBBFEAE3}">
      <text>
        <r>
          <rPr>
            <sz val="9"/>
            <color indexed="81"/>
            <rFont val="Tahoma"/>
            <family val="2"/>
          </rPr>
          <t xml:space="preserve">Adjustment made for accounting measurement change to previous year
</t>
        </r>
      </text>
    </comment>
    <comment ref="D368" authorId="0" shapeId="0" xr:uid="{0C775A55-F5FD-4920-B039-F164BA539869}">
      <text>
        <r>
          <rPr>
            <sz val="9"/>
            <color indexed="81"/>
            <rFont val="Tahoma"/>
            <family val="2"/>
          </rPr>
          <t xml:space="preserve">Adjustment made for accounting measurement change to previous year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<sst xmlns="http://schemas.openxmlformats.org/spreadsheetml/2006/main" count="2154" uniqueCount="1383">
  <si>
    <t>STATISTICS NEW ZEALAND OUTTURNS AND PROJECTIONS OF RESIDENT POPULATION OF NEW ZEALAND AND LABOUR FORCE, BY SINGLE YEAR OF AGE AND GENDER, AS AT 30 JUNE</t>
  </si>
  <si>
    <t>Year ended 30 June</t>
  </si>
  <si>
    <t>Population (millions)</t>
  </si>
  <si>
    <t>Annual growth (%)</t>
  </si>
  <si>
    <t>Working-age popn (15+, millions)</t>
  </si>
  <si>
    <t>Labour Force (LF, millions)</t>
  </si>
  <si>
    <t>Total LF participation rate (%)</t>
  </si>
  <si>
    <t>FEMALE POPULATION</t>
  </si>
  <si>
    <t>95 &amp; over</t>
  </si>
  <si>
    <t>Female total</t>
  </si>
  <si>
    <t>MALE POPULATION</t>
  </si>
  <si>
    <t>Male total</t>
  </si>
  <si>
    <t>FEMALE LABOUR FORCE</t>
  </si>
  <si>
    <t>80 &amp; over</t>
  </si>
  <si>
    <t>MALE LABOUR FORCE</t>
  </si>
  <si>
    <t>FEMALE PARTICIPATION RATES</t>
  </si>
  <si>
    <t>MALE PARTICIPATION RATES</t>
  </si>
  <si>
    <t>Population projections</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</si>
  <si>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</si>
  <si>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</si>
  <si>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</si>
  <si>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</si>
  <si>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</si>
  <si>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</si>
  <si>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</si>
  <si>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</si>
  <si>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</si>
  <si>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</si>
  <si>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</si>
  <si>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</si>
  <si>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</si>
  <si>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</si>
  <si>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</si>
  <si>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</si>
  <si>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</si>
  <si>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</si>
  <si>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</si>
  <si>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</si>
  <si>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</si>
  <si>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</si>
  <si>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</si>
  <si>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</si>
  <si>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</si>
  <si>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</si>
  <si>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</si>
  <si>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2032/33</t>
  </si>
  <si>
    <t>2033/34</t>
  </si>
  <si>
    <t>2034/35</t>
  </si>
  <si>
    <t>2035/36</t>
  </si>
  <si>
    <t>2036/37</t>
  </si>
  <si>
    <t>2037/38</t>
  </si>
  <si>
    <t>2038/39</t>
  </si>
  <si>
    <t>ECONOMIC HISTORICAL AND FORECAST DATA</t>
  </si>
  <si>
    <t xml:space="preserve">Real Gross Domestic Product (GDP) ($09/10 billion) (production, base is 2009/10) </t>
  </si>
  <si>
    <t>Nominal GDP ($ billion) (expenditure measure)</t>
  </si>
  <si>
    <t xml:space="preserve">Labour Force (millions) (aggregate) </t>
  </si>
  <si>
    <t>Working-Age Population (millions) (aged 15 years &amp; over)</t>
  </si>
  <si>
    <t>Total Population (millions)</t>
  </si>
  <si>
    <t>Unemployment Rate (percentage of labour force)</t>
  </si>
  <si>
    <r>
      <t xml:space="preserve">Average weekly hours worked (Total hours worked </t>
    </r>
    <r>
      <rPr>
        <b/>
        <sz val="11"/>
        <color indexed="8"/>
        <rFont val="Calibri"/>
        <family val="2"/>
      </rPr>
      <t>÷</t>
    </r>
    <r>
      <rPr>
        <b/>
        <sz val="11"/>
        <color indexed="8"/>
        <rFont val="Arial"/>
        <family val="2"/>
      </rPr>
      <t xml:space="preserve"> total employed labour force)</t>
    </r>
  </si>
  <si>
    <t>Labour productivity annual growth (percentage) (hours worked measure)</t>
  </si>
  <si>
    <t>Consumers Price Index (CPI)</t>
  </si>
  <si>
    <t>Average hourly wage growth (percentage) (ordinary time measure)</t>
  </si>
  <si>
    <t>Government 10-year bond annual rate of return (percentage) (average of 4 quarters)</t>
  </si>
  <si>
    <t>Net migration (thousands)</t>
  </si>
  <si>
    <t>Gross December quarter average ordinary time weekly earnings (AOTWE)</t>
  </si>
  <si>
    <t>Net per person weekly couple rate of New Zealand Superannuation ($ per week)</t>
  </si>
  <si>
    <t>Gross per person weekly couple rate of New Zealand Superannuation ($ per week)</t>
  </si>
  <si>
    <t>Net of tax &amp; ACC Earner levy average ordinary time weekly earnings ($ per week)</t>
  </si>
  <si>
    <t>Taxable income over $0 and up to $15,600 per year</t>
  </si>
  <si>
    <t>Taxable income over $15,600 and up to $53,500 per year</t>
  </si>
  <si>
    <t>Taxable income over $53,500 and up to $78,100 per year</t>
  </si>
  <si>
    <t>Taxable income over $78,100 and up to $180,000 per year</t>
  </si>
  <si>
    <t>Taxable income over $180,000 per year</t>
  </si>
  <si>
    <t>ACC Earner levy</t>
  </si>
  <si>
    <t>2004/05</t>
  </si>
  <si>
    <t>Income limits</t>
  </si>
  <si>
    <t>Tax rate</t>
  </si>
  <si>
    <t>Gross</t>
  </si>
  <si>
    <t>Tax</t>
  </si>
  <si>
    <t>Net</t>
  </si>
  <si>
    <t>RESIDENT POPULATION OF NEW ZEALAND, BY SINGLE YEAR OF AGE AND GENDER, AS AT 30 JUNE, THAT MATCHES HOUSEHOLD LABOUR FORCE SURVEY (HLFS) HISTORY AND TREASURY"S HLFS-BASED FORECASTS</t>
  </si>
  <si>
    <t>Minors' popn (0-14, millions)</t>
  </si>
  <si>
    <t>Net Migration (thousands) - Treasury</t>
  </si>
  <si>
    <t>Net Migration (thousands) - Statistics NZ</t>
  </si>
  <si>
    <t>Net Migration by age and gender group (percentages are based on June-end years between 2001/02 and 2022/23, where net migration was at least 10,000)</t>
  </si>
  <si>
    <t>Age Group (years)</t>
  </si>
  <si>
    <t>Female</t>
  </si>
  <si>
    <t>Male</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</si>
  <si>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</si>
  <si>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</si>
  <si>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</si>
  <si>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</si>
  <si>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</si>
  <si>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</si>
  <si>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</si>
  <si>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</si>
  <si>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</si>
  <si>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</si>
  <si>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</si>
  <si>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</si>
  <si>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</si>
  <si>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</si>
  <si>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</si>
  <si>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</si>
  <si>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</si>
  <si>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</si>
  <si>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&amp; over</t>
  </si>
  <si>
    <t>TOTAL</t>
  </si>
  <si>
    <t>Annual growth rates of selected age and gender groups</t>
  </si>
  <si>
    <t>LABOUR FORCE OF NEW ZEALAND, BY SINGLE YEAR OF AGE AND GENDER, AS AT 30 JUNE, THAT MATCHES HOUSEHOLD LABOUR FORCE SURVEY (HLFS) HISTORY AND TREASURY"S HLFS-BASED FORECASTS</t>
  </si>
  <si>
    <t>Labour Force (LF) (millions)</t>
  </si>
  <si>
    <t>Aggregate labour force participation rate %</t>
  </si>
  <si>
    <t>Uncalibrated Labour Force (millions)</t>
  </si>
  <si>
    <t>ECONOMIC AND FISCAL PROJECTION ASSUMPTIONS</t>
  </si>
  <si>
    <t>Assumptions are picked up in a modelling worksheet by formulae connected to the scenario name used at the top of the "set of assumptions" column in this worksheet.</t>
  </si>
  <si>
    <t>SCENARIO NAME</t>
  </si>
  <si>
    <t>First Projected Year (key variable, must set to year immediately after last forecast year)</t>
  </si>
  <si>
    <t>ECONOMIC ASSUMPTIONS</t>
  </si>
  <si>
    <t>Average weekly hours worked (hours per week)</t>
  </si>
  <si>
    <t>Labour productivity annual growth (percentage)</t>
  </si>
  <si>
    <t>Consumers Price Index (CPI) annual growth (percentage)</t>
  </si>
  <si>
    <t>Government 10-year bond annual rate of return (percentage)</t>
  </si>
  <si>
    <t>Annual transition rates to long-run stable assumptions</t>
  </si>
  <si>
    <t>The following are the economic variables most often altered in scenarios. The values used are the desired long-run stable levels or annual growth rates.</t>
  </si>
  <si>
    <t>Select annual rates at which various economic variables move towards their long-run stable values from their end-of-forecast values.</t>
  </si>
  <si>
    <t>Unemployment Rate (percentage points per year)</t>
  </si>
  <si>
    <t>Average weekly hours worked (hours per week per year)</t>
  </si>
  <si>
    <r>
      <t>Labour productivity growth</t>
    </r>
    <r>
      <rPr>
        <sz val="11"/>
        <color indexed="8"/>
        <rFont val="Arial"/>
        <family val="2"/>
      </rPr>
      <t xml:space="preserve"> (percentage points per year)</t>
    </r>
  </si>
  <si>
    <t>Consumers Price Index growth (percentage points per year)</t>
  </si>
  <si>
    <t>Government 10-year bond annual rate of return (percentage points per year)</t>
  </si>
  <si>
    <t>Percentage of net ordinary time weekly earnings that serves as NZS wage floor</t>
  </si>
  <si>
    <t>Percentage of net ordinary time weekly earnings that serves as NZS wage ceiling</t>
  </si>
  <si>
    <r>
      <t xml:space="preserve">SCENARIO NAME SELECTED IN </t>
    </r>
    <r>
      <rPr>
        <b/>
        <i/>
        <sz val="11"/>
        <color indexed="8"/>
        <rFont val="Arial"/>
        <family val="2"/>
      </rPr>
      <t>ASSUMPTIONS</t>
    </r>
    <r>
      <rPr>
        <b/>
        <sz val="11"/>
        <color indexed="8"/>
        <rFont val="Arial"/>
        <family val="2"/>
      </rPr>
      <t xml:space="preserve"> WORKSHEET WRITTEN HERE </t>
    </r>
    <r>
      <rPr>
        <b/>
        <sz val="11"/>
        <color indexed="8"/>
        <rFont val="Calibri"/>
        <family val="2"/>
      </rPr>
      <t>→</t>
    </r>
  </si>
  <si>
    <r>
      <rPr>
        <i/>
        <sz val="11"/>
        <color indexed="8"/>
        <rFont val="Calibri"/>
        <family val="2"/>
      </rPr>
      <t>←</t>
    </r>
    <r>
      <rPr>
        <i/>
        <sz val="11"/>
        <color indexed="8"/>
        <rFont val="Arial"/>
        <family val="2"/>
      </rPr>
      <t xml:space="preserve"> This number is calculated from Scenario name entry and used in formulae throughout model</t>
    </r>
  </si>
  <si>
    <t>All monetary values, unless otherwise stated, are in units of billions of New Zealand dollars</t>
  </si>
  <si>
    <t>Outturn</t>
  </si>
  <si>
    <r>
      <t xml:space="preserve">Year </t>
    </r>
    <r>
      <rPr>
        <b/>
        <sz val="11"/>
        <color indexed="12"/>
        <rFont val="Calibri"/>
        <family val="2"/>
      </rPr>
      <t>↓</t>
    </r>
  </si>
  <si>
    <t>Forecast years are shaded red</t>
  </si>
  <si>
    <t>Projected years are shaded black</t>
  </si>
  <si>
    <t>Gross Domestic Product (GDP) measures</t>
  </si>
  <si>
    <t xml:space="preserve">Real GDP (production measure, in 2009/10 dollars) </t>
  </si>
  <si>
    <t>Annual percentage growth</t>
  </si>
  <si>
    <t>Nominal GDP (expenditure measure)</t>
  </si>
  <si>
    <t>Labour Force and Demographic measures</t>
  </si>
  <si>
    <t xml:space="preserve">Labour Force (LF) (millions) (aggregate) </t>
  </si>
  <si>
    <t>Working-Age Population (WAP) (millions) (aged 15 years &amp; over)</t>
  </si>
  <si>
    <t>Aggregate Labour Force Participation Rate (LFPR) (LF as percentage of WAP)</t>
  </si>
  <si>
    <t>Price measures</t>
  </si>
  <si>
    <t>Consumers Price Index (CPI) (June quarter index number)</t>
  </si>
  <si>
    <t>New Zealand Superannuation (NZS), main public pension</t>
  </si>
  <si>
    <t>New Zealand Superannuation &amp; Main working-age benefit projection parameters</t>
  </si>
  <si>
    <t>Gross ordinary time weekly earnings ($ per week)</t>
  </si>
  <si>
    <t>Name of worksheet</t>
  </si>
  <si>
    <t>Purpose</t>
  </si>
  <si>
    <t>Provides inputs to these worksheets</t>
  </si>
  <si>
    <t>Uses outputs from these worksheets</t>
  </si>
  <si>
    <t>Display</t>
  </si>
  <si>
    <t>This is a hidden worksheet. It provides</t>
  </si>
  <si>
    <t>Each of the main modelling worksheets.</t>
  </si>
  <si>
    <t>None.</t>
  </si>
  <si>
    <t>offsets to allow the chosen fiscal variable</t>
  </si>
  <si>
    <t>track to be displayed at the top of each</t>
  </si>
  <si>
    <t>of the main modelling worksheets.</t>
  </si>
  <si>
    <t>and run off a different set of parameters</t>
  </si>
  <si>
    <r>
      <t xml:space="preserve">from the </t>
    </r>
    <r>
      <rPr>
        <i/>
        <sz val="10"/>
        <color indexed="8"/>
        <rFont val="Arial"/>
        <family val="2"/>
      </rPr>
      <t xml:space="preserve">Assumptions </t>
    </r>
    <r>
      <rPr>
        <sz val="10"/>
        <color indexed="8"/>
        <rFont val="Arial"/>
        <family val="2"/>
      </rPr>
      <t>worksheet.</t>
    </r>
  </si>
  <si>
    <t>Guide</t>
  </si>
  <si>
    <t>None. Purely for information purposes</t>
  </si>
  <si>
    <t>information to help users know how the</t>
  </si>
  <si>
    <t>and to help users of the model.</t>
  </si>
  <si>
    <t>various worksheets in the model interact.</t>
  </si>
  <si>
    <t>Sources</t>
  </si>
  <si>
    <t>This is also an information worksheet.</t>
  </si>
  <si>
    <t>It provides lists of data and exogenous</t>
  </si>
  <si>
    <t>tracks used in the model. Information is</t>
  </si>
  <si>
    <t>provided about the data, distribution or</t>
  </si>
  <si>
    <t>track, including from where it is sourced</t>
  </si>
  <si>
    <t>and when it was produced.</t>
  </si>
  <si>
    <t>Statistics NZ</t>
  </si>
  <si>
    <t>These are the most recent New Zealand</t>
  </si>
  <si>
    <t>Used extensively throughout the</t>
  </si>
  <si>
    <t>(NZ) resident population projections and</t>
  </si>
  <si>
    <r>
      <rPr>
        <i/>
        <sz val="10"/>
        <color theme="1"/>
        <rFont val="Arial"/>
        <family val="2"/>
      </rPr>
      <t xml:space="preserve">Population Treasury </t>
    </r>
    <r>
      <rPr>
        <sz val="10"/>
        <color theme="1"/>
        <rFont val="Arial"/>
        <family val="2"/>
      </rPr>
      <t xml:space="preserve">and </t>
    </r>
    <r>
      <rPr>
        <i/>
        <sz val="10"/>
        <color theme="1"/>
        <rFont val="Arial"/>
        <family val="2"/>
      </rPr>
      <t>Labour Force</t>
    </r>
  </si>
  <si>
    <t>Labour Force projections, by gender and</t>
  </si>
  <si>
    <r>
      <rPr>
        <i/>
        <sz val="10"/>
        <color theme="1"/>
        <rFont val="Arial"/>
        <family val="2"/>
      </rPr>
      <t>Treasury</t>
    </r>
    <r>
      <rPr>
        <sz val="10"/>
        <color theme="1"/>
        <rFont val="Arial"/>
        <family val="2"/>
      </rPr>
      <t xml:space="preserve"> worksheets in calculations to</t>
    </r>
  </si>
  <si>
    <t>single year of age. They are produced by</t>
  </si>
  <si>
    <t>produce the Population and Labour Force</t>
  </si>
  <si>
    <t>Statistics New Zealand and are updated</t>
  </si>
  <si>
    <t>age and gender distributions that match</t>
  </si>
  <si>
    <t>when a new version becomes available.</t>
  </si>
  <si>
    <t>the aggregate values in forecast years.</t>
  </si>
  <si>
    <t>As well as population and labour force</t>
  </si>
  <si>
    <t>numbers the worksheet has participation</t>
  </si>
  <si>
    <t>rates (numbers in labour force divided by</t>
  </si>
  <si>
    <t>numbers in demographic group).</t>
  </si>
  <si>
    <t>Population Treasury</t>
  </si>
  <si>
    <t>These are age and gender distributions</t>
  </si>
  <si>
    <t>Used in numerous places in the main</t>
  </si>
  <si>
    <t>of the NZ population that match the</t>
  </si>
  <si>
    <t>modelling worksheets, wherever</t>
  </si>
  <si>
    <t>Economic Forecasts</t>
  </si>
  <si>
    <t>aggregate forecasts in forecast years and</t>
  </si>
  <si>
    <t>demographic growth is required. Used</t>
  </si>
  <si>
    <t>are projected out into post-forecast years.</t>
  </si>
  <si>
    <t>in projecting some economic variables.</t>
  </si>
  <si>
    <t>They also adjust population projections</t>
  </si>
  <si>
    <t>Used as a driver of recipient numbers for</t>
  </si>
  <si>
    <t>for alternative net migration totals to the</t>
  </si>
  <si>
    <t>some expense types, especially New</t>
  </si>
  <si>
    <t>values used in Statistics NZ projections.</t>
  </si>
  <si>
    <t>Zealand Superannuation (NZS) and other</t>
  </si>
  <si>
    <t>welfare expenses. Used in projecting age</t>
  </si>
  <si>
    <t>and gender group Labour Force numbers</t>
  </si>
  <si>
    <r>
      <t xml:space="preserve">in the </t>
    </r>
    <r>
      <rPr>
        <i/>
        <sz val="10"/>
        <color theme="1"/>
        <rFont val="Arial"/>
        <family val="2"/>
      </rPr>
      <t xml:space="preserve">Labour Force Treasury </t>
    </r>
    <r>
      <rPr>
        <sz val="10"/>
        <color theme="1"/>
        <rFont val="Arial"/>
        <family val="2"/>
      </rPr>
      <t>worksheet.</t>
    </r>
  </si>
  <si>
    <t>Labour Force Treasury</t>
  </si>
  <si>
    <t>Used in the economic projections of the</t>
  </si>
  <si>
    <t>of the NZ labour force that match the</t>
  </si>
  <si>
    <t>main modelling worksheets to project the</t>
  </si>
  <si>
    <t>aggregate labour force. This variable is</t>
  </si>
  <si>
    <t>a key driver in the projections of both</t>
  </si>
  <si>
    <t>This worksheet uses labour force</t>
  </si>
  <si>
    <t>real and nominal GDP.</t>
  </si>
  <si>
    <t>participation rates, by single year of age</t>
  </si>
  <si>
    <t>and gender, multiplied by the equivalent</t>
  </si>
  <si>
    <r>
      <t xml:space="preserve">population group in </t>
    </r>
    <r>
      <rPr>
        <i/>
        <sz val="10"/>
        <color theme="1"/>
        <rFont val="Arial"/>
        <family val="2"/>
      </rPr>
      <t>Population Treasury</t>
    </r>
    <r>
      <rPr>
        <sz val="10"/>
        <color theme="1"/>
        <rFont val="Arial"/>
        <family val="2"/>
      </rPr>
      <t>,</t>
    </r>
  </si>
  <si>
    <t>to produce labour force numbers by</t>
  </si>
  <si>
    <t>single year of age and gender.</t>
  </si>
  <si>
    <t>Exogenous</t>
  </si>
  <si>
    <t>This worksheet contains a number of</t>
  </si>
  <si>
    <t>Used in many places throughout the main</t>
  </si>
  <si>
    <t xml:space="preserve">projected tracks and demographic </t>
  </si>
  <si>
    <t>modelling worksheets, often in regard to</t>
  </si>
  <si>
    <t>distributions. Some are produced by</t>
  </si>
  <si>
    <t>a particular asset, liability or expense</t>
  </si>
  <si>
    <t>Treasury, while others are sourced from</t>
  </si>
  <si>
    <t>type. Demographic distributions are used</t>
  </si>
  <si>
    <t>outside agencies. They all share the</t>
  </si>
  <si>
    <t>as inputs to the projected growth of</t>
  </si>
  <si>
    <t>characteristic of being produced outside</t>
  </si>
  <si>
    <t>recipient numbers in various welfare</t>
  </si>
  <si>
    <t>the model i.e. are exogenous inputs.</t>
  </si>
  <si>
    <t>expenses and Student Allowances.</t>
  </si>
  <si>
    <t>At the bottom of this worksheet are</t>
  </si>
  <si>
    <t>parameters related to the NZ personal</t>
  </si>
  <si>
    <t>tax regime that are used in fiscal drag</t>
  </si>
  <si>
    <t>modelling for both tax and NZS.</t>
  </si>
  <si>
    <t>Fiscal Outturns</t>
  </si>
  <si>
    <t>This worksheet contains historical data</t>
  </si>
  <si>
    <t>relating to the main fiscal indicators that</t>
  </si>
  <si>
    <t>can be selected in the pull-down box at</t>
  </si>
  <si>
    <t>the top of the main modelling worksheets.</t>
  </si>
  <si>
    <t>There is more explanation at the top of</t>
  </si>
  <si>
    <t>this worksheet about why data prior to</t>
  </si>
  <si>
    <t>2018/19 is given here and not in the main</t>
  </si>
  <si>
    <t>modelling worksheets themselves.</t>
  </si>
  <si>
    <t>The latest set of economic forecast</t>
  </si>
  <si>
    <t>Used as the base of economic projections</t>
  </si>
  <si>
    <t>variables, as well as historical outturns</t>
  </si>
  <si>
    <t>in the main modelling worksheets.</t>
  </si>
  <si>
    <t>of these variables, are stored in this</t>
  </si>
  <si>
    <t>Also used as the base of various inputs</t>
  </si>
  <si>
    <t>worksheet. It also contains parameters,</t>
  </si>
  <si>
    <t>into the projection of NZS and other</t>
  </si>
  <si>
    <t>derived from the economic forecasts by</t>
  </si>
  <si>
    <t>categories of welfare expenditure in the</t>
  </si>
  <si>
    <t>another Treasury model, that are used to</t>
  </si>
  <si>
    <t>main modelling worksheets.</t>
  </si>
  <si>
    <t>project New Zealand Superannuation</t>
  </si>
  <si>
    <t>(NZS) expenses. Historical outturns and</t>
  </si>
  <si>
    <t>forecasts of recipient numbers for NZS</t>
  </si>
  <si>
    <t>and the Jobseeker Support benefit are</t>
  </si>
  <si>
    <t>also provided in this worksheet.</t>
  </si>
  <si>
    <t>Fiscal Forecasts</t>
  </si>
  <si>
    <r>
      <t>The fiscal equivalent of the</t>
    </r>
    <r>
      <rPr>
        <i/>
        <sz val="10"/>
        <color indexed="8"/>
        <rFont val="Arial"/>
        <family val="2"/>
      </rPr>
      <t xml:space="preserve"> Economic </t>
    </r>
  </si>
  <si>
    <t>Used as the base of projections of asset,</t>
  </si>
  <si>
    <r>
      <rPr>
        <i/>
        <sz val="10"/>
        <color indexed="8"/>
        <rFont val="Arial"/>
        <family val="2"/>
      </rPr>
      <t xml:space="preserve">Forecasts </t>
    </r>
    <r>
      <rPr>
        <sz val="10"/>
        <color indexed="8"/>
        <rFont val="Arial"/>
        <family val="2"/>
      </rPr>
      <t>worksheet, this contains the</t>
    </r>
  </si>
  <si>
    <t>liability, revenue and expense categories</t>
  </si>
  <si>
    <t>most recent set of fiscal forecast</t>
  </si>
  <si>
    <t>variables. For reasons explained in the</t>
  </si>
  <si>
    <t>Covers core Crown and total Crown</t>
  </si>
  <si>
    <r>
      <rPr>
        <i/>
        <sz val="10"/>
        <color indexed="8"/>
        <rFont val="Arial"/>
        <family val="2"/>
      </rPr>
      <t xml:space="preserve">Fiscal Outturns </t>
    </r>
    <r>
      <rPr>
        <sz val="10"/>
        <color indexed="8"/>
        <rFont val="Arial"/>
        <family val="2"/>
      </rPr>
      <t>worksheet, there are only</t>
    </r>
  </si>
  <si>
    <t>variables, and in some cases extends to</t>
  </si>
  <si>
    <t>historical outturns dating from 2018/19</t>
  </si>
  <si>
    <t>Crown entity and State-owned enterprise</t>
  </si>
  <si>
    <t>in this worksheet. Because there is so</t>
  </si>
  <si>
    <t>(SOE) variables.</t>
  </si>
  <si>
    <t>much input data, this worksheet uses</t>
  </si>
  <si>
    <t>numerous check calculations to ensure</t>
  </si>
  <si>
    <t>various sections tally with each other.</t>
  </si>
  <si>
    <t>Assumptions</t>
  </si>
  <si>
    <t xml:space="preserve">All of the assumptions and parameters </t>
  </si>
  <si>
    <t>Any modelling worksheet that is set up.</t>
  </si>
  <si>
    <t>needed to run a scenario are entered by</t>
  </si>
  <si>
    <t>The easiest way to produce a whole new</t>
  </si>
  <si>
    <t>the model user in this worksheet.</t>
  </si>
  <si>
    <t>modelled scenario is to copy one of the</t>
  </si>
  <si>
    <t>Most selections relate to projection</t>
  </si>
  <si>
    <t>main modelling worksheets by right</t>
  </si>
  <si>
    <t>assumptions or parameters, but there are</t>
  </si>
  <si>
    <t>clicking the worksheet tab, ensuring to</t>
  </si>
  <si>
    <t>some that affect the forecast base.</t>
  </si>
  <si>
    <r>
      <t xml:space="preserve">tick the </t>
    </r>
    <r>
      <rPr>
        <i/>
        <sz val="10"/>
        <color indexed="8"/>
        <rFont val="Arial"/>
        <family val="2"/>
      </rPr>
      <t xml:space="preserve">Create a Copy </t>
    </r>
    <r>
      <rPr>
        <sz val="10"/>
        <color indexed="8"/>
        <rFont val="Arial"/>
        <family val="2"/>
      </rPr>
      <t>box (otherwise</t>
    </r>
  </si>
  <si>
    <t>There are standard sets of assumptions</t>
  </si>
  <si>
    <t>the worksheet just gets moved). Change</t>
  </si>
  <si>
    <t>and parameters used in the main</t>
  </si>
  <si>
    <t>the name of the new worksheet tab.</t>
  </si>
  <si>
    <t>modelling worksheet scenarios.</t>
  </si>
  <si>
    <t>In cell B1 at the top of the new modelling</t>
  </si>
  <si>
    <t>As most options will not be altered in</t>
  </si>
  <si>
    <t>worksheet, enter the name used at the</t>
  </si>
  <si>
    <t>setting up a scenario, the easiest way to</t>
  </si>
  <si>
    <r>
      <t xml:space="preserve">top of the column set up in </t>
    </r>
    <r>
      <rPr>
        <i/>
        <sz val="10"/>
        <color indexed="8"/>
        <rFont val="Arial"/>
        <family val="2"/>
      </rPr>
      <t>Assumptions</t>
    </r>
  </si>
  <si>
    <t>produce a new scenario is to copy one of</t>
  </si>
  <si>
    <t>with the chosen set of assumptions and</t>
  </si>
  <si>
    <t>these columns and paste it into a new</t>
  </si>
  <si>
    <r>
      <t>parameters</t>
    </r>
    <r>
      <rPr>
        <sz val="10"/>
        <color indexed="8"/>
        <rFont val="Arial"/>
        <family val="2"/>
      </rPr>
      <t>. In numerous places in this</t>
    </r>
  </si>
  <si>
    <t>column in this worksheet, changing its</t>
  </si>
  <si>
    <t>new modelling worksheet these</t>
  </si>
  <si>
    <t>name at the top of the column in the row</t>
  </si>
  <si>
    <t>assumptions and parameters will be</t>
  </si>
  <si>
    <r>
      <rPr>
        <sz val="10"/>
        <color indexed="8"/>
        <rFont val="Arial"/>
        <family val="2"/>
      </rPr>
      <t xml:space="preserve">labelled </t>
    </r>
    <r>
      <rPr>
        <i/>
        <sz val="10"/>
        <color indexed="8"/>
        <rFont val="Arial"/>
        <family val="2"/>
      </rPr>
      <t>SCENARIO NAME</t>
    </r>
    <r>
      <rPr>
        <sz val="10"/>
        <color indexed="8"/>
        <rFont val="Arial"/>
        <family val="2"/>
      </rPr>
      <t>.</t>
    </r>
  </si>
  <si>
    <t>used to produce the new scenario.</t>
  </si>
  <si>
    <t>The main modelling</t>
  </si>
  <si>
    <t>These worksheets provide the</t>
  </si>
  <si>
    <t>worksheets.</t>
  </si>
  <si>
    <t>projections of net core Crown debt as a</t>
  </si>
  <si>
    <t>percentage of nominal GDP for a given</t>
  </si>
  <si>
    <t>set of assumptions and parameters.</t>
  </si>
  <si>
    <t>As explained in the</t>
  </si>
  <si>
    <t>description a user</t>
  </si>
  <si>
    <t>can create a new</t>
  </si>
  <si>
    <t>modelling worksheet</t>
  </si>
  <si>
    <t>This is this worksheet. It provides some</t>
  </si>
  <si>
    <t>Unless otherwise stated, forecasts and projections are produced by the New Zealand Treasury</t>
  </si>
  <si>
    <t>The adjective "outturn", normally used before the word data, means it comes from a completed time period</t>
  </si>
  <si>
    <t>Economic Data</t>
  </si>
  <si>
    <t>History</t>
  </si>
  <si>
    <t>Outturn data from Treasury databases</t>
  </si>
  <si>
    <t>Mainly Statistics New Zealand (Stats NZ) measures</t>
  </si>
  <si>
    <t>Forecasts</t>
  </si>
  <si>
    <t>Fiscal Data</t>
  </si>
  <si>
    <t>Outturn data from Treasury publications</t>
  </si>
  <si>
    <t>Mainly from Financial Statements published in past Budget EFU reports</t>
  </si>
  <si>
    <t>Demographic Data</t>
  </si>
  <si>
    <t>Outturn data from Stats NZ</t>
  </si>
  <si>
    <t>Accessible from Stats NZ website</t>
  </si>
  <si>
    <t>(by gender and</t>
  </si>
  <si>
    <t>Treasury forecasts aggregate population</t>
  </si>
  <si>
    <t>single year of age)</t>
  </si>
  <si>
    <t>Projections</t>
  </si>
  <si>
    <t>Based on those of Stats NZ</t>
  </si>
  <si>
    <t>Labour Force</t>
  </si>
  <si>
    <t>Based on Household Labour Force Survey (HLFS)</t>
  </si>
  <si>
    <t>Treasury forecasts aggregate labour force</t>
  </si>
  <si>
    <t>Social welfare</t>
  </si>
  <si>
    <t>transfers</t>
  </si>
  <si>
    <t>Forecasts from Ministry of Social</t>
  </si>
  <si>
    <t>Development (MSD) and Inland Revenue</t>
  </si>
  <si>
    <t>Department (IRD) for Working for Families</t>
  </si>
  <si>
    <t>New Zealand</t>
  </si>
  <si>
    <t>Superannuation</t>
  </si>
  <si>
    <t>Forecasts from the NZSF</t>
  </si>
  <si>
    <t>Fund (NZSF)</t>
  </si>
  <si>
    <t>Projection produced by Treasury</t>
  </si>
  <si>
    <t>Accident Compen-</t>
  </si>
  <si>
    <t>sation Corporation</t>
  </si>
  <si>
    <t>Forecasts from ACC</t>
  </si>
  <si>
    <t>(ACC) data</t>
  </si>
  <si>
    <t>Projection produced by ACC</t>
  </si>
  <si>
    <t>Student Loans</t>
  </si>
  <si>
    <t>track</t>
  </si>
  <si>
    <t>Forecasts from IRD and the</t>
  </si>
  <si>
    <t>Ministry of Education (MoE)</t>
  </si>
  <si>
    <t>KiwiSaver expenses</t>
  </si>
  <si>
    <t xml:space="preserve">Inland Revenue </t>
  </si>
  <si>
    <t>Forecasts from IRD</t>
  </si>
  <si>
    <t>Department (IRD)</t>
  </si>
  <si>
    <t>Projection from IRD</t>
  </si>
  <si>
    <t>Government</t>
  </si>
  <si>
    <t>Forecasts based on actuarial valuations</t>
  </si>
  <si>
    <t>Fund (GSF)</t>
  </si>
  <si>
    <t>Projection produced by actuaries for GSF</t>
  </si>
  <si>
    <t>2012 version</t>
  </si>
  <si>
    <t>Tax Receivable write-</t>
  </si>
  <si>
    <t>downs &amp; impairments</t>
  </si>
  <si>
    <t>Main benefit age &amp;</t>
  </si>
  <si>
    <t>Based on administrative data from MSD</t>
  </si>
  <si>
    <t>gender distribution</t>
  </si>
  <si>
    <t>EXOGENOUS INPUT PROJECTIONS AND DATA</t>
  </si>
  <si>
    <t>NEW ZEALAND SUPERANNUATION FUND (NZSF)</t>
  </si>
  <si>
    <t>Capital contribution/(withdrawal) from Government</t>
  </si>
  <si>
    <t>Other movements in reserves</t>
  </si>
  <si>
    <t>Closing Balance</t>
  </si>
  <si>
    <t>STUDENT LOANS</t>
  </si>
  <si>
    <t>Net new lending (including fees) in current year</t>
  </si>
  <si>
    <t>Unwind of administration costs</t>
  </si>
  <si>
    <t>Interest unwind</t>
  </si>
  <si>
    <t>Gains/(losses) and reversal of impairment/(impairment)</t>
  </si>
  <si>
    <t>ACCIDENT COMPENSATION CORPORATION (ACC)</t>
  </si>
  <si>
    <t>Levy income</t>
  </si>
  <si>
    <t>Non-Earners (NE) &amp; NE share of Treatment Injury levy income</t>
  </si>
  <si>
    <t>Claims and other expenses</t>
  </si>
  <si>
    <t>Investment income</t>
  </si>
  <si>
    <t>Closing assets</t>
  </si>
  <si>
    <t>Closing liabilities</t>
  </si>
  <si>
    <t>GOVERNMENT SUPERANNUATION FUND (GSF)</t>
  </si>
  <si>
    <t>Pension expenses</t>
  </si>
  <si>
    <t>KIWI SAVER EXPENSE TRACK</t>
  </si>
  <si>
    <t>TAX RECEIVABLE WRITE-DOWN AND IMPAIRMENTS</t>
  </si>
  <si>
    <t>WORKING-AGE MAIN BENEFIT AGE &amp; GENDER SHARES</t>
  </si>
  <si>
    <t>Jobseeker Support aged 16 to 19 years</t>
  </si>
  <si>
    <t>Jobseeker Support aged 20 to 24 years</t>
  </si>
  <si>
    <t>Jobseeker Support aged 25 to 29 years</t>
  </si>
  <si>
    <t>Jobseeker Support aged 30 to 34 years</t>
  </si>
  <si>
    <t>Jobseeker Support aged 35 to 39 years</t>
  </si>
  <si>
    <t>Jobseeker Support aged 40 to 44 years</t>
  </si>
  <si>
    <t>Jobseeker Support aged 45 to 49 years</t>
  </si>
  <si>
    <t>Jobseeker Support aged 50 to 54 years</t>
  </si>
  <si>
    <t>Jobseeker Support aged 55 to 59 years</t>
  </si>
  <si>
    <t>Jobseeker Support aged 60 to 64 years</t>
  </si>
  <si>
    <t>Jobseeker Support aged 65 years &amp; above</t>
  </si>
  <si>
    <t>TAX PARAMETERS</t>
  </si>
  <si>
    <t>Supported Living Payment aged 16 to 19 years</t>
  </si>
  <si>
    <t>Sole Parent Support aged 16 to 19 years</t>
  </si>
  <si>
    <t>Supported Living Payment aged 20 to 24 years</t>
  </si>
  <si>
    <t>Sole Parent Support aged 20 to 24 years</t>
  </si>
  <si>
    <t>Supported Living Payment aged 25 to 29 years</t>
  </si>
  <si>
    <t>Sole Parent Support aged 25 to 29 years</t>
  </si>
  <si>
    <t>Supported Living Payment aged 30 to 34 years</t>
  </si>
  <si>
    <t>Sole Parent Support aged 30 to 34 years</t>
  </si>
  <si>
    <t>Supported Living Payment aged 35 to 39 years</t>
  </si>
  <si>
    <t>Sole Parent Support aged 35 to 39 years</t>
  </si>
  <si>
    <t>Supported Living Payment aged 40 to 44 years</t>
  </si>
  <si>
    <t>Sole Parent Support aged 40 to 44 years</t>
  </si>
  <si>
    <t>Supported Living Payment aged 45 to 49 years</t>
  </si>
  <si>
    <t>Sole Parent Support aged 45 to 49 years</t>
  </si>
  <si>
    <t>Supported Living Payment aged 50 to 54 years</t>
  </si>
  <si>
    <t>Sole Parent Support aged 50 to 54 years</t>
  </si>
  <si>
    <t>Supported Living Payment aged 55 to 59 years</t>
  </si>
  <si>
    <t>Sole Parent Support aged 55 to 59 years</t>
  </si>
  <si>
    <t>Supported Living Payment aged 60 to 64 years</t>
  </si>
  <si>
    <t>Sole Parent Support aged 60 to 64 years</t>
  </si>
  <si>
    <t>Supported Living Payment aged 65 years &amp; above</t>
  </si>
  <si>
    <t>Sole Parent Support aged 65 years &amp; above</t>
  </si>
  <si>
    <t>(billions of $NZ)</t>
  </si>
  <si>
    <t>FISCAL HISTORICAL AND FORECAST DATA</t>
  </si>
  <si>
    <t>Historical data sourced from Treasury past publications of Financial Statements of the Government of New Zealand for the Year Ended 30 June</t>
  </si>
  <si>
    <t xml:space="preserve">Forecast data sourced from Treasury publication of latest Economic &amp; Fiscal Update </t>
  </si>
  <si>
    <t>STATEMENT OF FINANCIAL PERFORMANCE</t>
  </si>
  <si>
    <t>Taxation revenue</t>
  </si>
  <si>
    <t>NAC</t>
  </si>
  <si>
    <t>Other sovereign revenue</t>
  </si>
  <si>
    <t>UIM</t>
  </si>
  <si>
    <t>Sales of goods and services</t>
  </si>
  <si>
    <t>Interest revenue</t>
  </si>
  <si>
    <t>Other revenue</t>
  </si>
  <si>
    <t>Total revenue (excluding gains)</t>
  </si>
  <si>
    <t>Transfer payments and subsidies</t>
  </si>
  <si>
    <t>Personnel expenses</t>
  </si>
  <si>
    <t>Depreciation</t>
  </si>
  <si>
    <t>Other operating expenses</t>
  </si>
  <si>
    <t>Interest expenses</t>
  </si>
  <si>
    <t>Insurance expenses</t>
  </si>
  <si>
    <t>Forecast new operating spending</t>
  </si>
  <si>
    <t>Top-down expense adjustment</t>
  </si>
  <si>
    <t>Total expenses (excluding losses)</t>
  </si>
  <si>
    <t>Net gains/(losses) on financial instruments</t>
  </si>
  <si>
    <t>Net gains/(losses) on non-financial instruments</t>
  </si>
  <si>
    <t>Total gains/(losses)</t>
  </si>
  <si>
    <t>Net surplus/(deficit) from associates and joint ventures</t>
  </si>
  <si>
    <t>Less Minority share of operating balance</t>
  </si>
  <si>
    <t>Operating balance (excludes minority interests)</t>
  </si>
  <si>
    <t>CHECK: Oper Bal (ex MI) = Rev - Exps + Gains (ex MI) + Net surplus - MI share</t>
  </si>
  <si>
    <t>Operating balance (includes minority interests)</t>
  </si>
  <si>
    <t>Minority interest share of net gains/(losses)</t>
  </si>
  <si>
    <t>Operating balance before gains/(losses) [OBEGAL] (excludes minority interests)</t>
  </si>
  <si>
    <t>CHECK: OBEGAL (ex MI) = Op Bal (ex MI) - Tot gain/(loss) - Net surp + MI share gn/(ls)</t>
  </si>
  <si>
    <t>Total Crown Expenses - By functional classification</t>
  </si>
  <si>
    <t>Social security and welfare</t>
  </si>
  <si>
    <t>Health</t>
  </si>
  <si>
    <t>Education</t>
  </si>
  <si>
    <t>Core government services</t>
  </si>
  <si>
    <t>Law and order</t>
  </si>
  <si>
    <t>Transport and communication</t>
  </si>
  <si>
    <t>Economic and industrial services</t>
  </si>
  <si>
    <t>Defence</t>
  </si>
  <si>
    <t>Heritage, culture and recreation</t>
  </si>
  <si>
    <t>Primary services</t>
  </si>
  <si>
    <t>Housing and community development</t>
  </si>
  <si>
    <t>Environmental protection</t>
  </si>
  <si>
    <t>Government Superannuation Fund (GSF) pension expense</t>
  </si>
  <si>
    <t>Other</t>
  </si>
  <si>
    <t>Finance costs</t>
  </si>
  <si>
    <t>Total Crown expenses (includes Forecast new operating spend &amp; Top-down adjustment)</t>
  </si>
  <si>
    <t>Core Crown Expenses - By functional classification</t>
  </si>
  <si>
    <t>Core Crown expenses (includes Forecast new operating spend &amp; Top-down adjustment)</t>
  </si>
  <si>
    <t>STATEMENT OF CASH FLOWS</t>
  </si>
  <si>
    <t>Taxation receipts</t>
  </si>
  <si>
    <t>Other sovereign receipts</t>
  </si>
  <si>
    <t>Interest receipts</t>
  </si>
  <si>
    <t>Other operating receipts</t>
  </si>
  <si>
    <t>Total cash provided from operations</t>
  </si>
  <si>
    <t>Personnel and operating payments</t>
  </si>
  <si>
    <t>Interest payments</t>
  </si>
  <si>
    <t>Cash disbursed to ops (includes Forecast new operating spend &amp; Top-down adjustmt)</t>
  </si>
  <si>
    <t>Net cash flows from operations</t>
  </si>
  <si>
    <t>Net sales/(purchase) of physical assets</t>
  </si>
  <si>
    <t>Net sales/(purchase) of shares and other securities</t>
  </si>
  <si>
    <t>Net sales/(purchase) of intangible assets</t>
  </si>
  <si>
    <t xml:space="preserve">Net repayment/(issue) of advances </t>
  </si>
  <si>
    <t>Net divestment/(acquisition) of investments in associates</t>
  </si>
  <si>
    <t>Net cash flow from investing (incl annual Forecast new capital spend &amp; Top-down adj)</t>
  </si>
  <si>
    <t>Net cash flows from operating and investing activities</t>
  </si>
  <si>
    <t>Issues of circulating currency</t>
  </si>
  <si>
    <t xml:space="preserve">Net issue/(repayment) of government stock </t>
  </si>
  <si>
    <t xml:space="preserve">Net issue/(repayment) of foreign-currency borrowings </t>
  </si>
  <si>
    <t xml:space="preserve">Net issue/(repayment) of other New Zealand dollar borrowings </t>
  </si>
  <si>
    <t>Net issue/(purchase) of equity</t>
  </si>
  <si>
    <t>Dividends received from/(paid to) minority interests</t>
  </si>
  <si>
    <t>Net cash flows from financing activities</t>
  </si>
  <si>
    <t>Net movement in cash</t>
  </si>
  <si>
    <t>Foreign exchange gains/(losses) on opening cash balance</t>
  </si>
  <si>
    <t>CHECK: Annual change in Cash asset =Net movement in cash +Forex gains/(losses)</t>
  </si>
  <si>
    <t>Reconciliation: Between Net cash flows from operations and the Operating balance</t>
  </si>
  <si>
    <t>Net cash flows from operations plus Total gains/(losses) and Other interests</t>
  </si>
  <si>
    <t>Amortisation</t>
  </si>
  <si>
    <t>Cost of concessionary lending</t>
  </si>
  <si>
    <t>Impairment on financial assets (excludes receivables)</t>
  </si>
  <si>
    <t>Change in accumulating insurance expenses</t>
  </si>
  <si>
    <t>Change in New Zealand Emissions Tradings Scheme liability</t>
  </si>
  <si>
    <t>Change in accumulating pension expenses</t>
  </si>
  <si>
    <t>Total other non-cash items (includes Depreciation &amp; amortisation)</t>
  </si>
  <si>
    <t>Increase/(decrease) in receivables</t>
  </si>
  <si>
    <t>Increase/(decrease) in accrued interest</t>
  </si>
  <si>
    <t>Increase/(decrease) in inventories</t>
  </si>
  <si>
    <t>Increase/(decrease) in prepayments</t>
  </si>
  <si>
    <t>Decrease/(increase) in deferred revenue</t>
  </si>
  <si>
    <t>Decrease/(increase) in payables/provisions</t>
  </si>
  <si>
    <t>Total movements in working capital</t>
  </si>
  <si>
    <t>CHECK: Op Bal (excl Min Ints) = Op cash +Gains +Non-cash items +Movements in WC</t>
  </si>
  <si>
    <t>STATEMENT OF FINANCIAL POSITION</t>
  </si>
  <si>
    <t>Cash and cash equivalents</t>
  </si>
  <si>
    <t>Receivables</t>
  </si>
  <si>
    <t>Marketable securities, deposits and derivatives in gain</t>
  </si>
  <si>
    <t>Share investments</t>
  </si>
  <si>
    <t>Advances</t>
  </si>
  <si>
    <t>Investments in controlled enterprises</t>
  </si>
  <si>
    <t>Inventory</t>
  </si>
  <si>
    <t>Other assets</t>
  </si>
  <si>
    <t xml:space="preserve">Property, plant and equipment </t>
  </si>
  <si>
    <t>Equity accounted investments</t>
  </si>
  <si>
    <t>Intangible assets and goodwill</t>
  </si>
  <si>
    <t>Forecast for new capital spending</t>
  </si>
  <si>
    <t>Top-down capital adjustment</t>
  </si>
  <si>
    <t>Total assets</t>
  </si>
  <si>
    <t>Issued currency</t>
  </si>
  <si>
    <t>Payables</t>
  </si>
  <si>
    <t>Deferred revenue</t>
  </si>
  <si>
    <t>Borrowings</t>
  </si>
  <si>
    <t>New Zealand Emissions Tradings Scheme (ETS) liability</t>
  </si>
  <si>
    <t>Insurance liabilities</t>
  </si>
  <si>
    <t>Retirement plan liabilities</t>
  </si>
  <si>
    <t>Provisions</t>
  </si>
  <si>
    <t>Total liabilities</t>
  </si>
  <si>
    <t>Total net worth</t>
  </si>
  <si>
    <t>CHECK: Net worth =Total assets - Total liabilities</t>
  </si>
  <si>
    <t>Net worth attributable to minority interest</t>
  </si>
  <si>
    <t>STATEMENT OF BORROWINGS</t>
  </si>
  <si>
    <t>Core Crown borrowings</t>
  </si>
  <si>
    <t>Core Crown unsettled purchases of securities</t>
  </si>
  <si>
    <t>Less New Zealand Superannuation Fund (NZSF) borrowings</t>
  </si>
  <si>
    <t>Less Core Crown financial assets (excluding receivables)</t>
  </si>
  <si>
    <t>Less Core Crown unsettled sales of securities</t>
  </si>
  <si>
    <t>NZSF financial assets (excl. receivables) &amp; net unsettled sales/(purchases) of securities</t>
  </si>
  <si>
    <t>Core Crown advances (excluding NZSF advances)</t>
  </si>
  <si>
    <t>Net core Crown debt excluding NZSF &amp; advances</t>
  </si>
  <si>
    <t>Crown entity borrowings</t>
  </si>
  <si>
    <t>Less Kiwi Group Capital Ltd borrowings</t>
  </si>
  <si>
    <t>Net debt excluding NZSF</t>
  </si>
  <si>
    <t>Net debt</t>
  </si>
  <si>
    <t>CHECK: Net debt = Value calculated from components</t>
  </si>
  <si>
    <t>Reserve Bank (RB) settlement cash and bills</t>
  </si>
  <si>
    <t>Gross debt (core Crown)</t>
  </si>
  <si>
    <t>STATEMENT OF SEGMENTS - CORE CROWN SECTION</t>
  </si>
  <si>
    <t>Core Crown revenue</t>
  </si>
  <si>
    <t>CHECK: CC revenue =Tax +Other sovereign +Sales of g&amp;s +Interest +Other revenue</t>
  </si>
  <si>
    <t>Social assistance and official development assistance</t>
  </si>
  <si>
    <t xml:space="preserve">Personnel expenses </t>
  </si>
  <si>
    <t xml:space="preserve">Other operating expenses </t>
  </si>
  <si>
    <t>Core Crown expenses</t>
  </si>
  <si>
    <t>CHECK: CC exps =SA&amp;ODA +Persnl +Other op +Int +Insur +Fcst new op spend &amp;T-d adj</t>
  </si>
  <si>
    <t>Total gains/(losses) and other items</t>
  </si>
  <si>
    <t>Core Crown operating balance</t>
  </si>
  <si>
    <t>CHECK: CC op balance =Revenue -Expenses +Total gains/(losses) +Net surp/(def) A&amp;JV</t>
  </si>
  <si>
    <t>Inventory and other assets</t>
  </si>
  <si>
    <t>Core Crown assets</t>
  </si>
  <si>
    <t>CHECK: CC assets =Cash+Rec+MSD+SI+Adv+PPE+EAI+IG+IO+Fcst new cap sp &amp;T-d adj</t>
  </si>
  <si>
    <t>Core Crown liabilities</t>
  </si>
  <si>
    <t>CHECK: CC liabilities =Issued currency +Borrowings +Paybls +Def rev +IL +RPL +Provs</t>
  </si>
  <si>
    <t>Core Crown net worth</t>
  </si>
  <si>
    <t>STATEMENT OF SEGMENTS -CROWN ENTITY (CE) STATE-OWNED ENTERPRISE (SOE)</t>
  </si>
  <si>
    <t>CE insurance expenses</t>
  </si>
  <si>
    <t>SOE insurance expenses (includes any inter-segment eliminations)</t>
  </si>
  <si>
    <t>CHECK: Insurance expenses in Statement of Financial Performance =Sum of segments</t>
  </si>
  <si>
    <t>CE social security and welfare</t>
  </si>
  <si>
    <t>CE health expenses</t>
  </si>
  <si>
    <t>CE education expenses</t>
  </si>
  <si>
    <t>CE transport and communications expenses</t>
  </si>
  <si>
    <t>SOE transport and communications expenses</t>
  </si>
  <si>
    <t>CE other non-finance expenses (excluding welfare, health, education &amp; transport)</t>
  </si>
  <si>
    <t>SOE other non-finance expenses (excluding welfare, health, education &amp; transport)</t>
  </si>
  <si>
    <t>Inter-segment elimination for other non-finance exps (excl welfare, health, education &amp; transport)</t>
  </si>
  <si>
    <t>CE marketable securities, deposits and derivatives in gain</t>
  </si>
  <si>
    <t>SOE marketable securities, deposits and derivatives in gain</t>
  </si>
  <si>
    <t>CE share investments</t>
  </si>
  <si>
    <t>SOE share investments</t>
  </si>
  <si>
    <t>NOTES TO THE FINANCIAL STATEMENTS</t>
  </si>
  <si>
    <t>Taxation revenue (accrual)</t>
  </si>
  <si>
    <t>Source deductions</t>
  </si>
  <si>
    <t>Other personal income tax revenue</t>
  </si>
  <si>
    <t>Corporate tax</t>
  </si>
  <si>
    <t>Total goods and services tax (GST)</t>
  </si>
  <si>
    <t>Hypothecated transport taxes</t>
  </si>
  <si>
    <t>Remaining tax types</t>
  </si>
  <si>
    <t>CHECK: Tax revenue in Statement of Financial Performance =Sum of tax types</t>
  </si>
  <si>
    <t>Other sovereign revenue (accrual)</t>
  </si>
  <si>
    <t>Accident Compensation Corporation (ACC) levies</t>
  </si>
  <si>
    <t>Emissions Trading Scheme (ETS) revenue</t>
  </si>
  <si>
    <t>Remaining other sovereign revenue types</t>
  </si>
  <si>
    <t>CHECK: Other sovereign rev in Statement of Financial Performance =Sum of OSR types</t>
  </si>
  <si>
    <t>Crown entities</t>
  </si>
  <si>
    <t>State-owned Enterprises</t>
  </si>
  <si>
    <t>Inter-segment eliminations</t>
  </si>
  <si>
    <t>CHECK: Interest revenue in Statement of Financial Performance =Sum of segments</t>
  </si>
  <si>
    <t>Dividend revenue (Total Crown)</t>
  </si>
  <si>
    <t>Core Crown</t>
  </si>
  <si>
    <t>CHECK: Total Crown Dividend revenue from Note =Sum of segments</t>
  </si>
  <si>
    <t>New Zealand Superannuation</t>
  </si>
  <si>
    <t>Jobseeker support and Emergency benefit</t>
  </si>
  <si>
    <t>Supported living payment</t>
  </si>
  <si>
    <t>Sole parent support</t>
  </si>
  <si>
    <t>Working for Families tax credits</t>
  </si>
  <si>
    <t>Accommodation Assistance</t>
  </si>
  <si>
    <t>Supplementary benefits</t>
  </si>
  <si>
    <t>Student allowances</t>
  </si>
  <si>
    <t>KiwiSaver</t>
  </si>
  <si>
    <t>Official development assistance</t>
  </si>
  <si>
    <t>CHECK: Transfer pmts &amp; subsidies in Statement of Financial Performance =Sum of types</t>
  </si>
  <si>
    <t>CHECK: Personnel expenses in Statement of Financial Performance =Sum of segments</t>
  </si>
  <si>
    <t>CHECK: Depreciation in Statement of Financial Performance =Sum of segments</t>
  </si>
  <si>
    <t>Other Operating expenses (excludes Depreciation)</t>
  </si>
  <si>
    <t>CHECK: Other Oper expenses in Statement of Financial Performance =Sum of segments</t>
  </si>
  <si>
    <t>Finance costs (Interest expenses)</t>
  </si>
  <si>
    <t>CHECK: Interest expenses in Statement of Financial Performance =Sum of segments</t>
  </si>
  <si>
    <t>Accident Compensation Corporation (ACC)</t>
  </si>
  <si>
    <t>Earthquake Commission (EQC)</t>
  </si>
  <si>
    <t>Other (includes inter-segment eliminations)</t>
  </si>
  <si>
    <t>CHECK: Insurance expenses in Statement of Financial Performance =Sum of types</t>
  </si>
  <si>
    <t>Unallocated contingencies and other targetted new operating spending</t>
  </si>
  <si>
    <t>Forecast new operating spending for second forecast year</t>
  </si>
  <si>
    <t>Forecast new operating spending for third forecast year</t>
  </si>
  <si>
    <t>Forecast new operating spending for fourth forecast year</t>
  </si>
  <si>
    <t>Forecast new operating spending for fifth forecast year</t>
  </si>
  <si>
    <t>CHECK: Forecast new oper spend in Statement of Financial Performance =Sum of years</t>
  </si>
  <si>
    <t>Forecast new capital spending</t>
  </si>
  <si>
    <t>Unallocated contingencies</t>
  </si>
  <si>
    <t>CHECK: Forecast new capital spending in Statement of Financial Position =Sum of years</t>
  </si>
  <si>
    <t>Gains and losses on financial instruments</t>
  </si>
  <si>
    <t>State-owned enterprises</t>
  </si>
  <si>
    <t>CHECK: Gain/(loss) on fncl ins in Statement of Financial Performance =Sum of segments</t>
  </si>
  <si>
    <t>Gains and losses on non-financial instruments</t>
  </si>
  <si>
    <t>CHECK: Gain/(loss) on n-f ins in Statement of Financial Performance =Sum of segments</t>
  </si>
  <si>
    <t>Operating balance (excluding Minority interests)</t>
  </si>
  <si>
    <t>CHECK: Oper bal (excl Min ints) in Statement of Financial Performance=Sum of segments</t>
  </si>
  <si>
    <t>Receivables from Financial assets note</t>
  </si>
  <si>
    <t>Tax receivables</t>
  </si>
  <si>
    <t>Trade and other receivables</t>
  </si>
  <si>
    <t>CHECK: Receivables in Statement of Financial Position =Sum of Tax &amp; Trade versions</t>
  </si>
  <si>
    <t>Student Loans and Kiwibank mortgages from Financial assets note</t>
  </si>
  <si>
    <t>Kiwibank mortgages</t>
  </si>
  <si>
    <t>Less initial write-down to fair value</t>
  </si>
  <si>
    <t>Less Repayments made during the year</t>
  </si>
  <si>
    <t>Gains/(losses) and (Impairment)/reversal of impairment</t>
  </si>
  <si>
    <t>Closing book value</t>
  </si>
  <si>
    <t>CHECK: Student Loans in Financial assets note =Closing book value</t>
  </si>
  <si>
    <t>Property, plant and equipment (P,P&amp;E)</t>
  </si>
  <si>
    <t>CHECK: Property, plant &amp; equipmt in Statement of Financial Position =Sum of segments</t>
  </si>
  <si>
    <t>Schedule of movements</t>
  </si>
  <si>
    <t>Additions</t>
  </si>
  <si>
    <t>Disposals</t>
  </si>
  <si>
    <t>Net revaluations</t>
  </si>
  <si>
    <t>Other (mainly transfers to/from other asset categories)</t>
  </si>
  <si>
    <t>Closing balance of cost or valuation</t>
  </si>
  <si>
    <t>Eliminated on disposal</t>
  </si>
  <si>
    <t>Eliminated on revaluation</t>
  </si>
  <si>
    <t>Impairment losses charged to operating balance</t>
  </si>
  <si>
    <t>Depreciation expense</t>
  </si>
  <si>
    <t>Total accumulated depreciation and impairment</t>
  </si>
  <si>
    <t>CHECK: P,P&amp;E in Statement of Financial Position =Closing balance - Accum deprc &amp; impt</t>
  </si>
  <si>
    <t>CHECK: Intangible assets &amp;goodwill in Statement of Financial Position =Sum of segments</t>
  </si>
  <si>
    <t>New Zealand Superannuation Fund (NZSF)</t>
  </si>
  <si>
    <t>Revenue</t>
  </si>
  <si>
    <t>Less current tax expense</t>
  </si>
  <si>
    <t>Less other expenses</t>
  </si>
  <si>
    <t>Add gains/(losses)</t>
  </si>
  <si>
    <t>Gross capital contribution from the Crown</t>
  </si>
  <si>
    <t>Closing net worth</t>
  </si>
  <si>
    <t>Financial assets</t>
  </si>
  <si>
    <t>Financial liabilities</t>
  </si>
  <si>
    <t>Net other assets</t>
  </si>
  <si>
    <t>CHECK: Closing net worth =Sum of financial assets less liabilities and net other assets</t>
  </si>
  <si>
    <t>Accounts payable</t>
  </si>
  <si>
    <t>Taxes repayable</t>
  </si>
  <si>
    <t>CHECK: Payables in Statement of Financial Position =Sum of types</t>
  </si>
  <si>
    <t>Emissions Trading Scheme (ETS)</t>
  </si>
  <si>
    <t>ETS auction units</t>
  </si>
  <si>
    <t>ETS revenue</t>
  </si>
  <si>
    <t>ETS expenses</t>
  </si>
  <si>
    <t>ETS gains/(losses)</t>
  </si>
  <si>
    <t>ETS other movements</t>
  </si>
  <si>
    <t>CHECK: Closing provision = Opening + auction units - rev + exps - gains + oth mvts</t>
  </si>
  <si>
    <t>Other (includes inter-segment elimination)</t>
  </si>
  <si>
    <t>CHECK: Insurance liabilities in Statement of Financial Position =Sum of types</t>
  </si>
  <si>
    <t>Core Crown (excluding NZSF) residual cash</t>
  </si>
  <si>
    <t>Tax receipts</t>
  </si>
  <si>
    <t>Sales of goods and services and other receipts</t>
  </si>
  <si>
    <t>Less Transfer payments and subsidies</t>
  </si>
  <si>
    <t>Less Personnel and operating costs</t>
  </si>
  <si>
    <t>Less Finance costs</t>
  </si>
  <si>
    <t>Net core Crown operating cash flows  (incl Forecast new oper spend &amp; Top-down adjust)</t>
  </si>
  <si>
    <t>Net sale/(purchase) of physical assets</t>
  </si>
  <si>
    <t>Net repayment/(issue) of advances</t>
  </si>
  <si>
    <t>Net sale/(purchase) of investments</t>
  </si>
  <si>
    <t>Net CC capital cash flows (incl NZSF contrb, ann. Fcast new cap spend &amp; T-d adjust)</t>
  </si>
  <si>
    <t>Core Crown Residual cash surplus/(deficit)</t>
  </si>
  <si>
    <t>CHECK: Residual cash =Sum of Core Crown operating and capital cash flows</t>
  </si>
  <si>
    <t>Total borrowing cash flows</t>
  </si>
  <si>
    <t>Net sale/(purchase) of marketable securities and deposits</t>
  </si>
  <si>
    <t>Decrease/(increase) in cash</t>
  </si>
  <si>
    <t>Total investing cash flows (incl issues of circ currency from Statement of Cash Flows)</t>
  </si>
  <si>
    <t>Residual cash deficit/(surplus) funding or investing</t>
  </si>
  <si>
    <t>Unless specifically stated otherwise, all references in this worksheet to GDP should be taken to mean the current price variable Nominal Gross Domestic Product (GDP).</t>
  </si>
  <si>
    <t>Zero marker (set to zero to avoid using any pasted in numbers in modelling worksheets)</t>
  </si>
  <si>
    <t>Number of years for effective interest rate to align with government 10-year bond rate</t>
  </si>
  <si>
    <t>FISCAL ASSUMPTIONS</t>
  </si>
  <si>
    <t>Fiscal drag elasticity applied to nominal wage growth for source deductions and other personal income tax revenue</t>
  </si>
  <si>
    <t>ECONOMIC OUTTURNS, FORECASTS AND PROJECTIONS</t>
  </si>
  <si>
    <t>Fiscal Year (year from 1 July to the following 30 June)</t>
  </si>
  <si>
    <r>
      <t xml:space="preserve">Key fiscal variable selected from drop-down list box </t>
    </r>
    <r>
      <rPr>
        <b/>
        <sz val="12"/>
        <color indexed="8"/>
        <rFont val="Calibri"/>
        <family val="2"/>
      </rPr>
      <t>↓</t>
    </r>
  </si>
  <si>
    <t>Total Crown OBEGAL</t>
  </si>
  <si>
    <t>Net core Crown debt excl. NZSF &amp; advances (excludes Crown entity debt)</t>
  </si>
  <si>
    <t>Net debt excluding New Zealand Superannuation Fund</t>
  </si>
  <si>
    <t>Core Crown residual cash</t>
  </si>
  <si>
    <t>Core Crown primary balance</t>
  </si>
  <si>
    <t>Total Crown revenue</t>
  </si>
  <si>
    <t>Total Crown expenses</t>
  </si>
  <si>
    <t>Total Crown operating balance (excluding minority interests)</t>
  </si>
  <si>
    <t>Core Crown tax revenue</t>
  </si>
  <si>
    <t>Total Crown tax revenue</t>
  </si>
  <si>
    <t>Total Crown net worth</t>
  </si>
  <si>
    <t>Total Crown net worth attributable to the Crown</t>
  </si>
  <si>
    <t>Total Crown borrowings</t>
  </si>
  <si>
    <t>Key fiscal indicator displayed as percentage of nominal GDP</t>
  </si>
  <si>
    <t>FISCAL OUTTURNS, FORECASTS AND PROJECTIONS</t>
  </si>
  <si>
    <t>Statement of Financial Performance</t>
  </si>
  <si>
    <t>Total Crown revenue (excluding Gains)</t>
  </si>
  <si>
    <t>Total Crown total gains/(losses)</t>
  </si>
  <si>
    <t>From Fiscal Forecasts</t>
  </si>
  <si>
    <t>Notes to the Financial Statements</t>
  </si>
  <si>
    <t>Source deductions (mainly PAYE on salaries and wages and transfers)</t>
  </si>
  <si>
    <t>Other personal income tax types</t>
  </si>
  <si>
    <t>Number of years used to calculate average for stable percentage of GDP for each tax type</t>
  </si>
  <si>
    <t>Transition rate from end-of-forecast to stable percentage of GDP for tax types (percentage points per year)</t>
  </si>
  <si>
    <t>Total corporate tax (mainly company tax)</t>
  </si>
  <si>
    <t>Total goods and services tax (consolidated GST)</t>
  </si>
  <si>
    <t>Hypothecated transport taxes (petrol duties, road user charges &amp; vehicle registration fees)</t>
  </si>
  <si>
    <t>Inter-segment elimination of tax revenue</t>
  </si>
  <si>
    <t>Core Crown taxation revenue</t>
  </si>
  <si>
    <t>Emissions Trading Scheme (ETS) revenue to reduce ETS provision</t>
  </si>
  <si>
    <t>Other core Crown other sovereign revenue</t>
  </si>
  <si>
    <t>Core Crown other sovereign revenue</t>
  </si>
  <si>
    <t>Other non-core Crown other sovereign revenue</t>
  </si>
  <si>
    <t>Emissions Trading Scheme (ETS) cash receipts from auctioning units</t>
  </si>
  <si>
    <t>Core Crown sales of goods and services</t>
  </si>
  <si>
    <t>Student loans (interest unwind)</t>
  </si>
  <si>
    <t>Other core Crown interest revenue</t>
  </si>
  <si>
    <t>Core Crown interest revenue</t>
  </si>
  <si>
    <t>Inter-segment elimination</t>
  </si>
  <si>
    <t>New Zealand Superannuation Fund (NZSF) interest revenue</t>
  </si>
  <si>
    <t>Gains/(losses)</t>
  </si>
  <si>
    <t>Capital contribution from/(withdrawal to) the Crown</t>
  </si>
  <si>
    <t>Comprising:</t>
  </si>
  <si>
    <t>Less Financial liabilities</t>
  </si>
  <si>
    <t>Tax expense</t>
  </si>
  <si>
    <t>Non-tax expenses</t>
  </si>
  <si>
    <t>Operating balance of NZSF</t>
  </si>
  <si>
    <r>
      <t xml:space="preserve">less </t>
    </r>
    <r>
      <rPr>
        <sz val="11"/>
        <color indexed="8"/>
        <rFont val="Arial"/>
        <family val="2"/>
      </rPr>
      <t>Tax on earnings</t>
    </r>
  </si>
  <si>
    <r>
      <t xml:space="preserve">less </t>
    </r>
    <r>
      <rPr>
        <sz val="11"/>
        <color indexed="8"/>
        <rFont val="Arial"/>
        <family val="2"/>
      </rPr>
      <t>Initial write-down to fair value</t>
    </r>
  </si>
  <si>
    <r>
      <t xml:space="preserve">less </t>
    </r>
    <r>
      <rPr>
        <sz val="11"/>
        <color indexed="8"/>
        <rFont val="Arial"/>
        <family val="2"/>
      </rPr>
      <t>Repayments made during the year</t>
    </r>
  </si>
  <si>
    <t>Student loans</t>
  </si>
  <si>
    <t>Initial write-down to fair value</t>
  </si>
  <si>
    <t>Repayments made during the year</t>
  </si>
  <si>
    <t>New Zealand Superannuation Fund (NZSF) parameters to model interaction of</t>
  </si>
  <si>
    <t>Percentage of NZSF revenue received as interest</t>
  </si>
  <si>
    <t>Percentage of NZSF revenue received as dividends (non-interest/dividend received as other)</t>
  </si>
  <si>
    <t>Percentage of NZSF financial assets excluding receivables and advances as cash and cash equivalents</t>
  </si>
  <si>
    <t>Percentage of NZSF financial assets excluding receivables and advances as marketable securities etc.</t>
  </si>
  <si>
    <t>Percentage of NZSF financial assets excluding receivables and advances as share investrnents</t>
  </si>
  <si>
    <t>Percentage of NZSF financial liabilities as borrowings (debt)</t>
  </si>
  <si>
    <t>NZSF revenue, assets &amp; liabilities with those of the rest of the core Crown</t>
  </si>
  <si>
    <t>are used mainly to divide up the forecast and projected closing balance of the NZSF among various asset and liability classes.</t>
  </si>
  <si>
    <t>The following percentages are related to the New Zealand Superannuation Fund (NZSF). They are based on outturn data and</t>
  </si>
  <si>
    <t>Percentage of NZSF financial assets excluding receivables and advances as investments in controlled enterprises</t>
  </si>
  <si>
    <t>Effective interest rate on core Crown gross debt</t>
  </si>
  <si>
    <t>Interest expenses (also called Finance costs)</t>
  </si>
  <si>
    <t>Statement of Borrowings</t>
  </si>
  <si>
    <t>Total Crown Borrowings</t>
  </si>
  <si>
    <t>Net core Crown debt excluding NZSF and advances</t>
  </si>
  <si>
    <r>
      <t xml:space="preserve">CHECK: Net debt in </t>
    </r>
    <r>
      <rPr>
        <b/>
        <i/>
        <sz val="11"/>
        <rFont val="Arial"/>
        <family val="2"/>
      </rPr>
      <t>Fiscal Forecasts</t>
    </r>
    <r>
      <rPr>
        <b/>
        <sz val="11"/>
        <rFont val="Arial"/>
        <family val="2"/>
      </rPr>
      <t xml:space="preserve"> worksheet = Calculated value</t>
    </r>
  </si>
  <si>
    <t>Reserve Bank settlement cash and bills</t>
  </si>
  <si>
    <t>New Zealand Superannuation Fund (NZSF) dividend revenue</t>
  </si>
  <si>
    <t>Other core Crown dividend revenue</t>
  </si>
  <si>
    <t>Core Crown dividend revenue</t>
  </si>
  <si>
    <t>Dividend revenue</t>
  </si>
  <si>
    <t>Inter-segment elimination (includes any outturn or forecast SOEs' dividend income)</t>
  </si>
  <si>
    <t>State-owned enterprises (SOEs)</t>
  </si>
  <si>
    <t>New Zealand Superannuation Fund (NZSF) non-interest, non-dividend revenue</t>
  </si>
  <si>
    <t>Other core Crown non-interest, non-dividend revenue</t>
  </si>
  <si>
    <t>Core Crown other revenue</t>
  </si>
  <si>
    <t>Total Crown taxation revenue</t>
  </si>
  <si>
    <t>Total Crown other sovereign revenue</t>
  </si>
  <si>
    <t>Total Crown sales of goods and services (dominated by SOE sales)</t>
  </si>
  <si>
    <t>Total Crown interest revenue</t>
  </si>
  <si>
    <t>Total Crown dividend revenue</t>
  </si>
  <si>
    <t>Total Crown other revenue</t>
  </si>
  <si>
    <t>Total Crown expenses (excluding Losses)</t>
  </si>
  <si>
    <t>Minority interest (MI) share of operating balance</t>
  </si>
  <si>
    <r>
      <t xml:space="preserve">CHECK: Total Crown OBEGAL in </t>
    </r>
    <r>
      <rPr>
        <b/>
        <i/>
        <sz val="11"/>
        <rFont val="Arial"/>
        <family val="2"/>
      </rPr>
      <t>Fiscal Forecasts</t>
    </r>
    <r>
      <rPr>
        <b/>
        <sz val="11"/>
        <rFont val="Arial"/>
        <family val="2"/>
      </rPr>
      <t xml:space="preserve"> worksheet = Calculated value</t>
    </r>
  </si>
  <si>
    <t>CHECK: Total Crown expenses: Functional classes sum = Operational classes sum</t>
  </si>
  <si>
    <t>Core Crown revenue (excluding Gains)</t>
  </si>
  <si>
    <t>Core Crown expenses (excluding Losses)</t>
  </si>
  <si>
    <r>
      <t xml:space="preserve">CHECK: Core Crown op balance in </t>
    </r>
    <r>
      <rPr>
        <b/>
        <i/>
        <sz val="11"/>
        <rFont val="Arial"/>
        <family val="2"/>
      </rPr>
      <t>Fiscal Forecasts</t>
    </r>
    <r>
      <rPr>
        <b/>
        <sz val="11"/>
        <rFont val="Arial"/>
        <family val="2"/>
      </rPr>
      <t xml:space="preserve"> worksheet = Calculated value</t>
    </r>
  </si>
  <si>
    <t>CHECK: Core Crown expenses: Functional classes sum = Operational classes sum</t>
  </si>
  <si>
    <t>Total Crown operating balance before gains and losses (OBEGAL)</t>
  </si>
  <si>
    <t>Jobseeker support and emergency benefit</t>
  </si>
  <si>
    <r>
      <t xml:space="preserve">Age in years </t>
    </r>
    <r>
      <rPr>
        <b/>
        <sz val="11"/>
        <color indexed="8"/>
        <rFont val="Arial"/>
        <family val="2"/>
      </rPr>
      <t>↓</t>
    </r>
  </si>
  <si>
    <r>
      <t xml:space="preserve">Age in years </t>
    </r>
    <r>
      <rPr>
        <b/>
        <sz val="11"/>
        <color indexed="8"/>
        <rFont val="Calibri"/>
        <family val="2"/>
      </rPr>
      <t>↓</t>
    </r>
  </si>
  <si>
    <t>Female aged 16 to 19 years</t>
  </si>
  <si>
    <t>Female aged 20 to 24 years</t>
  </si>
  <si>
    <t>Female aged 25 to 29 years</t>
  </si>
  <si>
    <t>Female aged 30 to 34 years</t>
  </si>
  <si>
    <t>Female aged 35 to 39 years</t>
  </si>
  <si>
    <t>Female aged 40 to 44 years</t>
  </si>
  <si>
    <t>Female aged 45 to 49 years</t>
  </si>
  <si>
    <t>Female aged 50 to 54 years</t>
  </si>
  <si>
    <t>Female aged 55 to 59 years</t>
  </si>
  <si>
    <t>Female aged 60 to 64 years</t>
  </si>
  <si>
    <t>Female aged 65 years &amp; above</t>
  </si>
  <si>
    <t>Male aged 16 to 19 years</t>
  </si>
  <si>
    <t>Male aged 20 to 24 years</t>
  </si>
  <si>
    <t>Male aged 25 to 29 years</t>
  </si>
  <si>
    <t>Male aged 30 to 34 years</t>
  </si>
  <si>
    <t>Male aged 35 to 39 years</t>
  </si>
  <si>
    <t>Male aged 40 to 44 years</t>
  </si>
  <si>
    <t>Male aged 45 to 49 years</t>
  </si>
  <si>
    <t>Male aged 50 to 54 years</t>
  </si>
  <si>
    <t>Male aged 55 to 59 years</t>
  </si>
  <si>
    <t>Male aged 60 to 64 years</t>
  </si>
  <si>
    <t>Male aged 65 years &amp; above</t>
  </si>
  <si>
    <t>Welfare benefits (approx. as Total social assist grants minus Student allowances)</t>
  </si>
  <si>
    <t>Total social assistance grants</t>
  </si>
  <si>
    <t>KiwiSaver subsidies</t>
  </si>
  <si>
    <t>Departmental and non-departmental social security and welfare expenses</t>
  </si>
  <si>
    <t>Core Crown social security and welfare expenses</t>
  </si>
  <si>
    <t>Crown entities social security and welfare expenses (dominated by ACC payments)</t>
  </si>
  <si>
    <t>Inter-segment elimination for social security &amp; welfare exps (Crown share of ACC paymts)</t>
  </si>
  <si>
    <t>Total Crown transfer payments and subsidies</t>
  </si>
  <si>
    <t>Total Crown social security and welfare expenses</t>
  </si>
  <si>
    <t>Total Crown personnel expenses</t>
  </si>
  <si>
    <t>ACC</t>
  </si>
  <si>
    <t>Total Crown depreciation expenses</t>
  </si>
  <si>
    <t>Total Crown other operating expenses</t>
  </si>
  <si>
    <t>EQC and other insurance expenses</t>
  </si>
  <si>
    <t>Government Superannuation Fund (GSF) pension expenses</t>
  </si>
  <si>
    <t>Core Crown GSF pension expenses</t>
  </si>
  <si>
    <t>Total GSF pension expenses</t>
  </si>
  <si>
    <t>Health expenses</t>
  </si>
  <si>
    <t>Total Crown health expenses</t>
  </si>
  <si>
    <t>Education expenses</t>
  </si>
  <si>
    <t>Student loans (initial write-down to fair value)</t>
  </si>
  <si>
    <t>Core Crown education expenses</t>
  </si>
  <si>
    <t>Total Crown education expenses</t>
  </si>
  <si>
    <t>Core government services expenses</t>
  </si>
  <si>
    <t>NZSF non-tax expenses</t>
  </si>
  <si>
    <t>Official development assistance (ODI)</t>
  </si>
  <si>
    <t>Tax receivable write-downs and impairments</t>
  </si>
  <si>
    <t>Core Crown core government services expenses</t>
  </si>
  <si>
    <t>Total Crown core government services expenses</t>
  </si>
  <si>
    <t>From Exogenous</t>
  </si>
  <si>
    <t>Law and order expenses</t>
  </si>
  <si>
    <t>Core Crown law and order expenses</t>
  </si>
  <si>
    <t>Total Crown law and order expenses</t>
  </si>
  <si>
    <t>Transport and communications expenses</t>
  </si>
  <si>
    <t>Total Crown transport and communications expenses</t>
  </si>
  <si>
    <t>Economic and industrial services expenses</t>
  </si>
  <si>
    <t>Core Crown insurance expenses</t>
  </si>
  <si>
    <t>Other core Crown core government services expenses</t>
  </si>
  <si>
    <t>Other core Crown economic and industrial services expenses</t>
  </si>
  <si>
    <t>Core Crown economic and industrial services expenses</t>
  </si>
  <si>
    <t>Total Crown economic and industrial services expenses</t>
  </si>
  <si>
    <t>Defence expenses</t>
  </si>
  <si>
    <t>Core Crown defence expenses</t>
  </si>
  <si>
    <t>Total Crown defence expenses</t>
  </si>
  <si>
    <t>Heritage, culture and recreation expenses</t>
  </si>
  <si>
    <t>Core Crown heritage, culture and recreation expenses</t>
  </si>
  <si>
    <t>Total Crown heritage, culture and recreation expenses</t>
  </si>
  <si>
    <t>Core Crown primary services expenses</t>
  </si>
  <si>
    <t>Total Crown primary services expenses</t>
  </si>
  <si>
    <t>Primary services expenses</t>
  </si>
  <si>
    <t>Core Crown housing and community development expenses</t>
  </si>
  <si>
    <t>Total Crown housing and community development expenses</t>
  </si>
  <si>
    <t>Housing and community development expenses</t>
  </si>
  <si>
    <t>Emissions Trading Scheme (ETS) expenses</t>
  </si>
  <si>
    <t>Environmental protection expenses</t>
  </si>
  <si>
    <t>Other core Crown environmental protection expenses</t>
  </si>
  <si>
    <t>Core Crown environmental protection expenses</t>
  </si>
  <si>
    <t>Total Crown environmental protection expenses</t>
  </si>
  <si>
    <t>Other expenses</t>
  </si>
  <si>
    <t>Core Crown other expenses</t>
  </si>
  <si>
    <t>Total Crown other expenses</t>
  </si>
  <si>
    <t>Parameters to align operational and functional expense classes</t>
  </si>
  <si>
    <t>Core Crown expenses that derive growth from a share of the Operating allowances</t>
  </si>
  <si>
    <t>Functional core Crown expenses allocated to Other operating expenses</t>
  </si>
  <si>
    <t>Non-core Crown expenses excluding welfare, health, education, transport &amp; interest</t>
  </si>
  <si>
    <t>Crown entities (projected as ratio of all category exps except Econ &amp; ind services)</t>
  </si>
  <si>
    <t>State-owned enterprises (projected as ratio of Economic &amp; industrial services)</t>
  </si>
  <si>
    <t>Inter-segment elimination (projected as Total less core Crown less CE &amp; SOE terms)</t>
  </si>
  <si>
    <t>Gains and losses on financial and non-financial instruments</t>
  </si>
  <si>
    <t>NZSF gains/(losses)</t>
  </si>
  <si>
    <t>Other core Crown gains/(losses)</t>
  </si>
  <si>
    <t>Core Crown gains/(losses)</t>
  </si>
  <si>
    <t>Total Crown gains/(losses)</t>
  </si>
  <si>
    <t>Core Crown net surplus/(deficit) from associates and joint ventures</t>
  </si>
  <si>
    <t>Total Crown net surplus/(deficit) from associates and joint ventures</t>
  </si>
  <si>
    <t>NZSF cash and cash equivalents</t>
  </si>
  <si>
    <t>NZSF advances</t>
  </si>
  <si>
    <t>Other core Crown cash and cash equivalents</t>
  </si>
  <si>
    <t>Core Crown cash and cash equivalents</t>
  </si>
  <si>
    <t>Total Crown cash and cash equivalents</t>
  </si>
  <si>
    <t>NZSF receivables</t>
  </si>
  <si>
    <t>Other core Crown receivables</t>
  </si>
  <si>
    <t>Core Crown receivables</t>
  </si>
  <si>
    <t>Total Crown receivables</t>
  </si>
  <si>
    <t>New Zealand Superannuation Fund (NZSF) borrowings</t>
  </si>
  <si>
    <t>Core Crown financial assets (excluding receivables)</t>
  </si>
  <si>
    <t>Core Crown unsettled sales of securities</t>
  </si>
  <si>
    <t>Outturn &amp; Forecast only</t>
  </si>
  <si>
    <t>Statement of Cash Flows</t>
  </si>
  <si>
    <t>NZSF marketable securities, deposits and derivatives in gain</t>
  </si>
  <si>
    <t>Other core Crown marketable securities, deposits and derivatives in gain</t>
  </si>
  <si>
    <t>Core Crown marketable securities, deposits and derivatives in gain</t>
  </si>
  <si>
    <t>Total Crown marketable securities, deposits and derivatives in gain</t>
  </si>
  <si>
    <t>NZSF share investments</t>
  </si>
  <si>
    <t>Other core Crown share investments</t>
  </si>
  <si>
    <t>Core Crown share investments</t>
  </si>
  <si>
    <t>Total Crown share investments</t>
  </si>
  <si>
    <t>Other core Crown advances</t>
  </si>
  <si>
    <t>Core Crown advances</t>
  </si>
  <si>
    <t>Kiwibank mortgages (Crown entity)</t>
  </si>
  <si>
    <t>Other non-core Crown advances, mainly inter-segment eliminations</t>
  </si>
  <si>
    <t>Total Crown advances</t>
  </si>
  <si>
    <t>Core Crown inventory (approximated)</t>
  </si>
  <si>
    <t>Total Crown inventory</t>
  </si>
  <si>
    <t xml:space="preserve">Other </t>
  </si>
  <si>
    <t>Property, plant and equipment</t>
  </si>
  <si>
    <t>Core Crown property, plant and equipment</t>
  </si>
  <si>
    <t>Total Crown property, plant and equipment</t>
  </si>
  <si>
    <t>Core Crown equity accounted investments</t>
  </si>
  <si>
    <t>Total Crown equity accounted investments</t>
  </si>
  <si>
    <t>State-owned enterprises (SOEs) (includes any historical or forecast inter-segment elims)</t>
  </si>
  <si>
    <t>Total Crown intangible assets and goodwill</t>
  </si>
  <si>
    <t>Core Crown (there are no Crown entities or SOEs issued currency liabilities)</t>
  </si>
  <si>
    <t>NZSF payables</t>
  </si>
  <si>
    <t>Other core Crown payables</t>
  </si>
  <si>
    <t>Core Crown payables</t>
  </si>
  <si>
    <t>Total Crown payables</t>
  </si>
  <si>
    <t>Core Crown deferred revenue</t>
  </si>
  <si>
    <t>Total Crown deferred revenue</t>
  </si>
  <si>
    <t>New Zealand Emissions Trading Scheme (ETS)</t>
  </si>
  <si>
    <t>Core Crown Emissions Trading Scheme</t>
  </si>
  <si>
    <t>Total Crown Emissions Trading Scheme</t>
  </si>
  <si>
    <t>Core Crown insurance liabilities</t>
  </si>
  <si>
    <t>Accident Compensation Corporation (ACC), a Crown entity</t>
  </si>
  <si>
    <t>Other non-core Crown insurance liabilities, including inter-segment eliminations</t>
  </si>
  <si>
    <t>Total Crown insurance liabilities</t>
  </si>
  <si>
    <t>Core Crown transfer payments and subsidies</t>
  </si>
  <si>
    <t>Core Crown personnel expenses</t>
  </si>
  <si>
    <t>Core Crown depreciation expenses</t>
  </si>
  <si>
    <t>Core Crown other operating expenses</t>
  </si>
  <si>
    <t>Core Crown interest expenses</t>
  </si>
  <si>
    <t>Total Crown interest expenses</t>
  </si>
  <si>
    <t>Total Crown insurance expenses</t>
  </si>
  <si>
    <t>Core Crown health expenses</t>
  </si>
  <si>
    <t>Core Crown transport and communications expenses</t>
  </si>
  <si>
    <t>Core Crown intangible assets and goodwill</t>
  </si>
  <si>
    <t>Investments in controlled enterprises (there are no Crown entities or SOEs ICEs)</t>
  </si>
  <si>
    <t>Retirement plan liabilities (dominated by Government Superannuation Fund, or GSF)</t>
  </si>
  <si>
    <t>Core Crown retirement plan liabilities</t>
  </si>
  <si>
    <t>Non-core Crown retirement plan liabilities</t>
  </si>
  <si>
    <t>Total Crown retirement plan liabilities</t>
  </si>
  <si>
    <t>NZSF Provisions</t>
  </si>
  <si>
    <t>Other core Crown Provisions</t>
  </si>
  <si>
    <t>Core Crown Provisions</t>
  </si>
  <si>
    <t>Total Crown Provisions</t>
  </si>
  <si>
    <t>Core Crown residual cash (excludes New Zealand Superannuation Fund)</t>
  </si>
  <si>
    <t>Net core Crown operating cash flows</t>
  </si>
  <si>
    <t>Net core Crown capital cash flows</t>
  </si>
  <si>
    <t>Residual cash surplus/(deficit)</t>
  </si>
  <si>
    <r>
      <t xml:space="preserve">CHECK: RC = Negative of annual </t>
    </r>
    <r>
      <rPr>
        <b/>
        <sz val="11"/>
        <color theme="1"/>
        <rFont val="Calibri"/>
        <family val="2"/>
      </rPr>
      <t xml:space="preserve">Δ </t>
    </r>
    <r>
      <rPr>
        <b/>
        <sz val="11"/>
        <color theme="1"/>
        <rFont val="Arial"/>
        <family val="2"/>
      </rPr>
      <t>core Crown net debt &amp; currency issued</t>
    </r>
  </si>
  <si>
    <t>Total investing cash flows</t>
  </si>
  <si>
    <t>CHECK: Residual cash s/(d) = Negative of sum of borrowing + investing cash flows</t>
  </si>
  <si>
    <t>Personnel and operating costs</t>
  </si>
  <si>
    <t>Net purchase/(sale) of physical assets</t>
  </si>
  <si>
    <t>Net issue/(repayment) of advances</t>
  </si>
  <si>
    <t>Net purchase/(sale) of investments</t>
  </si>
  <si>
    <t>Capital contribution/(withdrawal) to the NZS Fund</t>
  </si>
  <si>
    <t>Net purchase/(sale) of marketable securities and deposits (MSDs) and shares</t>
  </si>
  <si>
    <t>Statement of Financial Position</t>
  </si>
  <si>
    <t>Total Crown assets</t>
  </si>
  <si>
    <t>Total Crown liabilities</t>
  </si>
  <si>
    <t>Net worth attributable to minority interests</t>
  </si>
  <si>
    <r>
      <t xml:space="preserve">CHECK: Total Crown net worth in </t>
    </r>
    <r>
      <rPr>
        <b/>
        <i/>
        <sz val="11"/>
        <rFont val="Arial"/>
        <family val="2"/>
      </rPr>
      <t>Fiscal Forecasts</t>
    </r>
    <r>
      <rPr>
        <b/>
        <sz val="11"/>
        <rFont val="Arial"/>
        <family val="2"/>
      </rPr>
      <t xml:space="preserve"> worksheet = Calculated value</t>
    </r>
  </si>
  <si>
    <t>Net cash flow from operations (add back NZS Fund variables, subtract NZS Fund tax)</t>
  </si>
  <si>
    <t>Net cash flow from investing (capital cash + cash from MSDs &amp; shares &amp; NZS Fund cash)</t>
  </si>
  <si>
    <t>Net issue/(repayment) of borrowings = Ann. change in cash - Sum of components above</t>
  </si>
  <si>
    <t>Net movement in core Crown cash and cash equivalents</t>
  </si>
  <si>
    <t>Reconciliation between net cash flows from operations and operating balance</t>
  </si>
  <si>
    <t>Net cash flow from operations</t>
  </si>
  <si>
    <t>Total other non-cash items</t>
  </si>
  <si>
    <t>Operating Balance</t>
  </si>
  <si>
    <t>Core Crown Statement of Cash Flows (constructed from Residual Cash note)</t>
  </si>
  <si>
    <t>Projected Years only</t>
  </si>
  <si>
    <t>CHECK: Annual change in Total Crown net worth = Oper. Bal. (incl minority interests)</t>
  </si>
  <si>
    <t>Depreciation and amortisation</t>
  </si>
  <si>
    <t>Cost of concessionary lending and impairment on financial assets (excluding receivables)</t>
  </si>
  <si>
    <t>Increase/(decrease) in insurance liabilities</t>
  </si>
  <si>
    <t>Increase/(decrease) in deferred revenue</t>
  </si>
  <si>
    <t>Increase/(decrease) in payables/provisions</t>
  </si>
  <si>
    <t>Increase/(decrease) in defined benefit retirement plan liabilities</t>
  </si>
  <si>
    <t>CHECK: Core Crown Oper Bal = Net cash oper +Gains +Non-cash +Mvmts wk cap</t>
  </si>
  <si>
    <r>
      <t xml:space="preserve">CHECK: Core Crown net worth in </t>
    </r>
    <r>
      <rPr>
        <b/>
        <i/>
        <sz val="11"/>
        <rFont val="Arial"/>
        <family val="2"/>
      </rPr>
      <t>Fiscal Forecasts</t>
    </r>
    <r>
      <rPr>
        <b/>
        <sz val="11"/>
        <rFont val="Arial"/>
        <family val="2"/>
      </rPr>
      <t xml:space="preserve"> worksheet = Calculated value</t>
    </r>
  </si>
  <si>
    <t>CHECK: Annual change in core Crown net worth = Operating balance</t>
  </si>
  <si>
    <t>Total cash disbursed to operations</t>
  </si>
  <si>
    <t>Net cash flow from investing</t>
  </si>
  <si>
    <t>Net issue/(repayment) of borrowings</t>
  </si>
  <si>
    <t>Net cash flow from financing</t>
  </si>
  <si>
    <t>Total gains/(losses) &amp; Net surplus/(deficit) from assoc less MI share of op balance</t>
  </si>
  <si>
    <t>CHECK: Op Bal (ex MI) = Net cash op+Gains&amp;NS-MI share +Non-cash+Mvmt WC</t>
  </si>
  <si>
    <t>Net purchase/(sale) of shares and other securities</t>
  </si>
  <si>
    <t>Net purchase/(sale) of intangible assets</t>
  </si>
  <si>
    <t>Net issues/(repayment) of advances</t>
  </si>
  <si>
    <t>Net acquisition/(divestment) of investments in associates</t>
  </si>
  <si>
    <t>Dividends paid to/(received from) minority interests</t>
  </si>
  <si>
    <t xml:space="preserve"> Increase/(decrease) in deferred revenue</t>
  </si>
  <si>
    <t xml:space="preserve"> Increase/(decrease) in payables/provisions</t>
  </si>
  <si>
    <t>Kiwi Group Capital Ltd borrowings</t>
  </si>
  <si>
    <t>Impairment on financial assets (excluding receivables)</t>
  </si>
  <si>
    <t>Current forecast horizon</t>
  </si>
  <si>
    <t>The Financial Statements of the Government of New Zealand are now prepared under the Public Sector Public Benefit Entities (PBE) accounting standard.</t>
  </si>
  <si>
    <t>However prior to the fiscal year (year ended 30 June) 2014/15  these accounts were prepared using an International Financial Reporting Standards (IFRS) standard.</t>
  </si>
  <si>
    <t>Further changes to the measurement and reporting of fiscal data in the New Zealand government accounts occurred in 2019/20.</t>
  </si>
  <si>
    <t>As all fiscal data has not been backdated to the PBE standard only the main fiscal indicators reported in the drop-down box at the top of the main modelling worksheet are given in this worksheet.</t>
  </si>
  <si>
    <t>The nominal GDP divisor used in the main modelling worksheet has also been provided in this worksheet for these historical years.</t>
  </si>
  <si>
    <t>NOMINAL GDP (expenditure measure)</t>
  </si>
  <si>
    <t>MAIN FISCAL INDICATOR  ACTUAL OUTTURNS ($ billions)</t>
  </si>
  <si>
    <t>As percentage of nominal GDP</t>
  </si>
  <si>
    <t>Net debt (excluding NZS Fund)</t>
  </si>
  <si>
    <t>Net core Crown debt (excl. NZS Fund financial assets &amp; advances)</t>
  </si>
  <si>
    <t>CORE CROWN EXPENSES ($ billions)</t>
  </si>
  <si>
    <t>Total core Crown expenses</t>
  </si>
  <si>
    <r>
      <t>less Fi</t>
    </r>
    <r>
      <rPr>
        <sz val="11"/>
        <color indexed="8"/>
        <rFont val="Arial"/>
        <family val="2"/>
      </rPr>
      <t>nal-year fee iree paymenls</t>
    </r>
  </si>
  <si>
    <t>ACTUAL FISCAL OUTTURNS FROM 2009/10 UNTIL 2023/24</t>
  </si>
  <si>
    <t>Amortisation and net impairment of non-financial assets</t>
  </si>
  <si>
    <t>Total Crown Amortisation</t>
  </si>
  <si>
    <t>Forecast new capital spending for second forecast year</t>
  </si>
  <si>
    <t>Forecast new capital spending for third forecast year</t>
  </si>
  <si>
    <t>Forecast new capital spending for fourth forecast year</t>
  </si>
  <si>
    <t>Forecast new capital spending for fifth forecast year</t>
  </si>
  <si>
    <t>Less Final-year fees free payment</t>
  </si>
  <si>
    <t>less Non-tax expenses</t>
  </si>
  <si>
    <t>ACC revenue</t>
  </si>
  <si>
    <t>ACC expenses</t>
  </si>
  <si>
    <t>Total Crown OBEGAL excluding the ACC</t>
  </si>
  <si>
    <t>CHECK: OBEGAL excl. ACC = OBEGAL - (ACC revenue - ACC expenses)</t>
  </si>
  <si>
    <t>Total Crown OBEGAL excluding ACC</t>
  </si>
  <si>
    <t>Final-year fees free payment</t>
  </si>
  <si>
    <t>Fiscal drag modelling can be applied to source deductions and other personal income tax types. For the number of years that it is selected to apply, these taxes have their</t>
  </si>
  <si>
    <t>nominal wage growth driver multiplied by the fiscal drag elasticity. In later years the fiscal drag elasticity will just be 1, meaning fiscal drag is effectively not applied then.</t>
  </si>
  <si>
    <t>Corporate taxes, consolidated GDT and hypothecated transport taxes transition to stable percentages of GDP based on their average percentages over</t>
  </si>
  <si>
    <t>the five forecast years and last five outturn years. The transition rate for these tax types can also be selected.</t>
  </si>
  <si>
    <t>In years where fiscal drag modelling is applied to net average ordinary time weekly earnings (AOTWE) that index NZS rates it slows its growth relative to that of gross AOTWE.</t>
  </si>
  <si>
    <t>Number of projected years to apply fiscal drag elasticity greater than 1.</t>
  </si>
  <si>
    <t>Number of projected years to apply fiscal drag modelling in calculating net AOTWE used in NZS rate indexation</t>
  </si>
  <si>
    <t>ALLOCATION OF OPERATING AND CAPITAL ALLOWANCES OVER FORECAST YEARS</t>
  </si>
  <si>
    <t>Total unallocated new operating spending</t>
  </si>
  <si>
    <t>Allocation</t>
  </si>
  <si>
    <t>CORE CROWN EXPENSE CATEGORY</t>
  </si>
  <si>
    <t>Percentage</t>
  </si>
  <si>
    <t>Social security and welfare departmental and non-departmental</t>
  </si>
  <si>
    <t>Core Crown Education Expenditure Sub-groups</t>
  </si>
  <si>
    <t>Early childhood education</t>
  </si>
  <si>
    <t>Primary education</t>
  </si>
  <si>
    <t>Secondary education</t>
  </si>
  <si>
    <t>Tertiary funding excluding student allowances and student loans</t>
  </si>
  <si>
    <t>Departmental &amp; non-departmental expenses</t>
  </si>
  <si>
    <t>Total core Crown Education expenditure allocation</t>
  </si>
  <si>
    <t>Yes</t>
  </si>
  <si>
    <t>Multi-year health funding</t>
  </si>
  <si>
    <t>Student Allowances</t>
  </si>
  <si>
    <t>Student Loans write-downs</t>
  </si>
  <si>
    <t>Departmental &amp; non-departmental expenses (includes temporary covid spending)</t>
  </si>
  <si>
    <t>CHECK: Total = Core Crown education</t>
  </si>
  <si>
    <t>Transition rate from end-of-forecast to stable percentage of GDP for bottom-up expense types (percentage points per year)</t>
  </si>
  <si>
    <t>EDUCATION AGE AND GENDER DISTRIBUTION</t>
  </si>
  <si>
    <t>Early Childhood Education</t>
  </si>
  <si>
    <t>Under 1 year</t>
  </si>
  <si>
    <t>1 year to 2 years</t>
  </si>
  <si>
    <t>2 years to 3 years</t>
  </si>
  <si>
    <t>3 years to 4 years</t>
  </si>
  <si>
    <t>4 years to 5 years</t>
  </si>
  <si>
    <t>5 years to 6 years</t>
  </si>
  <si>
    <t>Primary school education</t>
  </si>
  <si>
    <t>Secondary school education</t>
  </si>
  <si>
    <t>Departmental and non-departmental education expenses</t>
  </si>
  <si>
    <t>Tertiary education excluding student allowances and loans</t>
  </si>
  <si>
    <t>Female aged under 1 year</t>
  </si>
  <si>
    <t>Female aged 1 year</t>
  </si>
  <si>
    <t>Female aged 2 years</t>
  </si>
  <si>
    <t>Female aged 3 years</t>
  </si>
  <si>
    <t>Female aged 4 years</t>
  </si>
  <si>
    <t>Female aged 5 years</t>
  </si>
  <si>
    <t>Female aged 6 years</t>
  </si>
  <si>
    <t>Female aged 7 years</t>
  </si>
  <si>
    <t>Female aged 8 years</t>
  </si>
  <si>
    <t>Female aged 9 years</t>
  </si>
  <si>
    <t>Female aged 10 years</t>
  </si>
  <si>
    <t>Female aged 11 years</t>
  </si>
  <si>
    <t>Female aged 12 years</t>
  </si>
  <si>
    <t>Female aged 13 years</t>
  </si>
  <si>
    <t>Female aged 14 years</t>
  </si>
  <si>
    <t>Female aged 15 years</t>
  </si>
  <si>
    <t>Female aged 16 years</t>
  </si>
  <si>
    <t>Female aged 17 years</t>
  </si>
  <si>
    <t>Female aged 18 years</t>
  </si>
  <si>
    <t>Female aged 19 years</t>
  </si>
  <si>
    <t>Male aged under 1 year</t>
  </si>
  <si>
    <t>Male aged 1 year</t>
  </si>
  <si>
    <t>Male aged 2 years</t>
  </si>
  <si>
    <t>Male aged 3 years</t>
  </si>
  <si>
    <t>Male aged 4 years</t>
  </si>
  <si>
    <t>Male aged 5 years</t>
  </si>
  <si>
    <t>Male aged 6 years</t>
  </si>
  <si>
    <t>Male aged 7 years</t>
  </si>
  <si>
    <t>Male aged 8 years</t>
  </si>
  <si>
    <t>Male aged 9 years</t>
  </si>
  <si>
    <t>Male aged 10 years</t>
  </si>
  <si>
    <t>Male aged 11 years</t>
  </si>
  <si>
    <t>Male aged 12 years</t>
  </si>
  <si>
    <t>Male aged 13 years</t>
  </si>
  <si>
    <t>Male aged 14 years</t>
  </si>
  <si>
    <t>Male aged 15 years</t>
  </si>
  <si>
    <t>Male aged 16 years</t>
  </si>
  <si>
    <t>Male aged 17 years</t>
  </si>
  <si>
    <t>Male aged 18 years</t>
  </si>
  <si>
    <t>Male aged 19 years</t>
  </si>
  <si>
    <t>Primary School Education</t>
  </si>
  <si>
    <t>Aged 5 years</t>
  </si>
  <si>
    <t>Aged 6 years</t>
  </si>
  <si>
    <t>Aged 7 years</t>
  </si>
  <si>
    <t>Aged 8 years</t>
  </si>
  <si>
    <t>Aged 9 years</t>
  </si>
  <si>
    <t>Aged 10 years</t>
  </si>
  <si>
    <t>Aged 11 years</t>
  </si>
  <si>
    <t>Aged 12 years</t>
  </si>
  <si>
    <t>Aged 13 years</t>
  </si>
  <si>
    <t>Aged 14 years</t>
  </si>
  <si>
    <t>Aged 15 years</t>
  </si>
  <si>
    <t>Aged 16 years</t>
  </si>
  <si>
    <t>Aged 17 years</t>
  </si>
  <si>
    <t>Aged 18 years</t>
  </si>
  <si>
    <t>Aged 19 years</t>
  </si>
  <si>
    <t>Secondary School Education</t>
  </si>
  <si>
    <t>Tertiary Education</t>
  </si>
  <si>
    <t>Aged 18 to 19 years</t>
  </si>
  <si>
    <t>Aged 20 to 24 years</t>
  </si>
  <si>
    <t>Aged 25 to 39 years</t>
  </si>
  <si>
    <t>Aged 40 to 54 years</t>
  </si>
  <si>
    <t>Female aged 18 to 19 years</t>
  </si>
  <si>
    <t>Female aged 25 to 39 years</t>
  </si>
  <si>
    <t>Female aged 40 to 54 years</t>
  </si>
  <si>
    <t>Male aged 18 to 19 years</t>
  </si>
  <si>
    <t>Male aged 25 to 39 years</t>
  </si>
  <si>
    <t>Male aged 40 to 54 years</t>
  </si>
  <si>
    <t>HEALTH AGE AND GENDER DISTRIBUTION</t>
  </si>
  <si>
    <t xml:space="preserve">HEALTH EXPENDITURE COST SHARES </t>
  </si>
  <si>
    <t>PERSONAL HEALTH CARE</t>
  </si>
  <si>
    <t>HEALTH OF OLDER PEOPLE</t>
  </si>
  <si>
    <t>(2019 UPDATE OF MINISTRY OF HEALTH COST WEIGHTS)</t>
  </si>
  <si>
    <t>PRIMARY</t>
  </si>
  <si>
    <t>HOSPITAL, COMMUNITY SERVICES</t>
  </si>
  <si>
    <t>MENTAL HEALTH</t>
  </si>
  <si>
    <t>AGED RESIDENTIAL CARE</t>
  </si>
  <si>
    <t>OTHER</t>
  </si>
  <si>
    <r>
      <t xml:space="preserve">SHARE OF TOTAL HEALTH COSTS </t>
    </r>
    <r>
      <rPr>
        <b/>
        <sz val="10"/>
        <color theme="1"/>
        <rFont val="Calibri"/>
        <family val="2"/>
      </rPr>
      <t>→</t>
    </r>
  </si>
  <si>
    <r>
      <t xml:space="preserve">SHARE BY AGE </t>
    </r>
    <r>
      <rPr>
        <b/>
        <sz val="10"/>
        <color theme="1"/>
        <rFont val="Calibri"/>
        <family val="2"/>
      </rPr>
      <t>↓</t>
    </r>
  </si>
  <si>
    <t>Aged 0 to 4 years</t>
  </si>
  <si>
    <t>Aged 5 to 9 years</t>
  </si>
  <si>
    <t>Aged 10 to 14 years</t>
  </si>
  <si>
    <t>Aged 15 to 19 years</t>
  </si>
  <si>
    <t>Aged 25 to 29 years</t>
  </si>
  <si>
    <t>Aged 30 to 34 years</t>
  </si>
  <si>
    <t>Aged 35 to 39 years</t>
  </si>
  <si>
    <t>Aged 40 to 44 years</t>
  </si>
  <si>
    <t>Aged 45 to 49 years</t>
  </si>
  <si>
    <t>Aged 50 to 54 years</t>
  </si>
  <si>
    <t>Aged 55 to 59 years</t>
  </si>
  <si>
    <t>Aged 60 to 64 years</t>
  </si>
  <si>
    <t>Aged 65 to 69 years</t>
  </si>
  <si>
    <t>Aged 70 to 74 years</t>
  </si>
  <si>
    <t>Aged 75 to 79 years</t>
  </si>
  <si>
    <t>Aged 80 to 84 years</t>
  </si>
  <si>
    <t>Aged 90 years and above</t>
  </si>
  <si>
    <t>Personal Health Care - Primary</t>
  </si>
  <si>
    <t>Personal Health Care - Hospital, Community Services</t>
  </si>
  <si>
    <t>Mental Health</t>
  </si>
  <si>
    <t>Health of Older People - Aged Resiudential Care</t>
  </si>
  <si>
    <t>Health of Older People - Other</t>
  </si>
  <si>
    <t>Female aged 0 to 4 years</t>
  </si>
  <si>
    <t>Female aged 5 to 9 years</t>
  </si>
  <si>
    <t>Female aged 10 to 14 years</t>
  </si>
  <si>
    <t>Female aged 15 to 19 years</t>
  </si>
  <si>
    <t>Female aged 65 to 69 years</t>
  </si>
  <si>
    <t>Female aged 70 to 74 years</t>
  </si>
  <si>
    <t>Female aged 75 to 79 years</t>
  </si>
  <si>
    <t>Female aged 80 to 84 years</t>
  </si>
  <si>
    <t>Male aged 0 to 4 years</t>
  </si>
  <si>
    <t>Male aged 5 to 9 years</t>
  </si>
  <si>
    <t>Male aged 10 to 14 years</t>
  </si>
  <si>
    <t>Male aged 15 to 19 years</t>
  </si>
  <si>
    <t>Male aged 65 to 69 years</t>
  </si>
  <si>
    <t>Male aged 70 to 74 years</t>
  </si>
  <si>
    <t>Male aged 75 to 79 years</t>
  </si>
  <si>
    <t>Male aged 80 to 84 years</t>
  </si>
  <si>
    <t>Female life expectancy at birth</t>
  </si>
  <si>
    <t>Female life expectancy at age 65</t>
  </si>
  <si>
    <t>Male life expectancy at birth</t>
  </si>
  <si>
    <t>Male life expectancy at age 65</t>
  </si>
  <si>
    <t>Budget Economic and Fiscal Update (BEFU) 2025 forecast</t>
  </si>
  <si>
    <t>BEFU 2025 forecast from 2024/25 onwards</t>
  </si>
  <si>
    <t>Budget Economic and Fiscal Update (BEFU) 2025 data and forecasts</t>
  </si>
  <si>
    <t>BEFU 2025 version</t>
  </si>
  <si>
    <t>Asset/liability track, 2025 update</t>
  </si>
  <si>
    <t>Projection produced by the MoE</t>
  </si>
  <si>
    <t>Bottom-up modelling of health and</t>
  </si>
  <si>
    <t>education expenditure uses demographic</t>
  </si>
  <si>
    <t>distributions particular to these areas.</t>
  </si>
  <si>
    <t>This worksheet cakculates the division of</t>
  </si>
  <si>
    <t>forecast year operating allowances and</t>
  </si>
  <si>
    <t>top-down expense adjustments into</t>
  </si>
  <si>
    <t>eleven different expense categories and</t>
  </si>
  <si>
    <t>five sub-categories of education expense.</t>
  </si>
  <si>
    <t>The percentages used in this worksheet</t>
  </si>
  <si>
    <t>should not be taken as definitive of</t>
  </si>
  <si>
    <t>future funding allocations. They are simply</t>
  </si>
  <si>
    <t>based on averages of growth in the past for</t>
  </si>
  <si>
    <t>and the top-down expense adjustments to</t>
  </si>
  <si>
    <t>Explanation of the worksheets in the 2025 Long-Term Fiscal Model (LTFM) and how they link to one another</t>
  </si>
  <si>
    <t>Labour Force projections</t>
  </si>
  <si>
    <t>2039/40</t>
  </si>
  <si>
    <t>2049/50</t>
  </si>
  <si>
    <t>2040/41</t>
  </si>
  <si>
    <t>2041/42</t>
  </si>
  <si>
    <t>2042/43</t>
  </si>
  <si>
    <t>2043/44</t>
  </si>
  <si>
    <t>2044/45</t>
  </si>
  <si>
    <t>2045/46</t>
  </si>
  <si>
    <t>2046/47</t>
  </si>
  <si>
    <t>2047/48</t>
  </si>
  <si>
    <t>2048/49</t>
  </si>
  <si>
    <t>2050/51</t>
  </si>
  <si>
    <t>2051/52</t>
  </si>
  <si>
    <t>2052/53</t>
  </si>
  <si>
    <t>2053/54</t>
  </si>
  <si>
    <t>2054/55</t>
  </si>
  <si>
    <t>2055/56</t>
  </si>
  <si>
    <t>2056/57</t>
  </si>
  <si>
    <t>2057/58</t>
  </si>
  <si>
    <t>2058/59</t>
  </si>
  <si>
    <t>2059/60</t>
  </si>
  <si>
    <t>2060/61</t>
  </si>
  <si>
    <t>2061/62</t>
  </si>
  <si>
    <t>2062/63</t>
  </si>
  <si>
    <t>2063/64</t>
  </si>
  <si>
    <t>2064/65</t>
  </si>
  <si>
    <t>National population projections: 2024 (base) - 2078 50th percentile projection</t>
  </si>
  <si>
    <t>National labour force projections: 2024 (base) - 2078 50th percentile projection</t>
  </si>
  <si>
    <t>Welfare</t>
  </si>
  <si>
    <t>All aged 65 years &amp; above</t>
  </si>
  <si>
    <t>Female aged 85 years &amp; above</t>
  </si>
  <si>
    <t>Male aged 85 years &amp; above</t>
  </si>
  <si>
    <t>All aged 18 years to 40 years</t>
  </si>
  <si>
    <t>Aged 85 years and above</t>
  </si>
  <si>
    <t>Forecast new operating spending (excludes multi-year health funding)</t>
  </si>
  <si>
    <t>New operating spending (includes health package, excludes top-down adjustment)</t>
  </si>
  <si>
    <t>Health (no top-down adjustment)</t>
  </si>
  <si>
    <t>Education (no top-down adjustment)</t>
  </si>
  <si>
    <t>Law and order (no top-down adjustment)</t>
  </si>
  <si>
    <t>Defence (no top-down adjustment)</t>
  </si>
  <si>
    <t>Forecast new capital spending (cumulative as asset type)</t>
  </si>
  <si>
    <t>Top-down capital expense adjustment (cumulative as asset type)</t>
  </si>
  <si>
    <t>Total unallocated new capital spending</t>
  </si>
  <si>
    <t>CORE CROWN ASSET CATEGORY</t>
  </si>
  <si>
    <t>Intangible assets</t>
  </si>
  <si>
    <t>Shares of annual change</t>
  </si>
  <si>
    <t>Total core Crown asset allocation of new capital spending &amp; top-down adjustment</t>
  </si>
  <si>
    <t>Total core Crown expense allocation of new operating spending &amp; top-down adjustment</t>
  </si>
  <si>
    <t>Total core Crown asset allocation of annual change</t>
  </si>
  <si>
    <t>Forecast new capital spending (annual change)</t>
  </si>
  <si>
    <t>Top-down capital expense adjustment (annual change)</t>
  </si>
  <si>
    <t>Total unallocated annual change in new capital spending and top-down adjustment</t>
  </si>
  <si>
    <t>LTFM</t>
  </si>
  <si>
    <t>This worksheet is where the economic and fiscal modelling assumptions are entered. They are used in the main modelling worksheets of the Long-Term Fiscal Model.</t>
  </si>
  <si>
    <t>Any year variable used in this worksheet should be a number variable but will refer to a June-end year e.g. enter the number 2030 for the year ended 30 June 2030 or fiscal year 2029/30.</t>
  </si>
  <si>
    <t>Number of years into projections after which wage indexation of non-NZS benefits begins</t>
  </si>
  <si>
    <t>Use a 2 percentage point of GDP stable level for Defence operating spending in projected yearsa</t>
  </si>
  <si>
    <t>Number of years used to calculate average for stable percentage of GDP for each bottom-up expense and asset type</t>
  </si>
  <si>
    <t>Education rexpenditure esidual growth factor</t>
  </si>
  <si>
    <t>Health expenditure residual growth factor</t>
  </si>
  <si>
    <t>Transition rate from end-of-forecast to stable percentage of GDP for bottom-up asset types (percentage points per year)</t>
  </si>
  <si>
    <t>Number of years used to calculate average for stable percentage of GDP for bottom-up advances asset</t>
  </si>
  <si>
    <t>Crown entities property, plant and equipment</t>
  </si>
  <si>
    <t>State-owned enterprises (SOEs) property, plant and equipment</t>
  </si>
  <si>
    <t>Crown entities and State-owned enterprises (SOEs) (Includes inter-segment elimination)</t>
  </si>
  <si>
    <t>Core Crown amortisation and impairment of intangible assets</t>
  </si>
  <si>
    <t>Crown entities and SOEs amortisation and impairment of intangible assets</t>
  </si>
  <si>
    <t>Number of years used to calculate average for stable percentage of PP&amp;E assets for each depreciation type</t>
  </si>
  <si>
    <t>fundamental outputs of the LTFM, such as</t>
  </si>
  <si>
    <t>LONG-TERM FISCAL MODEL (LTFM) - 2025 VERSION</t>
  </si>
  <si>
    <t>Unless otherwise stated, all post-forecast projections are produced by the LTFM model</t>
  </si>
  <si>
    <t>This version of the LTFM uses:</t>
  </si>
  <si>
    <t>Uses National Population Projections, produced in 2025</t>
  </si>
  <si>
    <t>Uses National Labour Force Projections, produced in 2025</t>
  </si>
  <si>
    <t>2025 update</t>
  </si>
  <si>
    <t>Education age &amp;</t>
  </si>
  <si>
    <t>Based on data from Minstry of Education</t>
  </si>
  <si>
    <r>
      <rPr>
        <i/>
        <sz val="11"/>
        <color theme="1"/>
        <rFont val="Calibri"/>
        <family val="2"/>
        <scheme val="minor"/>
      </rPr>
      <t>Education Counts</t>
    </r>
    <r>
      <rPr>
        <sz val="11"/>
        <color theme="1"/>
        <rFont val="Calibri"/>
        <family val="2"/>
        <scheme val="minor"/>
      </rPr>
      <t xml:space="preserve"> website</t>
    </r>
  </si>
  <si>
    <t>Health age &amp;</t>
  </si>
  <si>
    <t>Based on data provided by</t>
  </si>
  <si>
    <t>the Ministry of Health</t>
  </si>
  <si>
    <t>2025 updated track provided by the Ministry of Education</t>
  </si>
  <si>
    <t>2025 Long-Term Fiscal Model (LTFM) bottom-up projection from 2029/30 onwards</t>
  </si>
  <si>
    <t>Historical and forecast data in this worksheet are produced by the Treasury. They are used in the main modelling worksheets of the Long-Term Fiscal Model.</t>
  </si>
  <si>
    <t>The projections and/or data in this worksheet are either produced by other Treasury models or obtained from other public sector agencies. They are used in the main modelling worksheets of the Long-Term Fiscal Model.</t>
  </si>
  <si>
    <t>This model only contains one, which</t>
  </si>
  <si>
    <t>is labelled  Long-Term Fiscal Model.</t>
  </si>
  <si>
    <t>Other worksheets can be copied from this</t>
  </si>
  <si>
    <t>individual expense categories. It is also</t>
  </si>
  <si>
    <t>In the main modelling worksheets this is</t>
  </si>
  <si>
    <t>used to allocate the operating allowances</t>
  </si>
  <si>
    <t>used to allocate the capital allowances</t>
  </si>
  <si>
    <t>and the top-down capital expense</t>
  </si>
  <si>
    <t>adjustments to individual asset categories.</t>
  </si>
  <si>
    <t>It also calculates the division of forecast</t>
  </si>
  <si>
    <t>forecast year capital allowances and</t>
  </si>
  <si>
    <t>top-down capital expense adjustments into</t>
  </si>
  <si>
    <t>four different asset categories.</t>
  </si>
  <si>
    <t>these expense and asset types that are</t>
  </si>
  <si>
    <t>from the operating and capital allowances.</t>
  </si>
  <si>
    <t>expected to have their future funding come</t>
  </si>
  <si>
    <t>The standard for this</t>
  </si>
  <si>
    <t>model is labelled</t>
  </si>
  <si>
    <t>Model.</t>
  </si>
  <si>
    <t>Long-Term Fiscal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</si>
</sst>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
    <numFmt numFmtId="166" formatCode="0.000"/>
    <numFmt numFmtId="167" formatCode="0.0"/>
    <numFmt numFmtId="168" formatCode="&quot;$&quot;#,##0.00"/>
    <numFmt numFmtId="169" formatCode="&quot;$&quot;#,##0"/>
    <numFmt numFmtId="170" formatCode="#,##0.0"/>
    <numFmt numFmtId="171" formatCode="0.00000"/>
  </numFmts>
  <fonts count="4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sz val="10"/>
      <color theme="1"/>
      <name val="Arial"/>
      <family val="2"/>
    </font>
    <font>
      <i/>
      <sz val="10"/>
      <color theme="1"/>
      <name val="Arial"/>
      <family val="2"/>
    </font>
    <font>
      <u/>
      <sz val="11"/>
      <color theme="10"/>
      <name val="Calibri"/>
      <family val="2"/>
      <scheme val="minor"/>
    </font>
    <font>
      <u/>
      <sz val="11"/>
      <color theme="10"/>
      <name val="Calibri"/>
      <family val="2"/>
    </font>
    <font>
      <b/>
      <sz val="11"/>
      <color theme="1"/>
      <name val="Arial"/>
      <family val="2"/>
    </font>
    <font>
      <i/>
      <sz val="11"/>
      <color theme="1"/>
      <name val="Arial"/>
      <family val="2"/>
    </font>
    <font>
      <sz val="11"/>
      <color theme="1"/>
      <name val="Arial"/>
      <family val="2"/>
    </font>
    <font>
      <b/>
      <sz val="11"/>
      <color indexed="8"/>
      <name val="Calibri"/>
      <family val="2"/>
    </font>
    <font>
      <b/>
      <sz val="11"/>
      <color indexed="8"/>
      <name val="Arial"/>
      <family val="2"/>
    </font>
    <font>
      <b/>
      <i/>
      <sz val="11"/>
      <color theme="1"/>
      <name val="Arial"/>
      <family val="2"/>
    </font>
    <font>
      <b/>
      <sz val="11"/>
      <color rgb="FFFF0000"/>
      <name val="Arial"/>
      <family val="2"/>
    </font>
    <font>
      <sz val="8"/>
      <name val="Arial"/>
      <family val="2"/>
    </font>
    <font>
      <sz val="11"/>
      <color rgb="FFFF0000"/>
      <name val="Arial"/>
      <family val="2"/>
    </font>
    <font>
      <sz val="11"/>
      <color rgb="FF0000FF"/>
      <name val="Calibri"/>
      <family val="2"/>
      <scheme val="minor"/>
    </font>
    <font>
      <sz val="11"/>
      <color indexed="8"/>
      <name val="Arial"/>
      <family val="2"/>
    </font>
    <font>
      <b/>
      <i/>
      <sz val="11"/>
      <color indexed="8"/>
      <name val="Arial"/>
      <family val="2"/>
    </font>
    <font>
      <i/>
      <sz val="11"/>
      <color indexed="8"/>
      <name val="Calibri"/>
      <family val="2"/>
    </font>
    <font>
      <i/>
      <sz val="11"/>
      <color indexed="8"/>
      <name val="Arial"/>
      <family val="2"/>
    </font>
    <font>
      <b/>
      <sz val="11"/>
      <color rgb="FF0000FF"/>
      <name val="Arial"/>
      <family val="2"/>
    </font>
    <font>
      <b/>
      <sz val="11"/>
      <color indexed="12"/>
      <name val="Calibri"/>
      <family val="2"/>
    </font>
    <font>
      <sz val="11"/>
      <color rgb="FF0000FF"/>
      <name val="Arial"/>
      <family val="2"/>
    </font>
    <font>
      <b/>
      <sz val="13"/>
      <color theme="1"/>
      <name val="Arial"/>
      <family val="2"/>
    </font>
    <font>
      <b/>
      <sz val="12"/>
      <color theme="1"/>
      <name val="Arial"/>
      <family val="2"/>
    </font>
    <font>
      <b/>
      <i/>
      <sz val="10"/>
      <color theme="1"/>
      <name val="Arial"/>
      <family val="2"/>
    </font>
    <font>
      <sz val="10"/>
      <color indexed="8"/>
      <name val="Arial"/>
      <family val="2"/>
    </font>
    <font>
      <i/>
      <sz val="10"/>
      <color indexed="8"/>
      <name val="Arial"/>
      <family val="2"/>
    </font>
    <font>
      <sz val="9"/>
      <color indexed="81"/>
      <name val="Tahoma"/>
      <family val="2"/>
    </font>
    <font>
      <b/>
      <sz val="11"/>
      <name val="Arial"/>
      <family val="2"/>
    </font>
    <font>
      <b/>
      <i/>
      <sz val="12"/>
      <color theme="1"/>
      <name val="Arial"/>
      <family val="2"/>
    </font>
    <font>
      <b/>
      <sz val="12"/>
      <color indexed="8"/>
      <name val="Calibri"/>
      <family val="2"/>
    </font>
    <font>
      <b/>
      <i/>
      <sz val="11"/>
      <name val="Arial"/>
      <family val="2"/>
    </font>
    <font>
      <sz val="11"/>
      <name val="Arial"/>
      <family val="2"/>
    </font>
    <font>
      <b/>
      <sz val="11"/>
      <color theme="1"/>
      <name val="Calibri"/>
      <family val="2"/>
    </font>
    <font>
      <sz val="8"/>
      <name val="Calibri"/>
      <family val="2"/>
      <scheme val="minor"/>
    </font>
    <font>
      <b/>
      <sz val="10"/>
      <color theme="1"/>
      <name val="Calibri"/>
      <family val="2"/>
    </font>
    <font>
      <sz val="10"/>
      <color rgb="FF000000"/>
      <name val="Arial"/>
      <family val="2"/>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0" fontId="15" fillId="0" borderId="0"/>
    <xf numFmtId="9" fontId="15" fillId="0" borderId="0" applyFont="0" applyFill="0" applyBorder="0" applyAlignment="0" applyProtection="0"/>
  </cellStyleXfs>
  <cellXfs count="108">
    <xf numFmtId="0" fontId="0" fillId="0" borderId="0" xfId="0"/>
    <xf numFmtId="0" fontId="3" fillId="0" borderId="0" xfId="0" applyFont="1"/>
    <xf numFmtId="0" fontId="4" fillId="0" borderId="0" xfId="0" applyFont="1"/>
    <xf numFmtId="0" fontId="5" fillId="0" borderId="0" xfId="0" applyFont="1"/>
    <xf numFmtId="0" fontId="6" fillId="0" borderId="0" xfId="2" applyAlignment="1" applyProtection="1"/>
    <xf numFmtId="0" fontId="7" fillId="0" borderId="0" xfId="3" applyAlignment="1" applyProtection="1"/>
    <xf numFmtId="3" fontId="2" fillId="0" borderId="0" xfId="0" applyNumberFormat="1" applyFont="1"/>
    <xf numFmtId="164" fontId="2" fillId="0" borderId="0" xfId="0" applyNumberFormat="1" applyFont="1"/>
    <xf numFmtId="10" fontId="0" fillId="0" borderId="0" xfId="1" applyNumberFormat="1" applyFont="1"/>
    <xf numFmtId="0" fontId="8" fillId="0" borderId="0" xfId="0" applyFont="1"/>
    <xf numFmtId="0" fontId="9" fillId="0" borderId="0" xfId="0" applyFont="1"/>
    <xf numFmtId="0" fontId="10" fillId="0" borderId="0" xfId="0" applyFont="1"/>
    <xf numFmtId="0" fontId="13" fillId="0" borderId="0" xfId="0" applyFont="1"/>
    <xf numFmtId="0" fontId="8" fillId="0" borderId="0" xfId="0" applyFont="1" applyAlignment="1">
      <alignment horizontal="center"/>
    </xf>
    <xf numFmtId="0" fontId="14" fillId="0" borderId="0" xfId="0" applyFont="1" applyAlignment="1">
      <alignment horizontal="center"/>
    </xf>
    <xf numFmtId="0" fontId="14" fillId="0" borderId="0" xfId="0" applyFont="1"/>
    <xf numFmtId="166" fontId="10" fillId="0" borderId="0" xfId="0" applyNumberFormat="1" applyFont="1"/>
    <xf numFmtId="166" fontId="16" fillId="0" borderId="0" xfId="0" applyNumberFormat="1" applyFont="1"/>
    <xf numFmtId="10" fontId="10" fillId="0" borderId="0" xfId="1" applyNumberFormat="1" applyFont="1"/>
    <xf numFmtId="10" fontId="16" fillId="0" borderId="0" xfId="1" applyNumberFormat="1" applyFont="1"/>
    <xf numFmtId="2" fontId="10" fillId="0" borderId="0" xfId="0" applyNumberFormat="1" applyFont="1"/>
    <xf numFmtId="2" fontId="16" fillId="0" borderId="0" xfId="0" applyNumberFormat="1" applyFont="1"/>
    <xf numFmtId="1" fontId="10" fillId="0" borderId="0" xfId="0" applyNumberFormat="1" applyFont="1"/>
    <xf numFmtId="1" fontId="16" fillId="0" borderId="0" xfId="0" applyNumberFormat="1" applyFont="1"/>
    <xf numFmtId="167" fontId="10" fillId="0" borderId="0" xfId="0" applyNumberFormat="1" applyFont="1"/>
    <xf numFmtId="167" fontId="16" fillId="0" borderId="0" xfId="0" applyNumberFormat="1" applyFont="1"/>
    <xf numFmtId="168" fontId="10" fillId="0" borderId="0" xfId="0" applyNumberFormat="1" applyFont="1"/>
    <xf numFmtId="168" fontId="16" fillId="0" borderId="0" xfId="0" applyNumberFormat="1" applyFont="1"/>
    <xf numFmtId="165" fontId="2" fillId="0" borderId="0" xfId="0" applyNumberFormat="1" applyFont="1"/>
    <xf numFmtId="3" fontId="0" fillId="0" borderId="0" xfId="0" applyNumberFormat="1" applyFont="1"/>
    <xf numFmtId="0" fontId="9" fillId="0" borderId="0" xfId="0" applyFont="1" applyAlignment="1">
      <alignment horizontal="left"/>
    </xf>
    <xf numFmtId="165" fontId="10" fillId="0" borderId="0" xfId="1" applyNumberFormat="1" applyFont="1"/>
    <xf numFmtId="0" fontId="22" fillId="0" borderId="0" xfId="0" applyFont="1"/>
    <xf numFmtId="0" fontId="16" fillId="0" borderId="0" xfId="0" applyFont="1"/>
    <xf numFmtId="0" fontId="22" fillId="0" borderId="0" xfId="0" applyFont="1" applyAlignment="1">
      <alignment horizontal="center"/>
    </xf>
    <xf numFmtId="166" fontId="24" fillId="0" borderId="0" xfId="0" applyNumberFormat="1" applyFont="1"/>
    <xf numFmtId="10" fontId="24" fillId="0" borderId="0" xfId="1" applyNumberFormat="1" applyFont="1"/>
    <xf numFmtId="2" fontId="24" fillId="0" borderId="0" xfId="0" applyNumberFormat="1" applyFont="1"/>
    <xf numFmtId="1" fontId="24" fillId="0" borderId="0" xfId="0" applyNumberFormat="1" applyFont="1"/>
    <xf numFmtId="168" fontId="24" fillId="0" borderId="0" xfId="0" applyNumberFormat="1" applyFont="1"/>
    <xf numFmtId="0" fontId="17" fillId="0" borderId="0" xfId="0" applyFont="1"/>
    <xf numFmtId="0" fontId="25" fillId="0" borderId="0" xfId="0" applyFont="1"/>
    <xf numFmtId="166" fontId="22" fillId="0" borderId="0" xfId="0" applyNumberFormat="1" applyFont="1"/>
    <xf numFmtId="166" fontId="14" fillId="0" borderId="0" xfId="0" applyNumberFormat="1" applyFont="1"/>
    <xf numFmtId="3" fontId="24" fillId="0" borderId="0" xfId="0" applyNumberFormat="1" applyFont="1"/>
    <xf numFmtId="3" fontId="16" fillId="0" borderId="0" xfId="0" applyNumberFormat="1" applyFont="1"/>
    <xf numFmtId="3" fontId="10" fillId="0" borderId="0" xfId="0" applyNumberFormat="1" applyFont="1"/>
    <xf numFmtId="166" fontId="8" fillId="0" borderId="0" xfId="0" applyNumberFormat="1" applyFont="1"/>
    <xf numFmtId="0" fontId="26" fillId="0" borderId="0" xfId="0" applyFont="1"/>
    <xf numFmtId="0" fontId="27" fillId="0" borderId="0" xfId="0" applyFont="1"/>
    <xf numFmtId="0" fontId="28" fillId="0" borderId="0" xfId="0" applyFont="1"/>
    <xf numFmtId="0" fontId="29" fillId="0" borderId="0" xfId="0" applyFont="1"/>
    <xf numFmtId="0" fontId="4" fillId="0" borderId="0" xfId="0" quotePrefix="1" applyFont="1"/>
    <xf numFmtId="166" fontId="4" fillId="0" borderId="0" xfId="0" applyNumberFormat="1" applyFont="1"/>
    <xf numFmtId="171" fontId="0" fillId="0" borderId="0" xfId="0" applyNumberFormat="1"/>
    <xf numFmtId="0" fontId="31" fillId="0" borderId="0" xfId="0" applyFont="1"/>
    <xf numFmtId="166" fontId="22" fillId="0" borderId="1" xfId="0" applyNumberFormat="1" applyFont="1" applyBorder="1"/>
    <xf numFmtId="166" fontId="8" fillId="0" borderId="1" xfId="0" applyNumberFormat="1" applyFont="1" applyBorder="1" applyAlignment="1">
      <alignment horizontal="center"/>
    </xf>
    <xf numFmtId="0" fontId="10" fillId="3" borderId="0" xfId="0" applyFont="1" applyFill="1"/>
    <xf numFmtId="166" fontId="14" fillId="0" borderId="0" xfId="0" applyNumberFormat="1" applyFont="1" applyAlignment="1">
      <alignment horizontal="center"/>
    </xf>
    <xf numFmtId="0" fontId="10" fillId="0" borderId="0" xfId="0" applyFont="1" applyAlignment="1">
      <alignment horizontal="center"/>
    </xf>
    <xf numFmtId="0" fontId="32" fillId="0" borderId="0" xfId="0" applyFont="1"/>
    <xf numFmtId="0" fontId="8" fillId="0" borderId="0" xfId="0" applyFont="1" applyAlignment="1">
      <alignment horizontal="right"/>
    </xf>
    <xf numFmtId="10" fontId="8" fillId="0" borderId="0" xfId="1" applyNumberFormat="1" applyFont="1" applyAlignment="1">
      <alignment horizontal="center"/>
    </xf>
    <xf numFmtId="166" fontId="22" fillId="0" borderId="2" xfId="0" applyNumberFormat="1" applyFont="1" applyBorder="1"/>
    <xf numFmtId="166" fontId="14" fillId="0" borderId="2" xfId="0" applyNumberFormat="1" applyFont="1" applyBorder="1"/>
    <xf numFmtId="166" fontId="8" fillId="0" borderId="2" xfId="0" applyNumberFormat="1" applyFont="1" applyBorder="1"/>
    <xf numFmtId="166" fontId="22" fillId="0" borderId="0" xfId="0" applyNumberFormat="1" applyFont="1" applyBorder="1"/>
    <xf numFmtId="166" fontId="14" fillId="0" borderId="0" xfId="0" applyNumberFormat="1" applyFont="1" applyBorder="1"/>
    <xf numFmtId="166" fontId="8" fillId="0" borderId="0" xfId="0" applyNumberFormat="1" applyFont="1" applyBorder="1"/>
    <xf numFmtId="0" fontId="0" fillId="0" borderId="0" xfId="0" applyFont="1"/>
    <xf numFmtId="165" fontId="10" fillId="0" borderId="0" xfId="0" applyNumberFormat="1" applyFont="1"/>
    <xf numFmtId="165" fontId="8" fillId="0" borderId="0" xfId="0" applyNumberFormat="1" applyFont="1"/>
    <xf numFmtId="169" fontId="10" fillId="0" borderId="0" xfId="0" applyNumberFormat="1" applyFont="1"/>
    <xf numFmtId="10" fontId="10" fillId="0" borderId="0" xfId="0" applyNumberFormat="1" applyFont="1"/>
    <xf numFmtId="166" fontId="8" fillId="2" borderId="0" xfId="0" applyNumberFormat="1" applyFont="1" applyFill="1"/>
    <xf numFmtId="9" fontId="10" fillId="0" borderId="0" xfId="0" applyNumberFormat="1" applyFont="1"/>
    <xf numFmtId="10" fontId="35" fillId="0" borderId="0" xfId="1" applyNumberFormat="1" applyFont="1"/>
    <xf numFmtId="3" fontId="22" fillId="0" borderId="0" xfId="0" applyNumberFormat="1" applyFont="1"/>
    <xf numFmtId="3" fontId="14" fillId="0" borderId="0" xfId="0" applyNumberFormat="1" applyFont="1"/>
    <xf numFmtId="3" fontId="8" fillId="0" borderId="0" xfId="0" applyNumberFormat="1" applyFont="1"/>
    <xf numFmtId="164" fontId="8" fillId="0" borderId="0" xfId="0" applyNumberFormat="1" applyFont="1"/>
    <xf numFmtId="170" fontId="8" fillId="0" borderId="0" xfId="0" applyNumberFormat="1" applyFont="1"/>
    <xf numFmtId="49" fontId="8" fillId="0" borderId="0" xfId="1" applyNumberFormat="1" applyFont="1" applyAlignment="1">
      <alignment horizontal="center"/>
    </xf>
    <xf numFmtId="0" fontId="7" fillId="0" borderId="0" xfId="3" applyFont="1" applyAlignment="1" applyProtection="1"/>
    <xf numFmtId="167" fontId="14" fillId="0" borderId="0" xfId="0" applyNumberFormat="1" applyFont="1"/>
    <xf numFmtId="167" fontId="31" fillId="0" borderId="0" xfId="0" applyNumberFormat="1" applyFont="1"/>
    <xf numFmtId="10" fontId="31" fillId="0" borderId="0" xfId="1" applyNumberFormat="1" applyFont="1" applyAlignment="1">
      <alignment horizontal="center"/>
    </xf>
    <xf numFmtId="166" fontId="31" fillId="0" borderId="2" xfId="0" applyNumberFormat="1" applyFont="1" applyBorder="1"/>
    <xf numFmtId="165" fontId="22" fillId="0" borderId="0" xfId="1" applyNumberFormat="1" applyFont="1"/>
    <xf numFmtId="165" fontId="14" fillId="0" borderId="0" xfId="1" applyNumberFormat="1" applyFont="1"/>
    <xf numFmtId="165" fontId="8" fillId="0" borderId="0" xfId="1" applyNumberFormat="1" applyFont="1"/>
    <xf numFmtId="0" fontId="10" fillId="0" borderId="0" xfId="0" applyFont="1" applyFill="1"/>
    <xf numFmtId="0" fontId="31" fillId="0" borderId="0" xfId="0" applyFont="1" applyFill="1"/>
    <xf numFmtId="166" fontId="8" fillId="0" borderId="1" xfId="0" applyNumberFormat="1" applyFont="1" applyBorder="1"/>
    <xf numFmtId="1" fontId="0" fillId="0" borderId="0" xfId="0" applyNumberFormat="1"/>
    <xf numFmtId="164" fontId="10" fillId="0" borderId="0" xfId="0" applyNumberFormat="1" applyFont="1"/>
    <xf numFmtId="165" fontId="8" fillId="0" borderId="1" xfId="0" applyNumberFormat="1" applyFont="1" applyBorder="1"/>
    <xf numFmtId="0" fontId="3" fillId="0" borderId="0" xfId="0" applyFont="1" applyAlignment="1">
      <alignment horizontal="right"/>
    </xf>
    <xf numFmtId="165" fontId="3" fillId="0" borderId="0" xfId="0" applyNumberFormat="1" applyFont="1"/>
    <xf numFmtId="10" fontId="4" fillId="0" borderId="0" xfId="0" applyNumberFormat="1" applyFont="1"/>
    <xf numFmtId="165" fontId="4" fillId="0" borderId="0" xfId="0" applyNumberFormat="1" applyFont="1"/>
    <xf numFmtId="10" fontId="2" fillId="0" borderId="0" xfId="1" applyNumberFormat="1" applyFont="1"/>
    <xf numFmtId="9" fontId="22" fillId="0" borderId="0" xfId="1" applyFont="1"/>
    <xf numFmtId="0" fontId="6" fillId="0" borderId="0" xfId="2"/>
    <xf numFmtId="2" fontId="10" fillId="0" borderId="0" xfId="1" applyNumberFormat="1" applyFont="1"/>
    <xf numFmtId="166" fontId="10" fillId="0" borderId="0" xfId="0" applyNumberFormat="1" applyFont="1" applyBorder="1"/>
    <xf numFmtId="0" fontId="39" fillId="0" borderId="0" xfId="0" applyFont="1"/>
  </cellXfs>
  <cellStyles count="6">
    <cellStyle name="Hyperlink" xfId="2" builtinId="8"/>
    <cellStyle name="Hyperlink 2" xfId="3" xr:uid="{145AC685-C0CD-4711-BA12-6AD7FC7AF712}"/>
    <cellStyle name="Normal" xfId="0" builtinId="0"/>
    <cellStyle name="Normal 2" xfId="4" xr:uid="{530584EE-58B0-4FF4-8190-7D67EC6B1113}"/>
    <cellStyle name="Percent" xfId="1" builtinId="5"/>
    <cellStyle name="Percent 2" xfId="5" xr:uid="{BC79158C-6083-4A77-B177-B35281B0B89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Drop" dropLines="19" dropStyle="combo" dx="22" fmlaLink="Display!$B$1" fmlaRange="Display!$A$2:$A$19" noThreeD="1" sel="3" val="0"/>
</file>

<file path=xl/ctrlProps/ctrlProp2.xml><?xml version="1.0" encoding="utf-8"?>
<formControlPr xmlns="http://schemas.microsoft.com/office/spreadsheetml/2009/9/main" objectType="Drop" dropLines="19" dropStyle="combo" dx="22" fmlaLink="Display!$B$1" fmlaRange="Display!$A$2:$A$20" noThreeD="1" sel="3"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6</xdr:row>
          <xdr:rowOff>0</xdr:rowOff>
        </xdr:from>
        <xdr:to>
          <xdr:col>0</xdr:col>
          <xdr:colOff>5629275</xdr:colOff>
          <xdr:row>7</xdr:row>
          <xdr:rowOff>9525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0C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47625</xdr:colOff>
          <xdr:row>6</xdr:row>
          <xdr:rowOff>0</xdr:rowOff>
        </xdr:from>
        <xdr:to>
          <xdr:col>1</xdr:col>
          <xdr:colOff>19050</xdr:colOff>
          <xdr:row>7</xdr:row>
          <xdr:rowOff>9525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0C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tats.govt.nz/information-releases/national-population-projections-2024base2078/" TargetMode="External"/><Relationship Id="rId1" Type="http://schemas.openxmlformats.org/officeDocument/2006/relationships/hyperlink" Target="https://www.stats.govt.nz/information-releases/national-labour-force-projections-2024base-207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35164-A0F5-420A-A4B3-4F3B132A86D1}">
  <dimension ref="A1:C20"/>
  <sheetViews>
    <sheetView workbookViewId="0">
      <selection activeCell="F14" sqref="F14"/>
    </sheetView>
  </sheetViews>
  <sheetFormatPr defaultRowHeight="15" x14ac:dyDescent="0.25"/>
  <cols>
    <col min="1" max="1" width="80.7109375" customWidth="1"/>
  </cols>
  <sheetData>
    <row r="1" spans="1:3" ht="15.75" x14ac:dyDescent="0.25">
      <c r="A1" s="61" t="s">
        <v>748</v>
      </c>
      <c r="B1">
        <v>3</v>
      </c>
      <c r="C1">
        <f ca="1">OFFSET($A$1,$B$1,1)</f>
        <v>78</v>
      </c>
    </row>
    <row r="2" spans="1:3" ht="15.75" x14ac:dyDescent="0.25">
      <c r="A2" s="48" t="s">
        <v>749</v>
      </c>
      <c r="B2" s="46">
        <v>41</v>
      </c>
    </row>
    <row r="3" spans="1:3" ht="15.75" x14ac:dyDescent="0.25">
      <c r="A3" s="48" t="s">
        <v>1094</v>
      </c>
      <c r="B3" s="46">
        <v>45</v>
      </c>
    </row>
    <row r="4" spans="1:3" ht="15.75" x14ac:dyDescent="0.25">
      <c r="A4" s="48" t="s">
        <v>750</v>
      </c>
      <c r="B4" s="46">
        <v>78</v>
      </c>
    </row>
    <row r="5" spans="1:3" ht="15.75" x14ac:dyDescent="0.25">
      <c r="A5" s="48" t="s">
        <v>752</v>
      </c>
      <c r="B5" s="46">
        <v>51</v>
      </c>
    </row>
    <row r="6" spans="1:3" ht="15.75" x14ac:dyDescent="0.25">
      <c r="A6" s="48" t="s">
        <v>584</v>
      </c>
      <c r="B6" s="46">
        <v>47</v>
      </c>
    </row>
    <row r="7" spans="1:3" ht="15.75" x14ac:dyDescent="0.25">
      <c r="A7" s="48" t="s">
        <v>589</v>
      </c>
      <c r="B7" s="46">
        <v>48</v>
      </c>
    </row>
    <row r="8" spans="1:3" ht="15.75" x14ac:dyDescent="0.25">
      <c r="A8" s="48" t="s">
        <v>592</v>
      </c>
      <c r="B8" s="46">
        <v>49</v>
      </c>
    </row>
    <row r="9" spans="1:3" ht="15.75" x14ac:dyDescent="0.25">
      <c r="A9" s="48" t="s">
        <v>753</v>
      </c>
      <c r="B9" s="46">
        <v>50</v>
      </c>
    </row>
    <row r="10" spans="1:3" ht="15.75" x14ac:dyDescent="0.25">
      <c r="A10" s="48" t="s">
        <v>754</v>
      </c>
      <c r="B10" s="46">
        <v>34</v>
      </c>
    </row>
    <row r="11" spans="1:3" ht="15.75" x14ac:dyDescent="0.25">
      <c r="A11" s="48" t="s">
        <v>755</v>
      </c>
      <c r="B11" s="46">
        <v>35</v>
      </c>
    </row>
    <row r="12" spans="1:3" ht="15.75" x14ac:dyDescent="0.25">
      <c r="A12" s="48" t="s">
        <v>756</v>
      </c>
      <c r="B12" s="46">
        <v>39</v>
      </c>
    </row>
    <row r="13" spans="1:3" ht="15.75" x14ac:dyDescent="0.25">
      <c r="A13" s="48" t="s">
        <v>757</v>
      </c>
      <c r="B13" s="46">
        <v>140</v>
      </c>
    </row>
    <row r="14" spans="1:3" ht="15.75" x14ac:dyDescent="0.25">
      <c r="A14" s="48" t="s">
        <v>758</v>
      </c>
      <c r="B14" s="46">
        <v>138</v>
      </c>
    </row>
    <row r="15" spans="1:3" ht="15.75" x14ac:dyDescent="0.25">
      <c r="A15" s="48" t="s">
        <v>759</v>
      </c>
      <c r="B15" s="46">
        <v>58</v>
      </c>
    </row>
    <row r="16" spans="1:3" ht="15.75" x14ac:dyDescent="0.25">
      <c r="A16" s="48" t="s">
        <v>760</v>
      </c>
      <c r="B16" s="46">
        <v>60</v>
      </c>
    </row>
    <row r="17" spans="1:2" ht="15.75" x14ac:dyDescent="0.25">
      <c r="A17" s="48" t="s">
        <v>599</v>
      </c>
      <c r="B17" s="46">
        <v>65</v>
      </c>
    </row>
    <row r="18" spans="1:2" ht="15.75" x14ac:dyDescent="0.25">
      <c r="A18" s="48" t="s">
        <v>582</v>
      </c>
      <c r="B18" s="46">
        <v>85</v>
      </c>
    </row>
    <row r="19" spans="1:2" ht="15.75" x14ac:dyDescent="0.25">
      <c r="A19" s="48" t="s">
        <v>761</v>
      </c>
      <c r="B19" s="46">
        <v>70</v>
      </c>
    </row>
    <row r="20" spans="1:2" ht="15.75" x14ac:dyDescent="0.25">
      <c r="A20" s="48" t="s">
        <v>568</v>
      </c>
      <c r="B20" s="46">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7004-9F2F-4B55-A732-173B743BC590}">
  <dimension ref="A1:R146"/>
  <sheetViews>
    <sheetView tabSelected="1" workbookViewId="0"/>
  </sheetViews>
  <sheetFormatPr defaultRowHeight="15" x14ac:dyDescent="0.25"/>
  <sheetData>
    <row r="1" spans="1:18" ht="15.75" x14ac:dyDescent="0.25">
      <c r="A1" s="48" t="s">
        <v>1276</v>
      </c>
      <c r="B1" s="2"/>
      <c r="C1" s="2"/>
      <c r="D1" s="2"/>
      <c r="E1" s="2"/>
      <c r="F1" s="2"/>
      <c r="G1" s="2"/>
      <c r="H1" s="2"/>
      <c r="I1" s="2"/>
      <c r="J1" s="2"/>
      <c r="K1" s="2"/>
      <c r="L1" s="2"/>
      <c r="M1" s="2"/>
      <c r="N1" s="2"/>
      <c r="O1" s="2"/>
      <c r="P1" s="2"/>
      <c r="Q1" s="2"/>
      <c r="R1" s="2"/>
    </row>
    <row r="2" spans="1:18" x14ac:dyDescent="0.25">
      <c r="A2" s="3"/>
      <c r="B2" s="2"/>
      <c r="C2" s="2"/>
      <c r="D2" s="2"/>
      <c r="E2" s="2"/>
      <c r="F2" s="2"/>
      <c r="G2" s="2"/>
      <c r="H2" s="2"/>
      <c r="I2" s="2"/>
      <c r="J2" s="2"/>
      <c r="K2" s="2"/>
      <c r="L2" s="2"/>
      <c r="M2" s="2"/>
      <c r="N2" s="2"/>
      <c r="O2" s="2"/>
      <c r="P2" s="2"/>
      <c r="Q2" s="2"/>
      <c r="R2" s="2"/>
    </row>
    <row r="3" spans="1:18" x14ac:dyDescent="0.25">
      <c r="A3" s="49" t="s">
        <v>153</v>
      </c>
      <c r="B3" s="2"/>
      <c r="C3" s="2"/>
      <c r="D3" s="49" t="s">
        <v>154</v>
      </c>
      <c r="E3" s="2"/>
      <c r="F3" s="2"/>
      <c r="G3" s="2"/>
      <c r="H3" s="2"/>
      <c r="I3" s="49" t="s">
        <v>155</v>
      </c>
      <c r="J3" s="2"/>
      <c r="K3" s="2"/>
      <c r="L3" s="2"/>
      <c r="M3" s="2"/>
      <c r="N3" s="49" t="s">
        <v>156</v>
      </c>
      <c r="O3" s="2"/>
      <c r="P3" s="2"/>
      <c r="Q3" s="2"/>
      <c r="R3" s="2"/>
    </row>
    <row r="4" spans="1:18" x14ac:dyDescent="0.25">
      <c r="A4" s="49"/>
      <c r="B4" s="2"/>
      <c r="C4" s="2"/>
      <c r="D4" s="2"/>
      <c r="E4" s="2"/>
      <c r="F4" s="2"/>
      <c r="G4" s="2"/>
      <c r="H4" s="2"/>
      <c r="I4" s="2"/>
      <c r="J4" s="2"/>
      <c r="K4" s="2"/>
      <c r="L4" s="2"/>
      <c r="M4" s="2"/>
      <c r="N4" s="2"/>
      <c r="O4" s="2"/>
      <c r="P4" s="2"/>
      <c r="Q4" s="2"/>
      <c r="R4" s="2"/>
    </row>
    <row r="5" spans="1:18" x14ac:dyDescent="0.25">
      <c r="A5" s="3" t="s">
        <v>157</v>
      </c>
      <c r="B5" s="2"/>
      <c r="C5" s="2"/>
      <c r="D5" s="2" t="s">
        <v>158</v>
      </c>
      <c r="E5" s="2"/>
      <c r="F5" s="2"/>
      <c r="G5" s="2"/>
      <c r="H5" s="2"/>
      <c r="I5" s="2" t="s">
        <v>159</v>
      </c>
      <c r="J5" s="2"/>
      <c r="K5" s="2"/>
      <c r="L5" s="2"/>
      <c r="M5" s="2"/>
      <c r="N5" s="2" t="s">
        <v>160</v>
      </c>
      <c r="O5" s="2"/>
      <c r="P5" s="2"/>
      <c r="Q5" s="2"/>
      <c r="R5" s="2"/>
    </row>
    <row r="6" spans="1:18" x14ac:dyDescent="0.25">
      <c r="A6" s="2"/>
      <c r="B6" s="2"/>
      <c r="C6" s="2"/>
      <c r="D6" s="2" t="s">
        <v>161</v>
      </c>
      <c r="E6" s="2"/>
      <c r="F6" s="2"/>
      <c r="G6" s="2"/>
      <c r="H6" s="2"/>
      <c r="I6" s="2" t="s">
        <v>1363</v>
      </c>
      <c r="J6" s="2"/>
      <c r="K6" s="2"/>
      <c r="L6" s="2"/>
      <c r="M6" s="2"/>
      <c r="N6" s="2"/>
      <c r="O6" s="2"/>
      <c r="P6" s="2"/>
      <c r="Q6" s="2"/>
      <c r="R6" s="2"/>
    </row>
    <row r="7" spans="1:18" x14ac:dyDescent="0.25">
      <c r="A7" s="2"/>
      <c r="B7" s="2"/>
      <c r="C7" s="2"/>
      <c r="D7" s="2" t="s">
        <v>162</v>
      </c>
      <c r="E7" s="2"/>
      <c r="F7" s="2"/>
      <c r="G7" s="2"/>
      <c r="H7" s="2"/>
      <c r="I7" s="2" t="s">
        <v>1364</v>
      </c>
      <c r="J7" s="2"/>
      <c r="K7" s="2"/>
      <c r="L7" s="2"/>
      <c r="M7" s="2"/>
      <c r="N7" s="2"/>
      <c r="O7" s="2"/>
      <c r="P7" s="2"/>
      <c r="Q7" s="2"/>
      <c r="R7" s="2"/>
    </row>
    <row r="8" spans="1:18" x14ac:dyDescent="0.25">
      <c r="A8" s="2"/>
      <c r="B8" s="2"/>
      <c r="C8" s="2"/>
      <c r="D8" s="2" t="s">
        <v>163</v>
      </c>
      <c r="E8" s="2"/>
      <c r="F8" s="2"/>
      <c r="G8" s="2"/>
      <c r="H8" s="2"/>
      <c r="I8" s="2" t="s">
        <v>1365</v>
      </c>
      <c r="J8" s="2"/>
      <c r="K8" s="2"/>
      <c r="L8" s="2"/>
      <c r="M8" s="2"/>
      <c r="N8" s="2"/>
      <c r="O8" s="2"/>
      <c r="P8" s="2"/>
      <c r="Q8" s="2"/>
      <c r="R8" s="2"/>
    </row>
    <row r="9" spans="1:18" x14ac:dyDescent="0.25">
      <c r="A9" s="2"/>
      <c r="B9" s="2"/>
      <c r="C9" s="2"/>
      <c r="D9" s="2"/>
      <c r="E9" s="2"/>
      <c r="F9" s="2"/>
      <c r="G9" s="2"/>
      <c r="H9" s="2"/>
      <c r="I9" s="2" t="s">
        <v>164</v>
      </c>
      <c r="J9" s="2"/>
      <c r="K9" s="2"/>
      <c r="L9" s="2"/>
      <c r="M9" s="2"/>
      <c r="N9" s="2"/>
      <c r="O9" s="2"/>
      <c r="P9" s="2"/>
      <c r="Q9" s="2"/>
      <c r="R9" s="2"/>
    </row>
    <row r="10" spans="1:18" x14ac:dyDescent="0.25">
      <c r="A10" s="2"/>
      <c r="B10" s="2"/>
      <c r="C10" s="2"/>
      <c r="D10" s="2"/>
      <c r="E10" s="2"/>
      <c r="F10" s="2"/>
      <c r="G10" s="2"/>
      <c r="H10" s="2"/>
      <c r="I10" s="50" t="s">
        <v>165</v>
      </c>
      <c r="J10" s="2"/>
      <c r="K10" s="2"/>
      <c r="L10" s="2"/>
      <c r="M10" s="2"/>
      <c r="N10" s="2"/>
      <c r="O10" s="2"/>
      <c r="P10" s="2"/>
      <c r="Q10" s="2"/>
      <c r="R10" s="2"/>
    </row>
    <row r="11" spans="1:18" x14ac:dyDescent="0.25">
      <c r="A11" s="2"/>
      <c r="B11" s="2"/>
      <c r="C11" s="2"/>
      <c r="D11" s="2"/>
      <c r="E11" s="2"/>
      <c r="F11" s="2"/>
      <c r="G11" s="2"/>
      <c r="H11" s="2"/>
      <c r="I11" s="2"/>
      <c r="J11" s="2"/>
      <c r="K11" s="2"/>
      <c r="L11" s="2"/>
      <c r="M11" s="2"/>
      <c r="N11" s="2"/>
      <c r="O11" s="2"/>
      <c r="P11" s="2"/>
      <c r="Q11" s="2"/>
      <c r="R11" s="2"/>
    </row>
    <row r="12" spans="1:18" x14ac:dyDescent="0.25">
      <c r="A12" s="3" t="s">
        <v>166</v>
      </c>
      <c r="B12" s="2"/>
      <c r="C12" s="2"/>
      <c r="D12" s="2" t="s">
        <v>332</v>
      </c>
      <c r="E12" s="2"/>
      <c r="F12" s="2"/>
      <c r="G12" s="2"/>
      <c r="H12" s="2"/>
      <c r="I12" s="2" t="s">
        <v>167</v>
      </c>
      <c r="J12" s="2"/>
      <c r="K12" s="2"/>
      <c r="L12" s="2"/>
      <c r="M12" s="2"/>
      <c r="N12" s="2" t="s">
        <v>160</v>
      </c>
      <c r="O12" s="2"/>
      <c r="P12" s="2"/>
      <c r="Q12" s="2"/>
      <c r="R12" s="2"/>
    </row>
    <row r="13" spans="1:18" x14ac:dyDescent="0.25">
      <c r="A13" s="2"/>
      <c r="B13" s="2"/>
      <c r="C13" s="2"/>
      <c r="D13" s="2" t="s">
        <v>168</v>
      </c>
      <c r="E13" s="2"/>
      <c r="F13" s="2"/>
      <c r="G13" s="2"/>
      <c r="H13" s="2"/>
      <c r="I13" s="2" t="s">
        <v>169</v>
      </c>
      <c r="J13" s="2"/>
      <c r="K13" s="2"/>
      <c r="L13" s="2"/>
      <c r="M13" s="2"/>
      <c r="N13" s="2"/>
      <c r="O13" s="2"/>
      <c r="P13" s="2"/>
      <c r="Q13" s="2"/>
      <c r="R13" s="2"/>
    </row>
    <row r="14" spans="1:18" x14ac:dyDescent="0.25">
      <c r="A14" s="2"/>
      <c r="B14" s="2"/>
      <c r="C14" s="2"/>
      <c r="D14" s="2" t="s">
        <v>170</v>
      </c>
      <c r="E14" s="2"/>
      <c r="F14" s="2"/>
      <c r="G14" s="2"/>
      <c r="H14" s="2"/>
      <c r="I14" s="2"/>
      <c r="J14" s="2"/>
      <c r="K14" s="2"/>
      <c r="L14" s="2"/>
      <c r="M14" s="2"/>
      <c r="N14" s="2"/>
      <c r="O14" s="2"/>
      <c r="P14" s="2"/>
      <c r="Q14" s="2"/>
      <c r="R14" s="2"/>
    </row>
    <row r="15" spans="1:18" x14ac:dyDescent="0.25">
      <c r="A15" s="2"/>
      <c r="B15" s="2"/>
      <c r="C15" s="2"/>
      <c r="D15" s="2"/>
      <c r="E15" s="2"/>
      <c r="F15" s="2"/>
      <c r="G15" s="2"/>
      <c r="H15" s="2"/>
      <c r="I15" s="2"/>
      <c r="J15" s="2"/>
      <c r="K15" s="2"/>
      <c r="L15" s="2"/>
      <c r="M15" s="2"/>
      <c r="N15" s="2"/>
      <c r="O15" s="2"/>
      <c r="P15" s="2"/>
      <c r="Q15" s="2"/>
      <c r="R15" s="2"/>
    </row>
    <row r="16" spans="1:18" x14ac:dyDescent="0.25">
      <c r="A16" s="3" t="s">
        <v>171</v>
      </c>
      <c r="B16" s="2"/>
      <c r="C16" s="2"/>
      <c r="D16" s="2" t="s">
        <v>172</v>
      </c>
      <c r="E16" s="2"/>
      <c r="F16" s="2"/>
      <c r="G16" s="2"/>
      <c r="H16" s="2"/>
      <c r="I16" s="2" t="s">
        <v>167</v>
      </c>
      <c r="J16" s="2"/>
      <c r="K16" s="2"/>
      <c r="L16" s="2"/>
      <c r="M16" s="2"/>
      <c r="N16" s="2" t="s">
        <v>160</v>
      </c>
      <c r="O16" s="2"/>
      <c r="P16" s="2"/>
      <c r="Q16" s="2"/>
      <c r="R16" s="2"/>
    </row>
    <row r="17" spans="1:18" x14ac:dyDescent="0.25">
      <c r="A17" s="2"/>
      <c r="B17" s="2"/>
      <c r="C17" s="2"/>
      <c r="D17" s="2" t="s">
        <v>173</v>
      </c>
      <c r="E17" s="2"/>
      <c r="F17" s="2"/>
      <c r="G17" s="2"/>
      <c r="H17" s="2"/>
      <c r="I17" s="2" t="s">
        <v>169</v>
      </c>
      <c r="J17" s="2"/>
      <c r="K17" s="2"/>
      <c r="L17" s="2"/>
      <c r="M17" s="2"/>
      <c r="N17" s="2"/>
      <c r="O17" s="2"/>
      <c r="P17" s="2"/>
      <c r="Q17" s="2"/>
      <c r="R17" s="2"/>
    </row>
    <row r="18" spans="1:18" x14ac:dyDescent="0.25">
      <c r="A18" s="2"/>
      <c r="B18" s="2"/>
      <c r="C18" s="2"/>
      <c r="D18" s="2" t="s">
        <v>174</v>
      </c>
      <c r="E18" s="2"/>
      <c r="F18" s="2"/>
      <c r="G18" s="2"/>
      <c r="H18" s="2"/>
      <c r="I18" s="2"/>
      <c r="J18" s="2"/>
      <c r="K18" s="2"/>
      <c r="L18" s="2"/>
      <c r="M18" s="2"/>
      <c r="N18" s="2"/>
      <c r="O18" s="2"/>
      <c r="P18" s="2"/>
      <c r="Q18" s="2"/>
      <c r="R18" s="2"/>
    </row>
    <row r="19" spans="1:18" x14ac:dyDescent="0.25">
      <c r="A19" s="2"/>
      <c r="B19" s="2"/>
      <c r="C19" s="2"/>
      <c r="D19" s="2" t="s">
        <v>175</v>
      </c>
      <c r="E19" s="2"/>
      <c r="F19" s="2"/>
      <c r="G19" s="2"/>
      <c r="H19" s="2"/>
      <c r="I19" s="2"/>
      <c r="J19" s="2"/>
      <c r="K19" s="2"/>
      <c r="L19" s="2"/>
      <c r="M19" s="2"/>
      <c r="N19" s="2"/>
      <c r="O19" s="2"/>
      <c r="P19" s="2"/>
      <c r="Q19" s="2"/>
      <c r="R19" s="2"/>
    </row>
    <row r="20" spans="1:18" x14ac:dyDescent="0.25">
      <c r="A20" s="2"/>
      <c r="B20" s="2"/>
      <c r="C20" s="2"/>
      <c r="D20" s="2" t="s">
        <v>176</v>
      </c>
      <c r="E20" s="2"/>
      <c r="F20" s="2"/>
      <c r="G20" s="2"/>
      <c r="H20" s="2"/>
      <c r="I20" s="2"/>
      <c r="J20" s="2"/>
      <c r="K20" s="2"/>
      <c r="L20" s="2"/>
      <c r="M20" s="2"/>
      <c r="N20" s="2"/>
      <c r="O20" s="2"/>
      <c r="P20" s="2"/>
      <c r="Q20" s="2"/>
      <c r="R20" s="2"/>
    </row>
    <row r="21" spans="1:18" x14ac:dyDescent="0.25">
      <c r="A21" s="2"/>
      <c r="B21" s="2"/>
      <c r="C21" s="2"/>
      <c r="D21" s="2" t="s">
        <v>177</v>
      </c>
      <c r="E21" s="2"/>
      <c r="F21" s="2"/>
      <c r="G21" s="2"/>
      <c r="H21" s="2"/>
      <c r="I21" s="2"/>
      <c r="J21" s="2"/>
      <c r="K21" s="2"/>
      <c r="L21" s="2"/>
      <c r="M21" s="2"/>
      <c r="N21" s="2"/>
      <c r="O21" s="2"/>
      <c r="P21" s="2"/>
      <c r="Q21" s="2"/>
      <c r="R21" s="2"/>
    </row>
    <row r="22" spans="1:18" x14ac:dyDescent="0.25">
      <c r="A22" s="2"/>
      <c r="B22" s="2"/>
      <c r="C22" s="2"/>
      <c r="D22" s="2"/>
      <c r="E22" s="2"/>
      <c r="F22" s="2"/>
      <c r="G22" s="2"/>
      <c r="H22" s="2"/>
      <c r="I22" s="2"/>
      <c r="J22" s="2"/>
      <c r="K22" s="2"/>
      <c r="L22" s="2"/>
      <c r="M22" s="2"/>
      <c r="N22" s="2"/>
      <c r="O22" s="2"/>
      <c r="P22" s="2"/>
      <c r="Q22" s="2"/>
      <c r="R22" s="2"/>
    </row>
    <row r="23" spans="1:18" x14ac:dyDescent="0.25">
      <c r="A23" s="3" t="s">
        <v>178</v>
      </c>
      <c r="B23" s="2"/>
      <c r="C23" s="2"/>
      <c r="D23" s="2" t="s">
        <v>179</v>
      </c>
      <c r="E23" s="2"/>
      <c r="F23" s="2"/>
      <c r="G23" s="2"/>
      <c r="H23" s="2"/>
      <c r="I23" s="2" t="s">
        <v>180</v>
      </c>
      <c r="J23" s="2"/>
      <c r="K23" s="2"/>
      <c r="L23" s="2"/>
      <c r="M23" s="2"/>
      <c r="N23" s="2" t="s">
        <v>160</v>
      </c>
      <c r="O23" s="2"/>
      <c r="P23" s="2"/>
      <c r="Q23" s="2"/>
      <c r="R23" s="2"/>
    </row>
    <row r="24" spans="1:18" x14ac:dyDescent="0.25">
      <c r="A24" s="2"/>
      <c r="B24" s="2"/>
      <c r="C24" s="2"/>
      <c r="D24" s="2" t="s">
        <v>181</v>
      </c>
      <c r="E24" s="2"/>
      <c r="F24" s="2"/>
      <c r="G24" s="2"/>
      <c r="H24" s="2"/>
      <c r="I24" s="2" t="s">
        <v>182</v>
      </c>
      <c r="J24" s="2"/>
      <c r="K24" s="2"/>
      <c r="L24" s="2"/>
      <c r="M24" s="2"/>
      <c r="N24" s="2"/>
      <c r="O24" s="2"/>
      <c r="P24" s="2"/>
      <c r="Q24" s="2"/>
      <c r="R24" s="2"/>
    </row>
    <row r="25" spans="1:18" x14ac:dyDescent="0.25">
      <c r="A25" s="2"/>
      <c r="B25" s="2"/>
      <c r="C25" s="2"/>
      <c r="D25" s="2" t="s">
        <v>183</v>
      </c>
      <c r="E25" s="2"/>
      <c r="F25" s="2"/>
      <c r="G25" s="2"/>
      <c r="H25" s="2"/>
      <c r="I25" s="2" t="s">
        <v>184</v>
      </c>
      <c r="J25" s="2"/>
      <c r="K25" s="2"/>
      <c r="L25" s="2"/>
      <c r="M25" s="2"/>
      <c r="N25" s="2"/>
      <c r="O25" s="2"/>
      <c r="P25" s="2"/>
      <c r="Q25" s="2"/>
      <c r="R25" s="2"/>
    </row>
    <row r="26" spans="1:18" x14ac:dyDescent="0.25">
      <c r="A26" s="2"/>
      <c r="B26" s="2"/>
      <c r="C26" s="2"/>
      <c r="D26" s="2" t="s">
        <v>185</v>
      </c>
      <c r="E26" s="2"/>
      <c r="F26" s="2"/>
      <c r="G26" s="2"/>
      <c r="H26" s="2"/>
      <c r="I26" s="2" t="s">
        <v>186</v>
      </c>
      <c r="J26" s="2"/>
      <c r="K26" s="2"/>
      <c r="L26" s="2"/>
      <c r="M26" s="2"/>
      <c r="N26" s="2"/>
      <c r="O26" s="2"/>
      <c r="P26" s="2"/>
      <c r="Q26" s="2"/>
      <c r="R26" s="2"/>
    </row>
    <row r="27" spans="1:18" x14ac:dyDescent="0.25">
      <c r="A27" s="2"/>
      <c r="B27" s="2"/>
      <c r="C27" s="2"/>
      <c r="D27" s="2" t="s">
        <v>187</v>
      </c>
      <c r="E27" s="2"/>
      <c r="F27" s="2"/>
      <c r="G27" s="2"/>
      <c r="H27" s="2"/>
      <c r="I27" s="2" t="s">
        <v>188</v>
      </c>
      <c r="J27" s="2"/>
      <c r="K27" s="2"/>
      <c r="L27" s="2"/>
      <c r="M27" s="2"/>
      <c r="N27" s="2"/>
      <c r="O27" s="2"/>
      <c r="P27" s="2"/>
      <c r="Q27" s="2"/>
      <c r="R27" s="2"/>
    </row>
    <row r="28" spans="1:18" x14ac:dyDescent="0.25">
      <c r="A28" s="2"/>
      <c r="B28" s="2"/>
      <c r="C28" s="2"/>
      <c r="D28" s="2" t="s">
        <v>189</v>
      </c>
      <c r="E28" s="2"/>
      <c r="F28" s="2"/>
      <c r="G28" s="2"/>
      <c r="H28" s="2"/>
      <c r="I28" s="2" t="s">
        <v>190</v>
      </c>
      <c r="J28" s="2"/>
      <c r="K28" s="2"/>
      <c r="L28" s="2"/>
      <c r="M28" s="2"/>
      <c r="N28" s="2"/>
      <c r="O28" s="2"/>
      <c r="P28" s="2"/>
      <c r="Q28" s="2"/>
      <c r="R28" s="2"/>
    </row>
    <row r="29" spans="1:18" x14ac:dyDescent="0.25">
      <c r="A29" s="2"/>
      <c r="B29" s="2"/>
      <c r="C29" s="2"/>
      <c r="D29" s="2" t="s">
        <v>191</v>
      </c>
      <c r="E29" s="2"/>
      <c r="F29" s="2"/>
      <c r="G29" s="2"/>
      <c r="H29" s="2"/>
      <c r="I29" s="2"/>
      <c r="J29" s="2"/>
      <c r="K29" s="2"/>
      <c r="L29" s="2"/>
      <c r="M29" s="2"/>
      <c r="N29" s="2"/>
      <c r="O29" s="2"/>
      <c r="P29" s="2"/>
      <c r="Q29" s="2"/>
      <c r="R29" s="2"/>
    </row>
    <row r="30" spans="1:18" x14ac:dyDescent="0.25">
      <c r="A30" s="2"/>
      <c r="B30" s="2"/>
      <c r="C30" s="2"/>
      <c r="D30" s="2" t="s">
        <v>192</v>
      </c>
      <c r="E30" s="2"/>
      <c r="F30" s="2"/>
      <c r="G30" s="2"/>
      <c r="H30" s="2"/>
      <c r="I30" s="2"/>
      <c r="J30" s="2"/>
      <c r="K30" s="2"/>
      <c r="L30" s="2"/>
      <c r="M30" s="2"/>
      <c r="N30" s="2"/>
      <c r="O30" s="2"/>
      <c r="P30" s="2"/>
      <c r="Q30" s="2"/>
      <c r="R30" s="2"/>
    </row>
    <row r="31" spans="1:18" x14ac:dyDescent="0.25">
      <c r="A31" s="2"/>
      <c r="B31" s="2"/>
      <c r="C31" s="2"/>
      <c r="D31" s="2" t="s">
        <v>193</v>
      </c>
      <c r="E31" s="2"/>
      <c r="F31" s="2"/>
      <c r="G31" s="2"/>
      <c r="H31" s="2"/>
      <c r="I31" s="2"/>
      <c r="J31" s="2"/>
      <c r="K31" s="2"/>
      <c r="L31" s="2"/>
      <c r="M31" s="2"/>
      <c r="N31" s="2"/>
      <c r="O31" s="2"/>
      <c r="P31" s="2"/>
      <c r="Q31" s="2"/>
      <c r="R31" s="2"/>
    </row>
    <row r="32" spans="1:18" x14ac:dyDescent="0.25">
      <c r="A32" s="2"/>
      <c r="B32" s="2"/>
      <c r="C32" s="2"/>
      <c r="D32" s="2" t="s">
        <v>194</v>
      </c>
      <c r="E32" s="2"/>
      <c r="F32" s="2"/>
      <c r="G32" s="2"/>
      <c r="H32" s="2"/>
      <c r="I32" s="2"/>
      <c r="J32" s="2"/>
      <c r="K32" s="2"/>
      <c r="L32" s="2"/>
      <c r="M32" s="2"/>
      <c r="N32" s="2"/>
      <c r="O32" s="2"/>
      <c r="P32" s="2"/>
      <c r="Q32" s="2"/>
      <c r="R32" s="2"/>
    </row>
    <row r="33" spans="1:18" x14ac:dyDescent="0.25">
      <c r="A33" s="2"/>
      <c r="B33" s="2"/>
      <c r="C33" s="2"/>
      <c r="D33" s="2"/>
      <c r="E33" s="2"/>
      <c r="F33" s="2"/>
      <c r="G33" s="2"/>
      <c r="H33" s="2"/>
      <c r="I33" s="2"/>
      <c r="J33" s="2"/>
      <c r="K33" s="2"/>
      <c r="L33" s="2"/>
      <c r="M33" s="2"/>
      <c r="N33" s="2"/>
      <c r="O33" s="2"/>
      <c r="P33" s="2"/>
      <c r="Q33" s="2"/>
      <c r="R33" s="2"/>
    </row>
    <row r="34" spans="1:18" x14ac:dyDescent="0.25">
      <c r="A34" s="3" t="s">
        <v>195</v>
      </c>
      <c r="B34" s="2"/>
      <c r="C34" s="2"/>
      <c r="D34" s="2" t="s">
        <v>196</v>
      </c>
      <c r="E34" s="2"/>
      <c r="F34" s="2"/>
      <c r="G34" s="2"/>
      <c r="H34" s="2"/>
      <c r="I34" s="2" t="s">
        <v>197</v>
      </c>
      <c r="J34" s="2"/>
      <c r="K34" s="2"/>
      <c r="L34" s="2"/>
      <c r="M34" s="2"/>
      <c r="N34" s="3" t="s">
        <v>178</v>
      </c>
      <c r="O34" s="2"/>
      <c r="P34" s="2"/>
      <c r="Q34" s="2"/>
      <c r="R34" s="2"/>
    </row>
    <row r="35" spans="1:18" x14ac:dyDescent="0.25">
      <c r="A35" s="2"/>
      <c r="B35" s="2"/>
      <c r="C35" s="2"/>
      <c r="D35" s="2" t="s">
        <v>198</v>
      </c>
      <c r="E35" s="2"/>
      <c r="F35" s="2"/>
      <c r="G35" s="2"/>
      <c r="H35" s="2"/>
      <c r="I35" s="2" t="s">
        <v>199</v>
      </c>
      <c r="J35" s="2"/>
      <c r="K35" s="2"/>
      <c r="L35" s="2"/>
      <c r="M35" s="2"/>
      <c r="N35" s="3" t="s">
        <v>200</v>
      </c>
      <c r="O35" s="2"/>
      <c r="P35" s="2"/>
      <c r="Q35" s="2"/>
      <c r="R35" s="2"/>
    </row>
    <row r="36" spans="1:18" x14ac:dyDescent="0.25">
      <c r="A36" s="2"/>
      <c r="B36" s="2"/>
      <c r="C36" s="2"/>
      <c r="D36" s="2" t="s">
        <v>201</v>
      </c>
      <c r="E36" s="2"/>
      <c r="F36" s="2"/>
      <c r="G36" s="2"/>
      <c r="H36" s="2"/>
      <c r="I36" s="2" t="s">
        <v>202</v>
      </c>
      <c r="J36" s="2"/>
      <c r="K36" s="2"/>
      <c r="L36" s="2"/>
      <c r="M36" s="2"/>
      <c r="N36" s="2"/>
      <c r="O36" s="2"/>
      <c r="P36" s="2"/>
      <c r="Q36" s="2"/>
      <c r="R36" s="2"/>
    </row>
    <row r="37" spans="1:18" x14ac:dyDescent="0.25">
      <c r="A37" s="2"/>
      <c r="B37" s="2"/>
      <c r="C37" s="2"/>
      <c r="D37" s="2" t="s">
        <v>203</v>
      </c>
      <c r="E37" s="2"/>
      <c r="F37" s="2"/>
      <c r="G37" s="2"/>
      <c r="H37" s="2"/>
      <c r="I37" s="2" t="s">
        <v>204</v>
      </c>
      <c r="J37" s="2"/>
      <c r="K37" s="2"/>
      <c r="L37" s="2"/>
      <c r="M37" s="2"/>
      <c r="N37" s="2"/>
      <c r="O37" s="2"/>
      <c r="P37" s="2"/>
      <c r="Q37" s="2"/>
      <c r="R37" s="2"/>
    </row>
    <row r="38" spans="1:18" x14ac:dyDescent="0.25">
      <c r="A38" s="2"/>
      <c r="B38" s="2"/>
      <c r="C38" s="2"/>
      <c r="D38" s="2" t="s">
        <v>205</v>
      </c>
      <c r="E38" s="2"/>
      <c r="F38" s="2"/>
      <c r="G38" s="2"/>
      <c r="H38" s="2"/>
      <c r="I38" s="2" t="s">
        <v>206</v>
      </c>
      <c r="J38" s="2"/>
      <c r="K38" s="2"/>
      <c r="L38" s="2"/>
      <c r="M38" s="2"/>
      <c r="N38" s="2"/>
      <c r="O38" s="2"/>
      <c r="P38" s="2"/>
      <c r="Q38" s="2"/>
      <c r="R38" s="2"/>
    </row>
    <row r="39" spans="1:18" x14ac:dyDescent="0.25">
      <c r="A39" s="2"/>
      <c r="B39" s="2"/>
      <c r="C39" s="2"/>
      <c r="D39" s="2" t="s">
        <v>207</v>
      </c>
      <c r="E39" s="2"/>
      <c r="F39" s="2"/>
      <c r="G39" s="2"/>
      <c r="H39" s="2"/>
      <c r="I39" s="2" t="s">
        <v>208</v>
      </c>
      <c r="J39" s="2"/>
      <c r="K39" s="2"/>
      <c r="L39" s="2"/>
      <c r="M39" s="2"/>
      <c r="N39" s="2"/>
      <c r="O39" s="2"/>
      <c r="P39" s="2"/>
      <c r="Q39" s="2"/>
      <c r="R39" s="2"/>
    </row>
    <row r="40" spans="1:18" x14ac:dyDescent="0.25">
      <c r="A40" s="2"/>
      <c r="B40" s="2"/>
      <c r="C40" s="2"/>
      <c r="D40" s="2" t="s">
        <v>209</v>
      </c>
      <c r="E40" s="2"/>
      <c r="F40" s="2"/>
      <c r="G40" s="2"/>
      <c r="H40" s="2"/>
      <c r="I40" s="2" t="s">
        <v>210</v>
      </c>
      <c r="J40" s="2"/>
      <c r="K40" s="2"/>
      <c r="L40" s="2"/>
      <c r="M40" s="2"/>
      <c r="N40" s="2"/>
      <c r="O40" s="2"/>
      <c r="P40" s="2"/>
      <c r="Q40" s="2"/>
      <c r="R40" s="2"/>
    </row>
    <row r="41" spans="1:18" x14ac:dyDescent="0.25">
      <c r="A41" s="2"/>
      <c r="B41" s="2"/>
      <c r="C41" s="2"/>
      <c r="D41" s="2"/>
      <c r="E41" s="2"/>
      <c r="F41" s="2"/>
      <c r="G41" s="2"/>
      <c r="H41" s="2"/>
      <c r="I41" s="2" t="s">
        <v>211</v>
      </c>
      <c r="J41" s="2"/>
      <c r="K41" s="2"/>
      <c r="L41" s="2"/>
      <c r="M41" s="2"/>
      <c r="N41" s="2"/>
      <c r="O41" s="2"/>
      <c r="P41" s="2"/>
      <c r="Q41" s="2"/>
      <c r="R41" s="2"/>
    </row>
    <row r="42" spans="1:18" x14ac:dyDescent="0.25">
      <c r="A42" s="2"/>
      <c r="B42" s="2"/>
      <c r="C42" s="2"/>
      <c r="D42" s="2"/>
      <c r="E42" s="2"/>
      <c r="F42" s="2"/>
      <c r="G42" s="2"/>
      <c r="H42" s="2"/>
      <c r="I42" s="2" t="s">
        <v>212</v>
      </c>
      <c r="J42" s="2"/>
      <c r="K42" s="2"/>
      <c r="L42" s="2"/>
      <c r="M42" s="2"/>
      <c r="N42" s="2"/>
      <c r="O42" s="2"/>
      <c r="P42" s="2"/>
      <c r="Q42" s="2"/>
      <c r="R42" s="2"/>
    </row>
    <row r="43" spans="1:18" x14ac:dyDescent="0.25">
      <c r="A43" s="2"/>
      <c r="B43" s="2"/>
      <c r="C43" s="2"/>
      <c r="D43" s="2"/>
      <c r="E43" s="2"/>
      <c r="F43" s="2"/>
      <c r="G43" s="2"/>
      <c r="H43" s="2"/>
      <c r="I43" s="2" t="s">
        <v>213</v>
      </c>
      <c r="J43" s="2"/>
      <c r="K43" s="2"/>
      <c r="L43" s="2"/>
      <c r="M43" s="2"/>
      <c r="N43" s="2"/>
      <c r="O43" s="2"/>
      <c r="P43" s="2"/>
      <c r="Q43" s="2"/>
      <c r="R43" s="2"/>
    </row>
    <row r="44" spans="1:18" x14ac:dyDescent="0.25">
      <c r="A44" s="2"/>
      <c r="B44" s="2"/>
      <c r="C44" s="2"/>
      <c r="D44" s="2"/>
      <c r="E44" s="2"/>
      <c r="F44" s="2"/>
      <c r="G44" s="2"/>
      <c r="H44" s="2"/>
      <c r="I44" s="2"/>
      <c r="J44" s="2"/>
      <c r="K44" s="2"/>
      <c r="L44" s="2"/>
      <c r="M44" s="2"/>
      <c r="N44" s="2"/>
      <c r="O44" s="2"/>
      <c r="P44" s="2"/>
      <c r="Q44" s="2"/>
      <c r="R44" s="2"/>
    </row>
    <row r="45" spans="1:18" x14ac:dyDescent="0.25">
      <c r="A45" s="3" t="s">
        <v>214</v>
      </c>
      <c r="B45" s="2"/>
      <c r="C45" s="2"/>
      <c r="D45" s="2" t="s">
        <v>196</v>
      </c>
      <c r="E45" s="2"/>
      <c r="F45" s="2"/>
      <c r="G45" s="2"/>
      <c r="H45" s="2"/>
      <c r="I45" s="2" t="s">
        <v>215</v>
      </c>
      <c r="J45" s="2"/>
      <c r="K45" s="2"/>
      <c r="L45" s="2"/>
      <c r="M45" s="2"/>
      <c r="N45" s="3" t="s">
        <v>178</v>
      </c>
      <c r="O45" s="2"/>
      <c r="P45" s="2"/>
      <c r="Q45" s="2"/>
      <c r="R45" s="2"/>
    </row>
    <row r="46" spans="1:18" x14ac:dyDescent="0.25">
      <c r="A46" s="2"/>
      <c r="B46" s="2"/>
      <c r="C46" s="2"/>
      <c r="D46" s="2" t="s">
        <v>216</v>
      </c>
      <c r="E46" s="2"/>
      <c r="F46" s="2"/>
      <c r="G46" s="2"/>
      <c r="H46" s="2"/>
      <c r="I46" s="2" t="s">
        <v>217</v>
      </c>
      <c r="J46" s="2"/>
      <c r="K46" s="2"/>
      <c r="L46" s="2"/>
      <c r="M46" s="2"/>
      <c r="N46" s="3" t="s">
        <v>195</v>
      </c>
      <c r="O46" s="2"/>
      <c r="P46" s="2"/>
      <c r="Q46" s="2"/>
      <c r="R46" s="2"/>
    </row>
    <row r="47" spans="1:18" x14ac:dyDescent="0.25">
      <c r="A47" s="2"/>
      <c r="B47" s="2"/>
      <c r="C47" s="2"/>
      <c r="D47" s="2" t="s">
        <v>201</v>
      </c>
      <c r="E47" s="2"/>
      <c r="F47" s="2"/>
      <c r="G47" s="2"/>
      <c r="H47" s="2"/>
      <c r="I47" s="2" t="s">
        <v>218</v>
      </c>
      <c r="J47" s="2"/>
      <c r="K47" s="2"/>
      <c r="L47" s="2"/>
      <c r="M47" s="2"/>
      <c r="N47" s="3" t="s">
        <v>200</v>
      </c>
      <c r="O47" s="2"/>
      <c r="P47" s="2"/>
      <c r="Q47" s="2"/>
      <c r="R47" s="2"/>
    </row>
    <row r="48" spans="1:18" x14ac:dyDescent="0.25">
      <c r="A48" s="2"/>
      <c r="B48" s="2"/>
      <c r="C48" s="2"/>
      <c r="D48" s="2" t="s">
        <v>203</v>
      </c>
      <c r="E48" s="2"/>
      <c r="F48" s="2"/>
      <c r="G48" s="2"/>
      <c r="H48" s="2"/>
      <c r="I48" s="2" t="s">
        <v>219</v>
      </c>
      <c r="J48" s="2"/>
      <c r="K48" s="2"/>
      <c r="L48" s="2"/>
      <c r="M48" s="2"/>
      <c r="N48" s="2"/>
      <c r="O48" s="2"/>
      <c r="P48" s="2"/>
      <c r="Q48" s="2"/>
      <c r="R48" s="2"/>
    </row>
    <row r="49" spans="1:18" x14ac:dyDescent="0.25">
      <c r="A49" s="2"/>
      <c r="B49" s="2"/>
      <c r="C49" s="2"/>
      <c r="D49" s="2" t="s">
        <v>220</v>
      </c>
      <c r="E49" s="2"/>
      <c r="F49" s="2"/>
      <c r="G49" s="2"/>
      <c r="H49" s="2"/>
      <c r="I49" s="2" t="s">
        <v>221</v>
      </c>
      <c r="J49" s="2"/>
      <c r="K49" s="2"/>
      <c r="L49" s="2"/>
      <c r="M49" s="2"/>
      <c r="N49" s="2"/>
      <c r="O49" s="2"/>
      <c r="P49" s="2"/>
      <c r="Q49" s="2"/>
      <c r="R49" s="2"/>
    </row>
    <row r="50" spans="1:18" x14ac:dyDescent="0.25">
      <c r="A50" s="2"/>
      <c r="B50" s="2"/>
      <c r="C50" s="2"/>
      <c r="D50" s="2" t="s">
        <v>222</v>
      </c>
      <c r="E50" s="2"/>
      <c r="F50" s="2"/>
      <c r="G50" s="2"/>
      <c r="H50" s="2"/>
      <c r="I50" s="2"/>
      <c r="J50" s="2"/>
      <c r="K50" s="2"/>
      <c r="L50" s="2"/>
      <c r="M50" s="2"/>
      <c r="N50" s="2"/>
      <c r="O50" s="2"/>
      <c r="P50" s="2"/>
      <c r="Q50" s="2"/>
      <c r="R50" s="2"/>
    </row>
    <row r="51" spans="1:18" x14ac:dyDescent="0.25">
      <c r="A51" s="2"/>
      <c r="B51" s="2"/>
      <c r="C51" s="2"/>
      <c r="D51" s="2" t="s">
        <v>223</v>
      </c>
      <c r="E51" s="2"/>
      <c r="F51" s="2"/>
      <c r="G51" s="2"/>
      <c r="H51" s="2"/>
      <c r="I51" s="2"/>
      <c r="J51" s="2"/>
      <c r="K51" s="2"/>
      <c r="L51" s="2"/>
      <c r="M51" s="2"/>
      <c r="N51" s="2"/>
      <c r="O51" s="2"/>
      <c r="P51" s="2"/>
      <c r="Q51" s="2"/>
      <c r="R51" s="2"/>
    </row>
    <row r="52" spans="1:18" x14ac:dyDescent="0.25">
      <c r="A52" s="2"/>
      <c r="B52" s="2"/>
      <c r="C52" s="2"/>
      <c r="D52" s="2" t="s">
        <v>224</v>
      </c>
      <c r="E52" s="2"/>
      <c r="F52" s="2"/>
      <c r="G52" s="2"/>
      <c r="H52" s="2"/>
      <c r="I52" s="2"/>
      <c r="J52" s="2"/>
      <c r="K52" s="2"/>
      <c r="L52" s="2"/>
      <c r="M52" s="2"/>
      <c r="N52" s="2"/>
      <c r="O52" s="2"/>
      <c r="P52" s="2"/>
      <c r="Q52" s="2"/>
      <c r="R52" s="2"/>
    </row>
    <row r="53" spans="1:18" x14ac:dyDescent="0.25">
      <c r="A53" s="2"/>
      <c r="B53" s="2"/>
      <c r="C53" s="2"/>
      <c r="D53" s="2" t="s">
        <v>225</v>
      </c>
      <c r="E53" s="2"/>
      <c r="F53" s="2"/>
      <c r="G53" s="2"/>
      <c r="H53" s="2"/>
      <c r="I53" s="2"/>
      <c r="J53" s="2"/>
      <c r="K53" s="2"/>
      <c r="L53" s="2"/>
      <c r="M53" s="2"/>
      <c r="N53" s="2"/>
      <c r="O53" s="2"/>
      <c r="P53" s="2"/>
      <c r="Q53" s="2"/>
      <c r="R53" s="2"/>
    </row>
    <row r="54" spans="1:18" x14ac:dyDescent="0.25">
      <c r="A54" s="2"/>
      <c r="B54" s="2"/>
      <c r="C54" s="2"/>
      <c r="D54" s="2" t="s">
        <v>226</v>
      </c>
      <c r="E54" s="2"/>
      <c r="F54" s="2"/>
      <c r="G54" s="2"/>
      <c r="H54" s="2"/>
      <c r="I54" s="2"/>
      <c r="J54" s="2"/>
      <c r="K54" s="2"/>
      <c r="L54" s="2"/>
      <c r="M54" s="2"/>
      <c r="N54" s="3"/>
      <c r="O54" s="2"/>
      <c r="P54" s="2"/>
      <c r="Q54" s="2"/>
      <c r="R54" s="2"/>
    </row>
    <row r="55" spans="1:18" x14ac:dyDescent="0.25">
      <c r="A55" s="2"/>
      <c r="B55" s="2"/>
      <c r="C55" s="2"/>
      <c r="D55" s="2"/>
      <c r="E55" s="2"/>
      <c r="F55" s="2"/>
      <c r="G55" s="2"/>
      <c r="H55" s="2"/>
      <c r="I55" s="2"/>
      <c r="J55" s="2"/>
      <c r="K55" s="2"/>
      <c r="L55" s="2"/>
      <c r="M55" s="2"/>
      <c r="N55" s="2"/>
      <c r="O55" s="2"/>
      <c r="P55" s="2"/>
      <c r="Q55" s="2"/>
      <c r="R55" s="2"/>
    </row>
    <row r="56" spans="1:18" x14ac:dyDescent="0.25">
      <c r="A56" s="3" t="s">
        <v>227</v>
      </c>
      <c r="B56" s="2"/>
      <c r="C56" s="2"/>
      <c r="D56" s="2" t="s">
        <v>228</v>
      </c>
      <c r="E56" s="2"/>
      <c r="F56" s="2"/>
      <c r="G56" s="2"/>
      <c r="H56" s="2"/>
      <c r="I56" s="2" t="s">
        <v>229</v>
      </c>
      <c r="J56" s="2"/>
      <c r="K56" s="2"/>
      <c r="L56" s="2"/>
      <c r="M56" s="2"/>
      <c r="N56" s="2" t="s">
        <v>160</v>
      </c>
      <c r="O56" s="2"/>
      <c r="P56" s="2"/>
      <c r="Q56" s="2"/>
      <c r="R56" s="2"/>
    </row>
    <row r="57" spans="1:18" x14ac:dyDescent="0.25">
      <c r="A57" s="2"/>
      <c r="B57" s="2"/>
      <c r="C57" s="2"/>
      <c r="D57" s="2" t="s">
        <v>230</v>
      </c>
      <c r="E57" s="2"/>
      <c r="F57" s="2"/>
      <c r="G57" s="2"/>
      <c r="H57" s="2"/>
      <c r="I57" s="2" t="s">
        <v>231</v>
      </c>
      <c r="J57" s="2"/>
      <c r="K57" s="2"/>
      <c r="L57" s="2"/>
      <c r="M57" s="2"/>
      <c r="N57" s="2"/>
      <c r="O57" s="2"/>
      <c r="P57" s="2"/>
      <c r="Q57" s="2"/>
      <c r="R57" s="2"/>
    </row>
    <row r="58" spans="1:18" x14ac:dyDescent="0.25">
      <c r="A58" s="2"/>
      <c r="B58" s="2"/>
      <c r="C58" s="2"/>
      <c r="D58" s="2" t="s">
        <v>232</v>
      </c>
      <c r="E58" s="2"/>
      <c r="F58" s="2"/>
      <c r="G58" s="2"/>
      <c r="H58" s="2"/>
      <c r="I58" s="2" t="s">
        <v>233</v>
      </c>
      <c r="J58" s="2"/>
      <c r="K58" s="2"/>
      <c r="L58" s="2"/>
      <c r="M58" s="2"/>
      <c r="N58" s="2"/>
      <c r="O58" s="2"/>
      <c r="P58" s="2"/>
      <c r="Q58" s="2"/>
      <c r="R58" s="2"/>
    </row>
    <row r="59" spans="1:18" x14ac:dyDescent="0.25">
      <c r="A59" s="2"/>
      <c r="B59" s="2"/>
      <c r="C59" s="2"/>
      <c r="D59" s="2" t="s">
        <v>234</v>
      </c>
      <c r="E59" s="2"/>
      <c r="F59" s="2"/>
      <c r="G59" s="2"/>
      <c r="H59" s="2"/>
      <c r="I59" s="2" t="s">
        <v>235</v>
      </c>
      <c r="J59" s="2"/>
      <c r="K59" s="2"/>
      <c r="L59" s="2"/>
      <c r="M59" s="2"/>
      <c r="N59" s="2"/>
      <c r="O59" s="2"/>
      <c r="P59" s="2"/>
      <c r="Q59" s="2"/>
      <c r="R59" s="2"/>
    </row>
    <row r="60" spans="1:18" x14ac:dyDescent="0.25">
      <c r="A60" s="2"/>
      <c r="B60" s="2"/>
      <c r="C60" s="2"/>
      <c r="D60" s="2" t="s">
        <v>236</v>
      </c>
      <c r="E60" s="2"/>
      <c r="F60" s="2"/>
      <c r="G60" s="2"/>
      <c r="H60" s="2"/>
      <c r="I60" s="2" t="s">
        <v>237</v>
      </c>
      <c r="J60" s="2"/>
      <c r="K60" s="2"/>
      <c r="L60" s="2"/>
      <c r="M60" s="2"/>
      <c r="N60" s="2"/>
      <c r="O60" s="2"/>
      <c r="P60" s="2"/>
      <c r="Q60" s="2"/>
      <c r="R60" s="2"/>
    </row>
    <row r="61" spans="1:18" x14ac:dyDescent="0.25">
      <c r="A61" s="2"/>
      <c r="B61" s="2"/>
      <c r="C61" s="2"/>
      <c r="D61" s="2" t="s">
        <v>238</v>
      </c>
      <c r="E61" s="2"/>
      <c r="F61" s="2"/>
      <c r="G61" s="2"/>
      <c r="H61" s="2"/>
      <c r="I61" s="2" t="s">
        <v>239</v>
      </c>
      <c r="J61" s="2"/>
      <c r="K61" s="2"/>
      <c r="L61" s="2"/>
      <c r="M61" s="2"/>
      <c r="N61" s="2"/>
      <c r="O61" s="2"/>
      <c r="P61" s="2"/>
      <c r="Q61" s="2"/>
      <c r="R61" s="2"/>
    </row>
    <row r="62" spans="1:18" x14ac:dyDescent="0.25">
      <c r="A62" s="2"/>
      <c r="B62" s="2"/>
      <c r="C62" s="2"/>
      <c r="D62" s="2" t="s">
        <v>240</v>
      </c>
      <c r="E62" s="2"/>
      <c r="F62" s="2"/>
      <c r="G62" s="2"/>
      <c r="H62" s="2"/>
      <c r="I62" s="2" t="s">
        <v>241</v>
      </c>
      <c r="J62" s="2"/>
      <c r="K62" s="2"/>
      <c r="L62" s="2"/>
      <c r="M62" s="2"/>
      <c r="N62" s="2"/>
      <c r="O62" s="2"/>
      <c r="P62" s="2"/>
      <c r="Q62" s="2"/>
      <c r="R62" s="2"/>
    </row>
    <row r="63" spans="1:18" x14ac:dyDescent="0.25">
      <c r="A63" s="2"/>
      <c r="B63" s="2"/>
      <c r="C63" s="2"/>
      <c r="D63" s="2" t="s">
        <v>242</v>
      </c>
      <c r="E63" s="2"/>
      <c r="F63" s="2"/>
      <c r="G63" s="2"/>
      <c r="H63" s="2"/>
      <c r="I63" s="2" t="s">
        <v>1263</v>
      </c>
      <c r="J63" s="2"/>
      <c r="K63" s="2"/>
      <c r="L63" s="2"/>
      <c r="M63" s="2"/>
      <c r="N63" s="2"/>
      <c r="O63" s="2"/>
      <c r="P63" s="2"/>
      <c r="Q63" s="2"/>
      <c r="R63" s="2"/>
    </row>
    <row r="64" spans="1:18" x14ac:dyDescent="0.25">
      <c r="A64" s="2"/>
      <c r="B64" s="2"/>
      <c r="C64" s="2"/>
      <c r="D64" s="2" t="s">
        <v>243</v>
      </c>
      <c r="E64" s="2"/>
      <c r="F64" s="2"/>
      <c r="G64" s="2"/>
      <c r="H64" s="2"/>
      <c r="I64" s="2" t="s">
        <v>1264</v>
      </c>
      <c r="J64" s="2"/>
      <c r="K64" s="2"/>
      <c r="L64" s="2"/>
      <c r="M64" s="2"/>
      <c r="N64" s="2"/>
      <c r="O64" s="2"/>
      <c r="P64" s="2"/>
      <c r="Q64" s="2"/>
      <c r="R64" s="2"/>
    </row>
    <row r="65" spans="1:18" x14ac:dyDescent="0.25">
      <c r="A65" s="2"/>
      <c r="B65" s="2"/>
      <c r="C65" s="2"/>
      <c r="D65" s="2" t="s">
        <v>244</v>
      </c>
      <c r="E65" s="2"/>
      <c r="F65" s="2"/>
      <c r="G65" s="2"/>
      <c r="H65" s="2"/>
      <c r="I65" s="2" t="s">
        <v>1265</v>
      </c>
      <c r="J65" s="2"/>
      <c r="K65" s="2"/>
      <c r="L65" s="2"/>
      <c r="M65" s="2"/>
      <c r="N65" s="2"/>
      <c r="O65" s="2"/>
      <c r="P65" s="2"/>
      <c r="Q65" s="2"/>
      <c r="R65" s="2"/>
    </row>
    <row r="66" spans="1:18" x14ac:dyDescent="0.25">
      <c r="A66" s="2"/>
      <c r="B66" s="2"/>
      <c r="C66" s="2"/>
      <c r="D66" s="2" t="s">
        <v>245</v>
      </c>
      <c r="E66" s="2"/>
      <c r="F66" s="2"/>
      <c r="G66" s="2"/>
      <c r="H66" s="2"/>
      <c r="I66" s="2"/>
      <c r="J66" s="2"/>
      <c r="K66" s="2"/>
      <c r="L66" s="2"/>
      <c r="M66" s="2"/>
      <c r="N66" s="2"/>
      <c r="O66" s="2"/>
      <c r="P66" s="2"/>
      <c r="Q66" s="2"/>
      <c r="R66" s="2"/>
    </row>
    <row r="67" spans="1:18" x14ac:dyDescent="0.25">
      <c r="A67" s="2"/>
      <c r="B67" s="2"/>
      <c r="C67" s="2"/>
      <c r="D67" s="2"/>
      <c r="E67" s="2"/>
      <c r="F67" s="2"/>
      <c r="G67" s="2"/>
      <c r="H67" s="2"/>
      <c r="I67" s="2"/>
      <c r="J67" s="2"/>
      <c r="K67" s="2"/>
      <c r="L67" s="2"/>
      <c r="M67" s="2"/>
      <c r="N67" s="2"/>
      <c r="O67" s="2"/>
      <c r="P67" s="2"/>
      <c r="Q67" s="2"/>
      <c r="R67" s="2"/>
    </row>
    <row r="68" spans="1:18" x14ac:dyDescent="0.25">
      <c r="A68" s="3" t="s">
        <v>1105</v>
      </c>
      <c r="B68" s="2"/>
      <c r="C68" s="2"/>
      <c r="D68" s="2" t="s">
        <v>1266</v>
      </c>
      <c r="E68" s="2"/>
      <c r="F68" s="2"/>
      <c r="G68" s="2"/>
      <c r="H68" s="2"/>
      <c r="I68" s="2" t="s">
        <v>1367</v>
      </c>
      <c r="J68" s="2"/>
      <c r="K68" s="2"/>
      <c r="L68" s="2"/>
      <c r="M68" s="2"/>
      <c r="N68" s="2" t="s">
        <v>160</v>
      </c>
      <c r="O68" s="2"/>
      <c r="P68" s="2"/>
      <c r="Q68" s="2"/>
      <c r="R68" s="2"/>
    </row>
    <row r="69" spans="1:18" x14ac:dyDescent="0.25">
      <c r="A69" s="2"/>
      <c r="B69" s="2"/>
      <c r="C69" s="2"/>
      <c r="D69" s="2" t="s">
        <v>1267</v>
      </c>
      <c r="E69" s="2"/>
      <c r="F69" s="2"/>
      <c r="G69" s="2"/>
      <c r="H69" s="2"/>
      <c r="I69" s="2" t="s">
        <v>1368</v>
      </c>
      <c r="J69" s="2"/>
      <c r="K69" s="2"/>
      <c r="L69" s="2"/>
      <c r="M69" s="2"/>
      <c r="N69" s="2"/>
      <c r="O69" s="2"/>
      <c r="P69" s="2"/>
      <c r="Q69" s="2"/>
      <c r="R69" s="2"/>
    </row>
    <row r="70" spans="1:18" x14ac:dyDescent="0.25">
      <c r="A70" s="2"/>
      <c r="B70" s="2"/>
      <c r="C70" s="2"/>
      <c r="D70" s="2" t="s">
        <v>1268</v>
      </c>
      <c r="E70" s="2"/>
      <c r="F70" s="2"/>
      <c r="G70" s="2"/>
      <c r="H70" s="2"/>
      <c r="I70" s="2" t="s">
        <v>1275</v>
      </c>
      <c r="J70" s="2"/>
      <c r="K70" s="2"/>
      <c r="L70" s="2"/>
      <c r="M70" s="2"/>
      <c r="N70" s="2"/>
      <c r="O70" s="2"/>
      <c r="P70" s="2"/>
      <c r="Q70" s="2"/>
      <c r="R70" s="2"/>
    </row>
    <row r="71" spans="1:18" x14ac:dyDescent="0.25">
      <c r="A71" s="2"/>
      <c r="B71" s="2"/>
      <c r="C71" s="2"/>
      <c r="D71" s="2" t="s">
        <v>1269</v>
      </c>
      <c r="E71" s="2"/>
      <c r="F71" s="2"/>
      <c r="G71" s="2"/>
      <c r="H71" s="2"/>
      <c r="I71" s="2" t="s">
        <v>1366</v>
      </c>
      <c r="J71" s="2"/>
      <c r="K71" s="2"/>
      <c r="L71" s="2"/>
      <c r="M71" s="2"/>
      <c r="N71" s="2"/>
      <c r="O71" s="2"/>
      <c r="P71" s="2"/>
      <c r="Q71" s="2"/>
      <c r="R71" s="2"/>
    </row>
    <row r="72" spans="1:18" x14ac:dyDescent="0.25">
      <c r="A72" s="2"/>
      <c r="B72" s="2"/>
      <c r="C72" s="2"/>
      <c r="D72" s="2" t="s">
        <v>1270</v>
      </c>
      <c r="E72" s="2"/>
      <c r="F72" s="2"/>
      <c r="G72" s="2"/>
      <c r="H72" s="2"/>
      <c r="I72" s="2" t="s">
        <v>1369</v>
      </c>
      <c r="J72" s="2"/>
      <c r="K72" s="2"/>
      <c r="L72" s="2"/>
      <c r="M72" s="2"/>
      <c r="N72" s="2"/>
      <c r="O72" s="2"/>
      <c r="P72" s="2"/>
      <c r="Q72" s="2"/>
      <c r="R72" s="2"/>
    </row>
    <row r="73" spans="1:18" x14ac:dyDescent="0.25">
      <c r="A73" s="2"/>
      <c r="B73" s="2"/>
      <c r="C73" s="2"/>
      <c r="D73" s="2" t="s">
        <v>1372</v>
      </c>
      <c r="E73" s="2"/>
      <c r="F73" s="2"/>
      <c r="G73" s="2"/>
      <c r="H73" s="2"/>
      <c r="I73" s="2" t="s">
        <v>1370</v>
      </c>
      <c r="J73" s="2"/>
      <c r="K73" s="2"/>
      <c r="L73" s="2"/>
      <c r="M73" s="2"/>
      <c r="N73" s="2"/>
      <c r="O73" s="2"/>
      <c r="P73" s="2"/>
      <c r="Q73" s="2"/>
      <c r="R73" s="2"/>
    </row>
    <row r="74" spans="1:18" x14ac:dyDescent="0.25">
      <c r="A74" s="2"/>
      <c r="B74" s="2"/>
      <c r="C74" s="2"/>
      <c r="D74" s="2" t="s">
        <v>1373</v>
      </c>
      <c r="E74" s="2"/>
      <c r="F74" s="2"/>
      <c r="G74" s="2"/>
      <c r="H74" s="2"/>
      <c r="I74" s="2" t="s">
        <v>1371</v>
      </c>
      <c r="J74" s="2"/>
      <c r="K74" s="2"/>
      <c r="L74" s="2"/>
      <c r="M74" s="2"/>
      <c r="N74" s="2"/>
      <c r="O74" s="2"/>
      <c r="P74" s="2"/>
      <c r="Q74" s="2"/>
      <c r="R74" s="2"/>
    </row>
    <row r="75" spans="1:18" x14ac:dyDescent="0.25">
      <c r="A75" s="2"/>
      <c r="B75" s="2"/>
      <c r="C75" s="2"/>
      <c r="D75" s="2" t="s">
        <v>1374</v>
      </c>
      <c r="E75" s="2"/>
      <c r="F75" s="2"/>
      <c r="G75" s="2"/>
      <c r="H75" s="2"/>
      <c r="I75" s="2"/>
      <c r="J75" s="2"/>
      <c r="K75" s="2"/>
      <c r="L75" s="2"/>
      <c r="M75" s="2"/>
      <c r="N75" s="2"/>
      <c r="O75" s="2"/>
      <c r="P75" s="2"/>
      <c r="Q75" s="2"/>
      <c r="R75" s="2"/>
    </row>
    <row r="76" spans="1:18" x14ac:dyDescent="0.25">
      <c r="A76" s="2"/>
      <c r="B76" s="2"/>
      <c r="C76" s="2"/>
      <c r="D76" s="2" t="s">
        <v>1375</v>
      </c>
      <c r="E76" s="2"/>
      <c r="F76" s="2"/>
      <c r="G76" s="2"/>
      <c r="H76" s="2"/>
      <c r="I76" s="2"/>
      <c r="J76" s="2"/>
      <c r="K76" s="2"/>
      <c r="L76" s="2"/>
      <c r="M76" s="2"/>
      <c r="N76" s="2"/>
      <c r="O76" s="2"/>
      <c r="P76" s="2"/>
      <c r="Q76" s="2"/>
      <c r="R76" s="2"/>
    </row>
    <row r="77" spans="1:18" x14ac:dyDescent="0.25">
      <c r="A77" s="2"/>
      <c r="B77" s="2"/>
      <c r="C77" s="2"/>
      <c r="D77" s="2" t="s">
        <v>1271</v>
      </c>
      <c r="E77" s="2"/>
      <c r="F77" s="2"/>
      <c r="G77" s="2"/>
      <c r="H77" s="2"/>
      <c r="I77" s="2"/>
      <c r="J77" s="2"/>
      <c r="K77" s="2"/>
      <c r="L77" s="2"/>
      <c r="M77" s="2"/>
      <c r="N77" s="2"/>
      <c r="O77" s="2"/>
      <c r="P77" s="2"/>
      <c r="Q77" s="2"/>
      <c r="R77" s="2"/>
    </row>
    <row r="78" spans="1:18" x14ac:dyDescent="0.25">
      <c r="A78" s="2"/>
      <c r="B78" s="2"/>
      <c r="C78" s="2"/>
      <c r="D78" s="2" t="s">
        <v>1272</v>
      </c>
      <c r="E78" s="2"/>
      <c r="F78" s="2"/>
      <c r="G78" s="2"/>
      <c r="H78" s="2"/>
      <c r="I78" s="2"/>
      <c r="J78" s="2"/>
      <c r="K78" s="2"/>
      <c r="L78" s="2"/>
      <c r="M78" s="2"/>
      <c r="N78" s="2"/>
      <c r="O78" s="2"/>
      <c r="P78" s="2"/>
      <c r="Q78" s="2"/>
      <c r="R78" s="2"/>
    </row>
    <row r="79" spans="1:18" x14ac:dyDescent="0.25">
      <c r="A79" s="2"/>
      <c r="B79" s="2"/>
      <c r="C79" s="2"/>
      <c r="D79" s="2" t="s">
        <v>1273</v>
      </c>
      <c r="E79" s="2"/>
      <c r="F79" s="2"/>
      <c r="G79" s="2"/>
      <c r="H79" s="2"/>
      <c r="I79" s="2"/>
      <c r="J79" s="2"/>
      <c r="K79" s="2"/>
      <c r="L79" s="2"/>
      <c r="M79" s="2"/>
      <c r="N79" s="2"/>
      <c r="O79" s="2"/>
      <c r="P79" s="2"/>
      <c r="Q79" s="2"/>
      <c r="R79" s="2"/>
    </row>
    <row r="80" spans="1:18" x14ac:dyDescent="0.25">
      <c r="A80" s="2"/>
      <c r="B80" s="2"/>
      <c r="C80" s="2"/>
      <c r="D80" s="2" t="s">
        <v>1274</v>
      </c>
      <c r="E80" s="2"/>
      <c r="F80" s="2"/>
      <c r="G80" s="2"/>
      <c r="H80" s="2"/>
      <c r="I80" s="2"/>
      <c r="J80" s="2"/>
      <c r="K80" s="2"/>
      <c r="L80" s="2"/>
      <c r="M80" s="2"/>
      <c r="N80" s="2"/>
      <c r="O80" s="2"/>
      <c r="P80" s="2"/>
      <c r="Q80" s="2"/>
      <c r="R80" s="2"/>
    </row>
    <row r="81" spans="1:18" x14ac:dyDescent="0.25">
      <c r="A81" s="2"/>
      <c r="B81" s="2"/>
      <c r="C81" s="2"/>
      <c r="D81" s="2" t="s">
        <v>1376</v>
      </c>
      <c r="E81" s="2"/>
      <c r="F81" s="2"/>
      <c r="G81" s="2"/>
      <c r="H81" s="2"/>
      <c r="I81" s="2"/>
      <c r="J81" s="2"/>
      <c r="K81" s="2"/>
      <c r="L81" s="2"/>
      <c r="M81" s="2"/>
      <c r="N81" s="2"/>
      <c r="O81" s="2"/>
      <c r="P81" s="2"/>
      <c r="Q81" s="2"/>
      <c r="R81" s="2"/>
    </row>
    <row r="82" spans="1:18" x14ac:dyDescent="0.25">
      <c r="A82" s="2"/>
      <c r="B82" s="2"/>
      <c r="C82" s="2"/>
      <c r="D82" s="2" t="s">
        <v>1378</v>
      </c>
      <c r="E82" s="2"/>
      <c r="F82" s="2"/>
      <c r="G82" s="2"/>
      <c r="H82" s="2"/>
      <c r="I82" s="2"/>
      <c r="J82" s="2"/>
      <c r="K82" s="2"/>
      <c r="L82" s="2"/>
      <c r="M82" s="2"/>
      <c r="N82" s="2"/>
      <c r="O82" s="2"/>
      <c r="P82" s="2"/>
      <c r="Q82" s="2"/>
      <c r="R82" s="2"/>
    </row>
    <row r="83" spans="1:18" x14ac:dyDescent="0.25">
      <c r="A83" s="2"/>
      <c r="B83" s="2"/>
      <c r="C83" s="2"/>
      <c r="D83" s="2" t="s">
        <v>1377</v>
      </c>
      <c r="E83" s="2"/>
      <c r="F83" s="2"/>
      <c r="G83" s="2"/>
      <c r="H83" s="2"/>
      <c r="I83" s="2"/>
      <c r="J83" s="2"/>
      <c r="K83" s="2"/>
      <c r="L83" s="2"/>
      <c r="M83" s="2"/>
      <c r="N83" s="2"/>
      <c r="O83" s="2"/>
      <c r="P83" s="2"/>
      <c r="Q83" s="2"/>
      <c r="R83" s="2"/>
    </row>
    <row r="84" spans="1:18" x14ac:dyDescent="0.25">
      <c r="A84" s="2"/>
      <c r="B84" s="2"/>
      <c r="C84" s="2"/>
      <c r="D84" s="2"/>
      <c r="E84" s="2"/>
      <c r="F84" s="2"/>
      <c r="G84" s="2"/>
      <c r="H84" s="2"/>
      <c r="I84" s="2"/>
      <c r="J84" s="2"/>
      <c r="K84" s="2"/>
      <c r="L84" s="2"/>
      <c r="M84" s="2"/>
      <c r="N84" s="2"/>
      <c r="O84" s="2"/>
      <c r="P84" s="2"/>
      <c r="Q84" s="2"/>
      <c r="R84" s="2"/>
    </row>
    <row r="85" spans="1:18" x14ac:dyDescent="0.25">
      <c r="A85" s="3" t="s">
        <v>246</v>
      </c>
      <c r="B85" s="2"/>
      <c r="C85" s="2"/>
      <c r="D85" s="2" t="s">
        <v>247</v>
      </c>
      <c r="E85" s="2"/>
      <c r="F85" s="2"/>
      <c r="G85" s="2"/>
      <c r="H85" s="2"/>
      <c r="I85" s="2" t="s">
        <v>167</v>
      </c>
      <c r="J85" s="2"/>
      <c r="K85" s="2"/>
      <c r="L85" s="2"/>
      <c r="M85" s="2"/>
      <c r="N85" s="2" t="s">
        <v>160</v>
      </c>
      <c r="O85" s="2"/>
      <c r="P85" s="2"/>
      <c r="Q85" s="2"/>
      <c r="R85" s="2"/>
    </row>
    <row r="86" spans="1:18" x14ac:dyDescent="0.25">
      <c r="A86" s="2"/>
      <c r="B86" s="2"/>
      <c r="C86" s="2"/>
      <c r="D86" s="2" t="s">
        <v>248</v>
      </c>
      <c r="E86" s="2"/>
      <c r="F86" s="2"/>
      <c r="G86" s="2"/>
      <c r="H86" s="2"/>
      <c r="I86" s="2" t="s">
        <v>169</v>
      </c>
      <c r="J86" s="2"/>
      <c r="K86" s="2"/>
      <c r="L86" s="2"/>
      <c r="M86" s="2"/>
      <c r="N86" s="2"/>
      <c r="O86" s="2"/>
      <c r="P86" s="2"/>
      <c r="Q86" s="2"/>
      <c r="R86" s="2"/>
    </row>
    <row r="87" spans="1:18" x14ac:dyDescent="0.25">
      <c r="A87" s="2"/>
      <c r="B87" s="2"/>
      <c r="C87" s="2"/>
      <c r="D87" s="2" t="s">
        <v>249</v>
      </c>
      <c r="E87" s="2"/>
      <c r="F87" s="2"/>
      <c r="G87" s="2"/>
      <c r="H87" s="2"/>
      <c r="I87" s="2"/>
      <c r="J87" s="2"/>
      <c r="K87" s="2"/>
      <c r="L87" s="2"/>
      <c r="M87" s="2"/>
      <c r="N87" s="2"/>
      <c r="O87" s="2"/>
      <c r="P87" s="2"/>
      <c r="Q87" s="2"/>
      <c r="R87" s="2"/>
    </row>
    <row r="88" spans="1:18" x14ac:dyDescent="0.25">
      <c r="A88" s="2"/>
      <c r="B88" s="2"/>
      <c r="C88" s="2"/>
      <c r="D88" s="2" t="s">
        <v>250</v>
      </c>
      <c r="E88" s="2"/>
      <c r="F88" s="2"/>
      <c r="G88" s="2"/>
      <c r="H88" s="2"/>
      <c r="I88" s="2"/>
      <c r="J88" s="2"/>
      <c r="K88" s="2"/>
      <c r="L88" s="2"/>
      <c r="M88" s="2"/>
      <c r="N88" s="2"/>
      <c r="O88" s="2"/>
      <c r="P88" s="2"/>
      <c r="Q88" s="2"/>
      <c r="R88" s="2"/>
    </row>
    <row r="89" spans="1:18" x14ac:dyDescent="0.25">
      <c r="A89" s="2"/>
      <c r="B89" s="2"/>
      <c r="C89" s="2"/>
      <c r="D89" s="2" t="s">
        <v>251</v>
      </c>
      <c r="E89" s="2"/>
      <c r="F89" s="2"/>
      <c r="G89" s="2"/>
      <c r="H89" s="2"/>
      <c r="I89" s="2"/>
      <c r="J89" s="2"/>
      <c r="K89" s="2"/>
      <c r="L89" s="2"/>
      <c r="M89" s="2"/>
      <c r="N89" s="2"/>
      <c r="O89" s="2"/>
      <c r="P89" s="2"/>
      <c r="Q89" s="2"/>
      <c r="R89" s="2"/>
    </row>
    <row r="90" spans="1:18" x14ac:dyDescent="0.25">
      <c r="A90" s="2"/>
      <c r="B90" s="2"/>
      <c r="C90" s="2"/>
      <c r="D90" s="2" t="s">
        <v>252</v>
      </c>
      <c r="E90" s="2"/>
      <c r="F90" s="2"/>
      <c r="G90" s="2"/>
      <c r="H90" s="2"/>
      <c r="I90" s="2"/>
      <c r="J90" s="2"/>
      <c r="K90" s="2"/>
      <c r="L90" s="2"/>
      <c r="M90" s="2"/>
      <c r="N90" s="2"/>
      <c r="O90" s="2"/>
      <c r="P90" s="2"/>
      <c r="Q90" s="2"/>
      <c r="R90" s="2"/>
    </row>
    <row r="91" spans="1:18" x14ac:dyDescent="0.25">
      <c r="A91" s="2"/>
      <c r="B91" s="2"/>
      <c r="C91" s="2"/>
      <c r="D91" s="2" t="s">
        <v>253</v>
      </c>
      <c r="E91" s="2"/>
      <c r="F91" s="2"/>
      <c r="G91" s="2"/>
      <c r="H91" s="2"/>
      <c r="I91" s="2"/>
      <c r="J91" s="2"/>
      <c r="K91" s="2"/>
      <c r="L91" s="2"/>
      <c r="M91" s="2"/>
      <c r="N91" s="2"/>
      <c r="O91" s="2"/>
      <c r="P91" s="2"/>
      <c r="Q91" s="2"/>
      <c r="R91" s="2"/>
    </row>
    <row r="92" spans="1:18" x14ac:dyDescent="0.25">
      <c r="A92" s="2"/>
      <c r="B92" s="2"/>
      <c r="C92" s="2"/>
      <c r="D92" s="2" t="s">
        <v>254</v>
      </c>
      <c r="E92" s="2"/>
      <c r="F92" s="2"/>
      <c r="G92" s="2"/>
      <c r="H92" s="2"/>
      <c r="I92" s="2"/>
      <c r="J92" s="2"/>
      <c r="K92" s="2"/>
      <c r="L92" s="2"/>
      <c r="M92" s="2"/>
      <c r="N92" s="2"/>
      <c r="O92" s="2"/>
      <c r="P92" s="2"/>
      <c r="Q92" s="2"/>
      <c r="R92" s="2"/>
    </row>
    <row r="93" spans="1:18" x14ac:dyDescent="0.25">
      <c r="A93" s="2"/>
      <c r="B93" s="2"/>
      <c r="C93" s="2"/>
      <c r="D93" s="2"/>
      <c r="E93" s="2"/>
      <c r="F93" s="2"/>
      <c r="G93" s="2"/>
      <c r="H93" s="2"/>
      <c r="I93" s="2"/>
      <c r="J93" s="2"/>
      <c r="K93" s="2"/>
      <c r="L93" s="2"/>
      <c r="M93" s="2"/>
      <c r="N93" s="2"/>
      <c r="O93" s="2"/>
      <c r="P93" s="2"/>
      <c r="Q93" s="2"/>
      <c r="R93" s="2"/>
    </row>
    <row r="94" spans="1:18" x14ac:dyDescent="0.25">
      <c r="A94" s="3" t="s">
        <v>200</v>
      </c>
      <c r="B94" s="2"/>
      <c r="C94" s="2"/>
      <c r="D94" s="2" t="s">
        <v>255</v>
      </c>
      <c r="E94" s="2"/>
      <c r="F94" s="2"/>
      <c r="G94" s="2"/>
      <c r="H94" s="2"/>
      <c r="I94" s="2" t="s">
        <v>256</v>
      </c>
      <c r="J94" s="2"/>
      <c r="K94" s="2"/>
      <c r="L94" s="2"/>
      <c r="M94" s="2"/>
      <c r="N94" s="2" t="s">
        <v>160</v>
      </c>
      <c r="O94" s="2"/>
      <c r="P94" s="2"/>
      <c r="Q94" s="2"/>
      <c r="R94" s="2"/>
    </row>
    <row r="95" spans="1:18" x14ac:dyDescent="0.25">
      <c r="A95" s="2"/>
      <c r="B95" s="2"/>
      <c r="C95" s="2"/>
      <c r="D95" s="2" t="s">
        <v>257</v>
      </c>
      <c r="E95" s="2"/>
      <c r="F95" s="2"/>
      <c r="G95" s="2"/>
      <c r="H95" s="2"/>
      <c r="I95" s="2" t="s">
        <v>258</v>
      </c>
      <c r="J95" s="2"/>
      <c r="K95" s="2"/>
      <c r="L95" s="2"/>
      <c r="M95" s="2"/>
      <c r="N95" s="2"/>
      <c r="O95" s="2"/>
      <c r="P95" s="2"/>
      <c r="Q95" s="2"/>
      <c r="R95" s="2"/>
    </row>
    <row r="96" spans="1:18" x14ac:dyDescent="0.25">
      <c r="A96" s="2"/>
      <c r="B96" s="2"/>
      <c r="C96" s="2"/>
      <c r="D96" s="2" t="s">
        <v>259</v>
      </c>
      <c r="E96" s="2"/>
      <c r="F96" s="2"/>
      <c r="G96" s="2"/>
      <c r="H96" s="2"/>
      <c r="I96" s="2" t="s">
        <v>260</v>
      </c>
      <c r="J96" s="2"/>
      <c r="K96" s="2"/>
      <c r="L96" s="2"/>
      <c r="M96" s="2"/>
      <c r="N96" s="2"/>
      <c r="O96" s="2"/>
      <c r="P96" s="2"/>
      <c r="Q96" s="2"/>
      <c r="R96" s="2"/>
    </row>
    <row r="97" spans="1:18" x14ac:dyDescent="0.25">
      <c r="A97" s="2"/>
      <c r="B97" s="2"/>
      <c r="C97" s="2"/>
      <c r="D97" s="2" t="s">
        <v>261</v>
      </c>
      <c r="E97" s="2"/>
      <c r="F97" s="2"/>
      <c r="G97" s="2"/>
      <c r="H97" s="2"/>
      <c r="I97" s="2" t="s">
        <v>262</v>
      </c>
      <c r="J97" s="2"/>
      <c r="K97" s="2"/>
      <c r="L97" s="2"/>
      <c r="M97" s="2"/>
      <c r="N97" s="2"/>
      <c r="O97" s="2"/>
      <c r="P97" s="2"/>
      <c r="Q97" s="2"/>
      <c r="R97" s="2"/>
    </row>
    <row r="98" spans="1:18" x14ac:dyDescent="0.25">
      <c r="A98" s="2"/>
      <c r="B98" s="2"/>
      <c r="C98" s="2"/>
      <c r="D98" s="2" t="s">
        <v>263</v>
      </c>
      <c r="E98" s="2"/>
      <c r="F98" s="2"/>
      <c r="G98" s="2"/>
      <c r="H98" s="2"/>
      <c r="I98" s="2" t="s">
        <v>264</v>
      </c>
      <c r="J98" s="2"/>
      <c r="K98" s="2"/>
      <c r="L98" s="2"/>
      <c r="M98" s="2"/>
      <c r="N98" s="2"/>
      <c r="O98" s="2"/>
      <c r="P98" s="2"/>
      <c r="Q98" s="2"/>
      <c r="R98" s="2"/>
    </row>
    <row r="99" spans="1:18" x14ac:dyDescent="0.25">
      <c r="A99" s="2"/>
      <c r="B99" s="2"/>
      <c r="C99" s="2"/>
      <c r="D99" s="2" t="s">
        <v>265</v>
      </c>
      <c r="E99" s="2"/>
      <c r="F99" s="2"/>
      <c r="G99" s="2"/>
      <c r="H99" s="2"/>
      <c r="I99" s="2" t="s">
        <v>266</v>
      </c>
      <c r="J99" s="2"/>
      <c r="K99" s="2"/>
      <c r="L99" s="2"/>
      <c r="M99" s="2"/>
      <c r="N99" s="2"/>
      <c r="O99" s="2"/>
      <c r="P99" s="2"/>
      <c r="Q99" s="2"/>
      <c r="R99" s="2"/>
    </row>
    <row r="100" spans="1:18" x14ac:dyDescent="0.25">
      <c r="A100" s="2"/>
      <c r="B100" s="2"/>
      <c r="C100" s="2"/>
      <c r="D100" s="2" t="s">
        <v>267</v>
      </c>
      <c r="E100" s="2"/>
      <c r="F100" s="2"/>
      <c r="G100" s="2"/>
      <c r="H100" s="2"/>
      <c r="I100" s="2"/>
      <c r="J100" s="2"/>
      <c r="K100" s="2"/>
      <c r="L100" s="2"/>
      <c r="M100" s="2"/>
      <c r="N100" s="2"/>
      <c r="O100" s="2"/>
      <c r="P100" s="2"/>
      <c r="Q100" s="2"/>
      <c r="R100" s="2"/>
    </row>
    <row r="101" spans="1:18" x14ac:dyDescent="0.25">
      <c r="A101" s="2"/>
      <c r="B101" s="2"/>
      <c r="C101" s="2"/>
      <c r="D101" s="2" t="s">
        <v>268</v>
      </c>
      <c r="E101" s="2"/>
      <c r="F101" s="2"/>
      <c r="G101" s="2"/>
      <c r="H101" s="2"/>
      <c r="I101" s="2"/>
      <c r="J101" s="2"/>
      <c r="K101" s="2"/>
      <c r="L101" s="2"/>
      <c r="M101" s="2"/>
      <c r="N101" s="2"/>
      <c r="O101" s="2"/>
      <c r="P101" s="2"/>
      <c r="Q101" s="2"/>
      <c r="R101" s="2"/>
    </row>
    <row r="102" spans="1:18" x14ac:dyDescent="0.25">
      <c r="A102" s="2"/>
      <c r="B102" s="2"/>
      <c r="C102" s="2"/>
      <c r="D102" s="2" t="s">
        <v>269</v>
      </c>
      <c r="E102" s="2"/>
      <c r="F102" s="2"/>
      <c r="G102" s="2"/>
      <c r="H102" s="2"/>
      <c r="I102" s="2"/>
      <c r="J102" s="2"/>
      <c r="K102" s="2"/>
      <c r="L102" s="2"/>
      <c r="M102" s="2"/>
      <c r="N102" s="2"/>
      <c r="O102" s="2"/>
      <c r="P102" s="2"/>
      <c r="Q102" s="2"/>
      <c r="R102" s="2"/>
    </row>
    <row r="103" spans="1:18" x14ac:dyDescent="0.25">
      <c r="A103" s="2"/>
      <c r="B103" s="2"/>
      <c r="C103" s="2"/>
      <c r="D103" s="2" t="s">
        <v>270</v>
      </c>
      <c r="E103" s="2"/>
      <c r="F103" s="2"/>
      <c r="G103" s="2"/>
      <c r="H103" s="2"/>
      <c r="I103" s="2"/>
      <c r="J103" s="2"/>
      <c r="K103" s="2"/>
      <c r="L103" s="2"/>
      <c r="M103" s="2"/>
      <c r="N103" s="2"/>
      <c r="O103" s="2"/>
      <c r="P103" s="2"/>
      <c r="Q103" s="2"/>
      <c r="R103" s="2"/>
    </row>
    <row r="104" spans="1:18" x14ac:dyDescent="0.25">
      <c r="A104" s="2"/>
      <c r="B104" s="2"/>
      <c r="C104" s="2"/>
      <c r="D104" s="2" t="s">
        <v>271</v>
      </c>
      <c r="E104" s="2"/>
      <c r="F104" s="2"/>
      <c r="G104" s="2"/>
      <c r="H104" s="2"/>
      <c r="I104" s="2"/>
      <c r="J104" s="2"/>
      <c r="K104" s="2"/>
      <c r="L104" s="2"/>
      <c r="M104" s="2"/>
      <c r="N104" s="2"/>
      <c r="O104" s="2"/>
      <c r="P104" s="2"/>
      <c r="Q104" s="2"/>
      <c r="R104" s="2"/>
    </row>
    <row r="105" spans="1:18" x14ac:dyDescent="0.25">
      <c r="A105" s="2"/>
      <c r="B105" s="2"/>
      <c r="C105" s="2"/>
      <c r="D105" s="2"/>
      <c r="E105" s="2"/>
      <c r="F105" s="2"/>
      <c r="G105" s="2"/>
      <c r="H105" s="2"/>
      <c r="I105" s="2"/>
      <c r="J105" s="2"/>
      <c r="K105" s="2"/>
      <c r="L105" s="2"/>
      <c r="M105" s="2"/>
      <c r="N105" s="2"/>
      <c r="O105" s="2"/>
      <c r="P105" s="2"/>
      <c r="Q105" s="2"/>
      <c r="R105" s="2"/>
    </row>
    <row r="106" spans="1:18" x14ac:dyDescent="0.25">
      <c r="A106" s="3" t="s">
        <v>272</v>
      </c>
      <c r="B106" s="2"/>
      <c r="C106" s="2"/>
      <c r="D106" s="2" t="s">
        <v>273</v>
      </c>
      <c r="E106" s="2"/>
      <c r="F106" s="2"/>
      <c r="G106" s="2"/>
      <c r="H106" s="2"/>
      <c r="I106" s="2" t="s">
        <v>274</v>
      </c>
      <c r="J106" s="2"/>
      <c r="K106" s="2"/>
      <c r="L106" s="2"/>
      <c r="M106" s="2"/>
      <c r="N106" s="2" t="s">
        <v>160</v>
      </c>
      <c r="O106" s="2"/>
      <c r="P106" s="2"/>
      <c r="Q106" s="2"/>
      <c r="R106" s="2"/>
    </row>
    <row r="107" spans="1:18" x14ac:dyDescent="0.25">
      <c r="A107" s="2"/>
      <c r="B107" s="2"/>
      <c r="C107" s="2"/>
      <c r="D107" s="2" t="s">
        <v>275</v>
      </c>
      <c r="E107" s="2"/>
      <c r="F107" s="2"/>
      <c r="G107" s="2"/>
      <c r="H107" s="2"/>
      <c r="I107" s="2" t="s">
        <v>276</v>
      </c>
      <c r="J107" s="2"/>
      <c r="K107" s="2"/>
      <c r="L107" s="2"/>
      <c r="M107" s="2"/>
      <c r="N107" s="2"/>
      <c r="O107" s="2"/>
      <c r="P107" s="2"/>
      <c r="Q107" s="2"/>
      <c r="R107" s="2"/>
    </row>
    <row r="108" spans="1:18" x14ac:dyDescent="0.25">
      <c r="A108" s="2"/>
      <c r="B108" s="2"/>
      <c r="C108" s="2"/>
      <c r="D108" s="2" t="s">
        <v>277</v>
      </c>
      <c r="E108" s="2"/>
      <c r="F108" s="2"/>
      <c r="G108" s="2"/>
      <c r="H108" s="2"/>
      <c r="I108" s="2" t="s">
        <v>258</v>
      </c>
      <c r="J108" s="2"/>
      <c r="K108" s="2"/>
      <c r="L108" s="2"/>
      <c r="M108" s="2"/>
      <c r="N108" s="2"/>
      <c r="O108" s="2"/>
      <c r="P108" s="2"/>
      <c r="Q108" s="2"/>
      <c r="R108" s="2"/>
    </row>
    <row r="109" spans="1:18" x14ac:dyDescent="0.25">
      <c r="A109" s="2"/>
      <c r="B109" s="2"/>
      <c r="C109" s="2"/>
      <c r="D109" s="2" t="s">
        <v>278</v>
      </c>
      <c r="E109" s="2"/>
      <c r="F109" s="2"/>
      <c r="G109" s="2"/>
      <c r="H109" s="2"/>
      <c r="I109" s="2" t="s">
        <v>279</v>
      </c>
      <c r="J109" s="2"/>
      <c r="K109" s="2"/>
      <c r="L109" s="2"/>
      <c r="M109" s="2"/>
      <c r="N109" s="2"/>
      <c r="O109" s="2"/>
      <c r="P109" s="2"/>
      <c r="Q109" s="2"/>
      <c r="R109" s="2"/>
    </row>
    <row r="110" spans="1:18" x14ac:dyDescent="0.25">
      <c r="A110" s="2"/>
      <c r="B110" s="2"/>
      <c r="C110" s="2"/>
      <c r="D110" s="2" t="s">
        <v>280</v>
      </c>
      <c r="E110" s="2"/>
      <c r="F110" s="2"/>
      <c r="G110" s="2"/>
      <c r="H110" s="2"/>
      <c r="I110" s="2" t="s">
        <v>281</v>
      </c>
      <c r="J110" s="2"/>
      <c r="K110" s="2"/>
      <c r="L110" s="2"/>
      <c r="M110" s="2"/>
      <c r="N110" s="2"/>
      <c r="O110" s="2"/>
      <c r="P110" s="2"/>
      <c r="Q110" s="2"/>
      <c r="R110" s="2"/>
    </row>
    <row r="111" spans="1:18" x14ac:dyDescent="0.25">
      <c r="A111" s="2"/>
      <c r="B111" s="2"/>
      <c r="C111" s="2"/>
      <c r="D111" s="2" t="s">
        <v>282</v>
      </c>
      <c r="E111" s="2"/>
      <c r="F111" s="2"/>
      <c r="G111" s="2"/>
      <c r="H111" s="2"/>
      <c r="I111" s="2" t="s">
        <v>283</v>
      </c>
      <c r="J111" s="2"/>
      <c r="K111" s="2"/>
      <c r="L111" s="2"/>
      <c r="M111" s="2"/>
      <c r="N111" s="2"/>
      <c r="O111" s="2"/>
      <c r="P111" s="2"/>
      <c r="Q111" s="2"/>
      <c r="R111" s="2"/>
    </row>
    <row r="112" spans="1:18" x14ac:dyDescent="0.25">
      <c r="A112" s="2"/>
      <c r="B112" s="2"/>
      <c r="C112" s="2"/>
      <c r="D112" s="2" t="s">
        <v>284</v>
      </c>
      <c r="E112" s="2"/>
      <c r="F112" s="2"/>
      <c r="G112" s="2"/>
      <c r="H112" s="2"/>
      <c r="I112" s="2" t="s">
        <v>285</v>
      </c>
      <c r="J112" s="2"/>
      <c r="K112" s="2"/>
      <c r="L112" s="2"/>
      <c r="M112" s="2"/>
      <c r="N112" s="2"/>
      <c r="O112" s="2"/>
      <c r="P112" s="2"/>
      <c r="Q112" s="2"/>
      <c r="R112" s="2"/>
    </row>
    <row r="113" spans="1:18" x14ac:dyDescent="0.25">
      <c r="A113" s="2"/>
      <c r="B113" s="2"/>
      <c r="C113" s="2"/>
      <c r="D113" s="2" t="s">
        <v>286</v>
      </c>
      <c r="E113" s="2"/>
      <c r="F113" s="2"/>
      <c r="G113" s="2"/>
      <c r="H113" s="2"/>
      <c r="I113" s="2"/>
      <c r="J113" s="2"/>
      <c r="K113" s="2"/>
      <c r="L113" s="2"/>
      <c r="M113" s="2"/>
      <c r="N113" s="2"/>
      <c r="O113" s="2"/>
      <c r="P113" s="2"/>
      <c r="Q113" s="2"/>
      <c r="R113" s="2"/>
    </row>
    <row r="114" spans="1:18" x14ac:dyDescent="0.25">
      <c r="A114" s="2"/>
      <c r="B114" s="2"/>
      <c r="C114" s="2"/>
      <c r="D114" s="2" t="s">
        <v>287</v>
      </c>
      <c r="E114" s="2"/>
      <c r="F114" s="2"/>
      <c r="G114" s="2"/>
      <c r="H114" s="2"/>
      <c r="I114" s="2"/>
      <c r="J114" s="2"/>
      <c r="K114" s="2"/>
      <c r="L114" s="2"/>
      <c r="M114" s="2"/>
      <c r="N114" s="2"/>
      <c r="O114" s="2"/>
      <c r="P114" s="2"/>
      <c r="Q114" s="2"/>
      <c r="R114" s="2"/>
    </row>
    <row r="115" spans="1:18" x14ac:dyDescent="0.25">
      <c r="A115" s="2"/>
      <c r="B115" s="2"/>
      <c r="C115" s="2"/>
      <c r="D115" s="2" t="s">
        <v>288</v>
      </c>
      <c r="E115" s="2"/>
      <c r="F115" s="2"/>
      <c r="G115" s="2"/>
      <c r="H115" s="2"/>
      <c r="I115" s="2"/>
      <c r="J115" s="2"/>
      <c r="K115" s="2"/>
      <c r="L115" s="2"/>
      <c r="M115" s="2"/>
      <c r="N115" s="2"/>
      <c r="O115" s="2"/>
      <c r="P115" s="2"/>
      <c r="Q115" s="2"/>
      <c r="R115" s="2"/>
    </row>
    <row r="116" spans="1:18" x14ac:dyDescent="0.25">
      <c r="A116" s="2"/>
      <c r="B116" s="2"/>
      <c r="C116" s="2"/>
      <c r="D116" s="2"/>
      <c r="E116" s="2"/>
      <c r="F116" s="2"/>
      <c r="G116" s="2"/>
      <c r="H116" s="2"/>
      <c r="I116" s="2"/>
      <c r="J116" s="2"/>
      <c r="K116" s="2"/>
      <c r="L116" s="2"/>
      <c r="M116" s="2"/>
      <c r="N116" s="2"/>
      <c r="O116" s="2"/>
      <c r="P116" s="2"/>
      <c r="Q116" s="2"/>
      <c r="R116" s="2"/>
    </row>
    <row r="117" spans="1:18" x14ac:dyDescent="0.25">
      <c r="A117" s="3" t="s">
        <v>289</v>
      </c>
      <c r="B117" s="2"/>
      <c r="C117" s="2"/>
      <c r="D117" s="2" t="s">
        <v>290</v>
      </c>
      <c r="E117" s="2"/>
      <c r="F117" s="2"/>
      <c r="G117" s="2"/>
      <c r="H117" s="2"/>
      <c r="I117" s="2" t="s">
        <v>291</v>
      </c>
      <c r="J117" s="2"/>
      <c r="K117" s="2"/>
      <c r="L117" s="2"/>
      <c r="M117" s="2"/>
      <c r="N117" s="2" t="s">
        <v>160</v>
      </c>
      <c r="O117" s="2"/>
      <c r="P117" s="2"/>
      <c r="Q117" s="2"/>
      <c r="R117" s="2"/>
    </row>
    <row r="118" spans="1:18" x14ac:dyDescent="0.25">
      <c r="A118" s="2"/>
      <c r="B118" s="2"/>
      <c r="C118" s="2"/>
      <c r="D118" s="2" t="s">
        <v>292</v>
      </c>
      <c r="E118" s="2"/>
      <c r="F118" s="2"/>
      <c r="G118" s="2"/>
      <c r="H118" s="2"/>
      <c r="I118" s="2" t="s">
        <v>293</v>
      </c>
      <c r="J118" s="2"/>
      <c r="K118" s="2"/>
      <c r="L118" s="2"/>
      <c r="M118" s="2"/>
      <c r="N118" s="2"/>
      <c r="O118" s="2"/>
      <c r="P118" s="2"/>
      <c r="Q118" s="2"/>
      <c r="R118" s="2"/>
    </row>
    <row r="119" spans="1:18" x14ac:dyDescent="0.25">
      <c r="A119" s="2"/>
      <c r="B119" s="2"/>
      <c r="C119" s="2"/>
      <c r="D119" s="2" t="s">
        <v>294</v>
      </c>
      <c r="E119" s="2"/>
      <c r="F119" s="2"/>
      <c r="G119" s="2"/>
      <c r="H119" s="2"/>
      <c r="I119" s="2" t="s">
        <v>295</v>
      </c>
      <c r="J119" s="2"/>
      <c r="K119" s="2"/>
      <c r="L119" s="2"/>
      <c r="M119" s="2"/>
      <c r="N119" s="2"/>
      <c r="O119" s="2"/>
      <c r="P119" s="2"/>
      <c r="Q119" s="2"/>
      <c r="R119" s="2"/>
    </row>
    <row r="120" spans="1:18" x14ac:dyDescent="0.25">
      <c r="A120" s="2"/>
      <c r="B120" s="2"/>
      <c r="C120" s="2"/>
      <c r="D120" s="2" t="s">
        <v>296</v>
      </c>
      <c r="E120" s="2"/>
      <c r="F120" s="2"/>
      <c r="G120" s="2"/>
      <c r="H120" s="2"/>
      <c r="I120" s="2" t="s">
        <v>297</v>
      </c>
      <c r="J120" s="2"/>
      <c r="K120" s="2"/>
      <c r="L120" s="2"/>
      <c r="M120" s="2"/>
      <c r="N120" s="2"/>
      <c r="O120" s="2"/>
      <c r="P120" s="2"/>
      <c r="Q120" s="2"/>
      <c r="R120" s="2"/>
    </row>
    <row r="121" spans="1:18" x14ac:dyDescent="0.25">
      <c r="A121" s="2"/>
      <c r="B121" s="2"/>
      <c r="C121" s="2"/>
      <c r="D121" s="2" t="s">
        <v>298</v>
      </c>
      <c r="E121" s="2"/>
      <c r="F121" s="2"/>
      <c r="G121" s="2"/>
      <c r="H121" s="2"/>
      <c r="I121" s="2" t="s">
        <v>299</v>
      </c>
      <c r="J121" s="2"/>
      <c r="K121" s="2"/>
      <c r="L121" s="2"/>
      <c r="M121" s="2"/>
      <c r="N121" s="2"/>
      <c r="O121" s="2"/>
      <c r="P121" s="2"/>
      <c r="Q121" s="2"/>
      <c r="R121" s="2"/>
    </row>
    <row r="122" spans="1:18" x14ac:dyDescent="0.25">
      <c r="A122" s="2"/>
      <c r="B122" s="2"/>
      <c r="C122" s="2"/>
      <c r="D122" s="2" t="s">
        <v>300</v>
      </c>
      <c r="E122" s="2"/>
      <c r="F122" s="2"/>
      <c r="G122" s="2"/>
      <c r="H122" s="2"/>
      <c r="I122" s="2" t="s">
        <v>301</v>
      </c>
      <c r="J122" s="2"/>
      <c r="K122" s="2"/>
      <c r="L122" s="2"/>
      <c r="M122" s="2"/>
      <c r="N122" s="2"/>
      <c r="O122" s="2"/>
      <c r="P122" s="2"/>
      <c r="Q122" s="2"/>
      <c r="R122" s="2"/>
    </row>
    <row r="123" spans="1:18" x14ac:dyDescent="0.25">
      <c r="A123" s="2"/>
      <c r="B123" s="2"/>
      <c r="C123" s="2"/>
      <c r="D123" s="2" t="s">
        <v>302</v>
      </c>
      <c r="E123" s="2"/>
      <c r="F123" s="2"/>
      <c r="G123" s="2"/>
      <c r="H123" s="2"/>
      <c r="I123" s="2" t="s">
        <v>303</v>
      </c>
      <c r="J123" s="2"/>
      <c r="K123" s="2"/>
      <c r="L123" s="2"/>
      <c r="M123" s="2"/>
      <c r="N123" s="2"/>
      <c r="O123" s="2"/>
      <c r="P123" s="2"/>
      <c r="Q123" s="2"/>
      <c r="R123" s="2"/>
    </row>
    <row r="124" spans="1:18" x14ac:dyDescent="0.25">
      <c r="A124" s="2"/>
      <c r="B124" s="2"/>
      <c r="C124" s="2"/>
      <c r="D124" s="2" t="s">
        <v>304</v>
      </c>
      <c r="E124" s="2"/>
      <c r="F124" s="2"/>
      <c r="G124" s="2"/>
      <c r="H124" s="2"/>
      <c r="I124" s="52" t="s">
        <v>305</v>
      </c>
      <c r="J124" s="2"/>
      <c r="K124" s="2"/>
      <c r="L124" s="2"/>
      <c r="M124" s="2"/>
      <c r="N124" s="2"/>
      <c r="O124" s="2"/>
      <c r="P124" s="2"/>
      <c r="Q124" s="2"/>
      <c r="R124" s="2"/>
    </row>
    <row r="125" spans="1:18" x14ac:dyDescent="0.25">
      <c r="A125" s="2"/>
      <c r="B125" s="2"/>
      <c r="C125" s="2"/>
      <c r="D125" s="2" t="s">
        <v>306</v>
      </c>
      <c r="E125" s="2"/>
      <c r="F125" s="2"/>
      <c r="G125" s="2"/>
      <c r="H125" s="2"/>
      <c r="I125" s="2" t="s">
        <v>307</v>
      </c>
      <c r="J125" s="2"/>
      <c r="K125" s="2"/>
      <c r="L125" s="2"/>
      <c r="M125" s="2"/>
      <c r="N125" s="2"/>
      <c r="O125" s="2"/>
      <c r="P125" s="2"/>
      <c r="Q125" s="2"/>
      <c r="R125" s="2"/>
    </row>
    <row r="126" spans="1:18" x14ac:dyDescent="0.25">
      <c r="A126" s="2"/>
      <c r="B126" s="2"/>
      <c r="C126" s="2"/>
      <c r="D126" s="2" t="s">
        <v>308</v>
      </c>
      <c r="E126" s="2"/>
      <c r="F126" s="2"/>
      <c r="G126" s="2"/>
      <c r="H126" s="2"/>
      <c r="I126" s="2" t="s">
        <v>309</v>
      </c>
      <c r="J126" s="2"/>
      <c r="K126" s="2"/>
      <c r="L126" s="2"/>
      <c r="M126" s="2"/>
      <c r="N126" s="2"/>
      <c r="O126" s="2"/>
      <c r="P126" s="2"/>
      <c r="Q126" s="2"/>
      <c r="R126" s="2"/>
    </row>
    <row r="127" spans="1:18" x14ac:dyDescent="0.25">
      <c r="A127" s="2"/>
      <c r="B127" s="2"/>
      <c r="C127" s="2"/>
      <c r="D127" s="2" t="s">
        <v>310</v>
      </c>
      <c r="E127" s="2"/>
      <c r="F127" s="2"/>
      <c r="G127" s="2"/>
      <c r="H127" s="2"/>
      <c r="I127" s="2" t="s">
        <v>311</v>
      </c>
      <c r="J127" s="2"/>
      <c r="K127" s="2"/>
      <c r="L127" s="2"/>
      <c r="M127" s="2"/>
      <c r="N127" s="2"/>
      <c r="O127" s="2"/>
      <c r="P127" s="2"/>
      <c r="Q127" s="2"/>
      <c r="R127" s="2"/>
    </row>
    <row r="128" spans="1:18" x14ac:dyDescent="0.25">
      <c r="A128" s="2"/>
      <c r="B128" s="2"/>
      <c r="C128" s="2"/>
      <c r="D128" s="2" t="s">
        <v>312</v>
      </c>
      <c r="E128" s="2"/>
      <c r="F128" s="2"/>
      <c r="G128" s="2"/>
      <c r="H128" s="2"/>
      <c r="I128" s="2" t="s">
        <v>313</v>
      </c>
      <c r="J128" s="2"/>
      <c r="K128" s="2"/>
      <c r="L128" s="2"/>
      <c r="M128" s="2"/>
      <c r="N128" s="2"/>
      <c r="O128" s="2"/>
      <c r="P128" s="2"/>
      <c r="Q128" s="2"/>
      <c r="R128" s="2"/>
    </row>
    <row r="129" spans="1:18" x14ac:dyDescent="0.25">
      <c r="A129" s="2"/>
      <c r="B129" s="2"/>
      <c r="C129" s="2"/>
      <c r="D129" s="2" t="s">
        <v>314</v>
      </c>
      <c r="E129" s="2"/>
      <c r="F129" s="2"/>
      <c r="G129" s="2"/>
      <c r="H129" s="2"/>
      <c r="I129" s="2" t="s">
        <v>315</v>
      </c>
      <c r="J129" s="2"/>
      <c r="K129" s="2"/>
      <c r="L129" s="2"/>
      <c r="M129" s="2"/>
      <c r="N129" s="2"/>
      <c r="O129" s="2"/>
      <c r="P129" s="2"/>
      <c r="Q129" s="2"/>
      <c r="R129" s="2"/>
    </row>
    <row r="130" spans="1:18" x14ac:dyDescent="0.25">
      <c r="A130" s="2"/>
      <c r="B130" s="2"/>
      <c r="C130" s="2"/>
      <c r="D130" s="2" t="s">
        <v>316</v>
      </c>
      <c r="E130" s="2"/>
      <c r="F130" s="2"/>
      <c r="G130" s="2"/>
      <c r="H130" s="2"/>
      <c r="I130" s="2" t="s">
        <v>317</v>
      </c>
      <c r="J130" s="2"/>
      <c r="K130" s="2"/>
      <c r="L130" s="2"/>
      <c r="M130" s="2"/>
      <c r="N130" s="2"/>
      <c r="O130" s="2"/>
      <c r="P130" s="2"/>
      <c r="Q130" s="2"/>
      <c r="R130" s="2"/>
    </row>
    <row r="131" spans="1:18" x14ac:dyDescent="0.25">
      <c r="A131" s="2"/>
      <c r="B131" s="2"/>
      <c r="C131" s="2"/>
      <c r="D131" s="2" t="s">
        <v>318</v>
      </c>
      <c r="E131" s="2"/>
      <c r="F131" s="2"/>
      <c r="G131" s="2"/>
      <c r="H131" s="2"/>
      <c r="I131" s="2" t="s">
        <v>319</v>
      </c>
      <c r="J131" s="2"/>
      <c r="K131" s="2"/>
      <c r="L131" s="2"/>
      <c r="M131" s="2"/>
      <c r="N131" s="2"/>
      <c r="O131" s="2"/>
      <c r="P131" s="2"/>
      <c r="Q131" s="2"/>
      <c r="R131" s="2"/>
    </row>
    <row r="132" spans="1:18" x14ac:dyDescent="0.25">
      <c r="A132" s="2"/>
      <c r="B132" s="2"/>
      <c r="C132" s="2"/>
      <c r="D132" s="3" t="s">
        <v>320</v>
      </c>
      <c r="E132" s="2"/>
      <c r="F132" s="2"/>
      <c r="G132" s="2"/>
      <c r="H132" s="2"/>
      <c r="I132" s="2" t="s">
        <v>321</v>
      </c>
      <c r="J132" s="2"/>
      <c r="K132" s="2"/>
      <c r="L132" s="2"/>
      <c r="M132" s="2"/>
      <c r="N132" s="2"/>
      <c r="O132" s="2"/>
      <c r="P132" s="2"/>
      <c r="Q132" s="2"/>
      <c r="R132" s="2"/>
    </row>
    <row r="133" spans="1:18" x14ac:dyDescent="0.25">
      <c r="A133" s="2"/>
      <c r="B133" s="2"/>
      <c r="C133" s="2"/>
      <c r="D133" s="2"/>
      <c r="E133" s="2"/>
      <c r="F133" s="2"/>
      <c r="G133" s="2"/>
      <c r="H133" s="2"/>
      <c r="I133" s="2"/>
      <c r="J133" s="2"/>
      <c r="K133" s="2"/>
      <c r="L133" s="2"/>
      <c r="M133" s="2"/>
      <c r="N133" s="2"/>
      <c r="O133" s="2"/>
      <c r="P133" s="2"/>
      <c r="Q133" s="2"/>
      <c r="R133" s="2"/>
    </row>
    <row r="134" spans="1:18" x14ac:dyDescent="0.25">
      <c r="A134" s="2" t="s">
        <v>322</v>
      </c>
      <c r="B134" s="2"/>
      <c r="C134" s="2"/>
      <c r="D134" s="2" t="s">
        <v>323</v>
      </c>
      <c r="E134" s="2"/>
      <c r="F134" s="2"/>
      <c r="G134" s="2"/>
      <c r="H134" s="2"/>
      <c r="I134" s="2" t="s">
        <v>160</v>
      </c>
      <c r="J134" s="2"/>
      <c r="K134" s="2"/>
      <c r="L134" s="2"/>
      <c r="M134" s="2"/>
      <c r="N134" s="3" t="s">
        <v>157</v>
      </c>
      <c r="O134" s="2"/>
      <c r="P134" s="2"/>
      <c r="Q134" s="2"/>
      <c r="R134" s="2"/>
    </row>
    <row r="135" spans="1:18" x14ac:dyDescent="0.25">
      <c r="A135" s="2" t="s">
        <v>324</v>
      </c>
      <c r="B135" s="2"/>
      <c r="C135" s="2"/>
      <c r="D135" s="2" t="s">
        <v>1346</v>
      </c>
      <c r="E135" s="2"/>
      <c r="F135" s="2"/>
      <c r="G135" s="2"/>
      <c r="H135" s="2"/>
      <c r="I135" s="2"/>
      <c r="J135" s="2"/>
      <c r="K135" s="2"/>
      <c r="L135" s="2"/>
      <c r="M135" s="2"/>
      <c r="N135" s="3" t="s">
        <v>195</v>
      </c>
      <c r="O135" s="2"/>
      <c r="P135" s="2"/>
      <c r="Q135" s="2"/>
      <c r="R135" s="2"/>
    </row>
    <row r="136" spans="1:18" x14ac:dyDescent="0.25">
      <c r="A136" s="2" t="s">
        <v>1379</v>
      </c>
      <c r="B136" s="2"/>
      <c r="C136" s="2"/>
      <c r="D136" s="2" t="s">
        <v>325</v>
      </c>
      <c r="E136" s="2"/>
      <c r="F136" s="2"/>
      <c r="G136" s="2"/>
      <c r="H136" s="2"/>
      <c r="I136" s="2"/>
      <c r="J136" s="2"/>
      <c r="K136" s="2"/>
      <c r="L136" s="2"/>
      <c r="M136" s="2"/>
      <c r="N136" s="3" t="s">
        <v>214</v>
      </c>
      <c r="O136" s="2"/>
      <c r="P136" s="2"/>
      <c r="Q136" s="2"/>
      <c r="R136" s="2"/>
    </row>
    <row r="137" spans="1:18" x14ac:dyDescent="0.25">
      <c r="A137" s="2" t="s">
        <v>1380</v>
      </c>
      <c r="B137" s="2"/>
      <c r="C137" s="2"/>
      <c r="D137" s="2" t="s">
        <v>326</v>
      </c>
      <c r="E137" s="2"/>
      <c r="F137" s="2"/>
      <c r="G137" s="2"/>
      <c r="H137" s="2"/>
      <c r="I137" s="2"/>
      <c r="J137" s="2"/>
      <c r="K137" s="2"/>
      <c r="L137" s="2"/>
      <c r="M137" s="2"/>
      <c r="N137" s="3" t="s">
        <v>227</v>
      </c>
      <c r="O137" s="2"/>
      <c r="P137" s="2"/>
      <c r="Q137" s="2"/>
      <c r="R137" s="2"/>
    </row>
    <row r="138" spans="1:18" x14ac:dyDescent="0.25">
      <c r="A138" s="2" t="s">
        <v>1382</v>
      </c>
      <c r="B138" s="2"/>
      <c r="C138" s="2"/>
      <c r="D138" s="2" t="s">
        <v>327</v>
      </c>
      <c r="E138" s="2"/>
      <c r="F138" s="2"/>
      <c r="G138" s="2"/>
      <c r="H138" s="2"/>
      <c r="I138" s="2"/>
      <c r="J138" s="2"/>
      <c r="K138" s="2"/>
      <c r="L138" s="2"/>
      <c r="M138" s="2"/>
      <c r="N138" s="3" t="s">
        <v>1105</v>
      </c>
      <c r="O138" s="2"/>
      <c r="P138" s="2"/>
      <c r="Q138" s="2"/>
      <c r="R138" s="2"/>
    </row>
    <row r="139" spans="1:18" x14ac:dyDescent="0.25">
      <c r="A139" s="107" t="s">
        <v>1381</v>
      </c>
      <c r="B139" s="2"/>
      <c r="C139" s="2"/>
      <c r="D139" s="2"/>
      <c r="E139" s="2"/>
      <c r="F139" s="2"/>
      <c r="G139" s="2"/>
      <c r="H139" s="2"/>
      <c r="I139" s="2"/>
      <c r="J139" s="2"/>
      <c r="K139" s="2"/>
      <c r="L139" s="2"/>
      <c r="M139" s="2"/>
      <c r="N139" s="3" t="s">
        <v>200</v>
      </c>
      <c r="O139" s="2"/>
      <c r="P139" s="2"/>
      <c r="Q139" s="2"/>
      <c r="R139" s="2"/>
    </row>
    <row r="140" spans="1:18" x14ac:dyDescent="0.25">
      <c r="A140" s="2" t="s">
        <v>328</v>
      </c>
      <c r="B140" s="2"/>
      <c r="C140" s="2"/>
      <c r="D140" s="2"/>
      <c r="E140" s="2"/>
      <c r="F140" s="2"/>
      <c r="G140" s="2"/>
      <c r="H140" s="2"/>
      <c r="I140" s="2"/>
      <c r="J140" s="2"/>
      <c r="K140" s="2"/>
      <c r="L140" s="2"/>
      <c r="M140" s="2"/>
      <c r="N140" s="3" t="s">
        <v>272</v>
      </c>
      <c r="O140" s="2"/>
      <c r="P140" s="2"/>
      <c r="Q140" s="2"/>
      <c r="R140" s="2"/>
    </row>
    <row r="141" spans="1:18" x14ac:dyDescent="0.25">
      <c r="A141" s="51" t="s">
        <v>289</v>
      </c>
      <c r="B141" s="2"/>
      <c r="C141" s="2"/>
      <c r="D141" s="2"/>
      <c r="E141" s="2"/>
      <c r="F141" s="2"/>
      <c r="G141" s="2"/>
      <c r="H141" s="2"/>
      <c r="I141" s="2"/>
      <c r="J141" s="2"/>
      <c r="K141" s="2"/>
      <c r="L141" s="2"/>
      <c r="M141" s="2"/>
      <c r="N141" s="3" t="s">
        <v>289</v>
      </c>
      <c r="O141" s="2"/>
      <c r="P141" s="2"/>
      <c r="Q141" s="2"/>
      <c r="R141" s="2"/>
    </row>
    <row r="142" spans="1:18" x14ac:dyDescent="0.25">
      <c r="A142" s="50" t="s">
        <v>329</v>
      </c>
      <c r="B142" s="2"/>
      <c r="C142" s="2"/>
      <c r="D142" s="2"/>
      <c r="E142" s="2"/>
      <c r="F142" s="2"/>
      <c r="G142" s="2"/>
      <c r="H142" s="2"/>
      <c r="I142" s="2"/>
      <c r="J142" s="2"/>
      <c r="K142" s="2"/>
      <c r="L142" s="2"/>
      <c r="M142" s="2"/>
      <c r="O142" s="2"/>
      <c r="P142" s="2"/>
      <c r="Q142" s="2"/>
      <c r="R142" s="2"/>
    </row>
    <row r="143" spans="1:18" x14ac:dyDescent="0.25">
      <c r="A143" s="2" t="s">
        <v>330</v>
      </c>
      <c r="B143" s="2"/>
      <c r="C143" s="2"/>
      <c r="D143" s="2"/>
      <c r="E143" s="2"/>
      <c r="F143" s="2"/>
      <c r="G143" s="2"/>
      <c r="H143" s="2"/>
      <c r="I143" s="2"/>
      <c r="J143" s="2"/>
      <c r="K143" s="2"/>
      <c r="L143" s="2"/>
      <c r="M143" s="2"/>
      <c r="O143" s="2"/>
      <c r="P143" s="2"/>
      <c r="Q143" s="2"/>
      <c r="R143" s="2"/>
    </row>
    <row r="144" spans="1:18" x14ac:dyDescent="0.25">
      <c r="A144" s="2" t="s">
        <v>331</v>
      </c>
      <c r="B144" s="2"/>
      <c r="C144" s="2"/>
      <c r="D144" s="2"/>
      <c r="E144" s="2"/>
      <c r="F144" s="2"/>
      <c r="G144" s="2"/>
      <c r="H144" s="2"/>
      <c r="I144" s="2"/>
      <c r="J144" s="2"/>
      <c r="K144" s="2"/>
      <c r="L144" s="2"/>
      <c r="M144" s="2"/>
      <c r="N144" s="3"/>
      <c r="O144" s="2"/>
      <c r="P144" s="2"/>
      <c r="Q144" s="2"/>
      <c r="R144" s="2"/>
    </row>
    <row r="145" spans="2:18" x14ac:dyDescent="0.25">
      <c r="B145" s="2"/>
      <c r="C145" s="2"/>
      <c r="D145" s="2"/>
      <c r="E145" s="2"/>
      <c r="F145" s="2"/>
      <c r="G145" s="2"/>
      <c r="H145" s="2"/>
      <c r="I145" s="2"/>
      <c r="J145" s="2"/>
      <c r="K145" s="2"/>
      <c r="L145" s="2"/>
      <c r="M145" s="2"/>
      <c r="N145" s="3"/>
      <c r="O145" s="2"/>
      <c r="P145" s="2"/>
      <c r="Q145" s="2"/>
      <c r="R145" s="2"/>
    </row>
    <row r="146" spans="2:18" x14ac:dyDescent="0.25">
      <c r="B146" s="2"/>
      <c r="C146" s="2"/>
      <c r="D146" s="2"/>
      <c r="E146" s="2"/>
      <c r="F146" s="2"/>
      <c r="G146" s="2"/>
      <c r="H146" s="2"/>
      <c r="I146" s="2"/>
      <c r="J146" s="2"/>
      <c r="K146" s="2"/>
      <c r="L146" s="2"/>
      <c r="M146" s="2"/>
      <c r="N146" s="3"/>
      <c r="O146" s="2"/>
      <c r="P146" s="2"/>
      <c r="Q146" s="2"/>
      <c r="R14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D3953-6010-4799-8411-0C3A7B4F4E26}">
  <dimension ref="A1:O58"/>
  <sheetViews>
    <sheetView workbookViewId="0"/>
  </sheetViews>
  <sheetFormatPr defaultRowHeight="15" x14ac:dyDescent="0.25"/>
  <sheetData>
    <row r="1" spans="1:15" ht="15.75" x14ac:dyDescent="0.25">
      <c r="A1" s="48" t="s">
        <v>1347</v>
      </c>
      <c r="B1" s="2"/>
      <c r="C1" s="2"/>
      <c r="D1" s="2"/>
      <c r="E1" s="2"/>
      <c r="F1" s="2"/>
      <c r="G1" s="2"/>
      <c r="H1" s="2"/>
      <c r="I1" s="2"/>
      <c r="J1" s="2"/>
      <c r="K1" s="2"/>
      <c r="L1" s="2"/>
      <c r="M1" s="2"/>
      <c r="N1" s="2"/>
      <c r="O1" s="2"/>
    </row>
    <row r="2" spans="1:15" x14ac:dyDescent="0.25">
      <c r="A2" s="3" t="s">
        <v>333</v>
      </c>
      <c r="B2" s="2"/>
      <c r="C2" s="2"/>
      <c r="D2" s="2"/>
      <c r="E2" s="2"/>
      <c r="F2" s="2"/>
      <c r="G2" s="2"/>
      <c r="H2" s="2"/>
      <c r="I2" s="2"/>
      <c r="J2" s="2"/>
      <c r="K2" s="2"/>
      <c r="L2" s="2"/>
      <c r="M2" s="2"/>
      <c r="N2" s="2"/>
      <c r="O2" s="2"/>
    </row>
    <row r="3" spans="1:15" x14ac:dyDescent="0.25">
      <c r="A3" s="3" t="s">
        <v>1348</v>
      </c>
      <c r="B3" s="2"/>
      <c r="C3" s="2"/>
      <c r="D3" s="2"/>
      <c r="E3" s="2"/>
      <c r="F3" s="2"/>
      <c r="G3" s="2"/>
      <c r="H3" s="2"/>
      <c r="I3" s="2"/>
      <c r="J3" s="2"/>
      <c r="K3" s="2"/>
      <c r="L3" s="2"/>
      <c r="M3" s="2"/>
      <c r="N3" s="2"/>
      <c r="O3" s="2"/>
    </row>
    <row r="4" spans="1:15" x14ac:dyDescent="0.25">
      <c r="A4" s="3" t="s">
        <v>334</v>
      </c>
      <c r="B4" s="2"/>
      <c r="C4" s="2"/>
      <c r="D4" s="2"/>
      <c r="E4" s="2"/>
      <c r="F4" s="2"/>
      <c r="G4" s="2"/>
      <c r="H4" s="2"/>
      <c r="I4" s="2"/>
      <c r="J4" s="2"/>
      <c r="K4" s="2"/>
      <c r="L4" s="2"/>
      <c r="M4" s="2"/>
      <c r="N4" s="2"/>
      <c r="O4" s="2"/>
    </row>
    <row r="5" spans="1:15" x14ac:dyDescent="0.25">
      <c r="A5" s="2"/>
      <c r="B5" s="2"/>
      <c r="C5" s="2"/>
      <c r="D5" s="2"/>
      <c r="E5" s="2"/>
      <c r="F5" s="2"/>
      <c r="G5" s="2"/>
      <c r="H5" s="2"/>
      <c r="I5" s="2"/>
      <c r="J5" s="2"/>
      <c r="K5" s="2"/>
      <c r="L5" s="2"/>
      <c r="M5" s="2"/>
      <c r="N5" s="2"/>
      <c r="O5" s="2"/>
    </row>
    <row r="6" spans="1:15" x14ac:dyDescent="0.25">
      <c r="A6" s="49" t="s">
        <v>1349</v>
      </c>
      <c r="B6" s="2"/>
      <c r="C6" s="2"/>
      <c r="D6" s="2"/>
      <c r="E6" s="2" t="s">
        <v>1259</v>
      </c>
      <c r="F6" s="2"/>
      <c r="G6" s="2"/>
      <c r="H6" s="2"/>
      <c r="I6" s="2"/>
      <c r="J6" s="2"/>
      <c r="K6" s="2"/>
      <c r="L6" s="2"/>
      <c r="M6" s="2"/>
      <c r="N6" s="2"/>
      <c r="O6" s="2"/>
    </row>
    <row r="7" spans="1:15" x14ac:dyDescent="0.25">
      <c r="A7" s="49"/>
      <c r="B7" s="2"/>
      <c r="C7" s="2"/>
      <c r="D7" s="2"/>
      <c r="E7" s="2"/>
      <c r="F7" s="2"/>
      <c r="G7" s="2"/>
      <c r="H7" s="2"/>
      <c r="I7" s="2"/>
      <c r="J7" s="2"/>
      <c r="K7" s="2"/>
      <c r="L7" s="2"/>
      <c r="M7" s="2"/>
      <c r="N7" s="2"/>
      <c r="O7" s="2"/>
    </row>
    <row r="8" spans="1:15" x14ac:dyDescent="0.25">
      <c r="A8" s="2" t="s">
        <v>335</v>
      </c>
      <c r="B8" s="2"/>
      <c r="C8" s="2" t="s">
        <v>336</v>
      </c>
      <c r="D8" s="2"/>
      <c r="E8" s="2" t="s">
        <v>337</v>
      </c>
      <c r="F8" s="2"/>
      <c r="G8" s="2"/>
      <c r="H8" s="2"/>
      <c r="I8" s="2"/>
      <c r="J8" s="2" t="s">
        <v>338</v>
      </c>
      <c r="K8" s="2"/>
      <c r="L8" s="2"/>
      <c r="M8" s="2"/>
      <c r="N8" s="2"/>
      <c r="O8" s="2"/>
    </row>
    <row r="9" spans="1:15" x14ac:dyDescent="0.25">
      <c r="A9" s="2"/>
      <c r="B9" s="2"/>
      <c r="C9" s="2" t="s">
        <v>339</v>
      </c>
      <c r="D9" s="2"/>
      <c r="E9" s="2"/>
      <c r="F9" s="2"/>
      <c r="G9" s="2"/>
      <c r="H9" s="2"/>
      <c r="I9" s="2"/>
      <c r="J9" s="2" t="s">
        <v>1260</v>
      </c>
      <c r="K9" s="2"/>
      <c r="L9" s="2"/>
      <c r="M9" s="2"/>
      <c r="N9" s="2"/>
      <c r="O9" s="2"/>
    </row>
    <row r="10" spans="1:15" x14ac:dyDescent="0.25">
      <c r="A10" s="2"/>
      <c r="B10" s="2"/>
      <c r="C10" s="2"/>
      <c r="D10" s="2"/>
      <c r="E10" s="2"/>
      <c r="F10" s="2"/>
      <c r="G10" s="2"/>
      <c r="H10" s="2"/>
      <c r="I10" s="2"/>
      <c r="J10" s="2"/>
      <c r="K10" s="2"/>
      <c r="L10" s="2"/>
      <c r="M10" s="2"/>
      <c r="N10" s="2"/>
      <c r="O10" s="2"/>
    </row>
    <row r="11" spans="1:15" x14ac:dyDescent="0.25">
      <c r="A11" s="2" t="s">
        <v>340</v>
      </c>
      <c r="B11" s="2"/>
      <c r="C11" s="2" t="s">
        <v>336</v>
      </c>
      <c r="D11" s="2"/>
      <c r="E11" s="2" t="s">
        <v>341</v>
      </c>
      <c r="F11" s="2"/>
      <c r="G11" s="2"/>
      <c r="H11" s="2"/>
      <c r="I11" s="2"/>
      <c r="J11" s="2" t="s">
        <v>342</v>
      </c>
      <c r="K11" s="2"/>
      <c r="L11" s="2"/>
      <c r="M11" s="2"/>
      <c r="N11" s="2"/>
      <c r="O11" s="2"/>
    </row>
    <row r="12" spans="1:15" x14ac:dyDescent="0.25">
      <c r="A12" s="2"/>
      <c r="B12" s="2"/>
      <c r="C12" s="2" t="s">
        <v>339</v>
      </c>
      <c r="D12" s="2"/>
      <c r="E12" s="2"/>
      <c r="F12" s="2"/>
      <c r="G12" s="2"/>
      <c r="H12" s="2"/>
      <c r="I12" s="2"/>
      <c r="J12" s="2" t="s">
        <v>1260</v>
      </c>
      <c r="K12" s="2"/>
      <c r="L12" s="2"/>
      <c r="M12" s="2"/>
      <c r="N12" s="2"/>
      <c r="O12" s="2"/>
    </row>
    <row r="13" spans="1:15" x14ac:dyDescent="0.25">
      <c r="A13" s="2"/>
      <c r="B13" s="2"/>
      <c r="C13" s="2"/>
      <c r="D13" s="2"/>
      <c r="E13" s="2"/>
      <c r="F13" s="2"/>
      <c r="G13" s="2"/>
      <c r="H13" s="2"/>
      <c r="I13" s="2"/>
      <c r="J13" s="2"/>
      <c r="K13" s="2"/>
      <c r="L13" s="2"/>
      <c r="M13" s="2"/>
      <c r="N13" s="2"/>
      <c r="O13" s="2"/>
    </row>
    <row r="14" spans="1:15" x14ac:dyDescent="0.25">
      <c r="A14" s="2" t="s">
        <v>343</v>
      </c>
      <c r="B14" s="2"/>
      <c r="C14" s="2" t="s">
        <v>336</v>
      </c>
      <c r="D14" s="2"/>
      <c r="E14" s="2" t="s">
        <v>344</v>
      </c>
      <c r="F14" s="2"/>
      <c r="G14" s="2"/>
      <c r="H14" s="2"/>
      <c r="I14" s="2"/>
      <c r="J14" s="2" t="s">
        <v>345</v>
      </c>
      <c r="K14" s="2"/>
      <c r="L14" s="2"/>
      <c r="M14" s="2"/>
      <c r="N14" s="2"/>
      <c r="O14" s="2"/>
    </row>
    <row r="15" spans="1:15" x14ac:dyDescent="0.25">
      <c r="A15" s="2" t="s">
        <v>346</v>
      </c>
      <c r="B15" s="2"/>
      <c r="C15" s="2" t="s">
        <v>339</v>
      </c>
      <c r="D15" s="2"/>
      <c r="E15" s="2" t="s">
        <v>347</v>
      </c>
      <c r="F15" s="2"/>
      <c r="G15" s="2"/>
      <c r="H15" s="2"/>
      <c r="I15" s="2"/>
      <c r="J15" s="2" t="s">
        <v>1260</v>
      </c>
      <c r="K15" s="2"/>
      <c r="L15" s="5"/>
      <c r="M15" s="2"/>
      <c r="N15" s="2"/>
      <c r="O15" s="2"/>
    </row>
    <row r="16" spans="1:15" x14ac:dyDescent="0.25">
      <c r="A16" s="2" t="s">
        <v>348</v>
      </c>
      <c r="B16" s="2"/>
      <c r="C16" s="2" t="s">
        <v>349</v>
      </c>
      <c r="D16" s="2"/>
      <c r="E16" s="2" t="s">
        <v>350</v>
      </c>
      <c r="F16" s="2"/>
      <c r="G16" s="2"/>
      <c r="H16" s="2"/>
      <c r="I16" s="2"/>
      <c r="J16" s="2" t="s">
        <v>1350</v>
      </c>
      <c r="K16" s="2"/>
      <c r="L16" s="2"/>
      <c r="M16" s="2"/>
      <c r="N16" s="2"/>
      <c r="O16" s="2"/>
    </row>
    <row r="17" spans="1:15" x14ac:dyDescent="0.25">
      <c r="A17" s="2"/>
      <c r="B17" s="2"/>
      <c r="C17" s="2"/>
      <c r="D17" s="2"/>
      <c r="E17" s="2"/>
      <c r="F17" s="2"/>
      <c r="G17" s="2"/>
      <c r="H17" s="2"/>
      <c r="I17" s="2"/>
      <c r="J17" s="2"/>
      <c r="K17" s="2"/>
      <c r="L17" s="2"/>
      <c r="M17" s="2"/>
      <c r="N17" s="2"/>
      <c r="O17" s="2"/>
    </row>
    <row r="18" spans="1:15" x14ac:dyDescent="0.25">
      <c r="A18" s="2" t="s">
        <v>351</v>
      </c>
      <c r="B18" s="2"/>
      <c r="C18" s="2" t="s">
        <v>336</v>
      </c>
      <c r="D18" s="2"/>
      <c r="E18" s="2" t="s">
        <v>344</v>
      </c>
      <c r="F18" s="2"/>
      <c r="G18" s="2"/>
      <c r="H18" s="2"/>
      <c r="I18" s="2"/>
      <c r="J18" s="2" t="s">
        <v>352</v>
      </c>
      <c r="K18" s="2"/>
      <c r="L18" s="2"/>
      <c r="M18" s="2"/>
      <c r="N18" s="2"/>
      <c r="O18" s="2"/>
    </row>
    <row r="19" spans="1:15" x14ac:dyDescent="0.25">
      <c r="A19" s="2" t="s">
        <v>346</v>
      </c>
      <c r="B19" s="2"/>
      <c r="C19" s="2" t="s">
        <v>339</v>
      </c>
      <c r="D19" s="2"/>
      <c r="E19" s="2" t="s">
        <v>353</v>
      </c>
      <c r="F19" s="2"/>
      <c r="G19" s="2"/>
      <c r="H19" s="2"/>
      <c r="I19" s="2"/>
      <c r="J19" s="2" t="s">
        <v>1260</v>
      </c>
      <c r="K19" s="2"/>
      <c r="L19" s="2"/>
      <c r="M19" s="2"/>
      <c r="N19" s="2"/>
      <c r="O19" s="2"/>
    </row>
    <row r="20" spans="1:15" x14ac:dyDescent="0.25">
      <c r="A20" s="2" t="s">
        <v>348</v>
      </c>
      <c r="B20" s="2"/>
      <c r="C20" s="2" t="s">
        <v>349</v>
      </c>
      <c r="D20" s="2"/>
      <c r="E20" s="2" t="s">
        <v>350</v>
      </c>
      <c r="F20" s="2"/>
      <c r="G20" s="2"/>
      <c r="H20" s="2"/>
      <c r="I20" s="2"/>
      <c r="J20" s="2" t="s">
        <v>1351</v>
      </c>
      <c r="K20" s="2"/>
      <c r="L20" s="2"/>
      <c r="M20" s="2"/>
      <c r="N20" s="2"/>
      <c r="O20" s="2"/>
    </row>
    <row r="21" spans="1:15" x14ac:dyDescent="0.25">
      <c r="A21" s="2"/>
      <c r="B21" s="2"/>
      <c r="C21" s="2"/>
      <c r="D21" s="2"/>
      <c r="E21" s="2"/>
      <c r="F21" s="2"/>
      <c r="G21" s="2"/>
      <c r="H21" s="2"/>
      <c r="I21" s="2"/>
      <c r="J21" s="2"/>
      <c r="K21" s="2"/>
      <c r="L21" s="2"/>
      <c r="M21" s="2"/>
      <c r="N21" s="2"/>
      <c r="O21" s="2"/>
    </row>
    <row r="22" spans="1:15" x14ac:dyDescent="0.25">
      <c r="A22" s="2" t="s">
        <v>354</v>
      </c>
      <c r="B22" s="2"/>
      <c r="C22" s="2" t="s">
        <v>336</v>
      </c>
      <c r="D22" s="2"/>
      <c r="E22" s="2" t="s">
        <v>341</v>
      </c>
      <c r="F22" s="2"/>
      <c r="G22" s="2"/>
      <c r="H22" s="2"/>
      <c r="I22" s="2"/>
      <c r="J22" s="2" t="s">
        <v>342</v>
      </c>
      <c r="K22" s="2"/>
      <c r="L22" s="2"/>
      <c r="M22" s="2"/>
      <c r="N22" s="2"/>
      <c r="O22" s="2"/>
    </row>
    <row r="23" spans="1:15" x14ac:dyDescent="0.25">
      <c r="A23" s="2" t="s">
        <v>355</v>
      </c>
      <c r="B23" s="2"/>
      <c r="C23" s="2" t="s">
        <v>339</v>
      </c>
      <c r="D23" s="2"/>
      <c r="E23" s="2" t="s">
        <v>356</v>
      </c>
      <c r="F23" s="2"/>
      <c r="G23" s="2"/>
      <c r="H23" s="2"/>
      <c r="I23" s="2"/>
      <c r="J23" s="2" t="s">
        <v>1260</v>
      </c>
      <c r="K23" s="2"/>
      <c r="L23" s="2"/>
      <c r="M23" s="2"/>
      <c r="N23" s="2"/>
      <c r="O23" s="2"/>
    </row>
    <row r="24" spans="1:15" x14ac:dyDescent="0.25">
      <c r="A24" s="2"/>
      <c r="B24" s="2"/>
      <c r="C24" s="2"/>
      <c r="D24" s="2"/>
      <c r="E24" s="2" t="s">
        <v>357</v>
      </c>
      <c r="F24" s="2"/>
      <c r="G24" s="2"/>
      <c r="H24" s="2"/>
      <c r="I24" s="2"/>
      <c r="J24" s="2"/>
      <c r="K24" s="2"/>
      <c r="L24" s="2"/>
      <c r="M24" s="2"/>
      <c r="N24" s="2"/>
      <c r="O24" s="2"/>
    </row>
    <row r="25" spans="1:15" x14ac:dyDescent="0.25">
      <c r="A25" s="2"/>
      <c r="B25" s="2"/>
      <c r="C25" s="2"/>
      <c r="D25" s="2"/>
      <c r="E25" s="2" t="s">
        <v>358</v>
      </c>
      <c r="F25" s="2"/>
      <c r="G25" s="2"/>
      <c r="H25" s="2"/>
      <c r="I25" s="2"/>
      <c r="J25" s="2"/>
      <c r="K25" s="2"/>
      <c r="L25" s="2"/>
      <c r="M25" s="2"/>
      <c r="N25" s="2"/>
      <c r="O25" s="2"/>
    </row>
    <row r="26" spans="1:15" x14ac:dyDescent="0.25">
      <c r="A26" s="2"/>
      <c r="B26" s="2"/>
      <c r="C26" s="2"/>
      <c r="D26" s="2"/>
      <c r="E26" s="2"/>
      <c r="F26" s="2"/>
      <c r="G26" s="2"/>
      <c r="H26" s="2"/>
      <c r="I26" s="2"/>
      <c r="J26" s="2"/>
      <c r="K26" s="2"/>
      <c r="L26" s="2"/>
      <c r="M26" s="2"/>
      <c r="N26" s="2"/>
      <c r="O26" s="2"/>
    </row>
    <row r="27" spans="1:15" x14ac:dyDescent="0.25">
      <c r="A27" s="2" t="s">
        <v>359</v>
      </c>
      <c r="B27" s="2"/>
      <c r="C27" s="2" t="s">
        <v>336</v>
      </c>
      <c r="D27" s="2"/>
      <c r="E27" s="2" t="s">
        <v>341</v>
      </c>
      <c r="F27" s="2"/>
      <c r="G27" s="2"/>
      <c r="H27" s="2"/>
      <c r="I27" s="2"/>
      <c r="J27" s="2" t="s">
        <v>342</v>
      </c>
      <c r="K27" s="2"/>
      <c r="L27" s="2"/>
      <c r="M27" s="2"/>
      <c r="N27" s="2"/>
      <c r="O27" s="2"/>
    </row>
    <row r="28" spans="1:15" x14ac:dyDescent="0.25">
      <c r="A28" s="2" t="s">
        <v>360</v>
      </c>
      <c r="B28" s="2"/>
      <c r="C28" s="2" t="s">
        <v>339</v>
      </c>
      <c r="D28" s="2"/>
      <c r="E28" s="2" t="s">
        <v>361</v>
      </c>
      <c r="F28" s="2"/>
      <c r="G28" s="2"/>
      <c r="H28" s="2"/>
      <c r="I28" s="2"/>
      <c r="J28" s="2" t="s">
        <v>1260</v>
      </c>
      <c r="K28" s="2"/>
      <c r="L28" s="2"/>
      <c r="M28" s="2"/>
      <c r="N28" s="2"/>
      <c r="O28" s="2"/>
    </row>
    <row r="29" spans="1:15" x14ac:dyDescent="0.25">
      <c r="A29" s="2" t="s">
        <v>362</v>
      </c>
      <c r="B29" s="2"/>
      <c r="C29" s="2" t="s">
        <v>349</v>
      </c>
      <c r="D29" s="2"/>
      <c r="E29" s="2" t="s">
        <v>363</v>
      </c>
      <c r="F29" s="2"/>
      <c r="G29" s="2"/>
      <c r="H29" s="2"/>
      <c r="I29" s="2"/>
      <c r="J29" s="2" t="s">
        <v>1352</v>
      </c>
      <c r="K29" s="4"/>
      <c r="L29" s="2"/>
      <c r="M29" s="2"/>
      <c r="N29" s="2"/>
      <c r="O29" s="2"/>
    </row>
    <row r="30" spans="1:15" x14ac:dyDescent="0.25">
      <c r="A30" s="2"/>
      <c r="B30" s="2"/>
      <c r="C30" s="2"/>
      <c r="D30" s="2"/>
      <c r="E30" s="2"/>
      <c r="F30" s="2"/>
      <c r="G30" s="2"/>
      <c r="H30" s="2"/>
      <c r="I30" s="2"/>
      <c r="J30" s="2"/>
      <c r="K30" s="2"/>
      <c r="L30" s="2"/>
      <c r="M30" s="2"/>
      <c r="N30" s="2"/>
      <c r="O30" s="2"/>
    </row>
    <row r="31" spans="1:15" x14ac:dyDescent="0.25">
      <c r="A31" s="2" t="s">
        <v>364</v>
      </c>
      <c r="B31" s="2"/>
      <c r="C31" s="2" t="s">
        <v>336</v>
      </c>
      <c r="D31" s="2"/>
      <c r="E31" s="2" t="s">
        <v>341</v>
      </c>
      <c r="F31" s="2"/>
      <c r="G31" s="2"/>
      <c r="H31" s="2"/>
      <c r="I31" s="2"/>
      <c r="J31" s="2" t="s">
        <v>342</v>
      </c>
      <c r="K31" s="2"/>
      <c r="L31" s="2"/>
      <c r="M31" s="2"/>
      <c r="N31" s="2"/>
      <c r="O31" s="2"/>
    </row>
    <row r="32" spans="1:15" x14ac:dyDescent="0.25">
      <c r="A32" s="2" t="s">
        <v>365</v>
      </c>
      <c r="B32" s="2"/>
      <c r="C32" s="2" t="s">
        <v>339</v>
      </c>
      <c r="D32" s="2"/>
      <c r="E32" s="2" t="s">
        <v>366</v>
      </c>
      <c r="F32" s="2"/>
      <c r="G32" s="2"/>
      <c r="H32" s="2"/>
      <c r="I32" s="2"/>
      <c r="J32" s="2" t="s">
        <v>1260</v>
      </c>
      <c r="K32" s="2"/>
      <c r="L32" s="2"/>
      <c r="M32" s="2"/>
      <c r="N32" s="2"/>
      <c r="O32" s="2"/>
    </row>
    <row r="33" spans="1:15" x14ac:dyDescent="0.25">
      <c r="A33" s="2" t="s">
        <v>367</v>
      </c>
      <c r="B33" s="2"/>
      <c r="C33" s="2" t="s">
        <v>349</v>
      </c>
      <c r="D33" s="2"/>
      <c r="E33" s="2" t="s">
        <v>368</v>
      </c>
      <c r="F33" s="2"/>
      <c r="G33" s="2"/>
      <c r="H33" s="2"/>
      <c r="I33" s="2"/>
      <c r="J33" s="2" t="s">
        <v>1261</v>
      </c>
      <c r="K33" s="2"/>
      <c r="L33" s="2"/>
      <c r="M33" s="2"/>
      <c r="N33" s="2"/>
      <c r="O33" s="2"/>
    </row>
    <row r="34" spans="1:15" x14ac:dyDescent="0.25">
      <c r="A34" s="2"/>
      <c r="B34" s="2"/>
      <c r="C34" s="2"/>
      <c r="D34" s="2"/>
      <c r="E34" s="2"/>
      <c r="F34" s="2"/>
      <c r="G34" s="2"/>
      <c r="H34" s="2"/>
      <c r="I34" s="2"/>
      <c r="J34" s="2"/>
      <c r="K34" s="2"/>
      <c r="L34" s="2"/>
      <c r="M34" s="2"/>
      <c r="N34" s="2"/>
      <c r="O34" s="2"/>
    </row>
    <row r="35" spans="1:15" x14ac:dyDescent="0.25">
      <c r="A35" s="2" t="s">
        <v>369</v>
      </c>
      <c r="B35" s="2"/>
      <c r="C35" s="2" t="s">
        <v>336</v>
      </c>
      <c r="D35" s="2"/>
      <c r="E35" s="2" t="s">
        <v>341</v>
      </c>
      <c r="F35" s="2"/>
      <c r="G35" s="2"/>
      <c r="H35" s="2"/>
      <c r="I35" s="2"/>
      <c r="J35" s="2" t="s">
        <v>342</v>
      </c>
      <c r="K35" s="2"/>
      <c r="L35" s="2"/>
      <c r="M35" s="2"/>
      <c r="N35" s="2"/>
      <c r="O35" s="2"/>
    </row>
    <row r="36" spans="1:15" x14ac:dyDescent="0.25">
      <c r="A36" s="2" t="s">
        <v>370</v>
      </c>
      <c r="B36" s="2"/>
      <c r="C36" s="2" t="s">
        <v>339</v>
      </c>
      <c r="D36" s="2"/>
      <c r="E36" s="2" t="s">
        <v>371</v>
      </c>
      <c r="F36" s="2"/>
      <c r="G36" s="2"/>
      <c r="H36" s="2"/>
      <c r="I36" s="2"/>
      <c r="J36" s="2" t="s">
        <v>1260</v>
      </c>
      <c r="K36" s="2"/>
      <c r="L36" s="2"/>
      <c r="M36" s="2"/>
      <c r="N36" s="2"/>
      <c r="O36" s="2"/>
    </row>
    <row r="37" spans="1:15" x14ac:dyDescent="0.25">
      <c r="A37" s="2"/>
      <c r="B37" s="2"/>
      <c r="C37" s="2"/>
      <c r="D37" s="2"/>
      <c r="E37" s="2" t="s">
        <v>372</v>
      </c>
      <c r="F37" s="2"/>
      <c r="G37" s="2"/>
      <c r="H37" s="2"/>
      <c r="I37" s="2"/>
      <c r="J37" s="2"/>
      <c r="K37" s="2"/>
      <c r="L37" s="2"/>
      <c r="M37" s="2"/>
      <c r="N37" s="2"/>
      <c r="O37" s="2"/>
    </row>
    <row r="38" spans="1:15" x14ac:dyDescent="0.25">
      <c r="A38" s="2"/>
      <c r="B38" s="2"/>
      <c r="C38" s="2" t="s">
        <v>349</v>
      </c>
      <c r="D38" s="2"/>
      <c r="E38" s="2" t="s">
        <v>1262</v>
      </c>
      <c r="F38" s="2"/>
      <c r="G38" s="2"/>
      <c r="H38" s="2"/>
      <c r="I38" s="2"/>
      <c r="J38" s="2" t="s">
        <v>1359</v>
      </c>
      <c r="K38" s="2"/>
      <c r="L38" s="2"/>
      <c r="M38" s="2"/>
      <c r="N38" s="2"/>
      <c r="O38" s="2"/>
    </row>
    <row r="39" spans="1:15" x14ac:dyDescent="0.25">
      <c r="A39" s="2"/>
      <c r="B39" s="2"/>
      <c r="C39" s="2"/>
      <c r="D39" s="2"/>
      <c r="E39" s="2"/>
      <c r="F39" s="2"/>
      <c r="G39" s="2"/>
      <c r="H39" s="2"/>
      <c r="I39" s="2"/>
      <c r="J39" s="2"/>
      <c r="K39" s="2"/>
      <c r="L39" s="2"/>
      <c r="M39" s="2"/>
      <c r="N39" s="2"/>
      <c r="O39" s="2"/>
    </row>
    <row r="40" spans="1:15" x14ac:dyDescent="0.25">
      <c r="A40" s="2" t="s">
        <v>373</v>
      </c>
      <c r="B40" s="2"/>
      <c r="C40" s="2" t="s">
        <v>336</v>
      </c>
      <c r="D40" s="2"/>
      <c r="E40" s="2" t="s">
        <v>341</v>
      </c>
      <c r="F40" s="2"/>
      <c r="G40" s="2"/>
      <c r="H40" s="2"/>
      <c r="I40" s="2"/>
      <c r="J40" s="2" t="s">
        <v>342</v>
      </c>
      <c r="K40" s="2"/>
      <c r="L40" s="2"/>
      <c r="M40" s="2"/>
      <c r="N40" s="2"/>
      <c r="O40" s="2"/>
    </row>
    <row r="41" spans="1:15" x14ac:dyDescent="0.25">
      <c r="A41" s="2" t="s">
        <v>374</v>
      </c>
      <c r="B41" s="2"/>
      <c r="C41" s="2" t="s">
        <v>339</v>
      </c>
      <c r="D41" s="2"/>
      <c r="E41" s="2" t="s">
        <v>375</v>
      </c>
      <c r="F41" s="2"/>
      <c r="G41" s="2"/>
      <c r="H41" s="2"/>
      <c r="I41" s="2"/>
      <c r="J41" s="2" t="s">
        <v>1260</v>
      </c>
      <c r="K41" s="2"/>
      <c r="L41" s="2"/>
      <c r="M41" s="2"/>
      <c r="N41" s="2"/>
      <c r="O41" s="2"/>
    </row>
    <row r="42" spans="1:15" x14ac:dyDescent="0.25">
      <c r="A42" s="2" t="s">
        <v>376</v>
      </c>
      <c r="B42" s="2"/>
      <c r="C42" s="2" t="s">
        <v>349</v>
      </c>
      <c r="D42" s="2"/>
      <c r="E42" s="2" t="s">
        <v>377</v>
      </c>
      <c r="F42" s="2"/>
      <c r="G42" s="2"/>
      <c r="H42" s="2"/>
      <c r="I42" s="2"/>
      <c r="J42" s="2" t="s">
        <v>1260</v>
      </c>
      <c r="K42" s="2"/>
      <c r="L42" s="2"/>
      <c r="M42" s="2"/>
      <c r="N42" s="2"/>
      <c r="O42" s="2"/>
    </row>
    <row r="43" spans="1:15" x14ac:dyDescent="0.25">
      <c r="A43" s="2"/>
      <c r="B43" s="2"/>
      <c r="C43" s="2"/>
      <c r="D43" s="2"/>
      <c r="E43" s="2"/>
      <c r="F43" s="2"/>
      <c r="G43" s="2"/>
      <c r="H43" s="2"/>
      <c r="I43" s="2"/>
      <c r="J43" s="2"/>
      <c r="K43" s="2"/>
      <c r="L43" s="2"/>
      <c r="M43" s="2"/>
      <c r="N43" s="2"/>
      <c r="O43" s="2"/>
    </row>
    <row r="44" spans="1:15" x14ac:dyDescent="0.25">
      <c r="A44" s="2" t="s">
        <v>378</v>
      </c>
      <c r="B44" s="2"/>
      <c r="C44" s="2" t="s">
        <v>336</v>
      </c>
      <c r="D44" s="2"/>
      <c r="E44" s="2" t="s">
        <v>341</v>
      </c>
      <c r="F44" s="2"/>
      <c r="G44" s="2"/>
      <c r="H44" s="2"/>
      <c r="I44" s="2"/>
      <c r="J44" s="2" t="s">
        <v>342</v>
      </c>
      <c r="K44" s="2"/>
      <c r="L44" s="2"/>
      <c r="M44" s="2"/>
      <c r="N44" s="2"/>
      <c r="O44" s="2"/>
    </row>
    <row r="45" spans="1:15" x14ac:dyDescent="0.25">
      <c r="A45" s="2" t="s">
        <v>360</v>
      </c>
      <c r="B45" s="2"/>
      <c r="C45" s="2" t="s">
        <v>339</v>
      </c>
      <c r="D45" s="2"/>
      <c r="E45" s="2" t="s">
        <v>379</v>
      </c>
      <c r="F45" s="2"/>
      <c r="G45" s="2"/>
      <c r="H45" s="2"/>
      <c r="I45" s="2"/>
      <c r="J45" s="2" t="s">
        <v>1260</v>
      </c>
      <c r="K45" s="2"/>
      <c r="L45" s="2"/>
      <c r="M45" s="2"/>
      <c r="N45" s="2"/>
      <c r="O45" s="2"/>
    </row>
    <row r="46" spans="1:15" x14ac:dyDescent="0.25">
      <c r="A46" s="2" t="s">
        <v>380</v>
      </c>
      <c r="B46" s="2"/>
      <c r="C46" s="2" t="s">
        <v>349</v>
      </c>
      <c r="D46" s="2"/>
      <c r="E46" s="2" t="s">
        <v>381</v>
      </c>
      <c r="F46" s="2"/>
      <c r="G46" s="2"/>
      <c r="H46" s="2"/>
      <c r="I46" s="2"/>
      <c r="J46" s="2" t="s">
        <v>382</v>
      </c>
      <c r="K46" s="2"/>
      <c r="L46" s="2"/>
      <c r="M46" s="2"/>
      <c r="N46" s="2"/>
      <c r="O46" s="2"/>
    </row>
    <row r="47" spans="1:15" x14ac:dyDescent="0.25">
      <c r="A47" s="2"/>
      <c r="B47" s="2"/>
      <c r="C47" s="2"/>
      <c r="D47" s="2"/>
      <c r="E47" s="2"/>
      <c r="F47" s="2"/>
      <c r="G47" s="2"/>
      <c r="H47" s="2"/>
      <c r="I47" s="2"/>
      <c r="J47" s="2"/>
      <c r="K47" s="2"/>
      <c r="L47" s="2"/>
      <c r="M47" s="2"/>
      <c r="N47" s="2"/>
      <c r="O47" s="2"/>
    </row>
    <row r="48" spans="1:15" x14ac:dyDescent="0.25">
      <c r="A48" s="2" t="s">
        <v>383</v>
      </c>
      <c r="B48" s="2"/>
      <c r="C48" s="2" t="s">
        <v>336</v>
      </c>
      <c r="D48" s="2"/>
      <c r="E48" s="2" t="s">
        <v>341</v>
      </c>
      <c r="F48" s="2"/>
      <c r="G48" s="2"/>
      <c r="H48" s="2"/>
      <c r="I48" s="2"/>
      <c r="J48" s="2" t="s">
        <v>342</v>
      </c>
      <c r="K48" s="2"/>
      <c r="L48" s="2"/>
      <c r="M48" s="2"/>
      <c r="N48" s="2"/>
      <c r="O48" s="2"/>
    </row>
    <row r="49" spans="1:15" x14ac:dyDescent="0.25">
      <c r="A49" s="2" t="s">
        <v>384</v>
      </c>
      <c r="B49" s="2"/>
      <c r="C49" s="2" t="s">
        <v>339</v>
      </c>
      <c r="D49" s="2"/>
      <c r="E49" s="2" t="s">
        <v>375</v>
      </c>
      <c r="F49" s="2"/>
      <c r="G49" s="2"/>
      <c r="H49" s="2"/>
      <c r="I49" s="2"/>
      <c r="J49" s="2" t="s">
        <v>1260</v>
      </c>
      <c r="K49" s="2"/>
      <c r="L49" s="2"/>
      <c r="M49" s="2"/>
      <c r="N49" s="2"/>
      <c r="O49" s="2"/>
    </row>
    <row r="50" spans="1:15" x14ac:dyDescent="0.25">
      <c r="A50" s="2"/>
      <c r="B50" s="2"/>
      <c r="C50" s="2"/>
      <c r="D50" s="2"/>
      <c r="E50" s="2"/>
      <c r="F50" s="2"/>
      <c r="G50" s="2"/>
      <c r="H50" s="2"/>
      <c r="I50" s="2"/>
      <c r="J50" s="2"/>
      <c r="K50" s="2"/>
      <c r="L50" s="2"/>
      <c r="M50" s="2"/>
      <c r="N50" s="2"/>
      <c r="O50" s="2"/>
    </row>
    <row r="51" spans="1:15" x14ac:dyDescent="0.25">
      <c r="A51" s="2" t="s">
        <v>385</v>
      </c>
      <c r="B51" s="2"/>
      <c r="C51" s="2"/>
      <c r="D51" s="2"/>
      <c r="E51" s="2" t="s">
        <v>386</v>
      </c>
      <c r="F51" s="2"/>
      <c r="G51" s="2"/>
      <c r="H51" s="2"/>
      <c r="I51" s="2"/>
      <c r="J51" s="2" t="s">
        <v>1352</v>
      </c>
      <c r="K51" s="2"/>
      <c r="L51" s="2"/>
      <c r="M51" s="2"/>
      <c r="N51" s="2"/>
      <c r="O51" s="2"/>
    </row>
    <row r="52" spans="1:15" x14ac:dyDescent="0.25">
      <c r="A52" s="2" t="s">
        <v>387</v>
      </c>
      <c r="B52" s="2"/>
      <c r="C52" s="2"/>
      <c r="D52" s="2"/>
      <c r="E52" s="2"/>
      <c r="F52" s="2"/>
      <c r="G52" s="2"/>
      <c r="H52" s="2"/>
      <c r="I52" s="2"/>
      <c r="J52" s="2"/>
      <c r="K52" s="2"/>
      <c r="L52" s="2"/>
      <c r="M52" s="2"/>
      <c r="N52" s="2"/>
      <c r="O52" s="2"/>
    </row>
    <row r="54" spans="1:15" x14ac:dyDescent="0.25">
      <c r="A54" s="2" t="s">
        <v>1353</v>
      </c>
      <c r="E54" s="2" t="s">
        <v>1354</v>
      </c>
      <c r="J54" s="2" t="s">
        <v>1352</v>
      </c>
    </row>
    <row r="55" spans="1:15" x14ac:dyDescent="0.25">
      <c r="A55" s="2" t="s">
        <v>387</v>
      </c>
      <c r="E55" t="s">
        <v>1355</v>
      </c>
    </row>
    <row r="57" spans="1:15" x14ac:dyDescent="0.25">
      <c r="A57" s="2" t="s">
        <v>1356</v>
      </c>
      <c r="E57" t="s">
        <v>1357</v>
      </c>
      <c r="J57" s="2" t="s">
        <v>1352</v>
      </c>
    </row>
    <row r="58" spans="1:15" x14ac:dyDescent="0.25">
      <c r="A58" s="2" t="s">
        <v>387</v>
      </c>
      <c r="E58" t="s">
        <v>1358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BF-4145-4C00-A196-24C92630683C}">
  <dimension ref="A1:BI491"/>
  <sheetViews>
    <sheetView workbookViewId="0">
      <pane xSplit="1" ySplit="13" topLeftCell="B14" activePane="bottomRight" state="frozen"/>
      <selection pane="topRight" activeCell="B1" sqref="B1"/>
      <selection pane="bottomLeft" activeCell="A14" sqref="A14"/>
      <selection pane="bottomRight" activeCell="B14" sqref="B14"/>
    </sheetView>
  </sheetViews>
  <sheetFormatPr defaultColWidth="9.140625" defaultRowHeight="15" x14ac:dyDescent="0.25"/>
  <cols>
    <col min="1" max="1" width="30.7109375" style="70" customWidth="1"/>
    <col min="2" max="12" width="9.140625" style="70"/>
    <col min="13" max="61" width="10.140625" style="70" bestFit="1" customWidth="1"/>
    <col min="62" max="16384" width="9.140625" style="70"/>
  </cols>
  <sheetData>
    <row r="1" spans="1:61" x14ac:dyDescent="0.25">
      <c r="A1" s="9" t="s">
        <v>0</v>
      </c>
    </row>
    <row r="2" spans="1:61" x14ac:dyDescent="0.25">
      <c r="A2" s="11" t="s">
        <v>17</v>
      </c>
      <c r="B2" s="104" t="s">
        <v>1304</v>
      </c>
      <c r="C2"/>
      <c r="D2"/>
      <c r="E2"/>
      <c r="F2"/>
      <c r="G2"/>
      <c r="H2"/>
      <c r="I2" s="11"/>
      <c r="J2" s="11"/>
      <c r="K2" s="11"/>
      <c r="L2" s="11"/>
      <c r="M2" s="11"/>
      <c r="N2" s="11"/>
      <c r="W2" s="11"/>
    </row>
    <row r="3" spans="1:61" x14ac:dyDescent="0.25">
      <c r="A3" s="11" t="s">
        <v>1277</v>
      </c>
      <c r="B3" s="4" t="s">
        <v>1305</v>
      </c>
      <c r="F3" s="84"/>
      <c r="G3" s="10"/>
      <c r="J3" s="11"/>
      <c r="K3" s="11"/>
      <c r="L3" s="11"/>
      <c r="M3" s="11"/>
      <c r="N3" s="11"/>
      <c r="W3" s="11"/>
    </row>
    <row r="4" spans="1:61" x14ac:dyDescent="0.25">
      <c r="A4" s="9" t="s">
        <v>1</v>
      </c>
      <c r="B4" s="13" t="s">
        <v>18</v>
      </c>
      <c r="C4" s="13" t="s">
        <v>19</v>
      </c>
      <c r="D4" s="13" t="s">
        <v>20</v>
      </c>
      <c r="E4" s="13" t="s">
        <v>21</v>
      </c>
      <c r="F4" s="13" t="s">
        <v>22</v>
      </c>
      <c r="G4" s="13" t="s">
        <v>23</v>
      </c>
      <c r="H4" s="13" t="s">
        <v>24</v>
      </c>
      <c r="I4" s="13" t="s">
        <v>25</v>
      </c>
      <c r="J4" s="13" t="s">
        <v>26</v>
      </c>
      <c r="K4" s="13" t="s">
        <v>27</v>
      </c>
      <c r="L4" s="13" t="s">
        <v>28</v>
      </c>
      <c r="M4" s="13" t="s">
        <v>29</v>
      </c>
      <c r="N4" s="13" t="s">
        <v>30</v>
      </c>
      <c r="O4" s="13" t="s">
        <v>31</v>
      </c>
      <c r="P4" s="13" t="s">
        <v>32</v>
      </c>
      <c r="Q4" s="13" t="s">
        <v>33</v>
      </c>
      <c r="R4" s="13" t="s">
        <v>34</v>
      </c>
      <c r="S4" s="13" t="s">
        <v>35</v>
      </c>
      <c r="T4" s="13" t="s">
        <v>36</v>
      </c>
      <c r="U4" s="13" t="s">
        <v>37</v>
      </c>
      <c r="V4" s="13" t="s">
        <v>38</v>
      </c>
      <c r="W4" s="13" t="s">
        <v>39</v>
      </c>
      <c r="X4" s="13" t="s">
        <v>40</v>
      </c>
      <c r="Y4" s="13" t="s">
        <v>41</v>
      </c>
      <c r="Z4" s="13" t="s">
        <v>42</v>
      </c>
      <c r="AA4" s="13" t="s">
        <v>43</v>
      </c>
      <c r="AB4" s="13" t="s">
        <v>44</v>
      </c>
      <c r="AC4" s="13" t="s">
        <v>45</v>
      </c>
      <c r="AD4" s="13" t="s">
        <v>46</v>
      </c>
      <c r="AE4" s="13" t="s">
        <v>47</v>
      </c>
      <c r="AF4" s="13" t="s">
        <v>48</v>
      </c>
      <c r="AG4" s="13" t="s">
        <v>49</v>
      </c>
      <c r="AH4" s="13" t="s">
        <v>50</v>
      </c>
      <c r="AI4" s="13" t="s">
        <v>51</v>
      </c>
      <c r="AJ4" s="13" t="s">
        <v>1278</v>
      </c>
      <c r="AK4" s="13" t="s">
        <v>1280</v>
      </c>
      <c r="AL4" s="13" t="s">
        <v>1281</v>
      </c>
      <c r="AM4" s="13" t="s">
        <v>1282</v>
      </c>
      <c r="AN4" s="13" t="s">
        <v>1283</v>
      </c>
      <c r="AO4" s="13" t="s">
        <v>1284</v>
      </c>
      <c r="AP4" s="13" t="s">
        <v>1285</v>
      </c>
      <c r="AQ4" s="13" t="s">
        <v>1286</v>
      </c>
      <c r="AR4" s="13" t="s">
        <v>1287</v>
      </c>
      <c r="AS4" s="13" t="s">
        <v>1288</v>
      </c>
      <c r="AT4" s="13" t="s">
        <v>1279</v>
      </c>
      <c r="AU4" s="13" t="s">
        <v>1289</v>
      </c>
      <c r="AV4" s="13" t="s">
        <v>1290</v>
      </c>
      <c r="AW4" s="13" t="s">
        <v>1291</v>
      </c>
      <c r="AX4" s="13" t="s">
        <v>1292</v>
      </c>
      <c r="AY4" s="13" t="s">
        <v>1293</v>
      </c>
      <c r="AZ4" s="13" t="s">
        <v>1294</v>
      </c>
      <c r="BA4" s="13" t="s">
        <v>1295</v>
      </c>
      <c r="BB4" s="13" t="s">
        <v>1296</v>
      </c>
      <c r="BC4" s="13" t="s">
        <v>1297</v>
      </c>
      <c r="BD4" s="13" t="s">
        <v>1298</v>
      </c>
      <c r="BE4" s="13" t="s">
        <v>1299</v>
      </c>
      <c r="BF4" s="13" t="s">
        <v>1300</v>
      </c>
      <c r="BG4" s="13" t="s">
        <v>1301</v>
      </c>
      <c r="BH4" s="13" t="s">
        <v>1302</v>
      </c>
      <c r="BI4" s="13" t="s">
        <v>1303</v>
      </c>
    </row>
    <row r="5" spans="1:61" x14ac:dyDescent="0.25">
      <c r="A5" s="11"/>
      <c r="B5" s="9">
        <v>2006</v>
      </c>
      <c r="C5" s="9">
        <v>2007</v>
      </c>
      <c r="D5" s="9">
        <v>2008</v>
      </c>
      <c r="E5" s="9">
        <v>2009</v>
      </c>
      <c r="F5" s="9">
        <v>2010</v>
      </c>
      <c r="G5" s="9">
        <v>2011</v>
      </c>
      <c r="H5" s="9">
        <v>2012</v>
      </c>
      <c r="I5" s="9">
        <v>2013</v>
      </c>
      <c r="J5" s="9">
        <v>2014</v>
      </c>
      <c r="K5" s="9">
        <v>2015</v>
      </c>
      <c r="L5" s="9">
        <v>2016</v>
      </c>
      <c r="M5" s="9">
        <v>2017</v>
      </c>
      <c r="N5" s="9">
        <v>2018</v>
      </c>
      <c r="O5" s="9">
        <v>2019</v>
      </c>
      <c r="P5" s="9">
        <v>2020</v>
      </c>
      <c r="Q5" s="9">
        <v>2021</v>
      </c>
      <c r="R5" s="9">
        <v>2022</v>
      </c>
      <c r="S5" s="9">
        <v>2023</v>
      </c>
      <c r="T5" s="9">
        <v>2024</v>
      </c>
      <c r="U5" s="9">
        <v>2025</v>
      </c>
      <c r="V5" s="9">
        <v>2026</v>
      </c>
      <c r="W5" s="9">
        <v>2027</v>
      </c>
      <c r="X5" s="9">
        <v>2028</v>
      </c>
      <c r="Y5" s="9">
        <v>2029</v>
      </c>
      <c r="Z5" s="9">
        <v>2030</v>
      </c>
      <c r="AA5" s="9">
        <v>2031</v>
      </c>
      <c r="AB5" s="9">
        <v>2032</v>
      </c>
      <c r="AC5" s="9">
        <v>2033</v>
      </c>
      <c r="AD5" s="9">
        <v>2034</v>
      </c>
      <c r="AE5" s="9">
        <v>2035</v>
      </c>
      <c r="AF5" s="9">
        <v>2036</v>
      </c>
      <c r="AG5" s="9">
        <v>2037</v>
      </c>
      <c r="AH5" s="9">
        <v>2038</v>
      </c>
      <c r="AI5" s="9">
        <v>2039</v>
      </c>
      <c r="AJ5" s="9">
        <v>2040</v>
      </c>
      <c r="AK5" s="9">
        <v>2041</v>
      </c>
      <c r="AL5" s="9">
        <v>2042</v>
      </c>
      <c r="AM5" s="9">
        <v>2043</v>
      </c>
      <c r="AN5" s="9">
        <v>2044</v>
      </c>
      <c r="AO5" s="9">
        <v>2045</v>
      </c>
      <c r="AP5" s="9">
        <v>2046</v>
      </c>
      <c r="AQ5" s="9">
        <v>2047</v>
      </c>
      <c r="AR5" s="9">
        <v>2048</v>
      </c>
      <c r="AS5" s="9">
        <v>2049</v>
      </c>
      <c r="AT5" s="9">
        <v>2050</v>
      </c>
      <c r="AU5" s="9">
        <v>2051</v>
      </c>
      <c r="AV5" s="9">
        <v>2052</v>
      </c>
      <c r="AW5" s="9">
        <v>2053</v>
      </c>
      <c r="AX5" s="9">
        <v>2054</v>
      </c>
      <c r="AY5" s="9">
        <v>2055</v>
      </c>
      <c r="AZ5" s="9">
        <v>2056</v>
      </c>
      <c r="BA5" s="9">
        <v>2057</v>
      </c>
      <c r="BB5" s="9">
        <v>2058</v>
      </c>
      <c r="BC5" s="9">
        <v>2059</v>
      </c>
      <c r="BD5" s="9">
        <v>2060</v>
      </c>
      <c r="BE5" s="9">
        <v>2061</v>
      </c>
      <c r="BF5" s="9">
        <v>2062</v>
      </c>
      <c r="BG5" s="9">
        <v>2063</v>
      </c>
      <c r="BH5" s="9">
        <v>2064</v>
      </c>
      <c r="BI5" s="9">
        <v>2065</v>
      </c>
    </row>
    <row r="6" spans="1:61" x14ac:dyDescent="0.25">
      <c r="A6" s="9" t="s">
        <v>2</v>
      </c>
      <c r="B6" s="7">
        <f>SUM(B$15:B$110,B$115:B$210)/1000000</f>
        <v>4.1846300000000003</v>
      </c>
      <c r="C6" s="7">
        <f>SUM(C$15:C$110,C$115:C$210)/1000000</f>
        <v>4.2238600000000002</v>
      </c>
      <c r="D6" s="7">
        <f t="shared" ref="D6:BI6" si="0">SUM(D$15:D$110,D$115:D$210)/1000000</f>
        <v>4.2597500000000004</v>
      </c>
      <c r="E6" s="7">
        <f t="shared" si="0"/>
        <v>4.3026</v>
      </c>
      <c r="F6" s="7">
        <f t="shared" si="0"/>
        <v>4.3506499999999999</v>
      </c>
      <c r="G6" s="7">
        <f t="shared" si="0"/>
        <v>4.3839699999999997</v>
      </c>
      <c r="H6" s="7">
        <f t="shared" si="0"/>
        <v>4.4079800000000002</v>
      </c>
      <c r="I6" s="7">
        <f t="shared" si="0"/>
        <v>4.4420999999999999</v>
      </c>
      <c r="J6" s="7">
        <f t="shared" si="0"/>
        <v>4.5164499999999999</v>
      </c>
      <c r="K6" s="7">
        <f t="shared" si="0"/>
        <v>4.6093700000000002</v>
      </c>
      <c r="L6" s="7">
        <f t="shared" si="0"/>
        <v>4.7141299999999999</v>
      </c>
      <c r="M6" s="81">
        <f t="shared" si="0"/>
        <v>4.8135599999999998</v>
      </c>
      <c r="N6" s="81">
        <f t="shared" si="0"/>
        <v>4.9006100000000004</v>
      </c>
      <c r="O6" s="81">
        <f t="shared" si="0"/>
        <v>4.9703600000000003</v>
      </c>
      <c r="P6" s="81">
        <f t="shared" si="0"/>
        <v>5.0724600000000004</v>
      </c>
      <c r="Q6" s="81">
        <f t="shared" si="0"/>
        <v>5.0845900000000004</v>
      </c>
      <c r="R6" s="81">
        <f t="shared" si="0"/>
        <v>5.08169</v>
      </c>
      <c r="S6" s="81">
        <f t="shared" si="0"/>
        <v>5.2001099999999996</v>
      </c>
      <c r="T6" s="81">
        <f t="shared" si="0"/>
        <v>5.2900600000000004</v>
      </c>
      <c r="U6" s="81">
        <f t="shared" si="0"/>
        <v>5.3366899999999999</v>
      </c>
      <c r="V6" s="81">
        <f t="shared" si="0"/>
        <v>5.3877199999999998</v>
      </c>
      <c r="W6" s="81">
        <f t="shared" si="0"/>
        <v>5.4405799999999997</v>
      </c>
      <c r="X6" s="81">
        <f t="shared" si="0"/>
        <v>5.4947600000000003</v>
      </c>
      <c r="Y6" s="81">
        <f t="shared" si="0"/>
        <v>5.5496299999999996</v>
      </c>
      <c r="Z6" s="81">
        <f t="shared" si="0"/>
        <v>5.6047200000000004</v>
      </c>
      <c r="AA6" s="81">
        <f t="shared" si="0"/>
        <v>5.6594499999999996</v>
      </c>
      <c r="AB6" s="81">
        <f t="shared" si="0"/>
        <v>5.7136100000000001</v>
      </c>
      <c r="AC6" s="81">
        <f t="shared" si="0"/>
        <v>5.7672999999999996</v>
      </c>
      <c r="AD6" s="81">
        <f t="shared" si="0"/>
        <v>5.8205099999999996</v>
      </c>
      <c r="AE6" s="81">
        <f t="shared" si="0"/>
        <v>5.8731400000000002</v>
      </c>
      <c r="AF6" s="81">
        <f t="shared" si="0"/>
        <v>5.9256000000000002</v>
      </c>
      <c r="AG6" s="81">
        <f t="shared" si="0"/>
        <v>5.9776300000000004</v>
      </c>
      <c r="AH6" s="81">
        <f t="shared" si="0"/>
        <v>6.0294100000000004</v>
      </c>
      <c r="AI6" s="81">
        <f t="shared" si="0"/>
        <v>6.0808799999999996</v>
      </c>
      <c r="AJ6" s="81">
        <f t="shared" si="0"/>
        <v>6.1321599999999998</v>
      </c>
      <c r="AK6" s="81">
        <f t="shared" si="0"/>
        <v>6.1831300000000002</v>
      </c>
      <c r="AL6" s="81">
        <f t="shared" si="0"/>
        <v>6.2339500000000001</v>
      </c>
      <c r="AM6" s="81">
        <f t="shared" si="0"/>
        <v>6.2843400000000003</v>
      </c>
      <c r="AN6" s="81">
        <f t="shared" si="0"/>
        <v>6.33446</v>
      </c>
      <c r="AO6" s="81">
        <f t="shared" si="0"/>
        <v>6.3841799999999997</v>
      </c>
      <c r="AP6" s="81">
        <f t="shared" si="0"/>
        <v>6.4334600000000002</v>
      </c>
      <c r="AQ6" s="81">
        <f t="shared" si="0"/>
        <v>6.4822100000000002</v>
      </c>
      <c r="AR6" s="81">
        <f t="shared" si="0"/>
        <v>6.5304500000000001</v>
      </c>
      <c r="AS6" s="81">
        <f t="shared" si="0"/>
        <v>6.5779899999999998</v>
      </c>
      <c r="AT6" s="81">
        <f t="shared" si="0"/>
        <v>6.6250600000000004</v>
      </c>
      <c r="AU6" s="81">
        <f t="shared" si="0"/>
        <v>6.6714500000000001</v>
      </c>
      <c r="AV6" s="81">
        <f t="shared" si="0"/>
        <v>6.71732</v>
      </c>
      <c r="AW6" s="81">
        <f t="shared" si="0"/>
        <v>6.76274</v>
      </c>
      <c r="AX6" s="81">
        <f t="shared" si="0"/>
        <v>6.8075700000000001</v>
      </c>
      <c r="AY6" s="81">
        <f t="shared" si="0"/>
        <v>6.8520200000000004</v>
      </c>
      <c r="AZ6" s="81">
        <f t="shared" si="0"/>
        <v>6.8960499999999998</v>
      </c>
      <c r="BA6" s="81">
        <f t="shared" si="0"/>
        <v>6.9399199999999999</v>
      </c>
      <c r="BB6" s="81">
        <f t="shared" si="0"/>
        <v>6.9834399999999999</v>
      </c>
      <c r="BC6" s="81">
        <f t="shared" si="0"/>
        <v>7.02705</v>
      </c>
      <c r="BD6" s="81">
        <f t="shared" si="0"/>
        <v>7.0704000000000002</v>
      </c>
      <c r="BE6" s="81">
        <f t="shared" si="0"/>
        <v>7.1136499999999998</v>
      </c>
      <c r="BF6" s="81">
        <f t="shared" si="0"/>
        <v>7.1570200000000002</v>
      </c>
      <c r="BG6" s="81">
        <f t="shared" si="0"/>
        <v>7.20038</v>
      </c>
      <c r="BH6" s="81">
        <f t="shared" si="0"/>
        <v>7.2438500000000001</v>
      </c>
      <c r="BI6" s="81">
        <f t="shared" si="0"/>
        <v>7.2872599999999998</v>
      </c>
    </row>
    <row r="7" spans="1:61" x14ac:dyDescent="0.25">
      <c r="A7" s="10" t="s">
        <v>3</v>
      </c>
      <c r="C7" s="8">
        <f>C$6/B$6-1</f>
        <v>9.3747834336608271E-3</v>
      </c>
      <c r="D7" s="8">
        <f t="shared" ref="D7:S7" si="1">D$6/C$6-1</f>
        <v>8.4969672290275966E-3</v>
      </c>
      <c r="E7" s="8">
        <f t="shared" si="1"/>
        <v>1.0059275779094934E-2</v>
      </c>
      <c r="F7" s="8">
        <f t="shared" si="1"/>
        <v>1.1167666062380954E-2</v>
      </c>
      <c r="G7" s="8">
        <f t="shared" si="1"/>
        <v>7.6586257225932375E-3</v>
      </c>
      <c r="H7" s="8">
        <f t="shared" si="1"/>
        <v>5.4767710545464698E-3</v>
      </c>
      <c r="I7" s="8">
        <f t="shared" si="1"/>
        <v>7.7405069895961631E-3</v>
      </c>
      <c r="J7" s="8">
        <f t="shared" si="1"/>
        <v>1.6737579072960918E-2</v>
      </c>
      <c r="K7" s="8">
        <f t="shared" si="1"/>
        <v>2.0573680656267745E-2</v>
      </c>
      <c r="L7" s="8">
        <f t="shared" si="1"/>
        <v>2.2727617874026107E-2</v>
      </c>
      <c r="M7" s="18">
        <f t="shared" si="1"/>
        <v>2.1091908793350989E-2</v>
      </c>
      <c r="N7" s="18">
        <f t="shared" si="1"/>
        <v>1.8084328438827013E-2</v>
      </c>
      <c r="O7" s="18">
        <f t="shared" si="1"/>
        <v>1.4232922023992955E-2</v>
      </c>
      <c r="P7" s="18">
        <f t="shared" si="1"/>
        <v>2.0541771622176297E-2</v>
      </c>
      <c r="Q7" s="18">
        <f t="shared" si="1"/>
        <v>2.3913446335703803E-3</v>
      </c>
      <c r="R7" s="18">
        <f t="shared" si="1"/>
        <v>-5.7035080507972236E-4</v>
      </c>
      <c r="S7" s="18">
        <f t="shared" si="1"/>
        <v>2.330327115585562E-2</v>
      </c>
      <c r="T7" s="18">
        <f t="shared" ref="T7:AI7" si="2">T$6/S$6-1</f>
        <v>1.7297711009959471E-2</v>
      </c>
      <c r="U7" s="18">
        <f t="shared" si="2"/>
        <v>8.8146448244441622E-3</v>
      </c>
      <c r="V7" s="18">
        <f t="shared" si="2"/>
        <v>9.562106849001939E-3</v>
      </c>
      <c r="W7" s="18">
        <f t="shared" si="2"/>
        <v>9.8112002850927471E-3</v>
      </c>
      <c r="X7" s="18">
        <f t="shared" si="2"/>
        <v>9.9584970720034693E-3</v>
      </c>
      <c r="Y7" s="18">
        <f t="shared" si="2"/>
        <v>9.9858774541561335E-3</v>
      </c>
      <c r="Z7" s="18">
        <f t="shared" si="2"/>
        <v>9.9267879119870894E-3</v>
      </c>
      <c r="AA7" s="18">
        <f t="shared" si="2"/>
        <v>9.7649837993689648E-3</v>
      </c>
      <c r="AB7" s="18">
        <f t="shared" si="2"/>
        <v>9.5698345245562866E-3</v>
      </c>
      <c r="AC7" s="18">
        <f t="shared" si="2"/>
        <v>9.3968611788344258E-3</v>
      </c>
      <c r="AD7" s="18">
        <f t="shared" si="2"/>
        <v>9.2261543529901235E-3</v>
      </c>
      <c r="AE7" s="18">
        <f t="shared" si="2"/>
        <v>9.0421629719732444E-3</v>
      </c>
      <c r="AF7" s="18">
        <f t="shared" si="2"/>
        <v>8.9321895953442532E-3</v>
      </c>
      <c r="AG7" s="18">
        <f t="shared" si="2"/>
        <v>8.7805454299987318E-3</v>
      </c>
      <c r="AH7" s="18">
        <f t="shared" si="2"/>
        <v>8.6622959266464683E-3</v>
      </c>
      <c r="AI7" s="18">
        <f t="shared" si="2"/>
        <v>8.536490303362898E-3</v>
      </c>
      <c r="AJ7" s="18">
        <f t="shared" ref="AJ7" si="3">AJ$6/AI$6-1</f>
        <v>8.4329899619792759E-3</v>
      </c>
      <c r="AK7" s="18">
        <f t="shared" ref="AK7" si="4">AK$6/AJ$6-1</f>
        <v>8.3119161926630269E-3</v>
      </c>
      <c r="AL7" s="18">
        <f t="shared" ref="AL7" si="5">AL$6/AK$6-1</f>
        <v>8.2191382034664251E-3</v>
      </c>
      <c r="AM7" s="18">
        <f t="shared" ref="AM7" si="6">AM$6/AL$6-1</f>
        <v>8.0831575485846852E-3</v>
      </c>
      <c r="AN7" s="18">
        <f t="shared" ref="AN7" si="7">AN$6/AM$6-1</f>
        <v>7.9753800717339285E-3</v>
      </c>
      <c r="AO7" s="18">
        <f t="shared" ref="AO7" si="8">AO$6/AN$6-1</f>
        <v>7.849129996874149E-3</v>
      </c>
      <c r="AP7" s="18">
        <f t="shared" ref="AP7" si="9">AP$6/AO$6-1</f>
        <v>7.7190806023641478E-3</v>
      </c>
      <c r="AQ7" s="18">
        <f t="shared" ref="AQ7" si="10">AQ$6/AP$6-1</f>
        <v>7.5775710115553174E-3</v>
      </c>
      <c r="AR7" s="18">
        <f t="shared" ref="AR7" si="11">AR$6/AQ$6-1</f>
        <v>7.4419063868649271E-3</v>
      </c>
      <c r="AS7" s="18">
        <f t="shared" ref="AS7" si="12">AS$6/AR$6-1</f>
        <v>7.2797433561240243E-3</v>
      </c>
      <c r="AT7" s="18">
        <f t="shared" ref="AT7" si="13">AT$6/AS$6-1</f>
        <v>7.1556812947421999E-3</v>
      </c>
      <c r="AU7" s="18">
        <f t="shared" ref="AU7" si="14">AU$6/AT$6-1</f>
        <v>7.0022007347858573E-3</v>
      </c>
      <c r="AV7" s="18">
        <f t="shared" ref="AV7" si="15">AV$6/AU$6-1</f>
        <v>6.8755667808346743E-3</v>
      </c>
      <c r="AW7" s="18">
        <f t="shared" ref="AW7" si="16">AW$6/AV$6-1</f>
        <v>6.7616251719435638E-3</v>
      </c>
      <c r="AX7" s="18">
        <f t="shared" ref="AX7" si="17">AX$6/AW$6-1</f>
        <v>6.6289699145611891E-3</v>
      </c>
      <c r="AY7" s="18">
        <f t="shared" ref="AY7" si="18">AY$6/AX$6-1</f>
        <v>6.5294958406598713E-3</v>
      </c>
      <c r="AZ7" s="18">
        <f t="shared" ref="AZ7" si="19">AZ$6/AY$6-1</f>
        <v>6.4258423063563441E-3</v>
      </c>
      <c r="BA7" s="18">
        <f t="shared" ref="BA7" si="20">BA$6/AZ$6-1</f>
        <v>6.361612807331829E-3</v>
      </c>
      <c r="BB7" s="18">
        <f t="shared" ref="BB7" si="21">BB$6/BA$6-1</f>
        <v>6.2709656595465457E-3</v>
      </c>
      <c r="BC7" s="18">
        <f t="shared" ref="BC7" si="22">BC$6/BB$6-1</f>
        <v>6.2447733495241131E-3</v>
      </c>
      <c r="BD7" s="18">
        <f t="shared" ref="BD7" si="23">BD$6/BC$6-1</f>
        <v>6.1690182935940641E-3</v>
      </c>
      <c r="BE7" s="18">
        <f t="shared" ref="BE7" si="24">BE$6/BD$6-1</f>
        <v>6.1170513690880224E-3</v>
      </c>
      <c r="BF7" s="18">
        <f t="shared" ref="BF7" si="25">BF$6/BE$6-1</f>
        <v>6.0967295270359934E-3</v>
      </c>
      <c r="BG7" s="18">
        <f t="shared" ref="BG7" si="26">BG$6/BF$6-1</f>
        <v>6.0583874294048989E-3</v>
      </c>
      <c r="BH7" s="18">
        <f t="shared" ref="BH7" si="27">BH$6/BG$6-1</f>
        <v>6.0371813709831912E-3</v>
      </c>
      <c r="BI7" s="18">
        <f t="shared" ref="BI7" si="28">BI$6/BH$6-1</f>
        <v>5.9926696439047689E-3</v>
      </c>
    </row>
    <row r="8" spans="1:61" x14ac:dyDescent="0.25">
      <c r="A8" s="9" t="s">
        <v>4</v>
      </c>
      <c r="B8" s="7">
        <f>SUM(B$30:B$110,B$130:B$210)/1000000</f>
        <v>3.2963200000000001</v>
      </c>
      <c r="C8" s="7">
        <f>SUM(C$30:C$110,C$130:C$210)/1000000</f>
        <v>3.33256</v>
      </c>
      <c r="D8" s="7">
        <f t="shared" ref="D8:BI8" si="29">SUM(D$30:D$110,D$130:D$210)/1000000</f>
        <v>3.3642400000000001</v>
      </c>
      <c r="E8" s="7">
        <f t="shared" si="29"/>
        <v>3.40144</v>
      </c>
      <c r="F8" s="7">
        <f t="shared" si="29"/>
        <v>3.44251</v>
      </c>
      <c r="G8" s="7">
        <f t="shared" si="29"/>
        <v>3.4732599999999998</v>
      </c>
      <c r="H8" s="7">
        <f t="shared" si="29"/>
        <v>3.49817</v>
      </c>
      <c r="I8" s="7">
        <f t="shared" si="29"/>
        <v>3.5333100000000002</v>
      </c>
      <c r="J8" s="7">
        <f t="shared" si="29"/>
        <v>3.6047400000000001</v>
      </c>
      <c r="K8" s="7">
        <f t="shared" si="29"/>
        <v>3.6932200000000002</v>
      </c>
      <c r="L8" s="7">
        <f t="shared" si="29"/>
        <v>3.7895099999999999</v>
      </c>
      <c r="M8" s="81">
        <f t="shared" si="29"/>
        <v>3.8767299999999998</v>
      </c>
      <c r="N8" s="81">
        <f t="shared" si="29"/>
        <v>3.9541400000000002</v>
      </c>
      <c r="O8" s="81">
        <f t="shared" si="29"/>
        <v>4.0137099999999997</v>
      </c>
      <c r="P8" s="81">
        <f t="shared" si="29"/>
        <v>4.1052299999999997</v>
      </c>
      <c r="Q8" s="81">
        <f t="shared" si="29"/>
        <v>4.1162700000000001</v>
      </c>
      <c r="R8" s="81">
        <f t="shared" si="29"/>
        <v>4.11808</v>
      </c>
      <c r="S8" s="81">
        <f t="shared" si="29"/>
        <v>4.2301399999999996</v>
      </c>
      <c r="T8" s="81">
        <f t="shared" si="29"/>
        <v>4.31325</v>
      </c>
      <c r="U8" s="81">
        <f t="shared" si="29"/>
        <v>4.3679500000000004</v>
      </c>
      <c r="V8" s="81">
        <f t="shared" si="29"/>
        <v>4.4257999999999997</v>
      </c>
      <c r="W8" s="81">
        <f t="shared" si="29"/>
        <v>4.4849300000000003</v>
      </c>
      <c r="X8" s="81">
        <f t="shared" si="29"/>
        <v>4.5449099999999998</v>
      </c>
      <c r="Y8" s="81">
        <f t="shared" si="29"/>
        <v>4.6041699999999999</v>
      </c>
      <c r="Z8" s="81">
        <f t="shared" si="29"/>
        <v>4.6636499999999996</v>
      </c>
      <c r="AA8" s="81">
        <f t="shared" si="29"/>
        <v>4.72201</v>
      </c>
      <c r="AB8" s="81">
        <f t="shared" si="29"/>
        <v>4.7799500000000004</v>
      </c>
      <c r="AC8" s="81">
        <f t="shared" si="29"/>
        <v>4.8364500000000001</v>
      </c>
      <c r="AD8" s="81">
        <f t="shared" si="29"/>
        <v>4.89262</v>
      </c>
      <c r="AE8" s="81">
        <f t="shared" si="29"/>
        <v>4.9468699999999997</v>
      </c>
      <c r="AF8" s="81">
        <f t="shared" si="29"/>
        <v>5.0013300000000003</v>
      </c>
      <c r="AG8" s="81">
        <f t="shared" si="29"/>
        <v>5.05464</v>
      </c>
      <c r="AH8" s="81">
        <f t="shared" si="29"/>
        <v>5.1030800000000003</v>
      </c>
      <c r="AI8" s="81">
        <f t="shared" si="29"/>
        <v>5.1507199999999997</v>
      </c>
      <c r="AJ8" s="81">
        <f t="shared" si="29"/>
        <v>5.1989000000000001</v>
      </c>
      <c r="AK8" s="81">
        <f t="shared" si="29"/>
        <v>5.24641</v>
      </c>
      <c r="AL8" s="81">
        <f t="shared" si="29"/>
        <v>5.2934099999999997</v>
      </c>
      <c r="AM8" s="81">
        <f t="shared" si="29"/>
        <v>5.3396999999999997</v>
      </c>
      <c r="AN8" s="81">
        <f t="shared" si="29"/>
        <v>5.3853799999999996</v>
      </c>
      <c r="AO8" s="81">
        <f t="shared" si="29"/>
        <v>5.4304500000000004</v>
      </c>
      <c r="AP8" s="81">
        <f t="shared" si="29"/>
        <v>5.47499</v>
      </c>
      <c r="AQ8" s="81">
        <f t="shared" si="29"/>
        <v>5.5189599999999999</v>
      </c>
      <c r="AR8" s="81">
        <f t="shared" si="29"/>
        <v>5.5625499999999999</v>
      </c>
      <c r="AS8" s="81">
        <f t="shared" si="29"/>
        <v>5.6056400000000002</v>
      </c>
      <c r="AT8" s="81">
        <f t="shared" si="29"/>
        <v>5.6486000000000001</v>
      </c>
      <c r="AU8" s="81">
        <f t="shared" si="29"/>
        <v>5.6913200000000002</v>
      </c>
      <c r="AV8" s="81">
        <f t="shared" si="29"/>
        <v>5.7340499999999999</v>
      </c>
      <c r="AW8" s="81">
        <f t="shared" si="29"/>
        <v>5.7768100000000002</v>
      </c>
      <c r="AX8" s="81">
        <f t="shared" si="29"/>
        <v>5.8196300000000001</v>
      </c>
      <c r="AY8" s="81">
        <f t="shared" si="29"/>
        <v>5.86266</v>
      </c>
      <c r="AZ8" s="81">
        <f t="shared" si="29"/>
        <v>5.9057599999999999</v>
      </c>
      <c r="BA8" s="81">
        <f t="shared" si="29"/>
        <v>5.9491699999999996</v>
      </c>
      <c r="BB8" s="81">
        <f t="shared" si="29"/>
        <v>5.9925800000000002</v>
      </c>
      <c r="BC8" s="81">
        <f t="shared" si="29"/>
        <v>6.0363100000000003</v>
      </c>
      <c r="BD8" s="81">
        <f t="shared" si="29"/>
        <v>6.0799500000000002</v>
      </c>
      <c r="BE8" s="81">
        <f t="shared" si="29"/>
        <v>6.1234999999999999</v>
      </c>
      <c r="BF8" s="81">
        <f t="shared" si="29"/>
        <v>6.1671500000000004</v>
      </c>
      <c r="BG8" s="81">
        <f t="shared" si="29"/>
        <v>6.2105499999999996</v>
      </c>
      <c r="BH8" s="81">
        <f t="shared" si="29"/>
        <v>6.2538499999999999</v>
      </c>
      <c r="BI8" s="81">
        <f t="shared" si="29"/>
        <v>6.2968000000000002</v>
      </c>
    </row>
    <row r="9" spans="1:61" x14ac:dyDescent="0.25">
      <c r="A9" s="10" t="str">
        <f>$A$7</f>
        <v>Annual growth (%)</v>
      </c>
      <c r="C9" s="8">
        <f>C$8/B$8-1</f>
        <v>1.0994078244830563E-2</v>
      </c>
      <c r="D9" s="8">
        <f t="shared" ref="D9:S9" si="30">D$8/C$8-1</f>
        <v>9.5062054396619633E-3</v>
      </c>
      <c r="E9" s="8">
        <f t="shared" si="30"/>
        <v>1.105747509095667E-2</v>
      </c>
      <c r="F9" s="8">
        <f t="shared" si="30"/>
        <v>1.2074297944399959E-2</v>
      </c>
      <c r="G9" s="8">
        <f t="shared" si="30"/>
        <v>8.9324359261120367E-3</v>
      </c>
      <c r="H9" s="8">
        <f t="shared" si="30"/>
        <v>7.1719364516333872E-3</v>
      </c>
      <c r="I9" s="8">
        <f t="shared" si="30"/>
        <v>1.0045252231881241E-2</v>
      </c>
      <c r="J9" s="8">
        <f t="shared" si="30"/>
        <v>2.0216171238866654E-2</v>
      </c>
      <c r="K9" s="8">
        <f t="shared" si="30"/>
        <v>2.4545459589318641E-2</v>
      </c>
      <c r="L9" s="8">
        <f t="shared" si="30"/>
        <v>2.6072099685369388E-2</v>
      </c>
      <c r="M9" s="18">
        <f t="shared" si="30"/>
        <v>2.301616831727582E-2</v>
      </c>
      <c r="N9" s="18">
        <f t="shared" si="30"/>
        <v>1.9967859510463759E-2</v>
      </c>
      <c r="O9" s="18">
        <f t="shared" si="30"/>
        <v>1.5065222779163001E-2</v>
      </c>
      <c r="P9" s="18">
        <f t="shared" si="30"/>
        <v>2.2801846670536641E-2</v>
      </c>
      <c r="Q9" s="18">
        <f t="shared" si="30"/>
        <v>2.6892524901163117E-3</v>
      </c>
      <c r="R9" s="18">
        <f t="shared" si="30"/>
        <v>4.3971848299539928E-4</v>
      </c>
      <c r="S9" s="18">
        <f t="shared" si="30"/>
        <v>2.7211710311601411E-2</v>
      </c>
      <c r="T9" s="18">
        <f t="shared" ref="T9:AI9" si="31">T$8/S$8-1</f>
        <v>1.9647103878358774E-2</v>
      </c>
      <c r="U9" s="18">
        <f t="shared" si="31"/>
        <v>1.268185243146136E-2</v>
      </c>
      <c r="V9" s="18">
        <f t="shared" si="31"/>
        <v>1.3244199223892084E-2</v>
      </c>
      <c r="W9" s="18">
        <f t="shared" si="31"/>
        <v>1.3360296443581055E-2</v>
      </c>
      <c r="X9" s="18">
        <f t="shared" si="31"/>
        <v>1.3373675843324051E-2</v>
      </c>
      <c r="Y9" s="18">
        <f t="shared" si="31"/>
        <v>1.303876204369292E-2</v>
      </c>
      <c r="Z9" s="18">
        <f t="shared" si="31"/>
        <v>1.291872367875202E-2</v>
      </c>
      <c r="AA9" s="18">
        <f t="shared" si="31"/>
        <v>1.2513803565876502E-2</v>
      </c>
      <c r="AB9" s="18">
        <f t="shared" si="31"/>
        <v>1.2270198495979434E-2</v>
      </c>
      <c r="AC9" s="18">
        <f t="shared" si="31"/>
        <v>1.1820207324344301E-2</v>
      </c>
      <c r="AD9" s="18">
        <f t="shared" si="31"/>
        <v>1.161389035346172E-2</v>
      </c>
      <c r="AE9" s="18">
        <f t="shared" si="31"/>
        <v>1.1088128650906803E-2</v>
      </c>
      <c r="AF9" s="18">
        <f t="shared" si="31"/>
        <v>1.100898143674689E-2</v>
      </c>
      <c r="AG9" s="18">
        <f t="shared" si="31"/>
        <v>1.0659164662199849E-2</v>
      </c>
      <c r="AH9" s="18">
        <f t="shared" si="31"/>
        <v>9.5832739819254886E-3</v>
      </c>
      <c r="AI9" s="18">
        <f t="shared" si="31"/>
        <v>9.3355385375106792E-3</v>
      </c>
      <c r="AJ9" s="18">
        <f t="shared" ref="AJ9" si="32">AJ$8/AI$8-1</f>
        <v>9.3540320576541713E-3</v>
      </c>
      <c r="AK9" s="18">
        <f t="shared" ref="AK9" si="33">AK$8/AJ$8-1</f>
        <v>9.1384715997615551E-3</v>
      </c>
      <c r="AL9" s="18">
        <f t="shared" ref="AL9" si="34">AL$8/AK$8-1</f>
        <v>8.9585068646940158E-3</v>
      </c>
      <c r="AM9" s="18">
        <f t="shared" ref="AM9" si="35">AM$8/AL$8-1</f>
        <v>8.7448355596864147E-3</v>
      </c>
      <c r="AN9" s="18">
        <f t="shared" ref="AN9" si="36">AN$8/AM$8-1</f>
        <v>8.5547877221565649E-3</v>
      </c>
      <c r="AO9" s="18">
        <f t="shared" ref="AO9" si="37">AO$8/AN$8-1</f>
        <v>8.3689544656089243E-3</v>
      </c>
      <c r="AP9" s="18">
        <f t="shared" ref="AP9" si="38">AP$8/AO$8-1</f>
        <v>8.2018985535268207E-3</v>
      </c>
      <c r="AQ9" s="18">
        <f t="shared" ref="AQ9" si="39">AQ$8/AP$8-1</f>
        <v>8.0310648969221798E-3</v>
      </c>
      <c r="AR9" s="18">
        <f t="shared" ref="AR9" si="40">AR$8/AQ$8-1</f>
        <v>7.8982272022265487E-3</v>
      </c>
      <c r="AS9" s="18">
        <f t="shared" ref="AS9" si="41">AS$8/AR$8-1</f>
        <v>7.7464472229462622E-3</v>
      </c>
      <c r="AT9" s="18">
        <f t="shared" ref="AT9" si="42">AT$8/AS$8-1</f>
        <v>7.6637101205214719E-3</v>
      </c>
      <c r="AU9" s="18">
        <f t="shared" ref="AU9" si="43">AU$8/AT$8-1</f>
        <v>7.5629359487305869E-3</v>
      </c>
      <c r="AV9" s="18">
        <f t="shared" ref="AV9" si="44">AV$8/AU$8-1</f>
        <v>7.5079243479543312E-3</v>
      </c>
      <c r="AW9" s="18">
        <f t="shared" ref="AW9" si="45">AW$8/AV$8-1</f>
        <v>7.4572073839607178E-3</v>
      </c>
      <c r="AX9" s="18">
        <f t="shared" ref="AX9" si="46">AX$8/AW$8-1</f>
        <v>7.4123954223870303E-3</v>
      </c>
      <c r="AY9" s="18">
        <f t="shared" ref="AY9" si="47">AY$8/AX$8-1</f>
        <v>7.3939408519099192E-3</v>
      </c>
      <c r="AZ9" s="18">
        <f t="shared" ref="AZ9" si="48">AZ$8/AY$8-1</f>
        <v>7.3516117257355074E-3</v>
      </c>
      <c r="BA9" s="18">
        <f t="shared" ref="BA9" si="49">BA$8/AZ$8-1</f>
        <v>7.3504510850423976E-3</v>
      </c>
      <c r="BB9" s="18">
        <f t="shared" ref="BB9" si="50">BB$8/BA$8-1</f>
        <v>7.2968161945281551E-3</v>
      </c>
      <c r="BC9" s="18">
        <f t="shared" ref="BC9" si="51">BC$8/BB$8-1</f>
        <v>7.297357732395815E-3</v>
      </c>
      <c r="BD9" s="18">
        <f t="shared" ref="BD9" si="52">BD$8/BC$8-1</f>
        <v>7.2295823110475332E-3</v>
      </c>
      <c r="BE9" s="18">
        <f t="shared" ref="BE9" si="53">BE$8/BD$8-1</f>
        <v>7.1628878526961426E-3</v>
      </c>
      <c r="BF9" s="18">
        <f t="shared" ref="BF9" si="54">BF$8/BE$8-1</f>
        <v>7.1282763125664061E-3</v>
      </c>
      <c r="BG9" s="18">
        <f t="shared" ref="BG9" si="55">BG$8/BF$8-1</f>
        <v>7.0372862667520408E-3</v>
      </c>
      <c r="BH9" s="18">
        <f t="shared" ref="BH9" si="56">BH$8/BG$8-1</f>
        <v>6.9720073101415814E-3</v>
      </c>
      <c r="BI9" s="18">
        <f t="shared" ref="BI9" si="57">BI$8/BH$8-1</f>
        <v>6.8677694540164591E-3</v>
      </c>
    </row>
    <row r="10" spans="1:61" x14ac:dyDescent="0.25">
      <c r="A10" s="9" t="s">
        <v>5</v>
      </c>
      <c r="M10" s="11"/>
      <c r="N10" s="11"/>
      <c r="O10" s="11"/>
      <c r="P10" s="11"/>
      <c r="Q10" s="11"/>
      <c r="R10" s="11"/>
      <c r="S10" s="11"/>
      <c r="T10" s="81">
        <f t="shared" ref="T10:BI10" si="58">SUM(T$215:T$280,T$285:T$350)/1000000</f>
        <v>3.0710999999999999</v>
      </c>
      <c r="U10" s="81">
        <f t="shared" si="58"/>
        <v>3.1061999999999999</v>
      </c>
      <c r="V10" s="81">
        <f t="shared" si="58"/>
        <v>3.1440999999999999</v>
      </c>
      <c r="W10" s="81">
        <f t="shared" si="58"/>
        <v>3.1829299999999998</v>
      </c>
      <c r="X10" s="81">
        <f t="shared" si="58"/>
        <v>3.2225899999999998</v>
      </c>
      <c r="Y10" s="81">
        <f t="shared" si="58"/>
        <v>3.2622</v>
      </c>
      <c r="Z10" s="81">
        <f t="shared" si="58"/>
        <v>3.3016999999999999</v>
      </c>
      <c r="AA10" s="81">
        <f t="shared" si="58"/>
        <v>3.3405800000000001</v>
      </c>
      <c r="AB10" s="81">
        <f t="shared" si="58"/>
        <v>3.3789899999999999</v>
      </c>
      <c r="AC10" s="81">
        <f t="shared" si="58"/>
        <v>3.41669</v>
      </c>
      <c r="AD10" s="81">
        <f t="shared" si="58"/>
        <v>3.4536799999999999</v>
      </c>
      <c r="AE10" s="81">
        <f t="shared" si="58"/>
        <v>3.4897900000000002</v>
      </c>
      <c r="AF10" s="81">
        <f t="shared" si="58"/>
        <v>3.5254500000000002</v>
      </c>
      <c r="AG10" s="81">
        <f t="shared" si="58"/>
        <v>3.5605699999999998</v>
      </c>
      <c r="AH10" s="81">
        <f t="shared" si="58"/>
        <v>3.5943499999999999</v>
      </c>
      <c r="AI10" s="81">
        <f t="shared" si="58"/>
        <v>3.6269499999999999</v>
      </c>
      <c r="AJ10" s="81">
        <f t="shared" si="58"/>
        <v>3.6589900000000002</v>
      </c>
      <c r="AK10" s="81">
        <f t="shared" si="58"/>
        <v>3.6903800000000002</v>
      </c>
      <c r="AL10" s="81">
        <f t="shared" si="58"/>
        <v>3.7215500000000001</v>
      </c>
      <c r="AM10" s="81">
        <f t="shared" si="58"/>
        <v>3.7522199999999999</v>
      </c>
      <c r="AN10" s="81">
        <f t="shared" si="58"/>
        <v>3.78227</v>
      </c>
      <c r="AO10" s="81">
        <f t="shared" si="58"/>
        <v>3.81169</v>
      </c>
      <c r="AP10" s="81">
        <f t="shared" si="58"/>
        <v>3.8403399999999999</v>
      </c>
      <c r="AQ10" s="81">
        <f t="shared" si="58"/>
        <v>3.86816</v>
      </c>
      <c r="AR10" s="81">
        <f t="shared" si="58"/>
        <v>3.8950800000000001</v>
      </c>
      <c r="AS10" s="81">
        <f t="shared" si="58"/>
        <v>3.92096</v>
      </c>
      <c r="AT10" s="81">
        <f t="shared" si="58"/>
        <v>3.9458600000000001</v>
      </c>
      <c r="AU10" s="81">
        <f t="shared" si="58"/>
        <v>3.9698699999999998</v>
      </c>
      <c r="AV10" s="81">
        <f t="shared" si="58"/>
        <v>3.99274</v>
      </c>
      <c r="AW10" s="81">
        <f t="shared" si="58"/>
        <v>4.0145999999999997</v>
      </c>
      <c r="AX10" s="81">
        <f t="shared" si="58"/>
        <v>4.0355800000000004</v>
      </c>
      <c r="AY10" s="81">
        <f t="shared" si="58"/>
        <v>4.0557600000000003</v>
      </c>
      <c r="AZ10" s="81">
        <f t="shared" si="58"/>
        <v>4.0751200000000001</v>
      </c>
      <c r="BA10" s="81">
        <f t="shared" si="58"/>
        <v>4.0939899999999998</v>
      </c>
      <c r="BB10" s="81">
        <f t="shared" si="58"/>
        <v>4.1124000000000001</v>
      </c>
      <c r="BC10" s="81">
        <f t="shared" si="58"/>
        <v>4.1305899999999998</v>
      </c>
      <c r="BD10" s="81">
        <f t="shared" si="58"/>
        <v>4.1485399999999997</v>
      </c>
      <c r="BE10" s="81">
        <f t="shared" si="58"/>
        <v>4.1665400000000004</v>
      </c>
      <c r="BF10" s="81">
        <f t="shared" si="58"/>
        <v>4.1843899999999996</v>
      </c>
      <c r="BG10" s="81">
        <f t="shared" si="58"/>
        <v>4.2023400000000004</v>
      </c>
      <c r="BH10" s="81">
        <f t="shared" si="58"/>
        <v>4.2203600000000003</v>
      </c>
      <c r="BI10" s="81">
        <f t="shared" si="58"/>
        <v>4.2382499999999999</v>
      </c>
    </row>
    <row r="11" spans="1:61" x14ac:dyDescent="0.25">
      <c r="A11" s="10" t="str">
        <f>$A$7</f>
        <v>Annual growth (%)</v>
      </c>
      <c r="M11" s="11"/>
      <c r="N11" s="11"/>
      <c r="O11" s="11"/>
      <c r="P11" s="11"/>
      <c r="Q11" s="11"/>
      <c r="R11" s="11"/>
      <c r="S11" s="11"/>
      <c r="T11" s="18"/>
      <c r="U11" s="18">
        <f t="shared" ref="U11:AI11" si="59">U$10/T$10-1</f>
        <v>1.1429129627820611E-2</v>
      </c>
      <c r="V11" s="18">
        <f t="shared" si="59"/>
        <v>1.2201403644324316E-2</v>
      </c>
      <c r="W11" s="18">
        <f t="shared" si="59"/>
        <v>1.235011609045511E-2</v>
      </c>
      <c r="X11" s="18">
        <f t="shared" si="59"/>
        <v>1.2460217472580304E-2</v>
      </c>
      <c r="Y11" s="18">
        <f t="shared" si="59"/>
        <v>1.2291355710779328E-2</v>
      </c>
      <c r="Z11" s="18">
        <f t="shared" si="59"/>
        <v>1.2108393108944737E-2</v>
      </c>
      <c r="AA11" s="18">
        <f t="shared" si="59"/>
        <v>1.1775751885392483E-2</v>
      </c>
      <c r="AB11" s="18">
        <f t="shared" si="59"/>
        <v>1.1498003340737251E-2</v>
      </c>
      <c r="AC11" s="18">
        <f t="shared" si="59"/>
        <v>1.1157180104113928E-2</v>
      </c>
      <c r="AD11" s="18">
        <f t="shared" si="59"/>
        <v>1.0826267527929145E-2</v>
      </c>
      <c r="AE11" s="18">
        <f t="shared" si="59"/>
        <v>1.0455514118273834E-2</v>
      </c>
      <c r="AF11" s="18">
        <f t="shared" si="59"/>
        <v>1.0218379902515728E-2</v>
      </c>
      <c r="AG11" s="18">
        <f t="shared" si="59"/>
        <v>9.961848841991694E-3</v>
      </c>
      <c r="AH11" s="18">
        <f t="shared" si="59"/>
        <v>9.4872450197580616E-3</v>
      </c>
      <c r="AI11" s="18">
        <f t="shared" si="59"/>
        <v>9.0697900872203085E-3</v>
      </c>
      <c r="AJ11" s="18">
        <f t="shared" ref="AJ11" si="60">AJ$10/AI$10-1</f>
        <v>8.8338686775391029E-3</v>
      </c>
      <c r="AK11" s="18">
        <f t="shared" ref="AK11" si="61">AK$10/AJ$10-1</f>
        <v>8.5788701253624033E-3</v>
      </c>
      <c r="AL11" s="18">
        <f t="shared" ref="AL11" si="62">AL$10/AK$10-1</f>
        <v>8.446284664451964E-3</v>
      </c>
      <c r="AM11" s="18">
        <f t="shared" ref="AM11" si="63">AM$10/AL$10-1</f>
        <v>8.2411898268193173E-3</v>
      </c>
      <c r="AN11" s="18">
        <f t="shared" ref="AN11" si="64">AN$10/AM$10-1</f>
        <v>8.008592246723234E-3</v>
      </c>
      <c r="AO11" s="18">
        <f t="shared" ref="AO11" si="65">AO$10/AN$10-1</f>
        <v>7.7783976289371726E-3</v>
      </c>
      <c r="AP11" s="18">
        <f t="shared" ref="AP11" si="66">AP$10/AO$10-1</f>
        <v>7.5163510149041102E-3</v>
      </c>
      <c r="AQ11" s="18">
        <f t="shared" ref="AQ11" si="67">AQ$10/AP$10-1</f>
        <v>7.2441502575293359E-3</v>
      </c>
      <c r="AR11" s="18">
        <f t="shared" ref="AR11" si="68">AR$10/AQ$10-1</f>
        <v>6.9593812045003478E-3</v>
      </c>
      <c r="AS11" s="18">
        <f t="shared" ref="AS11" si="69">AS$10/AR$10-1</f>
        <v>6.6442794499728119E-3</v>
      </c>
      <c r="AT11" s="18">
        <f t="shared" ref="AT11" si="70">AT$10/AS$10-1</f>
        <v>6.3504855953644412E-3</v>
      </c>
      <c r="AU11" s="18">
        <f t="shared" ref="AU11" si="71">AU$10/AT$10-1</f>
        <v>6.0848585606179117E-3</v>
      </c>
      <c r="AV11" s="18">
        <f t="shared" ref="AV11" si="72">AV$10/AU$10-1</f>
        <v>5.7608939335545006E-3</v>
      </c>
      <c r="AW11" s="18">
        <f t="shared" ref="AW11" si="73">AW$10/AV$10-1</f>
        <v>5.4749370106743633E-3</v>
      </c>
      <c r="AX11" s="18">
        <f t="shared" ref="AX11" si="74">AX$10/AW$10-1</f>
        <v>5.2259253723909715E-3</v>
      </c>
      <c r="AY11" s="18">
        <f t="shared" ref="AY11" si="75">AY$10/AX$10-1</f>
        <v>5.000520371297279E-3</v>
      </c>
      <c r="AZ11" s="18">
        <f t="shared" ref="AZ11" si="76">AZ$10/AY$10-1</f>
        <v>4.7734579955420742E-3</v>
      </c>
      <c r="BA11" s="18">
        <f t="shared" ref="BA11" si="77">BA$10/AZ$10-1</f>
        <v>4.6305384872100674E-3</v>
      </c>
      <c r="BB11" s="18">
        <f t="shared" ref="BB11" si="78">BB$10/BA$10-1</f>
        <v>4.4968356053629588E-3</v>
      </c>
      <c r="BC11" s="18">
        <f t="shared" ref="BC11" si="79">BC$10/BB$10-1</f>
        <v>4.4232078591575075E-3</v>
      </c>
      <c r="BD11" s="18">
        <f t="shared" ref="BD11" si="80">BD$10/BC$10-1</f>
        <v>4.3456261696270815E-3</v>
      </c>
      <c r="BE11" s="18">
        <f t="shared" ref="BE11" si="81">BE$10/BD$10-1</f>
        <v>4.3388758454783183E-3</v>
      </c>
      <c r="BF11" s="18">
        <f t="shared" ref="BF11" si="82">BF$10/BE$10-1</f>
        <v>4.2841302375591361E-3</v>
      </c>
      <c r="BG11" s="18">
        <f t="shared" ref="BG11" si="83">BG$10/BF$10-1</f>
        <v>4.2897531061876215E-3</v>
      </c>
      <c r="BH11" s="18">
        <f t="shared" ref="BH11" si="84">BH$10/BG$10-1</f>
        <v>4.2880871133701426E-3</v>
      </c>
      <c r="BI11" s="18">
        <f t="shared" ref="BI11" si="85">BI$10/BH$10-1</f>
        <v>4.2389748741813449E-3</v>
      </c>
    </row>
    <row r="12" spans="1:61" x14ac:dyDescent="0.25">
      <c r="A12" s="9" t="s">
        <v>6</v>
      </c>
      <c r="M12" s="11"/>
      <c r="N12" s="11"/>
      <c r="O12" s="11"/>
      <c r="P12" s="11"/>
      <c r="Q12" s="11"/>
      <c r="R12" s="11"/>
      <c r="S12" s="11"/>
      <c r="T12" s="18">
        <f t="shared" ref="T12:BI12" si="86">T$10/T$8</f>
        <v>0.71201530168666316</v>
      </c>
      <c r="U12" s="18">
        <f t="shared" si="86"/>
        <v>0.71113451390240268</v>
      </c>
      <c r="V12" s="18">
        <f t="shared" si="86"/>
        <v>0.71040263907090251</v>
      </c>
      <c r="W12" s="18">
        <f t="shared" si="86"/>
        <v>0.70969446568842764</v>
      </c>
      <c r="X12" s="18">
        <f t="shared" si="86"/>
        <v>0.70905474475842201</v>
      </c>
      <c r="Y12" s="18">
        <f t="shared" si="86"/>
        <v>0.70853161373276841</v>
      </c>
      <c r="Z12" s="18">
        <f t="shared" si="86"/>
        <v>0.70796479152595071</v>
      </c>
      <c r="AA12" s="18">
        <f t="shared" si="86"/>
        <v>0.70744873475490311</v>
      </c>
      <c r="AB12" s="18">
        <f t="shared" si="86"/>
        <v>0.70690906808648624</v>
      </c>
      <c r="AC12" s="18">
        <f t="shared" si="86"/>
        <v>0.70644584354226758</v>
      </c>
      <c r="AD12" s="18">
        <f t="shared" si="86"/>
        <v>0.70589581860025918</v>
      </c>
      <c r="AE12" s="18">
        <f t="shared" si="86"/>
        <v>0.70545415586017024</v>
      </c>
      <c r="AF12" s="18">
        <f t="shared" si="86"/>
        <v>0.70490249593608101</v>
      </c>
      <c r="AG12" s="18">
        <f t="shared" si="86"/>
        <v>0.70441614041751732</v>
      </c>
      <c r="AH12" s="18">
        <f t="shared" si="86"/>
        <v>0.70434913816753797</v>
      </c>
      <c r="AI12" s="18">
        <f t="shared" si="86"/>
        <v>0.7041636897365805</v>
      </c>
      <c r="AJ12" s="18">
        <f t="shared" si="86"/>
        <v>0.70380080401623424</v>
      </c>
      <c r="AK12" s="18">
        <f t="shared" si="86"/>
        <v>0.70341052262404202</v>
      </c>
      <c r="AL12" s="18">
        <f t="shared" si="86"/>
        <v>0.70305341925148446</v>
      </c>
      <c r="AM12" s="18">
        <f t="shared" si="86"/>
        <v>0.70270239901118048</v>
      </c>
      <c r="AN12" s="18">
        <f t="shared" si="86"/>
        <v>0.70232184172704626</v>
      </c>
      <c r="AO12" s="18">
        <f t="shared" si="86"/>
        <v>0.7019105230689906</v>
      </c>
      <c r="AP12" s="18">
        <f t="shared" si="86"/>
        <v>0.7014332446269308</v>
      </c>
      <c r="AQ12" s="18">
        <f t="shared" si="86"/>
        <v>0.70088567411251401</v>
      </c>
      <c r="AR12" s="18">
        <f t="shared" si="86"/>
        <v>0.70023280689611778</v>
      </c>
      <c r="AS12" s="18">
        <f t="shared" si="86"/>
        <v>0.69946696541340503</v>
      </c>
      <c r="AT12" s="18">
        <f t="shared" si="86"/>
        <v>0.6985553942569841</v>
      </c>
      <c r="AU12" s="18">
        <f t="shared" si="86"/>
        <v>0.69753062558422296</v>
      </c>
      <c r="AV12" s="18">
        <f t="shared" si="86"/>
        <v>0.69632109939745901</v>
      </c>
      <c r="AW12" s="18">
        <f t="shared" si="86"/>
        <v>0.69495101968041173</v>
      </c>
      <c r="AX12" s="18">
        <f t="shared" si="86"/>
        <v>0.69344271027539561</v>
      </c>
      <c r="AY12" s="18">
        <f t="shared" si="86"/>
        <v>0.69179519194358874</v>
      </c>
      <c r="AZ12" s="18">
        <f t="shared" si="86"/>
        <v>0.69002465389721224</v>
      </c>
      <c r="BA12" s="18">
        <f t="shared" si="86"/>
        <v>0.68816154186214207</v>
      </c>
      <c r="BB12" s="18">
        <f t="shared" si="86"/>
        <v>0.68624866084391023</v>
      </c>
      <c r="BC12" s="18">
        <f t="shared" si="86"/>
        <v>0.68429056824450696</v>
      </c>
      <c r="BD12" s="18">
        <f t="shared" si="86"/>
        <v>0.68233126917162146</v>
      </c>
      <c r="BE12" s="18">
        <f t="shared" si="86"/>
        <v>0.68041806156609785</v>
      </c>
      <c r="BF12" s="18">
        <f t="shared" si="86"/>
        <v>0.67849655027038414</v>
      </c>
      <c r="BG12" s="18">
        <f t="shared" si="86"/>
        <v>0.67664538567437682</v>
      </c>
      <c r="BH12" s="18">
        <f t="shared" si="86"/>
        <v>0.67484189739120704</v>
      </c>
      <c r="BI12" s="18">
        <f t="shared" si="86"/>
        <v>0.67307997713124124</v>
      </c>
    </row>
    <row r="13" spans="1:61" x14ac:dyDescent="0.25">
      <c r="A13" s="9" t="s">
        <v>846</v>
      </c>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row>
    <row r="14" spans="1:61" x14ac:dyDescent="0.25">
      <c r="A14" s="9" t="s">
        <v>7</v>
      </c>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row>
    <row r="15" spans="1:61" x14ac:dyDescent="0.25">
      <c r="A15" s="11">
        <v>0</v>
      </c>
      <c r="B15" s="29">
        <v>28910</v>
      </c>
      <c r="C15" s="29">
        <v>30230</v>
      </c>
      <c r="D15" s="29">
        <v>31360</v>
      </c>
      <c r="E15" s="29">
        <v>30830</v>
      </c>
      <c r="F15" s="29">
        <v>31510</v>
      </c>
      <c r="G15" s="29">
        <v>30670</v>
      </c>
      <c r="H15" s="29">
        <v>29880</v>
      </c>
      <c r="I15" s="29">
        <v>29370</v>
      </c>
      <c r="J15" s="29">
        <v>28390</v>
      </c>
      <c r="K15" s="29">
        <v>28520</v>
      </c>
      <c r="L15" s="29">
        <v>28790</v>
      </c>
      <c r="M15" s="46">
        <v>29450</v>
      </c>
      <c r="N15" s="46">
        <v>29000</v>
      </c>
      <c r="O15" s="46">
        <v>28900</v>
      </c>
      <c r="P15" s="46">
        <v>29060</v>
      </c>
      <c r="Q15" s="46">
        <v>29540</v>
      </c>
      <c r="R15" s="46">
        <v>29820</v>
      </c>
      <c r="S15" s="46">
        <v>27560</v>
      </c>
      <c r="T15" s="46">
        <v>27820</v>
      </c>
      <c r="U15" s="46">
        <v>28280</v>
      </c>
      <c r="V15" s="46">
        <v>28290</v>
      </c>
      <c r="W15" s="46">
        <v>28280</v>
      </c>
      <c r="X15" s="46">
        <v>28270</v>
      </c>
      <c r="Y15" s="46">
        <v>28250</v>
      </c>
      <c r="Z15" s="46">
        <v>28240</v>
      </c>
      <c r="AA15" s="46">
        <v>28250</v>
      </c>
      <c r="AB15" s="46">
        <v>28270</v>
      </c>
      <c r="AC15" s="46">
        <v>28320</v>
      </c>
      <c r="AD15" s="46">
        <v>28400</v>
      </c>
      <c r="AE15" s="46">
        <v>28520</v>
      </c>
      <c r="AF15" s="46">
        <v>28680</v>
      </c>
      <c r="AG15" s="46">
        <v>28860</v>
      </c>
      <c r="AH15" s="46">
        <v>29070</v>
      </c>
      <c r="AI15" s="46">
        <v>29290</v>
      </c>
      <c r="AJ15" s="46">
        <v>29510</v>
      </c>
      <c r="AK15" s="46">
        <v>29730</v>
      </c>
      <c r="AL15" s="46">
        <v>29920</v>
      </c>
      <c r="AM15" s="46">
        <v>30080</v>
      </c>
      <c r="AN15" s="46">
        <v>30210</v>
      </c>
      <c r="AO15" s="46">
        <v>30300</v>
      </c>
      <c r="AP15" s="46">
        <v>30360</v>
      </c>
      <c r="AQ15" s="46">
        <v>30390</v>
      </c>
      <c r="AR15" s="46">
        <v>30390</v>
      </c>
      <c r="AS15" s="46">
        <v>30370</v>
      </c>
      <c r="AT15" s="46">
        <v>30330</v>
      </c>
      <c r="AU15" s="46">
        <v>30270</v>
      </c>
      <c r="AV15" s="46">
        <v>30200</v>
      </c>
      <c r="AW15" s="46">
        <v>30140</v>
      </c>
      <c r="AX15" s="46">
        <v>30080</v>
      </c>
      <c r="AY15" s="46">
        <v>30020</v>
      </c>
      <c r="AZ15" s="46">
        <v>29980</v>
      </c>
      <c r="BA15" s="46">
        <v>29950</v>
      </c>
      <c r="BB15" s="46">
        <v>29930</v>
      </c>
      <c r="BC15" s="46">
        <v>29940</v>
      </c>
      <c r="BD15" s="46">
        <v>29970</v>
      </c>
      <c r="BE15" s="46">
        <v>30020</v>
      </c>
      <c r="BF15" s="46">
        <v>30080</v>
      </c>
      <c r="BG15" s="46">
        <v>30160</v>
      </c>
      <c r="BH15" s="46">
        <v>30250</v>
      </c>
      <c r="BI15" s="46">
        <v>30360</v>
      </c>
    </row>
    <row r="16" spans="1:61" x14ac:dyDescent="0.25">
      <c r="A16" s="11">
        <v>1</v>
      </c>
      <c r="B16" s="29">
        <v>27990</v>
      </c>
      <c r="C16" s="29">
        <v>28850</v>
      </c>
      <c r="D16" s="29">
        <v>30110</v>
      </c>
      <c r="E16" s="29">
        <v>31260</v>
      </c>
      <c r="F16" s="29">
        <v>30820</v>
      </c>
      <c r="G16" s="29">
        <v>31460</v>
      </c>
      <c r="H16" s="29">
        <v>30640</v>
      </c>
      <c r="I16" s="29">
        <v>29950</v>
      </c>
      <c r="J16" s="29">
        <v>29510</v>
      </c>
      <c r="K16" s="29">
        <v>28670</v>
      </c>
      <c r="L16" s="29">
        <v>28900</v>
      </c>
      <c r="M16" s="46">
        <v>29040</v>
      </c>
      <c r="N16" s="46">
        <v>29620</v>
      </c>
      <c r="O16" s="46">
        <v>29110</v>
      </c>
      <c r="P16" s="46">
        <v>29080</v>
      </c>
      <c r="Q16" s="46">
        <v>29150</v>
      </c>
      <c r="R16" s="46">
        <v>29470</v>
      </c>
      <c r="S16" s="46">
        <v>30040</v>
      </c>
      <c r="T16" s="46">
        <v>27710</v>
      </c>
      <c r="U16" s="46">
        <v>27790</v>
      </c>
      <c r="V16" s="46">
        <v>28280</v>
      </c>
      <c r="W16" s="46">
        <v>28300</v>
      </c>
      <c r="X16" s="46">
        <v>28310</v>
      </c>
      <c r="Y16" s="46">
        <v>28300</v>
      </c>
      <c r="Z16" s="46">
        <v>28290</v>
      </c>
      <c r="AA16" s="46">
        <v>28290</v>
      </c>
      <c r="AB16" s="46">
        <v>28290</v>
      </c>
      <c r="AC16" s="46">
        <v>28320</v>
      </c>
      <c r="AD16" s="46">
        <v>28370</v>
      </c>
      <c r="AE16" s="46">
        <v>28450</v>
      </c>
      <c r="AF16" s="46">
        <v>28570</v>
      </c>
      <c r="AG16" s="46">
        <v>28730</v>
      </c>
      <c r="AH16" s="46">
        <v>28920</v>
      </c>
      <c r="AI16" s="46">
        <v>29130</v>
      </c>
      <c r="AJ16" s="46">
        <v>29350</v>
      </c>
      <c r="AK16" s="46">
        <v>29580</v>
      </c>
      <c r="AL16" s="46">
        <v>29790</v>
      </c>
      <c r="AM16" s="46">
        <v>29980</v>
      </c>
      <c r="AN16" s="46">
        <v>30140</v>
      </c>
      <c r="AO16" s="46">
        <v>30280</v>
      </c>
      <c r="AP16" s="46">
        <v>30370</v>
      </c>
      <c r="AQ16" s="46">
        <v>30430</v>
      </c>
      <c r="AR16" s="46">
        <v>30460</v>
      </c>
      <c r="AS16" s="46">
        <v>30460</v>
      </c>
      <c r="AT16" s="46">
        <v>30440</v>
      </c>
      <c r="AU16" s="46">
        <v>30400</v>
      </c>
      <c r="AV16" s="46">
        <v>30350</v>
      </c>
      <c r="AW16" s="46">
        <v>30290</v>
      </c>
      <c r="AX16" s="46">
        <v>30220</v>
      </c>
      <c r="AY16" s="46">
        <v>30160</v>
      </c>
      <c r="AZ16" s="46">
        <v>30110</v>
      </c>
      <c r="BA16" s="46">
        <v>30070</v>
      </c>
      <c r="BB16" s="46">
        <v>30040</v>
      </c>
      <c r="BC16" s="46">
        <v>30030</v>
      </c>
      <c r="BD16" s="46">
        <v>30030</v>
      </c>
      <c r="BE16" s="46">
        <v>30060</v>
      </c>
      <c r="BF16" s="46">
        <v>30110</v>
      </c>
      <c r="BG16" s="46">
        <v>30180</v>
      </c>
      <c r="BH16" s="46">
        <v>30260</v>
      </c>
      <c r="BI16" s="46">
        <v>30350</v>
      </c>
    </row>
    <row r="17" spans="1:61" x14ac:dyDescent="0.25">
      <c r="A17" s="11">
        <v>2</v>
      </c>
      <c r="B17" s="29">
        <v>28180</v>
      </c>
      <c r="C17" s="29">
        <v>28100</v>
      </c>
      <c r="D17" s="29">
        <v>28870</v>
      </c>
      <c r="E17" s="29">
        <v>30220</v>
      </c>
      <c r="F17" s="29">
        <v>31340</v>
      </c>
      <c r="G17" s="29">
        <v>30770</v>
      </c>
      <c r="H17" s="29">
        <v>31310</v>
      </c>
      <c r="I17" s="29">
        <v>30580</v>
      </c>
      <c r="J17" s="29">
        <v>30150</v>
      </c>
      <c r="K17" s="29">
        <v>29890</v>
      </c>
      <c r="L17" s="29">
        <v>29060</v>
      </c>
      <c r="M17" s="46">
        <v>29470</v>
      </c>
      <c r="N17" s="46">
        <v>29470</v>
      </c>
      <c r="O17" s="46">
        <v>29980</v>
      </c>
      <c r="P17" s="46">
        <v>29540</v>
      </c>
      <c r="Q17" s="46">
        <v>29260</v>
      </c>
      <c r="R17" s="46">
        <v>29240</v>
      </c>
      <c r="S17" s="46">
        <v>29840</v>
      </c>
      <c r="T17" s="46">
        <v>30450</v>
      </c>
      <c r="U17" s="46">
        <v>27780</v>
      </c>
      <c r="V17" s="46">
        <v>27890</v>
      </c>
      <c r="W17" s="46">
        <v>28390</v>
      </c>
      <c r="X17" s="46">
        <v>28430</v>
      </c>
      <c r="Y17" s="46">
        <v>28440</v>
      </c>
      <c r="Z17" s="46">
        <v>28440</v>
      </c>
      <c r="AA17" s="46">
        <v>28440</v>
      </c>
      <c r="AB17" s="46">
        <v>28430</v>
      </c>
      <c r="AC17" s="46">
        <v>28440</v>
      </c>
      <c r="AD17" s="46">
        <v>28470</v>
      </c>
      <c r="AE17" s="46">
        <v>28520</v>
      </c>
      <c r="AF17" s="46">
        <v>28610</v>
      </c>
      <c r="AG17" s="46">
        <v>28730</v>
      </c>
      <c r="AH17" s="46">
        <v>28890</v>
      </c>
      <c r="AI17" s="46">
        <v>29070</v>
      </c>
      <c r="AJ17" s="46">
        <v>29280</v>
      </c>
      <c r="AK17" s="46">
        <v>29510</v>
      </c>
      <c r="AL17" s="46">
        <v>29740</v>
      </c>
      <c r="AM17" s="46">
        <v>29950</v>
      </c>
      <c r="AN17" s="46">
        <v>30150</v>
      </c>
      <c r="AO17" s="46">
        <v>30310</v>
      </c>
      <c r="AP17" s="46">
        <v>30440</v>
      </c>
      <c r="AQ17" s="46">
        <v>30540</v>
      </c>
      <c r="AR17" s="46">
        <v>30600</v>
      </c>
      <c r="AS17" s="46">
        <v>30640</v>
      </c>
      <c r="AT17" s="46">
        <v>30640</v>
      </c>
      <c r="AU17" s="46">
        <v>30620</v>
      </c>
      <c r="AV17" s="46">
        <v>30580</v>
      </c>
      <c r="AW17" s="46">
        <v>30530</v>
      </c>
      <c r="AX17" s="46">
        <v>30470</v>
      </c>
      <c r="AY17" s="46">
        <v>30410</v>
      </c>
      <c r="AZ17" s="46">
        <v>30350</v>
      </c>
      <c r="BA17" s="46">
        <v>30300</v>
      </c>
      <c r="BB17" s="46">
        <v>30250</v>
      </c>
      <c r="BC17" s="46">
        <v>30230</v>
      </c>
      <c r="BD17" s="46">
        <v>30220</v>
      </c>
      <c r="BE17" s="46">
        <v>30230</v>
      </c>
      <c r="BF17" s="46">
        <v>30260</v>
      </c>
      <c r="BG17" s="46">
        <v>30310</v>
      </c>
      <c r="BH17" s="46">
        <v>30380</v>
      </c>
      <c r="BI17" s="46">
        <v>30460</v>
      </c>
    </row>
    <row r="18" spans="1:61" x14ac:dyDescent="0.25">
      <c r="A18" s="11">
        <v>3</v>
      </c>
      <c r="B18" s="29">
        <v>27310</v>
      </c>
      <c r="C18" s="29">
        <v>28260</v>
      </c>
      <c r="D18" s="29">
        <v>28090</v>
      </c>
      <c r="E18" s="29">
        <v>28910</v>
      </c>
      <c r="F18" s="29">
        <v>30280</v>
      </c>
      <c r="G18" s="29">
        <v>31290</v>
      </c>
      <c r="H18" s="29">
        <v>30670</v>
      </c>
      <c r="I18" s="29">
        <v>31320</v>
      </c>
      <c r="J18" s="29">
        <v>30730</v>
      </c>
      <c r="K18" s="29">
        <v>30430</v>
      </c>
      <c r="L18" s="29">
        <v>30460</v>
      </c>
      <c r="M18" s="46">
        <v>29610</v>
      </c>
      <c r="N18" s="46">
        <v>30030</v>
      </c>
      <c r="O18" s="46">
        <v>29920</v>
      </c>
      <c r="P18" s="46">
        <v>30490</v>
      </c>
      <c r="Q18" s="46">
        <v>29680</v>
      </c>
      <c r="R18" s="46">
        <v>29450</v>
      </c>
      <c r="S18" s="46">
        <v>29740</v>
      </c>
      <c r="T18" s="46">
        <v>30340</v>
      </c>
      <c r="U18" s="46">
        <v>30570</v>
      </c>
      <c r="V18" s="46">
        <v>27930</v>
      </c>
      <c r="W18" s="46">
        <v>28060</v>
      </c>
      <c r="X18" s="46">
        <v>28580</v>
      </c>
      <c r="Y18" s="46">
        <v>28620</v>
      </c>
      <c r="Z18" s="46">
        <v>28640</v>
      </c>
      <c r="AA18" s="46">
        <v>28650</v>
      </c>
      <c r="AB18" s="46">
        <v>28640</v>
      </c>
      <c r="AC18" s="46">
        <v>28640</v>
      </c>
      <c r="AD18" s="46">
        <v>28650</v>
      </c>
      <c r="AE18" s="46">
        <v>28680</v>
      </c>
      <c r="AF18" s="46">
        <v>28730</v>
      </c>
      <c r="AG18" s="46">
        <v>28820</v>
      </c>
      <c r="AH18" s="46">
        <v>28950</v>
      </c>
      <c r="AI18" s="46">
        <v>29110</v>
      </c>
      <c r="AJ18" s="46">
        <v>29300</v>
      </c>
      <c r="AK18" s="46">
        <v>29510</v>
      </c>
      <c r="AL18" s="46">
        <v>29730</v>
      </c>
      <c r="AM18" s="46">
        <v>29960</v>
      </c>
      <c r="AN18" s="46">
        <v>30180</v>
      </c>
      <c r="AO18" s="46">
        <v>30380</v>
      </c>
      <c r="AP18" s="46">
        <v>30540</v>
      </c>
      <c r="AQ18" s="46">
        <v>30680</v>
      </c>
      <c r="AR18" s="46">
        <v>30780</v>
      </c>
      <c r="AS18" s="46">
        <v>30840</v>
      </c>
      <c r="AT18" s="46">
        <v>30880</v>
      </c>
      <c r="AU18" s="46">
        <v>30880</v>
      </c>
      <c r="AV18" s="46">
        <v>30860</v>
      </c>
      <c r="AW18" s="46">
        <v>30830</v>
      </c>
      <c r="AX18" s="46">
        <v>30780</v>
      </c>
      <c r="AY18" s="46">
        <v>30720</v>
      </c>
      <c r="AZ18" s="46">
        <v>30660</v>
      </c>
      <c r="BA18" s="46">
        <v>30600</v>
      </c>
      <c r="BB18" s="46">
        <v>30550</v>
      </c>
      <c r="BC18" s="46">
        <v>30510</v>
      </c>
      <c r="BD18" s="46">
        <v>30480</v>
      </c>
      <c r="BE18" s="46">
        <v>30480</v>
      </c>
      <c r="BF18" s="46">
        <v>30490</v>
      </c>
      <c r="BG18" s="46">
        <v>30520</v>
      </c>
      <c r="BH18" s="46">
        <v>30570</v>
      </c>
      <c r="BI18" s="46">
        <v>30640</v>
      </c>
    </row>
    <row r="19" spans="1:61" x14ac:dyDescent="0.25">
      <c r="A19" s="11">
        <v>4</v>
      </c>
      <c r="B19" s="29">
        <v>27400</v>
      </c>
      <c r="C19" s="29">
        <v>27460</v>
      </c>
      <c r="D19" s="29">
        <v>28310</v>
      </c>
      <c r="E19" s="29">
        <v>28190</v>
      </c>
      <c r="F19" s="29">
        <v>29030</v>
      </c>
      <c r="G19" s="29">
        <v>30250</v>
      </c>
      <c r="H19" s="29">
        <v>31140</v>
      </c>
      <c r="I19" s="29">
        <v>30550</v>
      </c>
      <c r="J19" s="29">
        <v>31460</v>
      </c>
      <c r="K19" s="29">
        <v>31040</v>
      </c>
      <c r="L19" s="29">
        <v>30880</v>
      </c>
      <c r="M19" s="46">
        <v>30980</v>
      </c>
      <c r="N19" s="46">
        <v>30100</v>
      </c>
      <c r="O19" s="46">
        <v>30500</v>
      </c>
      <c r="P19" s="46">
        <v>30420</v>
      </c>
      <c r="Q19" s="46">
        <v>30610</v>
      </c>
      <c r="R19" s="46">
        <v>29800</v>
      </c>
      <c r="S19" s="46">
        <v>30210</v>
      </c>
      <c r="T19" s="46">
        <v>30430</v>
      </c>
      <c r="U19" s="46">
        <v>30500</v>
      </c>
      <c r="V19" s="46">
        <v>30770</v>
      </c>
      <c r="W19" s="46">
        <v>28150</v>
      </c>
      <c r="X19" s="46">
        <v>28290</v>
      </c>
      <c r="Y19" s="46">
        <v>28820</v>
      </c>
      <c r="Z19" s="46">
        <v>28870</v>
      </c>
      <c r="AA19" s="46">
        <v>28900</v>
      </c>
      <c r="AB19" s="46">
        <v>28910</v>
      </c>
      <c r="AC19" s="46">
        <v>28900</v>
      </c>
      <c r="AD19" s="46">
        <v>28900</v>
      </c>
      <c r="AE19" s="46">
        <v>28910</v>
      </c>
      <c r="AF19" s="46">
        <v>28940</v>
      </c>
      <c r="AG19" s="46">
        <v>29000</v>
      </c>
      <c r="AH19" s="46">
        <v>29090</v>
      </c>
      <c r="AI19" s="46">
        <v>29220</v>
      </c>
      <c r="AJ19" s="46">
        <v>29380</v>
      </c>
      <c r="AK19" s="46">
        <v>29570</v>
      </c>
      <c r="AL19" s="46">
        <v>29780</v>
      </c>
      <c r="AM19" s="46">
        <v>30010</v>
      </c>
      <c r="AN19" s="46">
        <v>30240</v>
      </c>
      <c r="AO19" s="46">
        <v>30460</v>
      </c>
      <c r="AP19" s="46">
        <v>30660</v>
      </c>
      <c r="AQ19" s="46">
        <v>30830</v>
      </c>
      <c r="AR19" s="46">
        <v>30970</v>
      </c>
      <c r="AS19" s="46">
        <v>31070</v>
      </c>
      <c r="AT19" s="46">
        <v>31130</v>
      </c>
      <c r="AU19" s="46">
        <v>31170</v>
      </c>
      <c r="AV19" s="46">
        <v>31180</v>
      </c>
      <c r="AW19" s="46">
        <v>31160</v>
      </c>
      <c r="AX19" s="46">
        <v>31130</v>
      </c>
      <c r="AY19" s="46">
        <v>31080</v>
      </c>
      <c r="AZ19" s="46">
        <v>31020</v>
      </c>
      <c r="BA19" s="46">
        <v>30960</v>
      </c>
      <c r="BB19" s="46">
        <v>30910</v>
      </c>
      <c r="BC19" s="46">
        <v>30860</v>
      </c>
      <c r="BD19" s="46">
        <v>30820</v>
      </c>
      <c r="BE19" s="46">
        <v>30800</v>
      </c>
      <c r="BF19" s="46">
        <v>30790</v>
      </c>
      <c r="BG19" s="46">
        <v>30810</v>
      </c>
      <c r="BH19" s="46">
        <v>30840</v>
      </c>
      <c r="BI19" s="46">
        <v>30890</v>
      </c>
    </row>
    <row r="20" spans="1:61" x14ac:dyDescent="0.25">
      <c r="A20" s="11">
        <v>5</v>
      </c>
      <c r="B20" s="29">
        <v>28370</v>
      </c>
      <c r="C20" s="29">
        <v>27650</v>
      </c>
      <c r="D20" s="29">
        <v>27610</v>
      </c>
      <c r="E20" s="29">
        <v>28410</v>
      </c>
      <c r="F20" s="29">
        <v>28320</v>
      </c>
      <c r="G20" s="29">
        <v>29050</v>
      </c>
      <c r="H20" s="29">
        <v>30120</v>
      </c>
      <c r="I20" s="29">
        <v>31090</v>
      </c>
      <c r="J20" s="29">
        <v>30700</v>
      </c>
      <c r="K20" s="29">
        <v>31720</v>
      </c>
      <c r="L20" s="29">
        <v>31400</v>
      </c>
      <c r="M20" s="46">
        <v>31390</v>
      </c>
      <c r="N20" s="46">
        <v>31470</v>
      </c>
      <c r="O20" s="46">
        <v>30590</v>
      </c>
      <c r="P20" s="46">
        <v>30990</v>
      </c>
      <c r="Q20" s="46">
        <v>30490</v>
      </c>
      <c r="R20" s="46">
        <v>30660</v>
      </c>
      <c r="S20" s="46">
        <v>30490</v>
      </c>
      <c r="T20" s="46">
        <v>31010</v>
      </c>
      <c r="U20" s="46">
        <v>30610</v>
      </c>
      <c r="V20" s="46">
        <v>30720</v>
      </c>
      <c r="W20" s="46">
        <v>31000</v>
      </c>
      <c r="X20" s="46">
        <v>28400</v>
      </c>
      <c r="Y20" s="46">
        <v>28560</v>
      </c>
      <c r="Z20" s="46">
        <v>29090</v>
      </c>
      <c r="AA20" s="46">
        <v>29150</v>
      </c>
      <c r="AB20" s="46">
        <v>29180</v>
      </c>
      <c r="AC20" s="46">
        <v>29180</v>
      </c>
      <c r="AD20" s="46">
        <v>29180</v>
      </c>
      <c r="AE20" s="46">
        <v>29180</v>
      </c>
      <c r="AF20" s="46">
        <v>29200</v>
      </c>
      <c r="AG20" s="46">
        <v>29230</v>
      </c>
      <c r="AH20" s="46">
        <v>29290</v>
      </c>
      <c r="AI20" s="46">
        <v>29380</v>
      </c>
      <c r="AJ20" s="46">
        <v>29510</v>
      </c>
      <c r="AK20" s="46">
        <v>29670</v>
      </c>
      <c r="AL20" s="46">
        <v>29870</v>
      </c>
      <c r="AM20" s="46">
        <v>30080</v>
      </c>
      <c r="AN20" s="46">
        <v>30310</v>
      </c>
      <c r="AO20" s="46">
        <v>30550</v>
      </c>
      <c r="AP20" s="46">
        <v>30770</v>
      </c>
      <c r="AQ20" s="46">
        <v>30970</v>
      </c>
      <c r="AR20" s="46">
        <v>31140</v>
      </c>
      <c r="AS20" s="46">
        <v>31280</v>
      </c>
      <c r="AT20" s="46">
        <v>31380</v>
      </c>
      <c r="AU20" s="46">
        <v>31450</v>
      </c>
      <c r="AV20" s="46">
        <v>31490</v>
      </c>
      <c r="AW20" s="46">
        <v>31490</v>
      </c>
      <c r="AX20" s="46">
        <v>31480</v>
      </c>
      <c r="AY20" s="46">
        <v>31450</v>
      </c>
      <c r="AZ20" s="46">
        <v>31400</v>
      </c>
      <c r="BA20" s="46">
        <v>31350</v>
      </c>
      <c r="BB20" s="46">
        <v>31290</v>
      </c>
      <c r="BC20" s="46">
        <v>31240</v>
      </c>
      <c r="BD20" s="46">
        <v>31190</v>
      </c>
      <c r="BE20" s="46">
        <v>31150</v>
      </c>
      <c r="BF20" s="46">
        <v>31130</v>
      </c>
      <c r="BG20" s="46">
        <v>31130</v>
      </c>
      <c r="BH20" s="46">
        <v>31140</v>
      </c>
      <c r="BI20" s="46">
        <v>31180</v>
      </c>
    </row>
    <row r="21" spans="1:61" x14ac:dyDescent="0.25">
      <c r="A21" s="11">
        <v>6</v>
      </c>
      <c r="B21" s="29">
        <v>28910</v>
      </c>
      <c r="C21" s="29">
        <v>28620</v>
      </c>
      <c r="D21" s="29">
        <v>27860</v>
      </c>
      <c r="E21" s="29">
        <v>27770</v>
      </c>
      <c r="F21" s="29">
        <v>28550</v>
      </c>
      <c r="G21" s="29">
        <v>28290</v>
      </c>
      <c r="H21" s="29">
        <v>28900</v>
      </c>
      <c r="I21" s="29">
        <v>30050</v>
      </c>
      <c r="J21" s="29">
        <v>31180</v>
      </c>
      <c r="K21" s="29">
        <v>30870</v>
      </c>
      <c r="L21" s="29">
        <v>31990</v>
      </c>
      <c r="M21" s="46">
        <v>31750</v>
      </c>
      <c r="N21" s="46">
        <v>31830</v>
      </c>
      <c r="O21" s="46">
        <v>31890</v>
      </c>
      <c r="P21" s="46">
        <v>31080</v>
      </c>
      <c r="Q21" s="46">
        <v>31090</v>
      </c>
      <c r="R21" s="46">
        <v>30550</v>
      </c>
      <c r="S21" s="46">
        <v>31420</v>
      </c>
      <c r="T21" s="46">
        <v>31240</v>
      </c>
      <c r="U21" s="46">
        <v>31200</v>
      </c>
      <c r="V21" s="46">
        <v>30840</v>
      </c>
      <c r="W21" s="46">
        <v>30970</v>
      </c>
      <c r="X21" s="46">
        <v>31270</v>
      </c>
      <c r="Y21" s="46">
        <v>28680</v>
      </c>
      <c r="Z21" s="46">
        <v>28840</v>
      </c>
      <c r="AA21" s="46">
        <v>29380</v>
      </c>
      <c r="AB21" s="46">
        <v>29440</v>
      </c>
      <c r="AC21" s="46">
        <v>29470</v>
      </c>
      <c r="AD21" s="46">
        <v>29480</v>
      </c>
      <c r="AE21" s="46">
        <v>29480</v>
      </c>
      <c r="AF21" s="46">
        <v>29490</v>
      </c>
      <c r="AG21" s="46">
        <v>29500</v>
      </c>
      <c r="AH21" s="46">
        <v>29530</v>
      </c>
      <c r="AI21" s="46">
        <v>29600</v>
      </c>
      <c r="AJ21" s="46">
        <v>29690</v>
      </c>
      <c r="AK21" s="46">
        <v>29820</v>
      </c>
      <c r="AL21" s="46">
        <v>29990</v>
      </c>
      <c r="AM21" s="46">
        <v>30180</v>
      </c>
      <c r="AN21" s="46">
        <v>30400</v>
      </c>
      <c r="AO21" s="46">
        <v>30630</v>
      </c>
      <c r="AP21" s="46">
        <v>30870</v>
      </c>
      <c r="AQ21" s="46">
        <v>31090</v>
      </c>
      <c r="AR21" s="46">
        <v>31290</v>
      </c>
      <c r="AS21" s="46">
        <v>31470</v>
      </c>
      <c r="AT21" s="46">
        <v>31610</v>
      </c>
      <c r="AU21" s="46">
        <v>31710</v>
      </c>
      <c r="AV21" s="46">
        <v>31780</v>
      </c>
      <c r="AW21" s="46">
        <v>31820</v>
      </c>
      <c r="AX21" s="46">
        <v>31830</v>
      </c>
      <c r="AY21" s="46">
        <v>31820</v>
      </c>
      <c r="AZ21" s="46">
        <v>31790</v>
      </c>
      <c r="BA21" s="46">
        <v>31750</v>
      </c>
      <c r="BB21" s="46">
        <v>31690</v>
      </c>
      <c r="BC21" s="46">
        <v>31640</v>
      </c>
      <c r="BD21" s="46">
        <v>31590</v>
      </c>
      <c r="BE21" s="46">
        <v>31540</v>
      </c>
      <c r="BF21" s="46">
        <v>31510</v>
      </c>
      <c r="BG21" s="46">
        <v>31490</v>
      </c>
      <c r="BH21" s="46">
        <v>31490</v>
      </c>
      <c r="BI21" s="46">
        <v>31510</v>
      </c>
    </row>
    <row r="22" spans="1:61" x14ac:dyDescent="0.25">
      <c r="A22" s="11">
        <v>7</v>
      </c>
      <c r="B22" s="29">
        <v>27980</v>
      </c>
      <c r="C22" s="29">
        <v>29160</v>
      </c>
      <c r="D22" s="29">
        <v>28760</v>
      </c>
      <c r="E22" s="29">
        <v>27990</v>
      </c>
      <c r="F22" s="29">
        <v>27850</v>
      </c>
      <c r="G22" s="29">
        <v>28600</v>
      </c>
      <c r="H22" s="29">
        <v>28200</v>
      </c>
      <c r="I22" s="29">
        <v>28790</v>
      </c>
      <c r="J22" s="29">
        <v>30150</v>
      </c>
      <c r="K22" s="29">
        <v>31310</v>
      </c>
      <c r="L22" s="29">
        <v>31080</v>
      </c>
      <c r="M22" s="46">
        <v>32270</v>
      </c>
      <c r="N22" s="46">
        <v>32050</v>
      </c>
      <c r="O22" s="46">
        <v>32190</v>
      </c>
      <c r="P22" s="46">
        <v>32370</v>
      </c>
      <c r="Q22" s="46">
        <v>31220</v>
      </c>
      <c r="R22" s="46">
        <v>31170</v>
      </c>
      <c r="S22" s="46">
        <v>31190</v>
      </c>
      <c r="T22" s="46">
        <v>32120</v>
      </c>
      <c r="U22" s="46">
        <v>31440</v>
      </c>
      <c r="V22" s="46">
        <v>31440</v>
      </c>
      <c r="W22" s="46">
        <v>31100</v>
      </c>
      <c r="X22" s="46">
        <v>31250</v>
      </c>
      <c r="Y22" s="46">
        <v>31560</v>
      </c>
      <c r="Z22" s="46">
        <v>28980</v>
      </c>
      <c r="AA22" s="46">
        <v>29140</v>
      </c>
      <c r="AB22" s="46">
        <v>29690</v>
      </c>
      <c r="AC22" s="46">
        <v>29750</v>
      </c>
      <c r="AD22" s="46">
        <v>29780</v>
      </c>
      <c r="AE22" s="46">
        <v>29790</v>
      </c>
      <c r="AF22" s="46">
        <v>29790</v>
      </c>
      <c r="AG22" s="46">
        <v>29800</v>
      </c>
      <c r="AH22" s="46">
        <v>29820</v>
      </c>
      <c r="AI22" s="46">
        <v>29850</v>
      </c>
      <c r="AJ22" s="46">
        <v>29920</v>
      </c>
      <c r="AK22" s="46">
        <v>30010</v>
      </c>
      <c r="AL22" s="46">
        <v>30150</v>
      </c>
      <c r="AM22" s="46">
        <v>30310</v>
      </c>
      <c r="AN22" s="46">
        <v>30510</v>
      </c>
      <c r="AO22" s="46">
        <v>30730</v>
      </c>
      <c r="AP22" s="46">
        <v>30970</v>
      </c>
      <c r="AQ22" s="46">
        <v>31200</v>
      </c>
      <c r="AR22" s="46">
        <v>31430</v>
      </c>
      <c r="AS22" s="46">
        <v>31630</v>
      </c>
      <c r="AT22" s="46">
        <v>31810</v>
      </c>
      <c r="AU22" s="46">
        <v>31950</v>
      </c>
      <c r="AV22" s="46">
        <v>32060</v>
      </c>
      <c r="AW22" s="46">
        <v>32130</v>
      </c>
      <c r="AX22" s="46">
        <v>32170</v>
      </c>
      <c r="AY22" s="46">
        <v>32180</v>
      </c>
      <c r="AZ22" s="46">
        <v>32170</v>
      </c>
      <c r="BA22" s="46">
        <v>32150</v>
      </c>
      <c r="BB22" s="46">
        <v>32100</v>
      </c>
      <c r="BC22" s="46">
        <v>32050</v>
      </c>
      <c r="BD22" s="46">
        <v>32000</v>
      </c>
      <c r="BE22" s="46">
        <v>31950</v>
      </c>
      <c r="BF22" s="46">
        <v>31910</v>
      </c>
      <c r="BG22" s="46">
        <v>31880</v>
      </c>
      <c r="BH22" s="46">
        <v>31860</v>
      </c>
      <c r="BI22" s="46">
        <v>31860</v>
      </c>
    </row>
    <row r="23" spans="1:61" x14ac:dyDescent="0.25">
      <c r="A23" s="11">
        <v>8</v>
      </c>
      <c r="B23" s="29">
        <v>28620</v>
      </c>
      <c r="C23" s="29">
        <v>28230</v>
      </c>
      <c r="D23" s="29">
        <v>29340</v>
      </c>
      <c r="E23" s="29">
        <v>28950</v>
      </c>
      <c r="F23" s="29">
        <v>28120</v>
      </c>
      <c r="G23" s="29">
        <v>27910</v>
      </c>
      <c r="H23" s="29">
        <v>28490</v>
      </c>
      <c r="I23" s="29">
        <v>28140</v>
      </c>
      <c r="J23" s="29">
        <v>28910</v>
      </c>
      <c r="K23" s="29">
        <v>30320</v>
      </c>
      <c r="L23" s="29">
        <v>31560</v>
      </c>
      <c r="M23" s="46">
        <v>31380</v>
      </c>
      <c r="N23" s="46">
        <v>32500</v>
      </c>
      <c r="O23" s="46">
        <v>32460</v>
      </c>
      <c r="P23" s="46">
        <v>32650</v>
      </c>
      <c r="Q23" s="46">
        <v>32520</v>
      </c>
      <c r="R23" s="46">
        <v>31310</v>
      </c>
      <c r="S23" s="46">
        <v>31870</v>
      </c>
      <c r="T23" s="46">
        <v>31910</v>
      </c>
      <c r="U23" s="46">
        <v>32320</v>
      </c>
      <c r="V23" s="46">
        <v>31680</v>
      </c>
      <c r="W23" s="46">
        <v>31700</v>
      </c>
      <c r="X23" s="46">
        <v>31380</v>
      </c>
      <c r="Y23" s="46">
        <v>31540</v>
      </c>
      <c r="Z23" s="46">
        <v>31860</v>
      </c>
      <c r="AA23" s="46">
        <v>29280</v>
      </c>
      <c r="AB23" s="46">
        <v>29450</v>
      </c>
      <c r="AC23" s="46">
        <v>29990</v>
      </c>
      <c r="AD23" s="46">
        <v>30050</v>
      </c>
      <c r="AE23" s="46">
        <v>30090</v>
      </c>
      <c r="AF23" s="46">
        <v>30100</v>
      </c>
      <c r="AG23" s="46">
        <v>30110</v>
      </c>
      <c r="AH23" s="46">
        <v>30110</v>
      </c>
      <c r="AI23" s="46">
        <v>30130</v>
      </c>
      <c r="AJ23" s="46">
        <v>30170</v>
      </c>
      <c r="AK23" s="46">
        <v>30240</v>
      </c>
      <c r="AL23" s="46">
        <v>30330</v>
      </c>
      <c r="AM23" s="46">
        <v>30470</v>
      </c>
      <c r="AN23" s="46">
        <v>30640</v>
      </c>
      <c r="AO23" s="46">
        <v>30840</v>
      </c>
      <c r="AP23" s="46">
        <v>31060</v>
      </c>
      <c r="AQ23" s="46">
        <v>31300</v>
      </c>
      <c r="AR23" s="46">
        <v>31540</v>
      </c>
      <c r="AS23" s="46">
        <v>31770</v>
      </c>
      <c r="AT23" s="46">
        <v>31970</v>
      </c>
      <c r="AU23" s="46">
        <v>32150</v>
      </c>
      <c r="AV23" s="46">
        <v>32290</v>
      </c>
      <c r="AW23" s="46">
        <v>32400</v>
      </c>
      <c r="AX23" s="46">
        <v>32480</v>
      </c>
      <c r="AY23" s="46">
        <v>32520</v>
      </c>
      <c r="AZ23" s="46">
        <v>32540</v>
      </c>
      <c r="BA23" s="46">
        <v>32530</v>
      </c>
      <c r="BB23" s="46">
        <v>32500</v>
      </c>
      <c r="BC23" s="46">
        <v>32460</v>
      </c>
      <c r="BD23" s="46">
        <v>32410</v>
      </c>
      <c r="BE23" s="46">
        <v>32360</v>
      </c>
      <c r="BF23" s="46">
        <v>32310</v>
      </c>
      <c r="BG23" s="46">
        <v>32270</v>
      </c>
      <c r="BH23" s="46">
        <v>32240</v>
      </c>
      <c r="BI23" s="46">
        <v>32230</v>
      </c>
    </row>
    <row r="24" spans="1:61" x14ac:dyDescent="0.25">
      <c r="A24" s="11">
        <v>9</v>
      </c>
      <c r="B24" s="29">
        <v>28770</v>
      </c>
      <c r="C24" s="29">
        <v>28910</v>
      </c>
      <c r="D24" s="29">
        <v>28390</v>
      </c>
      <c r="E24" s="29">
        <v>29550</v>
      </c>
      <c r="F24" s="29">
        <v>29150</v>
      </c>
      <c r="G24" s="29">
        <v>28210</v>
      </c>
      <c r="H24" s="29">
        <v>27850</v>
      </c>
      <c r="I24" s="29">
        <v>28430</v>
      </c>
      <c r="J24" s="29">
        <v>28290</v>
      </c>
      <c r="K24" s="29">
        <v>29120</v>
      </c>
      <c r="L24" s="29">
        <v>30590</v>
      </c>
      <c r="M24" s="46">
        <v>31900</v>
      </c>
      <c r="N24" s="46">
        <v>31640</v>
      </c>
      <c r="O24" s="46">
        <v>32820</v>
      </c>
      <c r="P24" s="46">
        <v>32920</v>
      </c>
      <c r="Q24" s="46">
        <v>32770</v>
      </c>
      <c r="R24" s="46">
        <v>32570</v>
      </c>
      <c r="S24" s="46">
        <v>32040</v>
      </c>
      <c r="T24" s="46">
        <v>32620</v>
      </c>
      <c r="U24" s="46">
        <v>32110</v>
      </c>
      <c r="V24" s="46">
        <v>32570</v>
      </c>
      <c r="W24" s="46">
        <v>31940</v>
      </c>
      <c r="X24" s="46">
        <v>31980</v>
      </c>
      <c r="Y24" s="46">
        <v>31660</v>
      </c>
      <c r="Z24" s="46">
        <v>31830</v>
      </c>
      <c r="AA24" s="46">
        <v>32160</v>
      </c>
      <c r="AB24" s="46">
        <v>29580</v>
      </c>
      <c r="AC24" s="46">
        <v>29750</v>
      </c>
      <c r="AD24" s="46">
        <v>30300</v>
      </c>
      <c r="AE24" s="46">
        <v>30360</v>
      </c>
      <c r="AF24" s="46">
        <v>30400</v>
      </c>
      <c r="AG24" s="46">
        <v>30410</v>
      </c>
      <c r="AH24" s="46">
        <v>30420</v>
      </c>
      <c r="AI24" s="46">
        <v>30430</v>
      </c>
      <c r="AJ24" s="46">
        <v>30450</v>
      </c>
      <c r="AK24" s="46">
        <v>30490</v>
      </c>
      <c r="AL24" s="46">
        <v>30560</v>
      </c>
      <c r="AM24" s="46">
        <v>30660</v>
      </c>
      <c r="AN24" s="46">
        <v>30800</v>
      </c>
      <c r="AO24" s="46">
        <v>30970</v>
      </c>
      <c r="AP24" s="46">
        <v>31170</v>
      </c>
      <c r="AQ24" s="46">
        <v>31390</v>
      </c>
      <c r="AR24" s="46">
        <v>31630</v>
      </c>
      <c r="AS24" s="46">
        <v>31870</v>
      </c>
      <c r="AT24" s="46">
        <v>32100</v>
      </c>
      <c r="AU24" s="46">
        <v>32310</v>
      </c>
      <c r="AV24" s="46">
        <v>32490</v>
      </c>
      <c r="AW24" s="46">
        <v>32640</v>
      </c>
      <c r="AX24" s="46">
        <v>32750</v>
      </c>
      <c r="AY24" s="46">
        <v>32820</v>
      </c>
      <c r="AZ24" s="46">
        <v>32870</v>
      </c>
      <c r="BA24" s="46">
        <v>32890</v>
      </c>
      <c r="BB24" s="46">
        <v>32880</v>
      </c>
      <c r="BC24" s="46">
        <v>32860</v>
      </c>
      <c r="BD24" s="46">
        <v>32820</v>
      </c>
      <c r="BE24" s="46">
        <v>32770</v>
      </c>
      <c r="BF24" s="46">
        <v>32720</v>
      </c>
      <c r="BG24" s="46">
        <v>32680</v>
      </c>
      <c r="BH24" s="46">
        <v>32640</v>
      </c>
      <c r="BI24" s="46">
        <v>32610</v>
      </c>
    </row>
    <row r="25" spans="1:61" x14ac:dyDescent="0.25">
      <c r="A25" s="11">
        <v>10</v>
      </c>
      <c r="B25" s="29">
        <v>29250</v>
      </c>
      <c r="C25" s="29">
        <v>28990</v>
      </c>
      <c r="D25" s="29">
        <v>29090</v>
      </c>
      <c r="E25" s="29">
        <v>28550</v>
      </c>
      <c r="F25" s="29">
        <v>29770</v>
      </c>
      <c r="G25" s="29">
        <v>29310</v>
      </c>
      <c r="H25" s="29">
        <v>28210</v>
      </c>
      <c r="I25" s="29">
        <v>27900</v>
      </c>
      <c r="J25" s="29">
        <v>28540</v>
      </c>
      <c r="K25" s="29">
        <v>28530</v>
      </c>
      <c r="L25" s="29">
        <v>29430</v>
      </c>
      <c r="M25" s="46">
        <v>30950</v>
      </c>
      <c r="N25" s="46">
        <v>32130</v>
      </c>
      <c r="O25" s="46">
        <v>31950</v>
      </c>
      <c r="P25" s="46">
        <v>33220</v>
      </c>
      <c r="Q25" s="46">
        <v>33040</v>
      </c>
      <c r="R25" s="46">
        <v>32810</v>
      </c>
      <c r="S25" s="46">
        <v>33270</v>
      </c>
      <c r="T25" s="46">
        <v>32820</v>
      </c>
      <c r="U25" s="46">
        <v>32830</v>
      </c>
      <c r="V25" s="46">
        <v>32370</v>
      </c>
      <c r="W25" s="46">
        <v>32840</v>
      </c>
      <c r="X25" s="46">
        <v>32230</v>
      </c>
      <c r="Y25" s="46">
        <v>32280</v>
      </c>
      <c r="Z25" s="46">
        <v>31970</v>
      </c>
      <c r="AA25" s="46">
        <v>32140</v>
      </c>
      <c r="AB25" s="46">
        <v>32470</v>
      </c>
      <c r="AC25" s="46">
        <v>29900</v>
      </c>
      <c r="AD25" s="46">
        <v>30070</v>
      </c>
      <c r="AE25" s="46">
        <v>30620</v>
      </c>
      <c r="AF25" s="46">
        <v>30680</v>
      </c>
      <c r="AG25" s="46">
        <v>30720</v>
      </c>
      <c r="AH25" s="46">
        <v>30740</v>
      </c>
      <c r="AI25" s="46">
        <v>30750</v>
      </c>
      <c r="AJ25" s="46">
        <v>30760</v>
      </c>
      <c r="AK25" s="46">
        <v>30780</v>
      </c>
      <c r="AL25" s="46">
        <v>30820</v>
      </c>
      <c r="AM25" s="46">
        <v>30890</v>
      </c>
      <c r="AN25" s="46">
        <v>31000</v>
      </c>
      <c r="AO25" s="46">
        <v>31130</v>
      </c>
      <c r="AP25" s="46">
        <v>31310</v>
      </c>
      <c r="AQ25" s="46">
        <v>31510</v>
      </c>
      <c r="AR25" s="46">
        <v>31740</v>
      </c>
      <c r="AS25" s="46">
        <v>31980</v>
      </c>
      <c r="AT25" s="46">
        <v>32220</v>
      </c>
      <c r="AU25" s="46">
        <v>32450</v>
      </c>
      <c r="AV25" s="46">
        <v>32660</v>
      </c>
      <c r="AW25" s="46">
        <v>32840</v>
      </c>
      <c r="AX25" s="46">
        <v>32990</v>
      </c>
      <c r="AY25" s="46">
        <v>33100</v>
      </c>
      <c r="AZ25" s="46">
        <v>33180</v>
      </c>
      <c r="BA25" s="46">
        <v>33230</v>
      </c>
      <c r="BB25" s="46">
        <v>33250</v>
      </c>
      <c r="BC25" s="46">
        <v>33250</v>
      </c>
      <c r="BD25" s="46">
        <v>33220</v>
      </c>
      <c r="BE25" s="46">
        <v>33190</v>
      </c>
      <c r="BF25" s="46">
        <v>33140</v>
      </c>
      <c r="BG25" s="46">
        <v>33100</v>
      </c>
      <c r="BH25" s="46">
        <v>33050</v>
      </c>
      <c r="BI25" s="46">
        <v>33010</v>
      </c>
    </row>
    <row r="26" spans="1:61" x14ac:dyDescent="0.25">
      <c r="A26" s="11">
        <v>11</v>
      </c>
      <c r="B26" s="29">
        <v>29970</v>
      </c>
      <c r="C26" s="29">
        <v>29430</v>
      </c>
      <c r="D26" s="29">
        <v>29180</v>
      </c>
      <c r="E26" s="29">
        <v>29270</v>
      </c>
      <c r="F26" s="29">
        <v>28700</v>
      </c>
      <c r="G26" s="29">
        <v>29880</v>
      </c>
      <c r="H26" s="29">
        <v>29380</v>
      </c>
      <c r="I26" s="29">
        <v>28280</v>
      </c>
      <c r="J26" s="29">
        <v>28040</v>
      </c>
      <c r="K26" s="29">
        <v>28740</v>
      </c>
      <c r="L26" s="29">
        <v>28830</v>
      </c>
      <c r="M26" s="46">
        <v>29750</v>
      </c>
      <c r="N26" s="46">
        <v>31280</v>
      </c>
      <c r="O26" s="46">
        <v>32550</v>
      </c>
      <c r="P26" s="46">
        <v>32410</v>
      </c>
      <c r="Q26" s="46">
        <v>33350</v>
      </c>
      <c r="R26" s="46">
        <v>33060</v>
      </c>
      <c r="S26" s="46">
        <v>33500</v>
      </c>
      <c r="T26" s="46">
        <v>33950</v>
      </c>
      <c r="U26" s="46">
        <v>33030</v>
      </c>
      <c r="V26" s="46">
        <v>33080</v>
      </c>
      <c r="W26" s="46">
        <v>32640</v>
      </c>
      <c r="X26" s="46">
        <v>33120</v>
      </c>
      <c r="Y26" s="46">
        <v>32530</v>
      </c>
      <c r="Z26" s="46">
        <v>32580</v>
      </c>
      <c r="AA26" s="46">
        <v>32280</v>
      </c>
      <c r="AB26" s="46">
        <v>32460</v>
      </c>
      <c r="AC26" s="46">
        <v>32780</v>
      </c>
      <c r="AD26" s="46">
        <v>30210</v>
      </c>
      <c r="AE26" s="46">
        <v>30390</v>
      </c>
      <c r="AF26" s="46">
        <v>30940</v>
      </c>
      <c r="AG26" s="46">
        <v>31000</v>
      </c>
      <c r="AH26" s="46">
        <v>31040</v>
      </c>
      <c r="AI26" s="46">
        <v>31060</v>
      </c>
      <c r="AJ26" s="46">
        <v>31080</v>
      </c>
      <c r="AK26" s="46">
        <v>31090</v>
      </c>
      <c r="AL26" s="46">
        <v>31110</v>
      </c>
      <c r="AM26" s="46">
        <v>31160</v>
      </c>
      <c r="AN26" s="46">
        <v>31230</v>
      </c>
      <c r="AO26" s="46">
        <v>31330</v>
      </c>
      <c r="AP26" s="46">
        <v>31470</v>
      </c>
      <c r="AQ26" s="46">
        <v>31650</v>
      </c>
      <c r="AR26" s="46">
        <v>31860</v>
      </c>
      <c r="AS26" s="46">
        <v>32080</v>
      </c>
      <c r="AT26" s="46">
        <v>32330</v>
      </c>
      <c r="AU26" s="46">
        <v>32570</v>
      </c>
      <c r="AV26" s="46">
        <v>32800</v>
      </c>
      <c r="AW26" s="46">
        <v>33020</v>
      </c>
      <c r="AX26" s="46">
        <v>33200</v>
      </c>
      <c r="AY26" s="46">
        <v>33350</v>
      </c>
      <c r="AZ26" s="46">
        <v>33460</v>
      </c>
      <c r="BA26" s="46">
        <v>33540</v>
      </c>
      <c r="BB26" s="46">
        <v>33590</v>
      </c>
      <c r="BC26" s="46">
        <v>33610</v>
      </c>
      <c r="BD26" s="46">
        <v>33610</v>
      </c>
      <c r="BE26" s="46">
        <v>33590</v>
      </c>
      <c r="BF26" s="46">
        <v>33560</v>
      </c>
      <c r="BG26" s="46">
        <v>33510</v>
      </c>
      <c r="BH26" s="46">
        <v>33470</v>
      </c>
      <c r="BI26" s="46">
        <v>33430</v>
      </c>
    </row>
    <row r="27" spans="1:61" x14ac:dyDescent="0.25">
      <c r="A27" s="11">
        <v>12</v>
      </c>
      <c r="B27" s="29">
        <v>29990</v>
      </c>
      <c r="C27" s="29">
        <v>30090</v>
      </c>
      <c r="D27" s="29">
        <v>29510</v>
      </c>
      <c r="E27" s="29">
        <v>29370</v>
      </c>
      <c r="F27" s="29">
        <v>29520</v>
      </c>
      <c r="G27" s="29">
        <v>28870</v>
      </c>
      <c r="H27" s="29">
        <v>29910</v>
      </c>
      <c r="I27" s="29">
        <v>29480</v>
      </c>
      <c r="J27" s="29">
        <v>28500</v>
      </c>
      <c r="K27" s="29">
        <v>28330</v>
      </c>
      <c r="L27" s="29">
        <v>29080</v>
      </c>
      <c r="M27" s="46">
        <v>29200</v>
      </c>
      <c r="N27" s="46">
        <v>30080</v>
      </c>
      <c r="O27" s="46">
        <v>31710</v>
      </c>
      <c r="P27" s="46">
        <v>33040</v>
      </c>
      <c r="Q27" s="46">
        <v>32520</v>
      </c>
      <c r="R27" s="46">
        <v>33380</v>
      </c>
      <c r="S27" s="46">
        <v>33760</v>
      </c>
      <c r="T27" s="46">
        <v>34220</v>
      </c>
      <c r="U27" s="46">
        <v>34170</v>
      </c>
      <c r="V27" s="46">
        <v>33290</v>
      </c>
      <c r="W27" s="46">
        <v>33360</v>
      </c>
      <c r="X27" s="46">
        <v>32930</v>
      </c>
      <c r="Y27" s="46">
        <v>33430</v>
      </c>
      <c r="Z27" s="46">
        <v>32840</v>
      </c>
      <c r="AA27" s="46">
        <v>32890</v>
      </c>
      <c r="AB27" s="46">
        <v>32590</v>
      </c>
      <c r="AC27" s="46">
        <v>32770</v>
      </c>
      <c r="AD27" s="46">
        <v>33100</v>
      </c>
      <c r="AE27" s="46">
        <v>30530</v>
      </c>
      <c r="AF27" s="46">
        <v>30710</v>
      </c>
      <c r="AG27" s="46">
        <v>31260</v>
      </c>
      <c r="AH27" s="46">
        <v>31330</v>
      </c>
      <c r="AI27" s="46">
        <v>31370</v>
      </c>
      <c r="AJ27" s="46">
        <v>31390</v>
      </c>
      <c r="AK27" s="46">
        <v>31410</v>
      </c>
      <c r="AL27" s="46">
        <v>31420</v>
      </c>
      <c r="AM27" s="46">
        <v>31450</v>
      </c>
      <c r="AN27" s="46">
        <v>31490</v>
      </c>
      <c r="AO27" s="46">
        <v>31570</v>
      </c>
      <c r="AP27" s="46">
        <v>31670</v>
      </c>
      <c r="AQ27" s="46">
        <v>31820</v>
      </c>
      <c r="AR27" s="46">
        <v>31990</v>
      </c>
      <c r="AS27" s="46">
        <v>32200</v>
      </c>
      <c r="AT27" s="46">
        <v>32430</v>
      </c>
      <c r="AU27" s="46">
        <v>32680</v>
      </c>
      <c r="AV27" s="46">
        <v>32920</v>
      </c>
      <c r="AW27" s="46">
        <v>33160</v>
      </c>
      <c r="AX27" s="46">
        <v>33370</v>
      </c>
      <c r="AY27" s="46">
        <v>33560</v>
      </c>
      <c r="AZ27" s="46">
        <v>33710</v>
      </c>
      <c r="BA27" s="46">
        <v>33820</v>
      </c>
      <c r="BB27" s="46">
        <v>33910</v>
      </c>
      <c r="BC27" s="46">
        <v>33960</v>
      </c>
      <c r="BD27" s="46">
        <v>33980</v>
      </c>
      <c r="BE27" s="46">
        <v>33980</v>
      </c>
      <c r="BF27" s="46">
        <v>33960</v>
      </c>
      <c r="BG27" s="46">
        <v>33930</v>
      </c>
      <c r="BH27" s="46">
        <v>33890</v>
      </c>
      <c r="BI27" s="46">
        <v>33840</v>
      </c>
    </row>
    <row r="28" spans="1:61" x14ac:dyDescent="0.25">
      <c r="A28" s="11">
        <v>13</v>
      </c>
      <c r="B28" s="29">
        <v>30750</v>
      </c>
      <c r="C28" s="29">
        <v>30090</v>
      </c>
      <c r="D28" s="29">
        <v>30120</v>
      </c>
      <c r="E28" s="29">
        <v>29630</v>
      </c>
      <c r="F28" s="29">
        <v>29590</v>
      </c>
      <c r="G28" s="29">
        <v>29630</v>
      </c>
      <c r="H28" s="29">
        <v>28910</v>
      </c>
      <c r="I28" s="29">
        <v>29930</v>
      </c>
      <c r="J28" s="29">
        <v>29630</v>
      </c>
      <c r="K28" s="29">
        <v>28800</v>
      </c>
      <c r="L28" s="29">
        <v>28640</v>
      </c>
      <c r="M28" s="46">
        <v>29400</v>
      </c>
      <c r="N28" s="46">
        <v>29590</v>
      </c>
      <c r="O28" s="46">
        <v>30530</v>
      </c>
      <c r="P28" s="46">
        <v>32240</v>
      </c>
      <c r="Q28" s="46">
        <v>33230</v>
      </c>
      <c r="R28" s="46">
        <v>32540</v>
      </c>
      <c r="S28" s="46">
        <v>34020</v>
      </c>
      <c r="T28" s="46">
        <v>34440</v>
      </c>
      <c r="U28" s="46">
        <v>34470</v>
      </c>
      <c r="V28" s="46">
        <v>34450</v>
      </c>
      <c r="W28" s="46">
        <v>33590</v>
      </c>
      <c r="X28" s="46">
        <v>33670</v>
      </c>
      <c r="Y28" s="46">
        <v>33250</v>
      </c>
      <c r="Z28" s="46">
        <v>33760</v>
      </c>
      <c r="AA28" s="46">
        <v>33170</v>
      </c>
      <c r="AB28" s="46">
        <v>33230</v>
      </c>
      <c r="AC28" s="46">
        <v>32940</v>
      </c>
      <c r="AD28" s="46">
        <v>33110</v>
      </c>
      <c r="AE28" s="46">
        <v>33440</v>
      </c>
      <c r="AF28" s="46">
        <v>30880</v>
      </c>
      <c r="AG28" s="46">
        <v>31060</v>
      </c>
      <c r="AH28" s="46">
        <v>31610</v>
      </c>
      <c r="AI28" s="46">
        <v>31680</v>
      </c>
      <c r="AJ28" s="46">
        <v>31720</v>
      </c>
      <c r="AK28" s="46">
        <v>31750</v>
      </c>
      <c r="AL28" s="46">
        <v>31760</v>
      </c>
      <c r="AM28" s="46">
        <v>31780</v>
      </c>
      <c r="AN28" s="46">
        <v>31810</v>
      </c>
      <c r="AO28" s="46">
        <v>31860</v>
      </c>
      <c r="AP28" s="46">
        <v>31930</v>
      </c>
      <c r="AQ28" s="46">
        <v>32040</v>
      </c>
      <c r="AR28" s="46">
        <v>32180</v>
      </c>
      <c r="AS28" s="46">
        <v>32360</v>
      </c>
      <c r="AT28" s="46">
        <v>32570</v>
      </c>
      <c r="AU28" s="46">
        <v>32800</v>
      </c>
      <c r="AV28" s="46">
        <v>33050</v>
      </c>
      <c r="AW28" s="46">
        <v>33300</v>
      </c>
      <c r="AX28" s="46">
        <v>33540</v>
      </c>
      <c r="AY28" s="46">
        <v>33750</v>
      </c>
      <c r="AZ28" s="46">
        <v>33940</v>
      </c>
      <c r="BA28" s="46">
        <v>34090</v>
      </c>
      <c r="BB28" s="46">
        <v>34210</v>
      </c>
      <c r="BC28" s="46">
        <v>34300</v>
      </c>
      <c r="BD28" s="46">
        <v>34350</v>
      </c>
      <c r="BE28" s="46">
        <v>34370</v>
      </c>
      <c r="BF28" s="46">
        <v>34370</v>
      </c>
      <c r="BG28" s="46">
        <v>34360</v>
      </c>
      <c r="BH28" s="46">
        <v>34330</v>
      </c>
      <c r="BI28" s="46">
        <v>34290</v>
      </c>
    </row>
    <row r="29" spans="1:61" x14ac:dyDescent="0.25">
      <c r="A29" s="11">
        <v>14</v>
      </c>
      <c r="B29" s="29">
        <v>30960</v>
      </c>
      <c r="C29" s="29">
        <v>30780</v>
      </c>
      <c r="D29" s="29">
        <v>30110</v>
      </c>
      <c r="E29" s="29">
        <v>30170</v>
      </c>
      <c r="F29" s="29">
        <v>29830</v>
      </c>
      <c r="G29" s="29">
        <v>29790</v>
      </c>
      <c r="H29" s="29">
        <v>29700</v>
      </c>
      <c r="I29" s="29">
        <v>29000</v>
      </c>
      <c r="J29" s="29">
        <v>30030</v>
      </c>
      <c r="K29" s="29">
        <v>29920</v>
      </c>
      <c r="L29" s="29">
        <v>29200</v>
      </c>
      <c r="M29" s="46">
        <v>29100</v>
      </c>
      <c r="N29" s="46">
        <v>29750</v>
      </c>
      <c r="O29" s="46">
        <v>30050</v>
      </c>
      <c r="P29" s="46">
        <v>30990</v>
      </c>
      <c r="Q29" s="46">
        <v>32440</v>
      </c>
      <c r="R29" s="46">
        <v>33300</v>
      </c>
      <c r="S29" s="46">
        <v>33270</v>
      </c>
      <c r="T29" s="46">
        <v>34740</v>
      </c>
      <c r="U29" s="46">
        <v>34710</v>
      </c>
      <c r="V29" s="46">
        <v>34780</v>
      </c>
      <c r="W29" s="46">
        <v>34770</v>
      </c>
      <c r="X29" s="46">
        <v>33930</v>
      </c>
      <c r="Y29" s="46">
        <v>34030</v>
      </c>
      <c r="Z29" s="46">
        <v>33610</v>
      </c>
      <c r="AA29" s="46">
        <v>34120</v>
      </c>
      <c r="AB29" s="46">
        <v>33540</v>
      </c>
      <c r="AC29" s="46">
        <v>33600</v>
      </c>
      <c r="AD29" s="46">
        <v>33310</v>
      </c>
      <c r="AE29" s="46">
        <v>33490</v>
      </c>
      <c r="AF29" s="46">
        <v>33820</v>
      </c>
      <c r="AG29" s="46">
        <v>31260</v>
      </c>
      <c r="AH29" s="46">
        <v>31430</v>
      </c>
      <c r="AI29" s="46">
        <v>31990</v>
      </c>
      <c r="AJ29" s="46">
        <v>32060</v>
      </c>
      <c r="AK29" s="46">
        <v>32110</v>
      </c>
      <c r="AL29" s="46">
        <v>32140</v>
      </c>
      <c r="AM29" s="46">
        <v>32150</v>
      </c>
      <c r="AN29" s="46">
        <v>32170</v>
      </c>
      <c r="AO29" s="46">
        <v>32200</v>
      </c>
      <c r="AP29" s="46">
        <v>32250</v>
      </c>
      <c r="AQ29" s="46">
        <v>32330</v>
      </c>
      <c r="AR29" s="46">
        <v>32440</v>
      </c>
      <c r="AS29" s="46">
        <v>32590</v>
      </c>
      <c r="AT29" s="46">
        <v>32770</v>
      </c>
      <c r="AU29" s="46">
        <v>32980</v>
      </c>
      <c r="AV29" s="46">
        <v>33210</v>
      </c>
      <c r="AW29" s="46">
        <v>33460</v>
      </c>
      <c r="AX29" s="46">
        <v>33710</v>
      </c>
      <c r="AY29" s="46">
        <v>33950</v>
      </c>
      <c r="AZ29" s="46">
        <v>34170</v>
      </c>
      <c r="BA29" s="46">
        <v>34350</v>
      </c>
      <c r="BB29" s="46">
        <v>34510</v>
      </c>
      <c r="BC29" s="46">
        <v>34630</v>
      </c>
      <c r="BD29" s="46">
        <v>34720</v>
      </c>
      <c r="BE29" s="46">
        <v>34770</v>
      </c>
      <c r="BF29" s="46">
        <v>34800</v>
      </c>
      <c r="BG29" s="46">
        <v>34800</v>
      </c>
      <c r="BH29" s="46">
        <v>34790</v>
      </c>
      <c r="BI29" s="46">
        <v>34760</v>
      </c>
    </row>
    <row r="30" spans="1:61" x14ac:dyDescent="0.25">
      <c r="A30" s="11">
        <v>15</v>
      </c>
      <c r="B30" s="29">
        <v>32030</v>
      </c>
      <c r="C30" s="29">
        <v>31100</v>
      </c>
      <c r="D30" s="29">
        <v>30870</v>
      </c>
      <c r="E30" s="29">
        <v>30230</v>
      </c>
      <c r="F30" s="29">
        <v>30410</v>
      </c>
      <c r="G30" s="29">
        <v>29940</v>
      </c>
      <c r="H30" s="29">
        <v>30020</v>
      </c>
      <c r="I30" s="29">
        <v>29930</v>
      </c>
      <c r="J30" s="29">
        <v>29310</v>
      </c>
      <c r="K30" s="29">
        <v>30390</v>
      </c>
      <c r="L30" s="29">
        <v>30490</v>
      </c>
      <c r="M30" s="46">
        <v>29850</v>
      </c>
      <c r="N30" s="46">
        <v>29620</v>
      </c>
      <c r="O30" s="46">
        <v>30320</v>
      </c>
      <c r="P30" s="46">
        <v>30680</v>
      </c>
      <c r="Q30" s="46">
        <v>31200</v>
      </c>
      <c r="R30" s="46">
        <v>32650</v>
      </c>
      <c r="S30" s="46">
        <v>34160</v>
      </c>
      <c r="T30" s="46">
        <v>34100</v>
      </c>
      <c r="U30" s="46">
        <v>35060</v>
      </c>
      <c r="V30" s="46">
        <v>35060</v>
      </c>
      <c r="W30" s="46">
        <v>35150</v>
      </c>
      <c r="X30" s="46">
        <v>35160</v>
      </c>
      <c r="Y30" s="46">
        <v>34330</v>
      </c>
      <c r="Z30" s="46">
        <v>34430</v>
      </c>
      <c r="AA30" s="46">
        <v>34020</v>
      </c>
      <c r="AB30" s="46">
        <v>34530</v>
      </c>
      <c r="AC30" s="46">
        <v>33950</v>
      </c>
      <c r="AD30" s="46">
        <v>34010</v>
      </c>
      <c r="AE30" s="46">
        <v>33720</v>
      </c>
      <c r="AF30" s="46">
        <v>33900</v>
      </c>
      <c r="AG30" s="46">
        <v>34240</v>
      </c>
      <c r="AH30" s="46">
        <v>31670</v>
      </c>
      <c r="AI30" s="46">
        <v>31860</v>
      </c>
      <c r="AJ30" s="46">
        <v>32410</v>
      </c>
      <c r="AK30" s="46">
        <v>32490</v>
      </c>
      <c r="AL30" s="46">
        <v>32540</v>
      </c>
      <c r="AM30" s="46">
        <v>32560</v>
      </c>
      <c r="AN30" s="46">
        <v>32580</v>
      </c>
      <c r="AO30" s="46">
        <v>32600</v>
      </c>
      <c r="AP30" s="46">
        <v>32630</v>
      </c>
      <c r="AQ30" s="46">
        <v>32690</v>
      </c>
      <c r="AR30" s="46">
        <v>32770</v>
      </c>
      <c r="AS30" s="46">
        <v>32880</v>
      </c>
      <c r="AT30" s="46">
        <v>33030</v>
      </c>
      <c r="AU30" s="46">
        <v>33210</v>
      </c>
      <c r="AV30" s="46">
        <v>33420</v>
      </c>
      <c r="AW30" s="46">
        <v>33660</v>
      </c>
      <c r="AX30" s="46">
        <v>33910</v>
      </c>
      <c r="AY30" s="46">
        <v>34160</v>
      </c>
      <c r="AZ30" s="46">
        <v>34400</v>
      </c>
      <c r="BA30" s="46">
        <v>34620</v>
      </c>
      <c r="BB30" s="46">
        <v>34810</v>
      </c>
      <c r="BC30" s="46">
        <v>34970</v>
      </c>
      <c r="BD30" s="46">
        <v>35090</v>
      </c>
      <c r="BE30" s="46">
        <v>35180</v>
      </c>
      <c r="BF30" s="46">
        <v>35230</v>
      </c>
      <c r="BG30" s="46">
        <v>35260</v>
      </c>
      <c r="BH30" s="46">
        <v>35270</v>
      </c>
      <c r="BI30" s="46">
        <v>35260</v>
      </c>
    </row>
    <row r="31" spans="1:61" x14ac:dyDescent="0.25">
      <c r="A31" s="11">
        <v>16</v>
      </c>
      <c r="B31" s="29">
        <v>31990</v>
      </c>
      <c r="C31" s="29">
        <v>32170</v>
      </c>
      <c r="D31" s="29">
        <v>31150</v>
      </c>
      <c r="E31" s="29">
        <v>31080</v>
      </c>
      <c r="F31" s="29">
        <v>30550</v>
      </c>
      <c r="G31" s="29">
        <v>30730</v>
      </c>
      <c r="H31" s="29">
        <v>30160</v>
      </c>
      <c r="I31" s="29">
        <v>30350</v>
      </c>
      <c r="J31" s="29">
        <v>30230</v>
      </c>
      <c r="K31" s="29">
        <v>29800</v>
      </c>
      <c r="L31" s="29">
        <v>30940</v>
      </c>
      <c r="M31" s="46">
        <v>31110</v>
      </c>
      <c r="N31" s="46">
        <v>30440</v>
      </c>
      <c r="O31" s="46">
        <v>30130</v>
      </c>
      <c r="P31" s="46">
        <v>30960</v>
      </c>
      <c r="Q31" s="46">
        <v>30830</v>
      </c>
      <c r="R31" s="46">
        <v>31340</v>
      </c>
      <c r="S31" s="46">
        <v>33580</v>
      </c>
      <c r="T31" s="46">
        <v>35070</v>
      </c>
      <c r="U31" s="46">
        <v>34430</v>
      </c>
      <c r="V31" s="46">
        <v>35410</v>
      </c>
      <c r="W31" s="46">
        <v>35430</v>
      </c>
      <c r="X31" s="46">
        <v>35530</v>
      </c>
      <c r="Y31" s="46">
        <v>35550</v>
      </c>
      <c r="Z31" s="46">
        <v>34720</v>
      </c>
      <c r="AA31" s="46">
        <v>34830</v>
      </c>
      <c r="AB31" s="46">
        <v>34420</v>
      </c>
      <c r="AC31" s="46">
        <v>34930</v>
      </c>
      <c r="AD31" s="46">
        <v>34350</v>
      </c>
      <c r="AE31" s="46">
        <v>34420</v>
      </c>
      <c r="AF31" s="46">
        <v>34130</v>
      </c>
      <c r="AG31" s="46">
        <v>34310</v>
      </c>
      <c r="AH31" s="46">
        <v>34650</v>
      </c>
      <c r="AI31" s="46">
        <v>32090</v>
      </c>
      <c r="AJ31" s="46">
        <v>32270</v>
      </c>
      <c r="AK31" s="46">
        <v>32830</v>
      </c>
      <c r="AL31" s="46">
        <v>32900</v>
      </c>
      <c r="AM31" s="46">
        <v>32950</v>
      </c>
      <c r="AN31" s="46">
        <v>32980</v>
      </c>
      <c r="AO31" s="46">
        <v>33000</v>
      </c>
      <c r="AP31" s="46">
        <v>33020</v>
      </c>
      <c r="AQ31" s="46">
        <v>33060</v>
      </c>
      <c r="AR31" s="46">
        <v>33110</v>
      </c>
      <c r="AS31" s="46">
        <v>33190</v>
      </c>
      <c r="AT31" s="46">
        <v>33300</v>
      </c>
      <c r="AU31" s="46">
        <v>33460</v>
      </c>
      <c r="AV31" s="46">
        <v>33640</v>
      </c>
      <c r="AW31" s="46">
        <v>33850</v>
      </c>
      <c r="AX31" s="46">
        <v>34090</v>
      </c>
      <c r="AY31" s="46">
        <v>34340</v>
      </c>
      <c r="AZ31" s="46">
        <v>34600</v>
      </c>
      <c r="BA31" s="46">
        <v>34840</v>
      </c>
      <c r="BB31" s="46">
        <v>35060</v>
      </c>
      <c r="BC31" s="46">
        <v>35250</v>
      </c>
      <c r="BD31" s="46">
        <v>35410</v>
      </c>
      <c r="BE31" s="46">
        <v>35530</v>
      </c>
      <c r="BF31" s="46">
        <v>35620</v>
      </c>
      <c r="BG31" s="46">
        <v>35680</v>
      </c>
      <c r="BH31" s="46">
        <v>35710</v>
      </c>
      <c r="BI31" s="46">
        <v>35720</v>
      </c>
    </row>
    <row r="32" spans="1:61" x14ac:dyDescent="0.25">
      <c r="A32" s="11">
        <v>17</v>
      </c>
      <c r="B32" s="29">
        <v>30880</v>
      </c>
      <c r="C32" s="29">
        <v>32080</v>
      </c>
      <c r="D32" s="29">
        <v>32330</v>
      </c>
      <c r="E32" s="29">
        <v>31430</v>
      </c>
      <c r="F32" s="29">
        <v>31420</v>
      </c>
      <c r="G32" s="29">
        <v>30830</v>
      </c>
      <c r="H32" s="29">
        <v>30890</v>
      </c>
      <c r="I32" s="29">
        <v>30440</v>
      </c>
      <c r="J32" s="29">
        <v>30680</v>
      </c>
      <c r="K32" s="29">
        <v>30680</v>
      </c>
      <c r="L32" s="29">
        <v>30340</v>
      </c>
      <c r="M32" s="46">
        <v>31460</v>
      </c>
      <c r="N32" s="46">
        <v>31530</v>
      </c>
      <c r="O32" s="46">
        <v>30820</v>
      </c>
      <c r="P32" s="46">
        <v>30510</v>
      </c>
      <c r="Q32" s="46">
        <v>31020</v>
      </c>
      <c r="R32" s="46">
        <v>31000</v>
      </c>
      <c r="S32" s="46">
        <v>32090</v>
      </c>
      <c r="T32" s="46">
        <v>34300</v>
      </c>
      <c r="U32" s="46">
        <v>35330</v>
      </c>
      <c r="V32" s="46">
        <v>34720</v>
      </c>
      <c r="W32" s="46">
        <v>35720</v>
      </c>
      <c r="X32" s="46">
        <v>35750</v>
      </c>
      <c r="Y32" s="46">
        <v>35860</v>
      </c>
      <c r="Z32" s="46">
        <v>35890</v>
      </c>
      <c r="AA32" s="46">
        <v>35070</v>
      </c>
      <c r="AB32" s="46">
        <v>35170</v>
      </c>
      <c r="AC32" s="46">
        <v>34770</v>
      </c>
      <c r="AD32" s="46">
        <v>35280</v>
      </c>
      <c r="AE32" s="46">
        <v>34700</v>
      </c>
      <c r="AF32" s="46">
        <v>34770</v>
      </c>
      <c r="AG32" s="46">
        <v>34480</v>
      </c>
      <c r="AH32" s="46">
        <v>34660</v>
      </c>
      <c r="AI32" s="46">
        <v>35000</v>
      </c>
      <c r="AJ32" s="46">
        <v>32440</v>
      </c>
      <c r="AK32" s="46">
        <v>32630</v>
      </c>
      <c r="AL32" s="46">
        <v>33190</v>
      </c>
      <c r="AM32" s="46">
        <v>33270</v>
      </c>
      <c r="AN32" s="46">
        <v>33320</v>
      </c>
      <c r="AO32" s="46">
        <v>33350</v>
      </c>
      <c r="AP32" s="46">
        <v>33370</v>
      </c>
      <c r="AQ32" s="46">
        <v>33400</v>
      </c>
      <c r="AR32" s="46">
        <v>33430</v>
      </c>
      <c r="AS32" s="46">
        <v>33490</v>
      </c>
      <c r="AT32" s="46">
        <v>33570</v>
      </c>
      <c r="AU32" s="46">
        <v>33680</v>
      </c>
      <c r="AV32" s="46">
        <v>33830</v>
      </c>
      <c r="AW32" s="46">
        <v>34020</v>
      </c>
      <c r="AX32" s="46">
        <v>34240</v>
      </c>
      <c r="AY32" s="46">
        <v>34480</v>
      </c>
      <c r="AZ32" s="46">
        <v>34730</v>
      </c>
      <c r="BA32" s="46">
        <v>34980</v>
      </c>
      <c r="BB32" s="46">
        <v>35230</v>
      </c>
      <c r="BC32" s="46">
        <v>35450</v>
      </c>
      <c r="BD32" s="46">
        <v>35640</v>
      </c>
      <c r="BE32" s="46">
        <v>35800</v>
      </c>
      <c r="BF32" s="46">
        <v>35930</v>
      </c>
      <c r="BG32" s="46">
        <v>36020</v>
      </c>
      <c r="BH32" s="46">
        <v>36080</v>
      </c>
      <c r="BI32" s="46">
        <v>36110</v>
      </c>
    </row>
    <row r="33" spans="1:61" x14ac:dyDescent="0.25">
      <c r="A33" s="11">
        <v>18</v>
      </c>
      <c r="B33" s="29">
        <v>30180</v>
      </c>
      <c r="C33" s="29">
        <v>30570</v>
      </c>
      <c r="D33" s="29">
        <v>31740</v>
      </c>
      <c r="E33" s="29">
        <v>32180</v>
      </c>
      <c r="F33" s="29">
        <v>31390</v>
      </c>
      <c r="G33" s="29">
        <v>31250</v>
      </c>
      <c r="H33" s="29">
        <v>30590</v>
      </c>
      <c r="I33" s="29">
        <v>30770</v>
      </c>
      <c r="J33" s="29">
        <v>30640</v>
      </c>
      <c r="K33" s="29">
        <v>30950</v>
      </c>
      <c r="L33" s="29">
        <v>30960</v>
      </c>
      <c r="M33" s="46">
        <v>30710</v>
      </c>
      <c r="N33" s="46">
        <v>31660</v>
      </c>
      <c r="O33" s="46">
        <v>31700</v>
      </c>
      <c r="P33" s="46">
        <v>31070</v>
      </c>
      <c r="Q33" s="46">
        <v>30340</v>
      </c>
      <c r="R33" s="46">
        <v>30900</v>
      </c>
      <c r="S33" s="46">
        <v>31380</v>
      </c>
      <c r="T33" s="46">
        <v>32400</v>
      </c>
      <c r="U33" s="46">
        <v>34460</v>
      </c>
      <c r="V33" s="46">
        <v>35530</v>
      </c>
      <c r="W33" s="46">
        <v>34930</v>
      </c>
      <c r="X33" s="46">
        <v>35940</v>
      </c>
      <c r="Y33" s="46">
        <v>35980</v>
      </c>
      <c r="Z33" s="46">
        <v>36100</v>
      </c>
      <c r="AA33" s="46">
        <v>36130</v>
      </c>
      <c r="AB33" s="46">
        <v>35310</v>
      </c>
      <c r="AC33" s="46">
        <v>35420</v>
      </c>
      <c r="AD33" s="46">
        <v>35010</v>
      </c>
      <c r="AE33" s="46">
        <v>35530</v>
      </c>
      <c r="AF33" s="46">
        <v>34950</v>
      </c>
      <c r="AG33" s="46">
        <v>35020</v>
      </c>
      <c r="AH33" s="46">
        <v>34730</v>
      </c>
      <c r="AI33" s="46">
        <v>34920</v>
      </c>
      <c r="AJ33" s="46">
        <v>35260</v>
      </c>
      <c r="AK33" s="46">
        <v>32700</v>
      </c>
      <c r="AL33" s="46">
        <v>32890</v>
      </c>
      <c r="AM33" s="46">
        <v>33450</v>
      </c>
      <c r="AN33" s="46">
        <v>33530</v>
      </c>
      <c r="AO33" s="46">
        <v>33580</v>
      </c>
      <c r="AP33" s="46">
        <v>33620</v>
      </c>
      <c r="AQ33" s="46">
        <v>33640</v>
      </c>
      <c r="AR33" s="46">
        <v>33670</v>
      </c>
      <c r="AS33" s="46">
        <v>33700</v>
      </c>
      <c r="AT33" s="46">
        <v>33760</v>
      </c>
      <c r="AU33" s="46">
        <v>33840</v>
      </c>
      <c r="AV33" s="46">
        <v>33960</v>
      </c>
      <c r="AW33" s="46">
        <v>34110</v>
      </c>
      <c r="AX33" s="46">
        <v>34300</v>
      </c>
      <c r="AY33" s="46">
        <v>34520</v>
      </c>
      <c r="AZ33" s="46">
        <v>34760</v>
      </c>
      <c r="BA33" s="46">
        <v>35010</v>
      </c>
      <c r="BB33" s="46">
        <v>35270</v>
      </c>
      <c r="BC33" s="46">
        <v>35520</v>
      </c>
      <c r="BD33" s="46">
        <v>35740</v>
      </c>
      <c r="BE33" s="46">
        <v>35930</v>
      </c>
      <c r="BF33" s="46">
        <v>36100</v>
      </c>
      <c r="BG33" s="46">
        <v>36220</v>
      </c>
      <c r="BH33" s="46">
        <v>36320</v>
      </c>
      <c r="BI33" s="46">
        <v>36380</v>
      </c>
    </row>
    <row r="34" spans="1:61" x14ac:dyDescent="0.25">
      <c r="A34" s="11">
        <v>19</v>
      </c>
      <c r="B34" s="29">
        <v>29070</v>
      </c>
      <c r="C34" s="29">
        <v>30050</v>
      </c>
      <c r="D34" s="29">
        <v>30440</v>
      </c>
      <c r="E34" s="29">
        <v>31800</v>
      </c>
      <c r="F34" s="29">
        <v>32490</v>
      </c>
      <c r="G34" s="29">
        <v>31470</v>
      </c>
      <c r="H34" s="29">
        <v>31340</v>
      </c>
      <c r="I34" s="29">
        <v>30840</v>
      </c>
      <c r="J34" s="29">
        <v>31180</v>
      </c>
      <c r="K34" s="29">
        <v>31190</v>
      </c>
      <c r="L34" s="29">
        <v>31530</v>
      </c>
      <c r="M34" s="46">
        <v>31390</v>
      </c>
      <c r="N34" s="46">
        <v>31000</v>
      </c>
      <c r="O34" s="46">
        <v>32000</v>
      </c>
      <c r="P34" s="46">
        <v>31970</v>
      </c>
      <c r="Q34" s="46">
        <v>30800</v>
      </c>
      <c r="R34" s="46">
        <v>30120</v>
      </c>
      <c r="S34" s="46">
        <v>31590</v>
      </c>
      <c r="T34" s="46">
        <v>31930</v>
      </c>
      <c r="U34" s="46">
        <v>32530</v>
      </c>
      <c r="V34" s="46">
        <v>34620</v>
      </c>
      <c r="W34" s="46">
        <v>35700</v>
      </c>
      <c r="X34" s="46">
        <v>35110</v>
      </c>
      <c r="Y34" s="46">
        <v>36130</v>
      </c>
      <c r="Z34" s="46">
        <v>36180</v>
      </c>
      <c r="AA34" s="46">
        <v>36300</v>
      </c>
      <c r="AB34" s="46">
        <v>36330</v>
      </c>
      <c r="AC34" s="46">
        <v>35510</v>
      </c>
      <c r="AD34" s="46">
        <v>35620</v>
      </c>
      <c r="AE34" s="46">
        <v>35220</v>
      </c>
      <c r="AF34" s="46">
        <v>35740</v>
      </c>
      <c r="AG34" s="46">
        <v>35160</v>
      </c>
      <c r="AH34" s="46">
        <v>35230</v>
      </c>
      <c r="AI34" s="46">
        <v>34940</v>
      </c>
      <c r="AJ34" s="46">
        <v>35130</v>
      </c>
      <c r="AK34" s="46">
        <v>35470</v>
      </c>
      <c r="AL34" s="46">
        <v>32920</v>
      </c>
      <c r="AM34" s="46">
        <v>33110</v>
      </c>
      <c r="AN34" s="46">
        <v>33670</v>
      </c>
      <c r="AO34" s="46">
        <v>33750</v>
      </c>
      <c r="AP34" s="46">
        <v>33810</v>
      </c>
      <c r="AQ34" s="46">
        <v>33840</v>
      </c>
      <c r="AR34" s="46">
        <v>33870</v>
      </c>
      <c r="AS34" s="46">
        <v>33890</v>
      </c>
      <c r="AT34" s="46">
        <v>33930</v>
      </c>
      <c r="AU34" s="46">
        <v>33990</v>
      </c>
      <c r="AV34" s="46">
        <v>34080</v>
      </c>
      <c r="AW34" s="46">
        <v>34190</v>
      </c>
      <c r="AX34" s="46">
        <v>34350</v>
      </c>
      <c r="AY34" s="46">
        <v>34540</v>
      </c>
      <c r="AZ34" s="46">
        <v>34760</v>
      </c>
      <c r="BA34" s="46">
        <v>35000</v>
      </c>
      <c r="BB34" s="46">
        <v>35250</v>
      </c>
      <c r="BC34" s="46">
        <v>35510</v>
      </c>
      <c r="BD34" s="46">
        <v>35760</v>
      </c>
      <c r="BE34" s="46">
        <v>35990</v>
      </c>
      <c r="BF34" s="46">
        <v>36180</v>
      </c>
      <c r="BG34" s="46">
        <v>36350</v>
      </c>
      <c r="BH34" s="46">
        <v>36470</v>
      </c>
      <c r="BI34" s="46">
        <v>36570</v>
      </c>
    </row>
    <row r="35" spans="1:61" x14ac:dyDescent="0.25">
      <c r="A35" s="11">
        <v>20</v>
      </c>
      <c r="B35" s="29">
        <v>29720</v>
      </c>
      <c r="C35" s="29">
        <v>29030</v>
      </c>
      <c r="D35" s="29">
        <v>30070</v>
      </c>
      <c r="E35" s="29">
        <v>30550</v>
      </c>
      <c r="F35" s="29">
        <v>32200</v>
      </c>
      <c r="G35" s="29">
        <v>32780</v>
      </c>
      <c r="H35" s="29">
        <v>31580</v>
      </c>
      <c r="I35" s="29">
        <v>31590</v>
      </c>
      <c r="J35" s="29">
        <v>31230</v>
      </c>
      <c r="K35" s="29">
        <v>31650</v>
      </c>
      <c r="L35" s="29">
        <v>31800</v>
      </c>
      <c r="M35" s="46">
        <v>31820</v>
      </c>
      <c r="N35" s="46">
        <v>31850</v>
      </c>
      <c r="O35" s="46">
        <v>31150</v>
      </c>
      <c r="P35" s="46">
        <v>32380</v>
      </c>
      <c r="Q35" s="46">
        <v>31660</v>
      </c>
      <c r="R35" s="46">
        <v>30520</v>
      </c>
      <c r="S35" s="46">
        <v>30940</v>
      </c>
      <c r="T35" s="46">
        <v>32060</v>
      </c>
      <c r="U35" s="46">
        <v>32020</v>
      </c>
      <c r="V35" s="46">
        <v>32660</v>
      </c>
      <c r="W35" s="46">
        <v>34770</v>
      </c>
      <c r="X35" s="46">
        <v>35860</v>
      </c>
      <c r="Y35" s="46">
        <v>35290</v>
      </c>
      <c r="Z35" s="46">
        <v>36310</v>
      </c>
      <c r="AA35" s="46">
        <v>36370</v>
      </c>
      <c r="AB35" s="46">
        <v>36490</v>
      </c>
      <c r="AC35" s="46">
        <v>36520</v>
      </c>
      <c r="AD35" s="46">
        <v>35700</v>
      </c>
      <c r="AE35" s="46">
        <v>35810</v>
      </c>
      <c r="AF35" s="46">
        <v>35420</v>
      </c>
      <c r="AG35" s="46">
        <v>35930</v>
      </c>
      <c r="AH35" s="46">
        <v>35360</v>
      </c>
      <c r="AI35" s="46">
        <v>35430</v>
      </c>
      <c r="AJ35" s="46">
        <v>35150</v>
      </c>
      <c r="AK35" s="46">
        <v>35340</v>
      </c>
      <c r="AL35" s="46">
        <v>35680</v>
      </c>
      <c r="AM35" s="46">
        <v>33130</v>
      </c>
      <c r="AN35" s="46">
        <v>33320</v>
      </c>
      <c r="AO35" s="46">
        <v>33890</v>
      </c>
      <c r="AP35" s="46">
        <v>33970</v>
      </c>
      <c r="AQ35" s="46">
        <v>34030</v>
      </c>
      <c r="AR35" s="46">
        <v>34060</v>
      </c>
      <c r="AS35" s="46">
        <v>34090</v>
      </c>
      <c r="AT35" s="46">
        <v>34120</v>
      </c>
      <c r="AU35" s="46">
        <v>34160</v>
      </c>
      <c r="AV35" s="46">
        <v>34220</v>
      </c>
      <c r="AW35" s="46">
        <v>34300</v>
      </c>
      <c r="AX35" s="46">
        <v>34420</v>
      </c>
      <c r="AY35" s="46">
        <v>34580</v>
      </c>
      <c r="AZ35" s="46">
        <v>34770</v>
      </c>
      <c r="BA35" s="46">
        <v>34990</v>
      </c>
      <c r="BB35" s="46">
        <v>35240</v>
      </c>
      <c r="BC35" s="46">
        <v>35500</v>
      </c>
      <c r="BD35" s="46">
        <v>35760</v>
      </c>
      <c r="BE35" s="46">
        <v>36010</v>
      </c>
      <c r="BF35" s="46">
        <v>36230</v>
      </c>
      <c r="BG35" s="46">
        <v>36430</v>
      </c>
      <c r="BH35" s="46">
        <v>36600</v>
      </c>
      <c r="BI35" s="46">
        <v>36730</v>
      </c>
    </row>
    <row r="36" spans="1:61" x14ac:dyDescent="0.25">
      <c r="A36" s="11">
        <v>21</v>
      </c>
      <c r="B36" s="29">
        <v>29650</v>
      </c>
      <c r="C36" s="29">
        <v>29360</v>
      </c>
      <c r="D36" s="29">
        <v>28760</v>
      </c>
      <c r="E36" s="29">
        <v>29990</v>
      </c>
      <c r="F36" s="29">
        <v>30640</v>
      </c>
      <c r="G36" s="29">
        <v>32110</v>
      </c>
      <c r="H36" s="29">
        <v>32450</v>
      </c>
      <c r="I36" s="29">
        <v>31430</v>
      </c>
      <c r="J36" s="29">
        <v>31840</v>
      </c>
      <c r="K36" s="29">
        <v>31570</v>
      </c>
      <c r="L36" s="29">
        <v>32260</v>
      </c>
      <c r="M36" s="46">
        <v>32190</v>
      </c>
      <c r="N36" s="46">
        <v>32100</v>
      </c>
      <c r="O36" s="46">
        <v>32000</v>
      </c>
      <c r="P36" s="46">
        <v>31530</v>
      </c>
      <c r="Q36" s="46">
        <v>32150</v>
      </c>
      <c r="R36" s="46">
        <v>31380</v>
      </c>
      <c r="S36" s="46">
        <v>31120</v>
      </c>
      <c r="T36" s="46">
        <v>31230</v>
      </c>
      <c r="U36" s="46">
        <v>31990</v>
      </c>
      <c r="V36" s="46">
        <v>32000</v>
      </c>
      <c r="W36" s="46">
        <v>32650</v>
      </c>
      <c r="X36" s="46">
        <v>34780</v>
      </c>
      <c r="Y36" s="46">
        <v>35890</v>
      </c>
      <c r="Z36" s="46">
        <v>35320</v>
      </c>
      <c r="AA36" s="46">
        <v>36350</v>
      </c>
      <c r="AB36" s="46">
        <v>36410</v>
      </c>
      <c r="AC36" s="46">
        <v>36530</v>
      </c>
      <c r="AD36" s="46">
        <v>36570</v>
      </c>
      <c r="AE36" s="46">
        <v>35750</v>
      </c>
      <c r="AF36" s="46">
        <v>35870</v>
      </c>
      <c r="AG36" s="46">
        <v>35470</v>
      </c>
      <c r="AH36" s="46">
        <v>35990</v>
      </c>
      <c r="AI36" s="46">
        <v>35420</v>
      </c>
      <c r="AJ36" s="46">
        <v>35500</v>
      </c>
      <c r="AK36" s="46">
        <v>35210</v>
      </c>
      <c r="AL36" s="46">
        <v>35410</v>
      </c>
      <c r="AM36" s="46">
        <v>35750</v>
      </c>
      <c r="AN36" s="46">
        <v>33200</v>
      </c>
      <c r="AO36" s="46">
        <v>33390</v>
      </c>
      <c r="AP36" s="46">
        <v>33960</v>
      </c>
      <c r="AQ36" s="46">
        <v>34050</v>
      </c>
      <c r="AR36" s="46">
        <v>34110</v>
      </c>
      <c r="AS36" s="46">
        <v>34140</v>
      </c>
      <c r="AT36" s="46">
        <v>34170</v>
      </c>
      <c r="AU36" s="46">
        <v>34200</v>
      </c>
      <c r="AV36" s="46">
        <v>34250</v>
      </c>
      <c r="AW36" s="46">
        <v>34310</v>
      </c>
      <c r="AX36" s="46">
        <v>34400</v>
      </c>
      <c r="AY36" s="46">
        <v>34520</v>
      </c>
      <c r="AZ36" s="46">
        <v>34680</v>
      </c>
      <c r="BA36" s="46">
        <v>34870</v>
      </c>
      <c r="BB36" s="46">
        <v>35100</v>
      </c>
      <c r="BC36" s="46">
        <v>35340</v>
      </c>
      <c r="BD36" s="46">
        <v>35600</v>
      </c>
      <c r="BE36" s="46">
        <v>35870</v>
      </c>
      <c r="BF36" s="46">
        <v>36120</v>
      </c>
      <c r="BG36" s="46">
        <v>36350</v>
      </c>
      <c r="BH36" s="46">
        <v>36550</v>
      </c>
      <c r="BI36" s="46">
        <v>36710</v>
      </c>
    </row>
    <row r="37" spans="1:61" x14ac:dyDescent="0.25">
      <c r="A37" s="11">
        <v>22</v>
      </c>
      <c r="B37" s="29">
        <v>29240</v>
      </c>
      <c r="C37" s="29">
        <v>29060</v>
      </c>
      <c r="D37" s="29">
        <v>28760</v>
      </c>
      <c r="E37" s="29">
        <v>28500</v>
      </c>
      <c r="F37" s="29">
        <v>29830</v>
      </c>
      <c r="G37" s="29">
        <v>30220</v>
      </c>
      <c r="H37" s="29">
        <v>31400</v>
      </c>
      <c r="I37" s="29">
        <v>32070</v>
      </c>
      <c r="J37" s="29">
        <v>31610</v>
      </c>
      <c r="K37" s="29">
        <v>32160</v>
      </c>
      <c r="L37" s="29">
        <v>32150</v>
      </c>
      <c r="M37" s="46">
        <v>32700</v>
      </c>
      <c r="N37" s="46">
        <v>32420</v>
      </c>
      <c r="O37" s="46">
        <v>32330</v>
      </c>
      <c r="P37" s="46">
        <v>32570</v>
      </c>
      <c r="Q37" s="46">
        <v>31130</v>
      </c>
      <c r="R37" s="46">
        <v>31790</v>
      </c>
      <c r="S37" s="46">
        <v>31770</v>
      </c>
      <c r="T37" s="46">
        <v>31350</v>
      </c>
      <c r="U37" s="46">
        <v>31140</v>
      </c>
      <c r="V37" s="46">
        <v>31950</v>
      </c>
      <c r="W37" s="46">
        <v>31990</v>
      </c>
      <c r="X37" s="46">
        <v>32670</v>
      </c>
      <c r="Y37" s="46">
        <v>34810</v>
      </c>
      <c r="Z37" s="46">
        <v>35930</v>
      </c>
      <c r="AA37" s="46">
        <v>35370</v>
      </c>
      <c r="AB37" s="46">
        <v>36400</v>
      </c>
      <c r="AC37" s="46">
        <v>36460</v>
      </c>
      <c r="AD37" s="46">
        <v>36580</v>
      </c>
      <c r="AE37" s="46">
        <v>36620</v>
      </c>
      <c r="AF37" s="46">
        <v>35810</v>
      </c>
      <c r="AG37" s="46">
        <v>35930</v>
      </c>
      <c r="AH37" s="46">
        <v>35530</v>
      </c>
      <c r="AI37" s="46">
        <v>36060</v>
      </c>
      <c r="AJ37" s="46">
        <v>35490</v>
      </c>
      <c r="AK37" s="46">
        <v>35570</v>
      </c>
      <c r="AL37" s="46">
        <v>35290</v>
      </c>
      <c r="AM37" s="46">
        <v>35480</v>
      </c>
      <c r="AN37" s="46">
        <v>35830</v>
      </c>
      <c r="AO37" s="46">
        <v>33290</v>
      </c>
      <c r="AP37" s="46">
        <v>33480</v>
      </c>
      <c r="AQ37" s="46">
        <v>34050</v>
      </c>
      <c r="AR37" s="46">
        <v>34140</v>
      </c>
      <c r="AS37" s="46">
        <v>34200</v>
      </c>
      <c r="AT37" s="46">
        <v>34240</v>
      </c>
      <c r="AU37" s="46">
        <v>34270</v>
      </c>
      <c r="AV37" s="46">
        <v>34310</v>
      </c>
      <c r="AW37" s="46">
        <v>34350</v>
      </c>
      <c r="AX37" s="46">
        <v>34420</v>
      </c>
      <c r="AY37" s="46">
        <v>34510</v>
      </c>
      <c r="AZ37" s="46">
        <v>34630</v>
      </c>
      <c r="BA37" s="46">
        <v>34800</v>
      </c>
      <c r="BB37" s="46">
        <v>34990</v>
      </c>
      <c r="BC37" s="46">
        <v>35220</v>
      </c>
      <c r="BD37" s="46">
        <v>35470</v>
      </c>
      <c r="BE37" s="46">
        <v>35730</v>
      </c>
      <c r="BF37" s="46">
        <v>36000</v>
      </c>
      <c r="BG37" s="46">
        <v>36250</v>
      </c>
      <c r="BH37" s="46">
        <v>36480</v>
      </c>
      <c r="BI37" s="46">
        <v>36680</v>
      </c>
    </row>
    <row r="38" spans="1:61" x14ac:dyDescent="0.25">
      <c r="A38" s="11">
        <v>23</v>
      </c>
      <c r="B38" s="29">
        <v>28880</v>
      </c>
      <c r="C38" s="29">
        <v>28650</v>
      </c>
      <c r="D38" s="29">
        <v>28520</v>
      </c>
      <c r="E38" s="29">
        <v>28380</v>
      </c>
      <c r="F38" s="29">
        <v>28400</v>
      </c>
      <c r="G38" s="29">
        <v>29440</v>
      </c>
      <c r="H38" s="29">
        <v>29730</v>
      </c>
      <c r="I38" s="29">
        <v>31030</v>
      </c>
      <c r="J38" s="29">
        <v>32380</v>
      </c>
      <c r="K38" s="29">
        <v>32550</v>
      </c>
      <c r="L38" s="29">
        <v>33150</v>
      </c>
      <c r="M38" s="46">
        <v>32990</v>
      </c>
      <c r="N38" s="46">
        <v>33250</v>
      </c>
      <c r="O38" s="46">
        <v>32860</v>
      </c>
      <c r="P38" s="46">
        <v>33150</v>
      </c>
      <c r="Q38" s="46">
        <v>32160</v>
      </c>
      <c r="R38" s="46">
        <v>30610</v>
      </c>
      <c r="S38" s="46">
        <v>32450</v>
      </c>
      <c r="T38" s="46">
        <v>32180</v>
      </c>
      <c r="U38" s="46">
        <v>31310</v>
      </c>
      <c r="V38" s="46">
        <v>31160</v>
      </c>
      <c r="W38" s="46">
        <v>32000</v>
      </c>
      <c r="X38" s="46">
        <v>32060</v>
      </c>
      <c r="Y38" s="46">
        <v>32760</v>
      </c>
      <c r="Z38" s="46">
        <v>34910</v>
      </c>
      <c r="AA38" s="46">
        <v>36040</v>
      </c>
      <c r="AB38" s="46">
        <v>35480</v>
      </c>
      <c r="AC38" s="46">
        <v>36520</v>
      </c>
      <c r="AD38" s="46">
        <v>36580</v>
      </c>
      <c r="AE38" s="46">
        <v>36710</v>
      </c>
      <c r="AF38" s="46">
        <v>36750</v>
      </c>
      <c r="AG38" s="46">
        <v>35940</v>
      </c>
      <c r="AH38" s="46">
        <v>36060</v>
      </c>
      <c r="AI38" s="46">
        <v>35670</v>
      </c>
      <c r="AJ38" s="46">
        <v>36200</v>
      </c>
      <c r="AK38" s="46">
        <v>35630</v>
      </c>
      <c r="AL38" s="46">
        <v>35710</v>
      </c>
      <c r="AM38" s="46">
        <v>35440</v>
      </c>
      <c r="AN38" s="46">
        <v>35630</v>
      </c>
      <c r="AO38" s="46">
        <v>35980</v>
      </c>
      <c r="AP38" s="46">
        <v>33440</v>
      </c>
      <c r="AQ38" s="46">
        <v>33640</v>
      </c>
      <c r="AR38" s="46">
        <v>34210</v>
      </c>
      <c r="AS38" s="46">
        <v>34310</v>
      </c>
      <c r="AT38" s="46">
        <v>34370</v>
      </c>
      <c r="AU38" s="46">
        <v>34410</v>
      </c>
      <c r="AV38" s="46">
        <v>34450</v>
      </c>
      <c r="AW38" s="46">
        <v>34490</v>
      </c>
      <c r="AX38" s="46">
        <v>34530</v>
      </c>
      <c r="AY38" s="46">
        <v>34600</v>
      </c>
      <c r="AZ38" s="46">
        <v>34700</v>
      </c>
      <c r="BA38" s="46">
        <v>34830</v>
      </c>
      <c r="BB38" s="46">
        <v>34990</v>
      </c>
      <c r="BC38" s="46">
        <v>35190</v>
      </c>
      <c r="BD38" s="46">
        <v>35420</v>
      </c>
      <c r="BE38" s="46">
        <v>35670</v>
      </c>
      <c r="BF38" s="46">
        <v>35940</v>
      </c>
      <c r="BG38" s="46">
        <v>36210</v>
      </c>
      <c r="BH38" s="46">
        <v>36460</v>
      </c>
      <c r="BI38" s="46">
        <v>36700</v>
      </c>
    </row>
    <row r="39" spans="1:61" x14ac:dyDescent="0.25">
      <c r="A39" s="11">
        <v>24</v>
      </c>
      <c r="B39" s="29">
        <v>27860</v>
      </c>
      <c r="C39" s="29">
        <v>28440</v>
      </c>
      <c r="D39" s="29">
        <v>28250</v>
      </c>
      <c r="E39" s="29">
        <v>28310</v>
      </c>
      <c r="F39" s="29">
        <v>28250</v>
      </c>
      <c r="G39" s="29">
        <v>28180</v>
      </c>
      <c r="H39" s="29">
        <v>29140</v>
      </c>
      <c r="I39" s="29">
        <v>29620</v>
      </c>
      <c r="J39" s="29">
        <v>31650</v>
      </c>
      <c r="K39" s="29">
        <v>33350</v>
      </c>
      <c r="L39" s="29">
        <v>33860</v>
      </c>
      <c r="M39" s="46">
        <v>34130</v>
      </c>
      <c r="N39" s="46">
        <v>33660</v>
      </c>
      <c r="O39" s="46">
        <v>33650</v>
      </c>
      <c r="P39" s="46">
        <v>33920</v>
      </c>
      <c r="Q39" s="46">
        <v>32710</v>
      </c>
      <c r="R39" s="46">
        <v>31630</v>
      </c>
      <c r="S39" s="46">
        <v>31280</v>
      </c>
      <c r="T39" s="46">
        <v>32810</v>
      </c>
      <c r="U39" s="46">
        <v>32290</v>
      </c>
      <c r="V39" s="46">
        <v>31490</v>
      </c>
      <c r="W39" s="46">
        <v>31370</v>
      </c>
      <c r="X39" s="46">
        <v>32240</v>
      </c>
      <c r="Y39" s="46">
        <v>32330</v>
      </c>
      <c r="Z39" s="46">
        <v>33040</v>
      </c>
      <c r="AA39" s="46">
        <v>35200</v>
      </c>
      <c r="AB39" s="46">
        <v>36320</v>
      </c>
      <c r="AC39" s="46">
        <v>35770</v>
      </c>
      <c r="AD39" s="46">
        <v>36810</v>
      </c>
      <c r="AE39" s="46">
        <v>36870</v>
      </c>
      <c r="AF39" s="46">
        <v>37010</v>
      </c>
      <c r="AG39" s="46">
        <v>37050</v>
      </c>
      <c r="AH39" s="46">
        <v>36250</v>
      </c>
      <c r="AI39" s="46">
        <v>36370</v>
      </c>
      <c r="AJ39" s="46">
        <v>35990</v>
      </c>
      <c r="AK39" s="46">
        <v>36520</v>
      </c>
      <c r="AL39" s="46">
        <v>35960</v>
      </c>
      <c r="AM39" s="46">
        <v>36040</v>
      </c>
      <c r="AN39" s="46">
        <v>35770</v>
      </c>
      <c r="AO39" s="46">
        <v>35970</v>
      </c>
      <c r="AP39" s="46">
        <v>36320</v>
      </c>
      <c r="AQ39" s="46">
        <v>33790</v>
      </c>
      <c r="AR39" s="46">
        <v>33990</v>
      </c>
      <c r="AS39" s="46">
        <v>34560</v>
      </c>
      <c r="AT39" s="46">
        <v>34660</v>
      </c>
      <c r="AU39" s="46">
        <v>34730</v>
      </c>
      <c r="AV39" s="46">
        <v>34780</v>
      </c>
      <c r="AW39" s="46">
        <v>34810</v>
      </c>
      <c r="AX39" s="46">
        <v>34850</v>
      </c>
      <c r="AY39" s="46">
        <v>34910</v>
      </c>
      <c r="AZ39" s="46">
        <v>34980</v>
      </c>
      <c r="BA39" s="46">
        <v>35080</v>
      </c>
      <c r="BB39" s="46">
        <v>35210</v>
      </c>
      <c r="BC39" s="46">
        <v>35380</v>
      </c>
      <c r="BD39" s="46">
        <v>35580</v>
      </c>
      <c r="BE39" s="46">
        <v>35810</v>
      </c>
      <c r="BF39" s="46">
        <v>36070</v>
      </c>
      <c r="BG39" s="46">
        <v>36340</v>
      </c>
      <c r="BH39" s="46">
        <v>36610</v>
      </c>
      <c r="BI39" s="46">
        <v>36870</v>
      </c>
    </row>
    <row r="40" spans="1:61" x14ac:dyDescent="0.25">
      <c r="A40" s="11">
        <v>25</v>
      </c>
      <c r="B40" s="29">
        <v>27140</v>
      </c>
      <c r="C40" s="29">
        <v>27660</v>
      </c>
      <c r="D40" s="29">
        <v>28050</v>
      </c>
      <c r="E40" s="29">
        <v>28170</v>
      </c>
      <c r="F40" s="29">
        <v>28260</v>
      </c>
      <c r="G40" s="29">
        <v>28120</v>
      </c>
      <c r="H40" s="29">
        <v>28030</v>
      </c>
      <c r="I40" s="29">
        <v>29240</v>
      </c>
      <c r="J40" s="29">
        <v>30410</v>
      </c>
      <c r="K40" s="29">
        <v>32720</v>
      </c>
      <c r="L40" s="29">
        <v>34770</v>
      </c>
      <c r="M40" s="46">
        <v>35010</v>
      </c>
      <c r="N40" s="46">
        <v>34980</v>
      </c>
      <c r="O40" s="46">
        <v>34260</v>
      </c>
      <c r="P40" s="46">
        <v>35010</v>
      </c>
      <c r="Q40" s="46">
        <v>33430</v>
      </c>
      <c r="R40" s="46">
        <v>32100</v>
      </c>
      <c r="S40" s="46">
        <v>32710</v>
      </c>
      <c r="T40" s="46">
        <v>31730</v>
      </c>
      <c r="U40" s="46">
        <v>33100</v>
      </c>
      <c r="V40" s="46">
        <v>32640</v>
      </c>
      <c r="W40" s="46">
        <v>31880</v>
      </c>
      <c r="X40" s="46">
        <v>31790</v>
      </c>
      <c r="Y40" s="46">
        <v>32680</v>
      </c>
      <c r="Z40" s="46">
        <v>32780</v>
      </c>
      <c r="AA40" s="46">
        <v>33500</v>
      </c>
      <c r="AB40" s="46">
        <v>35660</v>
      </c>
      <c r="AC40" s="46">
        <v>36790</v>
      </c>
      <c r="AD40" s="46">
        <v>36240</v>
      </c>
      <c r="AE40" s="46">
        <v>37290</v>
      </c>
      <c r="AF40" s="46">
        <v>37350</v>
      </c>
      <c r="AG40" s="46">
        <v>37490</v>
      </c>
      <c r="AH40" s="46">
        <v>37540</v>
      </c>
      <c r="AI40" s="46">
        <v>36740</v>
      </c>
      <c r="AJ40" s="46">
        <v>36870</v>
      </c>
      <c r="AK40" s="46">
        <v>36480</v>
      </c>
      <c r="AL40" s="46">
        <v>37020</v>
      </c>
      <c r="AM40" s="46">
        <v>36460</v>
      </c>
      <c r="AN40" s="46">
        <v>36550</v>
      </c>
      <c r="AO40" s="46">
        <v>36280</v>
      </c>
      <c r="AP40" s="46">
        <v>36490</v>
      </c>
      <c r="AQ40" s="46">
        <v>36840</v>
      </c>
      <c r="AR40" s="46">
        <v>34310</v>
      </c>
      <c r="AS40" s="46">
        <v>34520</v>
      </c>
      <c r="AT40" s="46">
        <v>35100</v>
      </c>
      <c r="AU40" s="46">
        <v>35190</v>
      </c>
      <c r="AV40" s="46">
        <v>35270</v>
      </c>
      <c r="AW40" s="46">
        <v>35320</v>
      </c>
      <c r="AX40" s="46">
        <v>35360</v>
      </c>
      <c r="AY40" s="46">
        <v>35400</v>
      </c>
      <c r="AZ40" s="46">
        <v>35460</v>
      </c>
      <c r="BA40" s="46">
        <v>35530</v>
      </c>
      <c r="BB40" s="46">
        <v>35640</v>
      </c>
      <c r="BC40" s="46">
        <v>35770</v>
      </c>
      <c r="BD40" s="46">
        <v>35940</v>
      </c>
      <c r="BE40" s="46">
        <v>36150</v>
      </c>
      <c r="BF40" s="46">
        <v>36390</v>
      </c>
      <c r="BG40" s="46">
        <v>36640</v>
      </c>
      <c r="BH40" s="46">
        <v>36920</v>
      </c>
      <c r="BI40" s="46">
        <v>37190</v>
      </c>
    </row>
    <row r="41" spans="1:61" x14ac:dyDescent="0.25">
      <c r="A41" s="11">
        <v>26</v>
      </c>
      <c r="B41" s="29">
        <v>26810</v>
      </c>
      <c r="C41" s="29">
        <v>27200</v>
      </c>
      <c r="D41" s="29">
        <v>27510</v>
      </c>
      <c r="E41" s="29">
        <v>28030</v>
      </c>
      <c r="F41" s="29">
        <v>28290</v>
      </c>
      <c r="G41" s="29">
        <v>28060</v>
      </c>
      <c r="H41" s="29">
        <v>27980</v>
      </c>
      <c r="I41" s="29">
        <v>28240</v>
      </c>
      <c r="J41" s="29">
        <v>30290</v>
      </c>
      <c r="K41" s="29">
        <v>31610</v>
      </c>
      <c r="L41" s="29">
        <v>34330</v>
      </c>
      <c r="M41" s="46">
        <v>36180</v>
      </c>
      <c r="N41" s="46">
        <v>36260</v>
      </c>
      <c r="O41" s="46">
        <v>35810</v>
      </c>
      <c r="P41" s="46">
        <v>35760</v>
      </c>
      <c r="Q41" s="46">
        <v>34620</v>
      </c>
      <c r="R41" s="46">
        <v>32760</v>
      </c>
      <c r="S41" s="46">
        <v>33400</v>
      </c>
      <c r="T41" s="46">
        <v>33400</v>
      </c>
      <c r="U41" s="46">
        <v>32140</v>
      </c>
      <c r="V41" s="46">
        <v>33580</v>
      </c>
      <c r="W41" s="46">
        <v>33160</v>
      </c>
      <c r="X41" s="46">
        <v>32420</v>
      </c>
      <c r="Y41" s="46">
        <v>32360</v>
      </c>
      <c r="Z41" s="46">
        <v>33270</v>
      </c>
      <c r="AA41" s="46">
        <v>33370</v>
      </c>
      <c r="AB41" s="46">
        <v>34090</v>
      </c>
      <c r="AC41" s="46">
        <v>36260</v>
      </c>
      <c r="AD41" s="46">
        <v>37390</v>
      </c>
      <c r="AE41" s="46">
        <v>36850</v>
      </c>
      <c r="AF41" s="46">
        <v>37900</v>
      </c>
      <c r="AG41" s="46">
        <v>37970</v>
      </c>
      <c r="AH41" s="46">
        <v>38110</v>
      </c>
      <c r="AI41" s="46">
        <v>38160</v>
      </c>
      <c r="AJ41" s="46">
        <v>37360</v>
      </c>
      <c r="AK41" s="46">
        <v>37490</v>
      </c>
      <c r="AL41" s="46">
        <v>37120</v>
      </c>
      <c r="AM41" s="46">
        <v>37650</v>
      </c>
      <c r="AN41" s="46">
        <v>37100</v>
      </c>
      <c r="AO41" s="46">
        <v>37190</v>
      </c>
      <c r="AP41" s="46">
        <v>36930</v>
      </c>
      <c r="AQ41" s="46">
        <v>37140</v>
      </c>
      <c r="AR41" s="46">
        <v>37500</v>
      </c>
      <c r="AS41" s="46">
        <v>34970</v>
      </c>
      <c r="AT41" s="46">
        <v>35180</v>
      </c>
      <c r="AU41" s="46">
        <v>35760</v>
      </c>
      <c r="AV41" s="46">
        <v>35860</v>
      </c>
      <c r="AW41" s="46">
        <v>35940</v>
      </c>
      <c r="AX41" s="46">
        <v>35990</v>
      </c>
      <c r="AY41" s="46">
        <v>36040</v>
      </c>
      <c r="AZ41" s="46">
        <v>36090</v>
      </c>
      <c r="BA41" s="46">
        <v>36140</v>
      </c>
      <c r="BB41" s="46">
        <v>36220</v>
      </c>
      <c r="BC41" s="46">
        <v>36330</v>
      </c>
      <c r="BD41" s="46">
        <v>36470</v>
      </c>
      <c r="BE41" s="46">
        <v>36640</v>
      </c>
      <c r="BF41" s="46">
        <v>36850</v>
      </c>
      <c r="BG41" s="46">
        <v>37090</v>
      </c>
      <c r="BH41" s="46">
        <v>37360</v>
      </c>
      <c r="BI41" s="46">
        <v>37630</v>
      </c>
    </row>
    <row r="42" spans="1:61" x14ac:dyDescent="0.25">
      <c r="A42" s="11">
        <v>27</v>
      </c>
      <c r="B42" s="29">
        <v>26790</v>
      </c>
      <c r="C42" s="29">
        <v>26970</v>
      </c>
      <c r="D42" s="29">
        <v>27250</v>
      </c>
      <c r="E42" s="29">
        <v>27710</v>
      </c>
      <c r="F42" s="29">
        <v>28270</v>
      </c>
      <c r="G42" s="29">
        <v>28130</v>
      </c>
      <c r="H42" s="29">
        <v>28050</v>
      </c>
      <c r="I42" s="29">
        <v>28080</v>
      </c>
      <c r="J42" s="29">
        <v>29200</v>
      </c>
      <c r="K42" s="29">
        <v>31710</v>
      </c>
      <c r="L42" s="29">
        <v>33250</v>
      </c>
      <c r="M42" s="46">
        <v>35750</v>
      </c>
      <c r="N42" s="46">
        <v>37440</v>
      </c>
      <c r="O42" s="46">
        <v>37060</v>
      </c>
      <c r="P42" s="46">
        <v>37520</v>
      </c>
      <c r="Q42" s="46">
        <v>35430</v>
      </c>
      <c r="R42" s="46">
        <v>34050</v>
      </c>
      <c r="S42" s="46">
        <v>34390</v>
      </c>
      <c r="T42" s="46">
        <v>34410</v>
      </c>
      <c r="U42" s="46">
        <v>33920</v>
      </c>
      <c r="V42" s="46">
        <v>32730</v>
      </c>
      <c r="W42" s="46">
        <v>34210</v>
      </c>
      <c r="X42" s="46">
        <v>33820</v>
      </c>
      <c r="Y42" s="46">
        <v>33100</v>
      </c>
      <c r="Z42" s="46">
        <v>33050</v>
      </c>
      <c r="AA42" s="46">
        <v>33960</v>
      </c>
      <c r="AB42" s="46">
        <v>34070</v>
      </c>
      <c r="AC42" s="46">
        <v>34800</v>
      </c>
      <c r="AD42" s="46">
        <v>36960</v>
      </c>
      <c r="AE42" s="46">
        <v>38100</v>
      </c>
      <c r="AF42" s="46">
        <v>37560</v>
      </c>
      <c r="AG42" s="46">
        <v>38610</v>
      </c>
      <c r="AH42" s="46">
        <v>38690</v>
      </c>
      <c r="AI42" s="46">
        <v>38830</v>
      </c>
      <c r="AJ42" s="46">
        <v>38890</v>
      </c>
      <c r="AK42" s="46">
        <v>38090</v>
      </c>
      <c r="AL42" s="46">
        <v>38230</v>
      </c>
      <c r="AM42" s="46">
        <v>37850</v>
      </c>
      <c r="AN42" s="46">
        <v>38390</v>
      </c>
      <c r="AO42" s="46">
        <v>37850</v>
      </c>
      <c r="AP42" s="46">
        <v>37940</v>
      </c>
      <c r="AQ42" s="46">
        <v>37680</v>
      </c>
      <c r="AR42" s="46">
        <v>37890</v>
      </c>
      <c r="AS42" s="46">
        <v>38260</v>
      </c>
      <c r="AT42" s="46">
        <v>35730</v>
      </c>
      <c r="AU42" s="46">
        <v>35940</v>
      </c>
      <c r="AV42" s="46">
        <v>36530</v>
      </c>
      <c r="AW42" s="46">
        <v>36640</v>
      </c>
      <c r="AX42" s="46">
        <v>36710</v>
      </c>
      <c r="AY42" s="46">
        <v>36770</v>
      </c>
      <c r="AZ42" s="46">
        <v>36820</v>
      </c>
      <c r="BA42" s="46">
        <v>36870</v>
      </c>
      <c r="BB42" s="46">
        <v>36940</v>
      </c>
      <c r="BC42" s="46">
        <v>37020</v>
      </c>
      <c r="BD42" s="46">
        <v>37130</v>
      </c>
      <c r="BE42" s="46">
        <v>37270</v>
      </c>
      <c r="BF42" s="46">
        <v>37450</v>
      </c>
      <c r="BG42" s="46">
        <v>37660</v>
      </c>
      <c r="BH42" s="46">
        <v>37910</v>
      </c>
      <c r="BI42" s="46">
        <v>38170</v>
      </c>
    </row>
    <row r="43" spans="1:61" x14ac:dyDescent="0.25">
      <c r="A43" s="11">
        <v>28</v>
      </c>
      <c r="B43" s="29">
        <v>26050</v>
      </c>
      <c r="C43" s="29">
        <v>27100</v>
      </c>
      <c r="D43" s="29">
        <v>27180</v>
      </c>
      <c r="E43" s="29">
        <v>27540</v>
      </c>
      <c r="F43" s="29">
        <v>27920</v>
      </c>
      <c r="G43" s="29">
        <v>28350</v>
      </c>
      <c r="H43" s="29">
        <v>28130</v>
      </c>
      <c r="I43" s="29">
        <v>28290</v>
      </c>
      <c r="J43" s="29">
        <v>28990</v>
      </c>
      <c r="K43" s="29">
        <v>30500</v>
      </c>
      <c r="L43" s="29">
        <v>33430</v>
      </c>
      <c r="M43" s="46">
        <v>34890</v>
      </c>
      <c r="N43" s="46">
        <v>37090</v>
      </c>
      <c r="O43" s="46">
        <v>38040</v>
      </c>
      <c r="P43" s="46">
        <v>38660</v>
      </c>
      <c r="Q43" s="46">
        <v>37070</v>
      </c>
      <c r="R43" s="46">
        <v>34790</v>
      </c>
      <c r="S43" s="46">
        <v>36030</v>
      </c>
      <c r="T43" s="46">
        <v>35290</v>
      </c>
      <c r="U43" s="46">
        <v>34970</v>
      </c>
      <c r="V43" s="46">
        <v>34550</v>
      </c>
      <c r="W43" s="46">
        <v>33390</v>
      </c>
      <c r="X43" s="46">
        <v>34890</v>
      </c>
      <c r="Y43" s="46">
        <v>34520</v>
      </c>
      <c r="Z43" s="46">
        <v>33820</v>
      </c>
      <c r="AA43" s="46">
        <v>33780</v>
      </c>
      <c r="AB43" s="46">
        <v>34690</v>
      </c>
      <c r="AC43" s="46">
        <v>34800</v>
      </c>
      <c r="AD43" s="46">
        <v>35530</v>
      </c>
      <c r="AE43" s="46">
        <v>37700</v>
      </c>
      <c r="AF43" s="46">
        <v>38840</v>
      </c>
      <c r="AG43" s="46">
        <v>38310</v>
      </c>
      <c r="AH43" s="46">
        <v>39360</v>
      </c>
      <c r="AI43" s="46">
        <v>39440</v>
      </c>
      <c r="AJ43" s="46">
        <v>39580</v>
      </c>
      <c r="AK43" s="46">
        <v>39640</v>
      </c>
      <c r="AL43" s="46">
        <v>38850</v>
      </c>
      <c r="AM43" s="46">
        <v>38990</v>
      </c>
      <c r="AN43" s="46">
        <v>38620</v>
      </c>
      <c r="AO43" s="46">
        <v>39160</v>
      </c>
      <c r="AP43" s="46">
        <v>38620</v>
      </c>
      <c r="AQ43" s="46">
        <v>38720</v>
      </c>
      <c r="AR43" s="46">
        <v>38460</v>
      </c>
      <c r="AS43" s="46">
        <v>38670</v>
      </c>
      <c r="AT43" s="46">
        <v>39040</v>
      </c>
      <c r="AU43" s="46">
        <v>36520</v>
      </c>
      <c r="AV43" s="46">
        <v>36740</v>
      </c>
      <c r="AW43" s="46">
        <v>37330</v>
      </c>
      <c r="AX43" s="46">
        <v>37430</v>
      </c>
      <c r="AY43" s="46">
        <v>37520</v>
      </c>
      <c r="AZ43" s="46">
        <v>37580</v>
      </c>
      <c r="BA43" s="46">
        <v>37630</v>
      </c>
      <c r="BB43" s="46">
        <v>37690</v>
      </c>
      <c r="BC43" s="46">
        <v>37750</v>
      </c>
      <c r="BD43" s="46">
        <v>37840</v>
      </c>
      <c r="BE43" s="46">
        <v>37950</v>
      </c>
      <c r="BF43" s="46">
        <v>38100</v>
      </c>
      <c r="BG43" s="46">
        <v>38280</v>
      </c>
      <c r="BH43" s="46">
        <v>38500</v>
      </c>
      <c r="BI43" s="46">
        <v>38740</v>
      </c>
    </row>
    <row r="44" spans="1:61" x14ac:dyDescent="0.25">
      <c r="A44" s="11">
        <v>29</v>
      </c>
      <c r="B44" s="29">
        <v>26810</v>
      </c>
      <c r="C44" s="29">
        <v>26550</v>
      </c>
      <c r="D44" s="29">
        <v>27440</v>
      </c>
      <c r="E44" s="29">
        <v>27550</v>
      </c>
      <c r="F44" s="29">
        <v>27810</v>
      </c>
      <c r="G44" s="29">
        <v>28140</v>
      </c>
      <c r="H44" s="29">
        <v>28370</v>
      </c>
      <c r="I44" s="29">
        <v>28300</v>
      </c>
      <c r="J44" s="29">
        <v>29250</v>
      </c>
      <c r="K44" s="29">
        <v>30240</v>
      </c>
      <c r="L44" s="29">
        <v>32000</v>
      </c>
      <c r="M44" s="46">
        <v>34950</v>
      </c>
      <c r="N44" s="46">
        <v>36090</v>
      </c>
      <c r="O44" s="46">
        <v>38090</v>
      </c>
      <c r="P44" s="46">
        <v>39640</v>
      </c>
      <c r="Q44" s="46">
        <v>38300</v>
      </c>
      <c r="R44" s="46">
        <v>36560</v>
      </c>
      <c r="S44" s="46">
        <v>36850</v>
      </c>
      <c r="T44" s="46">
        <v>37060</v>
      </c>
      <c r="U44" s="46">
        <v>35860</v>
      </c>
      <c r="V44" s="46">
        <v>35600</v>
      </c>
      <c r="W44" s="46">
        <v>35200</v>
      </c>
      <c r="X44" s="46">
        <v>34070</v>
      </c>
      <c r="Y44" s="46">
        <v>35590</v>
      </c>
      <c r="Z44" s="46">
        <v>35230</v>
      </c>
      <c r="AA44" s="46">
        <v>34530</v>
      </c>
      <c r="AB44" s="46">
        <v>34500</v>
      </c>
      <c r="AC44" s="46">
        <v>35410</v>
      </c>
      <c r="AD44" s="46">
        <v>35530</v>
      </c>
      <c r="AE44" s="46">
        <v>36260</v>
      </c>
      <c r="AF44" s="46">
        <v>38430</v>
      </c>
      <c r="AG44" s="46">
        <v>39580</v>
      </c>
      <c r="AH44" s="46">
        <v>39040</v>
      </c>
      <c r="AI44" s="46">
        <v>40100</v>
      </c>
      <c r="AJ44" s="46">
        <v>40180</v>
      </c>
      <c r="AK44" s="46">
        <v>40330</v>
      </c>
      <c r="AL44" s="46">
        <v>40390</v>
      </c>
      <c r="AM44" s="46">
        <v>39610</v>
      </c>
      <c r="AN44" s="46">
        <v>39750</v>
      </c>
      <c r="AO44" s="46">
        <v>39380</v>
      </c>
      <c r="AP44" s="46">
        <v>39930</v>
      </c>
      <c r="AQ44" s="46">
        <v>39390</v>
      </c>
      <c r="AR44" s="46">
        <v>39490</v>
      </c>
      <c r="AS44" s="46">
        <v>39230</v>
      </c>
      <c r="AT44" s="46">
        <v>39450</v>
      </c>
      <c r="AU44" s="46">
        <v>39820</v>
      </c>
      <c r="AV44" s="46">
        <v>37300</v>
      </c>
      <c r="AW44" s="46">
        <v>37520</v>
      </c>
      <c r="AX44" s="46">
        <v>38120</v>
      </c>
      <c r="AY44" s="46">
        <v>38230</v>
      </c>
      <c r="AZ44" s="46">
        <v>38310</v>
      </c>
      <c r="BA44" s="46">
        <v>38380</v>
      </c>
      <c r="BB44" s="46">
        <v>38430</v>
      </c>
      <c r="BC44" s="46">
        <v>38490</v>
      </c>
      <c r="BD44" s="46">
        <v>38560</v>
      </c>
      <c r="BE44" s="46">
        <v>38650</v>
      </c>
      <c r="BF44" s="46">
        <v>38760</v>
      </c>
      <c r="BG44" s="46">
        <v>38910</v>
      </c>
      <c r="BH44" s="46">
        <v>39100</v>
      </c>
      <c r="BI44" s="46">
        <v>39320</v>
      </c>
    </row>
    <row r="45" spans="1:61" x14ac:dyDescent="0.25">
      <c r="A45" s="11">
        <v>30</v>
      </c>
      <c r="B45" s="29">
        <v>27080</v>
      </c>
      <c r="C45" s="29">
        <v>27260</v>
      </c>
      <c r="D45" s="29">
        <v>26940</v>
      </c>
      <c r="E45" s="29">
        <v>27910</v>
      </c>
      <c r="F45" s="29">
        <v>28010</v>
      </c>
      <c r="G45" s="29">
        <v>27920</v>
      </c>
      <c r="H45" s="29">
        <v>28260</v>
      </c>
      <c r="I45" s="29">
        <v>28630</v>
      </c>
      <c r="J45" s="29">
        <v>29160</v>
      </c>
      <c r="K45" s="29">
        <v>30360</v>
      </c>
      <c r="L45" s="29">
        <v>31640</v>
      </c>
      <c r="M45" s="46">
        <v>33300</v>
      </c>
      <c r="N45" s="46">
        <v>36170</v>
      </c>
      <c r="O45" s="46">
        <v>36980</v>
      </c>
      <c r="P45" s="46">
        <v>39390</v>
      </c>
      <c r="Q45" s="46">
        <v>39440</v>
      </c>
      <c r="R45" s="46">
        <v>37840</v>
      </c>
      <c r="S45" s="46">
        <v>38720</v>
      </c>
      <c r="T45" s="46">
        <v>38030</v>
      </c>
      <c r="U45" s="46">
        <v>37600</v>
      </c>
      <c r="V45" s="46">
        <v>36460</v>
      </c>
      <c r="W45" s="46">
        <v>36230</v>
      </c>
      <c r="X45" s="46">
        <v>35850</v>
      </c>
      <c r="Y45" s="46">
        <v>34740</v>
      </c>
      <c r="Z45" s="46">
        <v>36270</v>
      </c>
      <c r="AA45" s="46">
        <v>35920</v>
      </c>
      <c r="AB45" s="46">
        <v>35220</v>
      </c>
      <c r="AC45" s="46">
        <v>35190</v>
      </c>
      <c r="AD45" s="46">
        <v>36110</v>
      </c>
      <c r="AE45" s="46">
        <v>36230</v>
      </c>
      <c r="AF45" s="46">
        <v>36960</v>
      </c>
      <c r="AG45" s="46">
        <v>39130</v>
      </c>
      <c r="AH45" s="46">
        <v>40280</v>
      </c>
      <c r="AI45" s="46">
        <v>39750</v>
      </c>
      <c r="AJ45" s="46">
        <v>40810</v>
      </c>
      <c r="AK45" s="46">
        <v>40890</v>
      </c>
      <c r="AL45" s="46">
        <v>41050</v>
      </c>
      <c r="AM45" s="46">
        <v>41110</v>
      </c>
      <c r="AN45" s="46">
        <v>40330</v>
      </c>
      <c r="AO45" s="46">
        <v>40470</v>
      </c>
      <c r="AP45" s="46">
        <v>40110</v>
      </c>
      <c r="AQ45" s="46">
        <v>40660</v>
      </c>
      <c r="AR45" s="46">
        <v>40120</v>
      </c>
      <c r="AS45" s="46">
        <v>40220</v>
      </c>
      <c r="AT45" s="46">
        <v>39970</v>
      </c>
      <c r="AU45" s="46">
        <v>40190</v>
      </c>
      <c r="AV45" s="46">
        <v>40570</v>
      </c>
      <c r="AW45" s="46">
        <v>38050</v>
      </c>
      <c r="AX45" s="46">
        <v>38270</v>
      </c>
      <c r="AY45" s="46">
        <v>38870</v>
      </c>
      <c r="AZ45" s="46">
        <v>38980</v>
      </c>
      <c r="BA45" s="46">
        <v>39070</v>
      </c>
      <c r="BB45" s="46">
        <v>39140</v>
      </c>
      <c r="BC45" s="46">
        <v>39200</v>
      </c>
      <c r="BD45" s="46">
        <v>39260</v>
      </c>
      <c r="BE45" s="46">
        <v>39330</v>
      </c>
      <c r="BF45" s="46">
        <v>39420</v>
      </c>
      <c r="BG45" s="46">
        <v>39540</v>
      </c>
      <c r="BH45" s="46">
        <v>39690</v>
      </c>
      <c r="BI45" s="46">
        <v>39880</v>
      </c>
    </row>
    <row r="46" spans="1:61" x14ac:dyDescent="0.25">
      <c r="A46" s="11">
        <v>31</v>
      </c>
      <c r="B46" s="29">
        <v>28670</v>
      </c>
      <c r="C46" s="29">
        <v>27610</v>
      </c>
      <c r="D46" s="29">
        <v>27590</v>
      </c>
      <c r="E46" s="29">
        <v>27380</v>
      </c>
      <c r="F46" s="29">
        <v>28230</v>
      </c>
      <c r="G46" s="29">
        <v>28200</v>
      </c>
      <c r="H46" s="29">
        <v>28030</v>
      </c>
      <c r="I46" s="29">
        <v>28510</v>
      </c>
      <c r="J46" s="29">
        <v>29310</v>
      </c>
      <c r="K46" s="29">
        <v>30210</v>
      </c>
      <c r="L46" s="29">
        <v>31760</v>
      </c>
      <c r="M46" s="46">
        <v>32830</v>
      </c>
      <c r="N46" s="46">
        <v>34380</v>
      </c>
      <c r="O46" s="46">
        <v>37000</v>
      </c>
      <c r="P46" s="46">
        <v>38150</v>
      </c>
      <c r="Q46" s="46">
        <v>39270</v>
      </c>
      <c r="R46" s="46">
        <v>39140</v>
      </c>
      <c r="S46" s="46">
        <v>39810</v>
      </c>
      <c r="T46" s="46">
        <v>39970</v>
      </c>
      <c r="U46" s="46">
        <v>38550</v>
      </c>
      <c r="V46" s="46">
        <v>38190</v>
      </c>
      <c r="W46" s="46">
        <v>37070</v>
      </c>
      <c r="X46" s="46">
        <v>36860</v>
      </c>
      <c r="Y46" s="46">
        <v>36500</v>
      </c>
      <c r="Z46" s="46">
        <v>35400</v>
      </c>
      <c r="AA46" s="46">
        <v>36930</v>
      </c>
      <c r="AB46" s="46">
        <v>36580</v>
      </c>
      <c r="AC46" s="46">
        <v>35890</v>
      </c>
      <c r="AD46" s="46">
        <v>35860</v>
      </c>
      <c r="AE46" s="46">
        <v>36780</v>
      </c>
      <c r="AF46" s="46">
        <v>36900</v>
      </c>
      <c r="AG46" s="46">
        <v>37640</v>
      </c>
      <c r="AH46" s="46">
        <v>39820</v>
      </c>
      <c r="AI46" s="46">
        <v>40970</v>
      </c>
      <c r="AJ46" s="46">
        <v>40440</v>
      </c>
      <c r="AK46" s="46">
        <v>41500</v>
      </c>
      <c r="AL46" s="46">
        <v>41590</v>
      </c>
      <c r="AM46" s="46">
        <v>41740</v>
      </c>
      <c r="AN46" s="46">
        <v>41810</v>
      </c>
      <c r="AO46" s="46">
        <v>41030</v>
      </c>
      <c r="AP46" s="46">
        <v>41180</v>
      </c>
      <c r="AQ46" s="46">
        <v>40810</v>
      </c>
      <c r="AR46" s="46">
        <v>41370</v>
      </c>
      <c r="AS46" s="46">
        <v>40830</v>
      </c>
      <c r="AT46" s="46">
        <v>40940</v>
      </c>
      <c r="AU46" s="46">
        <v>40690</v>
      </c>
      <c r="AV46" s="46">
        <v>40910</v>
      </c>
      <c r="AW46" s="46">
        <v>41290</v>
      </c>
      <c r="AX46" s="46">
        <v>38780</v>
      </c>
      <c r="AY46" s="46">
        <v>39000</v>
      </c>
      <c r="AZ46" s="46">
        <v>39600</v>
      </c>
      <c r="BA46" s="46">
        <v>39720</v>
      </c>
      <c r="BB46" s="46">
        <v>39810</v>
      </c>
      <c r="BC46" s="46">
        <v>39880</v>
      </c>
      <c r="BD46" s="46">
        <v>39940</v>
      </c>
      <c r="BE46" s="46">
        <v>40000</v>
      </c>
      <c r="BF46" s="46">
        <v>40080</v>
      </c>
      <c r="BG46" s="46">
        <v>40170</v>
      </c>
      <c r="BH46" s="46">
        <v>40300</v>
      </c>
      <c r="BI46" s="46">
        <v>40450</v>
      </c>
    </row>
    <row r="47" spans="1:61" x14ac:dyDescent="0.25">
      <c r="A47" s="11">
        <v>32</v>
      </c>
      <c r="B47" s="29">
        <v>29960</v>
      </c>
      <c r="C47" s="29">
        <v>28990</v>
      </c>
      <c r="D47" s="29">
        <v>27810</v>
      </c>
      <c r="E47" s="29">
        <v>27780</v>
      </c>
      <c r="F47" s="29">
        <v>27520</v>
      </c>
      <c r="G47" s="29">
        <v>28300</v>
      </c>
      <c r="H47" s="29">
        <v>28140</v>
      </c>
      <c r="I47" s="29">
        <v>28010</v>
      </c>
      <c r="J47" s="29">
        <v>29000</v>
      </c>
      <c r="K47" s="29">
        <v>30000</v>
      </c>
      <c r="L47" s="29">
        <v>31270</v>
      </c>
      <c r="M47" s="46">
        <v>32790</v>
      </c>
      <c r="N47" s="46">
        <v>33890</v>
      </c>
      <c r="O47" s="46">
        <v>35100</v>
      </c>
      <c r="P47" s="46">
        <v>38010</v>
      </c>
      <c r="Q47" s="46">
        <v>38130</v>
      </c>
      <c r="R47" s="46">
        <v>39050</v>
      </c>
      <c r="S47" s="46">
        <v>40860</v>
      </c>
      <c r="T47" s="46">
        <v>41040</v>
      </c>
      <c r="U47" s="46">
        <v>40490</v>
      </c>
      <c r="V47" s="46">
        <v>39120</v>
      </c>
      <c r="W47" s="46">
        <v>38780</v>
      </c>
      <c r="X47" s="46">
        <v>37690</v>
      </c>
      <c r="Y47" s="46">
        <v>37490</v>
      </c>
      <c r="Z47" s="46">
        <v>37150</v>
      </c>
      <c r="AA47" s="46">
        <v>36050</v>
      </c>
      <c r="AB47" s="46">
        <v>37590</v>
      </c>
      <c r="AC47" s="46">
        <v>37240</v>
      </c>
      <c r="AD47" s="46">
        <v>36550</v>
      </c>
      <c r="AE47" s="46">
        <v>36520</v>
      </c>
      <c r="AF47" s="46">
        <v>37450</v>
      </c>
      <c r="AG47" s="46">
        <v>37570</v>
      </c>
      <c r="AH47" s="46">
        <v>38310</v>
      </c>
      <c r="AI47" s="46">
        <v>40490</v>
      </c>
      <c r="AJ47" s="46">
        <v>41640</v>
      </c>
      <c r="AK47" s="46">
        <v>41120</v>
      </c>
      <c r="AL47" s="46">
        <v>42180</v>
      </c>
      <c r="AM47" s="46">
        <v>42270</v>
      </c>
      <c r="AN47" s="46">
        <v>42430</v>
      </c>
      <c r="AO47" s="46">
        <v>42500</v>
      </c>
      <c r="AP47" s="46">
        <v>41720</v>
      </c>
      <c r="AQ47" s="46">
        <v>41870</v>
      </c>
      <c r="AR47" s="46">
        <v>41510</v>
      </c>
      <c r="AS47" s="46">
        <v>42070</v>
      </c>
      <c r="AT47" s="46">
        <v>41540</v>
      </c>
      <c r="AU47" s="46">
        <v>41650</v>
      </c>
      <c r="AV47" s="46">
        <v>41400</v>
      </c>
      <c r="AW47" s="46">
        <v>41630</v>
      </c>
      <c r="AX47" s="46">
        <v>42000</v>
      </c>
      <c r="AY47" s="46">
        <v>39500</v>
      </c>
      <c r="AZ47" s="46">
        <v>39720</v>
      </c>
      <c r="BA47" s="46">
        <v>40330</v>
      </c>
      <c r="BB47" s="46">
        <v>40450</v>
      </c>
      <c r="BC47" s="46">
        <v>40540</v>
      </c>
      <c r="BD47" s="46">
        <v>40610</v>
      </c>
      <c r="BE47" s="46">
        <v>40680</v>
      </c>
      <c r="BF47" s="46">
        <v>40740</v>
      </c>
      <c r="BG47" s="46">
        <v>40820</v>
      </c>
      <c r="BH47" s="46">
        <v>40920</v>
      </c>
      <c r="BI47" s="46">
        <v>41040</v>
      </c>
    </row>
    <row r="48" spans="1:61" x14ac:dyDescent="0.25">
      <c r="A48" s="11">
        <v>33</v>
      </c>
      <c r="B48" s="29">
        <v>31240</v>
      </c>
      <c r="C48" s="29">
        <v>30280</v>
      </c>
      <c r="D48" s="29">
        <v>29200</v>
      </c>
      <c r="E48" s="29">
        <v>27960</v>
      </c>
      <c r="F48" s="29">
        <v>27980</v>
      </c>
      <c r="G48" s="29">
        <v>27550</v>
      </c>
      <c r="H48" s="29">
        <v>28290</v>
      </c>
      <c r="I48" s="29">
        <v>28140</v>
      </c>
      <c r="J48" s="29">
        <v>28580</v>
      </c>
      <c r="K48" s="29">
        <v>29740</v>
      </c>
      <c r="L48" s="29">
        <v>30900</v>
      </c>
      <c r="M48" s="46">
        <v>32230</v>
      </c>
      <c r="N48" s="46">
        <v>33520</v>
      </c>
      <c r="O48" s="46">
        <v>34440</v>
      </c>
      <c r="P48" s="46">
        <v>35930</v>
      </c>
      <c r="Q48" s="46">
        <v>37990</v>
      </c>
      <c r="R48" s="46">
        <v>37940</v>
      </c>
      <c r="S48" s="46">
        <v>40670</v>
      </c>
      <c r="T48" s="46">
        <v>42100</v>
      </c>
      <c r="U48" s="46">
        <v>41550</v>
      </c>
      <c r="V48" s="46">
        <v>41050</v>
      </c>
      <c r="W48" s="46">
        <v>39710</v>
      </c>
      <c r="X48" s="46">
        <v>39390</v>
      </c>
      <c r="Y48" s="46">
        <v>38320</v>
      </c>
      <c r="Z48" s="46">
        <v>38130</v>
      </c>
      <c r="AA48" s="46">
        <v>37790</v>
      </c>
      <c r="AB48" s="46">
        <v>36700</v>
      </c>
      <c r="AC48" s="46">
        <v>38230</v>
      </c>
      <c r="AD48" s="46">
        <v>37890</v>
      </c>
      <c r="AE48" s="46">
        <v>37210</v>
      </c>
      <c r="AF48" s="46">
        <v>37180</v>
      </c>
      <c r="AG48" s="46">
        <v>38110</v>
      </c>
      <c r="AH48" s="46">
        <v>38240</v>
      </c>
      <c r="AI48" s="46">
        <v>38980</v>
      </c>
      <c r="AJ48" s="46">
        <v>41160</v>
      </c>
      <c r="AK48" s="46">
        <v>42310</v>
      </c>
      <c r="AL48" s="46">
        <v>41790</v>
      </c>
      <c r="AM48" s="46">
        <v>42860</v>
      </c>
      <c r="AN48" s="46">
        <v>42950</v>
      </c>
      <c r="AO48" s="46">
        <v>43110</v>
      </c>
      <c r="AP48" s="46">
        <v>43180</v>
      </c>
      <c r="AQ48" s="46">
        <v>42410</v>
      </c>
      <c r="AR48" s="46">
        <v>42560</v>
      </c>
      <c r="AS48" s="46">
        <v>42210</v>
      </c>
      <c r="AT48" s="46">
        <v>42760</v>
      </c>
      <c r="AU48" s="46">
        <v>42240</v>
      </c>
      <c r="AV48" s="46">
        <v>42350</v>
      </c>
      <c r="AW48" s="46">
        <v>42100</v>
      </c>
      <c r="AX48" s="46">
        <v>42330</v>
      </c>
      <c r="AY48" s="46">
        <v>42710</v>
      </c>
      <c r="AZ48" s="46">
        <v>40210</v>
      </c>
      <c r="BA48" s="46">
        <v>40440</v>
      </c>
      <c r="BB48" s="46">
        <v>41050</v>
      </c>
      <c r="BC48" s="46">
        <v>41170</v>
      </c>
      <c r="BD48" s="46">
        <v>41260</v>
      </c>
      <c r="BE48" s="46">
        <v>41340</v>
      </c>
      <c r="BF48" s="46">
        <v>41410</v>
      </c>
      <c r="BG48" s="46">
        <v>41480</v>
      </c>
      <c r="BH48" s="46">
        <v>41560</v>
      </c>
      <c r="BI48" s="46">
        <v>41660</v>
      </c>
    </row>
    <row r="49" spans="1:61" x14ac:dyDescent="0.25">
      <c r="A49" s="11">
        <v>34</v>
      </c>
      <c r="B49" s="29">
        <v>32740</v>
      </c>
      <c r="C49" s="29">
        <v>31520</v>
      </c>
      <c r="D49" s="29">
        <v>30510</v>
      </c>
      <c r="E49" s="29">
        <v>29420</v>
      </c>
      <c r="F49" s="29">
        <v>28160</v>
      </c>
      <c r="G49" s="29">
        <v>28030</v>
      </c>
      <c r="H49" s="29">
        <v>27560</v>
      </c>
      <c r="I49" s="29">
        <v>28290</v>
      </c>
      <c r="J49" s="29">
        <v>28590</v>
      </c>
      <c r="K49" s="29">
        <v>29240</v>
      </c>
      <c r="L49" s="29">
        <v>30520</v>
      </c>
      <c r="M49" s="46">
        <v>31720</v>
      </c>
      <c r="N49" s="46">
        <v>33060</v>
      </c>
      <c r="O49" s="46">
        <v>34150</v>
      </c>
      <c r="P49" s="46">
        <v>35200</v>
      </c>
      <c r="Q49" s="46">
        <v>36010</v>
      </c>
      <c r="R49" s="46">
        <v>37840</v>
      </c>
      <c r="S49" s="46">
        <v>39510</v>
      </c>
      <c r="T49" s="46">
        <v>41910</v>
      </c>
      <c r="U49" s="46">
        <v>42580</v>
      </c>
      <c r="V49" s="46">
        <v>42080</v>
      </c>
      <c r="W49" s="46">
        <v>41610</v>
      </c>
      <c r="X49" s="46">
        <v>40300</v>
      </c>
      <c r="Y49" s="46">
        <v>39990</v>
      </c>
      <c r="Z49" s="46">
        <v>38930</v>
      </c>
      <c r="AA49" s="46">
        <v>38750</v>
      </c>
      <c r="AB49" s="46">
        <v>38410</v>
      </c>
      <c r="AC49" s="46">
        <v>37320</v>
      </c>
      <c r="AD49" s="46">
        <v>38860</v>
      </c>
      <c r="AE49" s="46">
        <v>38520</v>
      </c>
      <c r="AF49" s="46">
        <v>37840</v>
      </c>
      <c r="AG49" s="46">
        <v>37820</v>
      </c>
      <c r="AH49" s="46">
        <v>38750</v>
      </c>
      <c r="AI49" s="46">
        <v>38880</v>
      </c>
      <c r="AJ49" s="46">
        <v>39620</v>
      </c>
      <c r="AK49" s="46">
        <v>41800</v>
      </c>
      <c r="AL49" s="46">
        <v>42960</v>
      </c>
      <c r="AM49" s="46">
        <v>42440</v>
      </c>
      <c r="AN49" s="46">
        <v>43510</v>
      </c>
      <c r="AO49" s="46">
        <v>43610</v>
      </c>
      <c r="AP49" s="46">
        <v>43770</v>
      </c>
      <c r="AQ49" s="46">
        <v>43850</v>
      </c>
      <c r="AR49" s="46">
        <v>43080</v>
      </c>
      <c r="AS49" s="46">
        <v>43230</v>
      </c>
      <c r="AT49" s="46">
        <v>42880</v>
      </c>
      <c r="AU49" s="46">
        <v>43440</v>
      </c>
      <c r="AV49" s="46">
        <v>42920</v>
      </c>
      <c r="AW49" s="46">
        <v>43030</v>
      </c>
      <c r="AX49" s="46">
        <v>42790</v>
      </c>
      <c r="AY49" s="46">
        <v>43020</v>
      </c>
      <c r="AZ49" s="46">
        <v>43410</v>
      </c>
      <c r="BA49" s="46">
        <v>40910</v>
      </c>
      <c r="BB49" s="46">
        <v>41140</v>
      </c>
      <c r="BC49" s="46">
        <v>41750</v>
      </c>
      <c r="BD49" s="46">
        <v>41870</v>
      </c>
      <c r="BE49" s="46">
        <v>41970</v>
      </c>
      <c r="BF49" s="46">
        <v>42050</v>
      </c>
      <c r="BG49" s="46">
        <v>42120</v>
      </c>
      <c r="BH49" s="46">
        <v>42190</v>
      </c>
      <c r="BI49" s="46">
        <v>42270</v>
      </c>
    </row>
    <row r="50" spans="1:61" x14ac:dyDescent="0.25">
      <c r="A50" s="11">
        <v>35</v>
      </c>
      <c r="B50" s="29">
        <v>33360</v>
      </c>
      <c r="C50" s="29">
        <v>33040</v>
      </c>
      <c r="D50" s="29">
        <v>31710</v>
      </c>
      <c r="E50" s="29">
        <v>30800</v>
      </c>
      <c r="F50" s="29">
        <v>29620</v>
      </c>
      <c r="G50" s="29">
        <v>28240</v>
      </c>
      <c r="H50" s="29">
        <v>28000</v>
      </c>
      <c r="I50" s="29">
        <v>27630</v>
      </c>
      <c r="J50" s="29">
        <v>28690</v>
      </c>
      <c r="K50" s="29">
        <v>29080</v>
      </c>
      <c r="L50" s="29">
        <v>29850</v>
      </c>
      <c r="M50" s="46">
        <v>31280</v>
      </c>
      <c r="N50" s="46">
        <v>32510</v>
      </c>
      <c r="O50" s="46">
        <v>33660</v>
      </c>
      <c r="P50" s="46">
        <v>34970</v>
      </c>
      <c r="Q50" s="46">
        <v>35210</v>
      </c>
      <c r="R50" s="46">
        <v>36000</v>
      </c>
      <c r="S50" s="46">
        <v>39150</v>
      </c>
      <c r="T50" s="46">
        <v>40780</v>
      </c>
      <c r="U50" s="46">
        <v>42370</v>
      </c>
      <c r="V50" s="46">
        <v>43080</v>
      </c>
      <c r="W50" s="46">
        <v>42620</v>
      </c>
      <c r="X50" s="46">
        <v>42170</v>
      </c>
      <c r="Y50" s="46">
        <v>40870</v>
      </c>
      <c r="Z50" s="46">
        <v>40580</v>
      </c>
      <c r="AA50" s="46">
        <v>39530</v>
      </c>
      <c r="AB50" s="46">
        <v>39350</v>
      </c>
      <c r="AC50" s="46">
        <v>39010</v>
      </c>
      <c r="AD50" s="46">
        <v>37930</v>
      </c>
      <c r="AE50" s="46">
        <v>39470</v>
      </c>
      <c r="AF50" s="46">
        <v>39130</v>
      </c>
      <c r="AG50" s="46">
        <v>38460</v>
      </c>
      <c r="AH50" s="46">
        <v>38440</v>
      </c>
      <c r="AI50" s="46">
        <v>39370</v>
      </c>
      <c r="AJ50" s="46">
        <v>39500</v>
      </c>
      <c r="AK50" s="46">
        <v>40250</v>
      </c>
      <c r="AL50" s="46">
        <v>42430</v>
      </c>
      <c r="AM50" s="46">
        <v>43590</v>
      </c>
      <c r="AN50" s="46">
        <v>43080</v>
      </c>
      <c r="AO50" s="46">
        <v>44150</v>
      </c>
      <c r="AP50" s="46">
        <v>44250</v>
      </c>
      <c r="AQ50" s="46">
        <v>44420</v>
      </c>
      <c r="AR50" s="46">
        <v>44500</v>
      </c>
      <c r="AS50" s="46">
        <v>43730</v>
      </c>
      <c r="AT50" s="46">
        <v>43890</v>
      </c>
      <c r="AU50" s="46">
        <v>43540</v>
      </c>
      <c r="AV50" s="46">
        <v>44100</v>
      </c>
      <c r="AW50" s="46">
        <v>43580</v>
      </c>
      <c r="AX50" s="46">
        <v>43700</v>
      </c>
      <c r="AY50" s="46">
        <v>43460</v>
      </c>
      <c r="AZ50" s="46">
        <v>43690</v>
      </c>
      <c r="BA50" s="46">
        <v>44080</v>
      </c>
      <c r="BB50" s="46">
        <v>41590</v>
      </c>
      <c r="BC50" s="46">
        <v>41820</v>
      </c>
      <c r="BD50" s="46">
        <v>42430</v>
      </c>
      <c r="BE50" s="46">
        <v>42560</v>
      </c>
      <c r="BF50" s="46">
        <v>42660</v>
      </c>
      <c r="BG50" s="46">
        <v>42740</v>
      </c>
      <c r="BH50" s="46">
        <v>42820</v>
      </c>
      <c r="BI50" s="46">
        <v>42890</v>
      </c>
    </row>
    <row r="51" spans="1:61" x14ac:dyDescent="0.25">
      <c r="A51" s="11">
        <v>36</v>
      </c>
      <c r="B51" s="29">
        <v>32520</v>
      </c>
      <c r="C51" s="29">
        <v>33680</v>
      </c>
      <c r="D51" s="29">
        <v>33230</v>
      </c>
      <c r="E51" s="29">
        <v>31930</v>
      </c>
      <c r="F51" s="29">
        <v>30980</v>
      </c>
      <c r="G51" s="29">
        <v>29690</v>
      </c>
      <c r="H51" s="29">
        <v>28210</v>
      </c>
      <c r="I51" s="29">
        <v>28060</v>
      </c>
      <c r="J51" s="29">
        <v>27970</v>
      </c>
      <c r="K51" s="29">
        <v>29170</v>
      </c>
      <c r="L51" s="29">
        <v>29740</v>
      </c>
      <c r="M51" s="46">
        <v>30510</v>
      </c>
      <c r="N51" s="46">
        <v>31930</v>
      </c>
      <c r="O51" s="46">
        <v>33130</v>
      </c>
      <c r="P51" s="46">
        <v>34340</v>
      </c>
      <c r="Q51" s="46">
        <v>35040</v>
      </c>
      <c r="R51" s="46">
        <v>35130</v>
      </c>
      <c r="S51" s="46">
        <v>37380</v>
      </c>
      <c r="T51" s="46">
        <v>40330</v>
      </c>
      <c r="U51" s="46">
        <v>41210</v>
      </c>
      <c r="V51" s="46">
        <v>42850</v>
      </c>
      <c r="W51" s="46">
        <v>43600</v>
      </c>
      <c r="X51" s="46">
        <v>43150</v>
      </c>
      <c r="Y51" s="46">
        <v>42720</v>
      </c>
      <c r="Z51" s="46">
        <v>41440</v>
      </c>
      <c r="AA51" s="46">
        <v>41150</v>
      </c>
      <c r="AB51" s="46">
        <v>40100</v>
      </c>
      <c r="AC51" s="46">
        <v>39930</v>
      </c>
      <c r="AD51" s="46">
        <v>39590</v>
      </c>
      <c r="AE51" s="46">
        <v>38510</v>
      </c>
      <c r="AF51" s="46">
        <v>40060</v>
      </c>
      <c r="AG51" s="46">
        <v>39720</v>
      </c>
      <c r="AH51" s="46">
        <v>39050</v>
      </c>
      <c r="AI51" s="46">
        <v>39030</v>
      </c>
      <c r="AJ51" s="46">
        <v>39970</v>
      </c>
      <c r="AK51" s="46">
        <v>40100</v>
      </c>
      <c r="AL51" s="46">
        <v>40850</v>
      </c>
      <c r="AM51" s="46">
        <v>43040</v>
      </c>
      <c r="AN51" s="46">
        <v>44200</v>
      </c>
      <c r="AO51" s="46">
        <v>43690</v>
      </c>
      <c r="AP51" s="46">
        <v>44770</v>
      </c>
      <c r="AQ51" s="46">
        <v>44870</v>
      </c>
      <c r="AR51" s="46">
        <v>45040</v>
      </c>
      <c r="AS51" s="46">
        <v>45120</v>
      </c>
      <c r="AT51" s="46">
        <v>44360</v>
      </c>
      <c r="AU51" s="46">
        <v>44520</v>
      </c>
      <c r="AV51" s="46">
        <v>44170</v>
      </c>
      <c r="AW51" s="46">
        <v>44740</v>
      </c>
      <c r="AX51" s="46">
        <v>44220</v>
      </c>
      <c r="AY51" s="46">
        <v>44340</v>
      </c>
      <c r="AZ51" s="46">
        <v>44100</v>
      </c>
      <c r="BA51" s="46">
        <v>44340</v>
      </c>
      <c r="BB51" s="46">
        <v>44730</v>
      </c>
      <c r="BC51" s="46">
        <v>42240</v>
      </c>
      <c r="BD51" s="46">
        <v>42480</v>
      </c>
      <c r="BE51" s="46">
        <v>43090</v>
      </c>
      <c r="BF51" s="46">
        <v>43220</v>
      </c>
      <c r="BG51" s="46">
        <v>43330</v>
      </c>
      <c r="BH51" s="46">
        <v>43410</v>
      </c>
      <c r="BI51" s="46">
        <v>43490</v>
      </c>
    </row>
    <row r="52" spans="1:61" x14ac:dyDescent="0.25">
      <c r="A52" s="11">
        <v>37</v>
      </c>
      <c r="B52" s="29">
        <v>32870</v>
      </c>
      <c r="C52" s="29">
        <v>32750</v>
      </c>
      <c r="D52" s="29">
        <v>33850</v>
      </c>
      <c r="E52" s="29">
        <v>33430</v>
      </c>
      <c r="F52" s="29">
        <v>32100</v>
      </c>
      <c r="G52" s="29">
        <v>30990</v>
      </c>
      <c r="H52" s="29">
        <v>29700</v>
      </c>
      <c r="I52" s="29">
        <v>28300</v>
      </c>
      <c r="J52" s="29">
        <v>28390</v>
      </c>
      <c r="K52" s="29">
        <v>28340</v>
      </c>
      <c r="L52" s="29">
        <v>29740</v>
      </c>
      <c r="M52" s="46">
        <v>30380</v>
      </c>
      <c r="N52" s="46">
        <v>31080</v>
      </c>
      <c r="O52" s="46">
        <v>32540</v>
      </c>
      <c r="P52" s="46">
        <v>33840</v>
      </c>
      <c r="Q52" s="46">
        <v>34360</v>
      </c>
      <c r="R52" s="46">
        <v>35040</v>
      </c>
      <c r="S52" s="46">
        <v>36260</v>
      </c>
      <c r="T52" s="46">
        <v>38560</v>
      </c>
      <c r="U52" s="46">
        <v>40720</v>
      </c>
      <c r="V52" s="46">
        <v>41660</v>
      </c>
      <c r="W52" s="46">
        <v>43330</v>
      </c>
      <c r="X52" s="46">
        <v>44100</v>
      </c>
      <c r="Y52" s="46">
        <v>43670</v>
      </c>
      <c r="Z52" s="46">
        <v>43250</v>
      </c>
      <c r="AA52" s="46">
        <v>41970</v>
      </c>
      <c r="AB52" s="46">
        <v>41690</v>
      </c>
      <c r="AC52" s="46">
        <v>40640</v>
      </c>
      <c r="AD52" s="46">
        <v>40470</v>
      </c>
      <c r="AE52" s="46">
        <v>40140</v>
      </c>
      <c r="AF52" s="46">
        <v>39070</v>
      </c>
      <c r="AG52" s="46">
        <v>40610</v>
      </c>
      <c r="AH52" s="46">
        <v>40280</v>
      </c>
      <c r="AI52" s="46">
        <v>39610</v>
      </c>
      <c r="AJ52" s="46">
        <v>39600</v>
      </c>
      <c r="AK52" s="46">
        <v>40530</v>
      </c>
      <c r="AL52" s="46">
        <v>40670</v>
      </c>
      <c r="AM52" s="46">
        <v>41420</v>
      </c>
      <c r="AN52" s="46">
        <v>43610</v>
      </c>
      <c r="AO52" s="46">
        <v>44780</v>
      </c>
      <c r="AP52" s="46">
        <v>44270</v>
      </c>
      <c r="AQ52" s="46">
        <v>45350</v>
      </c>
      <c r="AR52" s="46">
        <v>45450</v>
      </c>
      <c r="AS52" s="46">
        <v>45620</v>
      </c>
      <c r="AT52" s="46">
        <v>45710</v>
      </c>
      <c r="AU52" s="46">
        <v>44950</v>
      </c>
      <c r="AV52" s="46">
        <v>45110</v>
      </c>
      <c r="AW52" s="46">
        <v>44770</v>
      </c>
      <c r="AX52" s="46">
        <v>45340</v>
      </c>
      <c r="AY52" s="46">
        <v>44820</v>
      </c>
      <c r="AZ52" s="46">
        <v>44950</v>
      </c>
      <c r="BA52" s="46">
        <v>44720</v>
      </c>
      <c r="BB52" s="46">
        <v>44960</v>
      </c>
      <c r="BC52" s="46">
        <v>45350</v>
      </c>
      <c r="BD52" s="46">
        <v>42860</v>
      </c>
      <c r="BE52" s="46">
        <v>43100</v>
      </c>
      <c r="BF52" s="46">
        <v>43720</v>
      </c>
      <c r="BG52" s="46">
        <v>43850</v>
      </c>
      <c r="BH52" s="46">
        <v>43960</v>
      </c>
      <c r="BI52" s="46">
        <v>44050</v>
      </c>
    </row>
    <row r="53" spans="1:61" x14ac:dyDescent="0.25">
      <c r="A53" s="11">
        <v>38</v>
      </c>
      <c r="B53" s="29">
        <v>32450</v>
      </c>
      <c r="C53" s="29">
        <v>33080</v>
      </c>
      <c r="D53" s="29">
        <v>32830</v>
      </c>
      <c r="E53" s="29">
        <v>34000</v>
      </c>
      <c r="F53" s="29">
        <v>33580</v>
      </c>
      <c r="G53" s="29">
        <v>32190</v>
      </c>
      <c r="H53" s="29">
        <v>30960</v>
      </c>
      <c r="I53" s="29">
        <v>29790</v>
      </c>
      <c r="J53" s="29">
        <v>28530</v>
      </c>
      <c r="K53" s="29">
        <v>28830</v>
      </c>
      <c r="L53" s="29">
        <v>28910</v>
      </c>
      <c r="M53" s="46">
        <v>30270</v>
      </c>
      <c r="N53" s="46">
        <v>30910</v>
      </c>
      <c r="O53" s="46">
        <v>31650</v>
      </c>
      <c r="P53" s="46">
        <v>33180</v>
      </c>
      <c r="Q53" s="46">
        <v>33930</v>
      </c>
      <c r="R53" s="46">
        <v>34260</v>
      </c>
      <c r="S53" s="46">
        <v>36150</v>
      </c>
      <c r="T53" s="46">
        <v>37350</v>
      </c>
      <c r="U53" s="46">
        <v>38910</v>
      </c>
      <c r="V53" s="46">
        <v>41120</v>
      </c>
      <c r="W53" s="46">
        <v>42080</v>
      </c>
      <c r="X53" s="46">
        <v>43770</v>
      </c>
      <c r="Y53" s="46">
        <v>44560</v>
      </c>
      <c r="Z53" s="46">
        <v>44140</v>
      </c>
      <c r="AA53" s="46">
        <v>43730</v>
      </c>
      <c r="AB53" s="46">
        <v>42460</v>
      </c>
      <c r="AC53" s="46">
        <v>42180</v>
      </c>
      <c r="AD53" s="46">
        <v>41130</v>
      </c>
      <c r="AE53" s="46">
        <v>40960</v>
      </c>
      <c r="AF53" s="46">
        <v>40640</v>
      </c>
      <c r="AG53" s="46">
        <v>39560</v>
      </c>
      <c r="AH53" s="46">
        <v>41110</v>
      </c>
      <c r="AI53" s="46">
        <v>40780</v>
      </c>
      <c r="AJ53" s="46">
        <v>40120</v>
      </c>
      <c r="AK53" s="46">
        <v>40110</v>
      </c>
      <c r="AL53" s="46">
        <v>41050</v>
      </c>
      <c r="AM53" s="46">
        <v>41190</v>
      </c>
      <c r="AN53" s="46">
        <v>41940</v>
      </c>
      <c r="AO53" s="46">
        <v>44130</v>
      </c>
      <c r="AP53" s="46">
        <v>45300</v>
      </c>
      <c r="AQ53" s="46">
        <v>44800</v>
      </c>
      <c r="AR53" s="46">
        <v>45870</v>
      </c>
      <c r="AS53" s="46">
        <v>45980</v>
      </c>
      <c r="AT53" s="46">
        <v>46160</v>
      </c>
      <c r="AU53" s="46">
        <v>46250</v>
      </c>
      <c r="AV53" s="46">
        <v>45490</v>
      </c>
      <c r="AW53" s="46">
        <v>45660</v>
      </c>
      <c r="AX53" s="46">
        <v>45320</v>
      </c>
      <c r="AY53" s="46">
        <v>45890</v>
      </c>
      <c r="AZ53" s="46">
        <v>45370</v>
      </c>
      <c r="BA53" s="46">
        <v>45500</v>
      </c>
      <c r="BB53" s="46">
        <v>45270</v>
      </c>
      <c r="BC53" s="46">
        <v>45520</v>
      </c>
      <c r="BD53" s="46">
        <v>45910</v>
      </c>
      <c r="BE53" s="46">
        <v>43430</v>
      </c>
      <c r="BF53" s="46">
        <v>43670</v>
      </c>
      <c r="BG53" s="46">
        <v>44290</v>
      </c>
      <c r="BH53" s="46">
        <v>44430</v>
      </c>
      <c r="BI53" s="46">
        <v>44540</v>
      </c>
    </row>
    <row r="54" spans="1:61" x14ac:dyDescent="0.25">
      <c r="A54" s="11">
        <v>39</v>
      </c>
      <c r="B54" s="29">
        <v>32220</v>
      </c>
      <c r="C54" s="29">
        <v>32560</v>
      </c>
      <c r="D54" s="29">
        <v>33200</v>
      </c>
      <c r="E54" s="29">
        <v>32960</v>
      </c>
      <c r="F54" s="29">
        <v>34140</v>
      </c>
      <c r="G54" s="29">
        <v>33600</v>
      </c>
      <c r="H54" s="29">
        <v>32280</v>
      </c>
      <c r="I54" s="29">
        <v>31070</v>
      </c>
      <c r="J54" s="29">
        <v>30010</v>
      </c>
      <c r="K54" s="29">
        <v>28830</v>
      </c>
      <c r="L54" s="29">
        <v>29270</v>
      </c>
      <c r="M54" s="46">
        <v>29420</v>
      </c>
      <c r="N54" s="46">
        <v>30700</v>
      </c>
      <c r="O54" s="46">
        <v>31380</v>
      </c>
      <c r="P54" s="46">
        <v>32230</v>
      </c>
      <c r="Q54" s="46">
        <v>33260</v>
      </c>
      <c r="R54" s="46">
        <v>33870</v>
      </c>
      <c r="S54" s="46">
        <v>35240</v>
      </c>
      <c r="T54" s="46">
        <v>37090</v>
      </c>
      <c r="U54" s="46">
        <v>37670</v>
      </c>
      <c r="V54" s="46">
        <v>39270</v>
      </c>
      <c r="W54" s="46">
        <v>41510</v>
      </c>
      <c r="X54" s="46">
        <v>42490</v>
      </c>
      <c r="Y54" s="46">
        <v>44200</v>
      </c>
      <c r="Z54" s="46">
        <v>44990</v>
      </c>
      <c r="AA54" s="46">
        <v>44580</v>
      </c>
      <c r="AB54" s="46">
        <v>44170</v>
      </c>
      <c r="AC54" s="46">
        <v>42900</v>
      </c>
      <c r="AD54" s="46">
        <v>42620</v>
      </c>
      <c r="AE54" s="46">
        <v>41580</v>
      </c>
      <c r="AF54" s="46">
        <v>41420</v>
      </c>
      <c r="AG54" s="46">
        <v>41090</v>
      </c>
      <c r="AH54" s="46">
        <v>40020</v>
      </c>
      <c r="AI54" s="46">
        <v>41570</v>
      </c>
      <c r="AJ54" s="46">
        <v>41250</v>
      </c>
      <c r="AK54" s="46">
        <v>40590</v>
      </c>
      <c r="AL54" s="46">
        <v>40580</v>
      </c>
      <c r="AM54" s="46">
        <v>41520</v>
      </c>
      <c r="AN54" s="46">
        <v>41660</v>
      </c>
      <c r="AO54" s="46">
        <v>42420</v>
      </c>
      <c r="AP54" s="46">
        <v>44610</v>
      </c>
      <c r="AQ54" s="46">
        <v>45780</v>
      </c>
      <c r="AR54" s="46">
        <v>45280</v>
      </c>
      <c r="AS54" s="46">
        <v>46360</v>
      </c>
      <c r="AT54" s="46">
        <v>46470</v>
      </c>
      <c r="AU54" s="46">
        <v>46650</v>
      </c>
      <c r="AV54" s="46">
        <v>46740</v>
      </c>
      <c r="AW54" s="46">
        <v>45990</v>
      </c>
      <c r="AX54" s="46">
        <v>46160</v>
      </c>
      <c r="AY54" s="46">
        <v>45820</v>
      </c>
      <c r="AZ54" s="46">
        <v>46390</v>
      </c>
      <c r="BA54" s="46">
        <v>45880</v>
      </c>
      <c r="BB54" s="46">
        <v>46010</v>
      </c>
      <c r="BC54" s="46">
        <v>45790</v>
      </c>
      <c r="BD54" s="46">
        <v>46040</v>
      </c>
      <c r="BE54" s="46">
        <v>46430</v>
      </c>
      <c r="BF54" s="46">
        <v>43950</v>
      </c>
      <c r="BG54" s="46">
        <v>44200</v>
      </c>
      <c r="BH54" s="46">
        <v>44820</v>
      </c>
      <c r="BI54" s="46">
        <v>44960</v>
      </c>
    </row>
    <row r="55" spans="1:61" x14ac:dyDescent="0.25">
      <c r="A55" s="11">
        <v>40</v>
      </c>
      <c r="B55" s="29">
        <v>32020</v>
      </c>
      <c r="C55" s="29">
        <v>32380</v>
      </c>
      <c r="D55" s="29">
        <v>32680</v>
      </c>
      <c r="E55" s="29">
        <v>33300</v>
      </c>
      <c r="F55" s="29">
        <v>33100</v>
      </c>
      <c r="G55" s="29">
        <v>34190</v>
      </c>
      <c r="H55" s="29">
        <v>33550</v>
      </c>
      <c r="I55" s="29">
        <v>32360</v>
      </c>
      <c r="J55" s="29">
        <v>31360</v>
      </c>
      <c r="K55" s="29">
        <v>30330</v>
      </c>
      <c r="L55" s="29">
        <v>29240</v>
      </c>
      <c r="M55" s="46">
        <v>29740</v>
      </c>
      <c r="N55" s="46">
        <v>29870</v>
      </c>
      <c r="O55" s="46">
        <v>31120</v>
      </c>
      <c r="P55" s="46">
        <v>31930</v>
      </c>
      <c r="Q55" s="46">
        <v>32340</v>
      </c>
      <c r="R55" s="46">
        <v>33200</v>
      </c>
      <c r="S55" s="46">
        <v>34840</v>
      </c>
      <c r="T55" s="46">
        <v>36090</v>
      </c>
      <c r="U55" s="46">
        <v>37370</v>
      </c>
      <c r="V55" s="46">
        <v>37990</v>
      </c>
      <c r="W55" s="46">
        <v>39610</v>
      </c>
      <c r="X55" s="46">
        <v>41870</v>
      </c>
      <c r="Y55" s="46">
        <v>42870</v>
      </c>
      <c r="Z55" s="46">
        <v>44580</v>
      </c>
      <c r="AA55" s="46">
        <v>45380</v>
      </c>
      <c r="AB55" s="46">
        <v>44970</v>
      </c>
      <c r="AC55" s="46">
        <v>44560</v>
      </c>
      <c r="AD55" s="46">
        <v>43300</v>
      </c>
      <c r="AE55" s="46">
        <v>43020</v>
      </c>
      <c r="AF55" s="46">
        <v>41980</v>
      </c>
      <c r="AG55" s="46">
        <v>41820</v>
      </c>
      <c r="AH55" s="46">
        <v>41500</v>
      </c>
      <c r="AI55" s="46">
        <v>40440</v>
      </c>
      <c r="AJ55" s="46">
        <v>41990</v>
      </c>
      <c r="AK55" s="46">
        <v>41670</v>
      </c>
      <c r="AL55" s="46">
        <v>41000</v>
      </c>
      <c r="AM55" s="46">
        <v>41000</v>
      </c>
      <c r="AN55" s="46">
        <v>41940</v>
      </c>
      <c r="AO55" s="46">
        <v>42090</v>
      </c>
      <c r="AP55" s="46">
        <v>42850</v>
      </c>
      <c r="AQ55" s="46">
        <v>45050</v>
      </c>
      <c r="AR55" s="46">
        <v>46220</v>
      </c>
      <c r="AS55" s="46">
        <v>45720</v>
      </c>
      <c r="AT55" s="46">
        <v>46800</v>
      </c>
      <c r="AU55" s="46">
        <v>46910</v>
      </c>
      <c r="AV55" s="46">
        <v>47090</v>
      </c>
      <c r="AW55" s="46">
        <v>47190</v>
      </c>
      <c r="AX55" s="46">
        <v>46440</v>
      </c>
      <c r="AY55" s="46">
        <v>46610</v>
      </c>
      <c r="AZ55" s="46">
        <v>46270</v>
      </c>
      <c r="BA55" s="46">
        <v>46850</v>
      </c>
      <c r="BB55" s="46">
        <v>46340</v>
      </c>
      <c r="BC55" s="46">
        <v>46480</v>
      </c>
      <c r="BD55" s="46">
        <v>46250</v>
      </c>
      <c r="BE55" s="46">
        <v>46500</v>
      </c>
      <c r="BF55" s="46">
        <v>46900</v>
      </c>
      <c r="BG55" s="46">
        <v>44430</v>
      </c>
      <c r="BH55" s="46">
        <v>44670</v>
      </c>
      <c r="BI55" s="46">
        <v>45300</v>
      </c>
    </row>
    <row r="56" spans="1:61" x14ac:dyDescent="0.25">
      <c r="A56" s="11">
        <v>41</v>
      </c>
      <c r="B56" s="29">
        <v>32420</v>
      </c>
      <c r="C56" s="29">
        <v>32110</v>
      </c>
      <c r="D56" s="29">
        <v>32440</v>
      </c>
      <c r="E56" s="29">
        <v>32740</v>
      </c>
      <c r="F56" s="29">
        <v>33370</v>
      </c>
      <c r="G56" s="29">
        <v>33100</v>
      </c>
      <c r="H56" s="29">
        <v>34190</v>
      </c>
      <c r="I56" s="29">
        <v>33550</v>
      </c>
      <c r="J56" s="29">
        <v>32480</v>
      </c>
      <c r="K56" s="29">
        <v>31700</v>
      </c>
      <c r="L56" s="29">
        <v>30750</v>
      </c>
      <c r="M56" s="46">
        <v>29630</v>
      </c>
      <c r="N56" s="46">
        <v>30090</v>
      </c>
      <c r="O56" s="46">
        <v>30210</v>
      </c>
      <c r="P56" s="46">
        <v>31580</v>
      </c>
      <c r="Q56" s="46">
        <v>31980</v>
      </c>
      <c r="R56" s="46">
        <v>32220</v>
      </c>
      <c r="S56" s="46">
        <v>34100</v>
      </c>
      <c r="T56" s="46">
        <v>35670</v>
      </c>
      <c r="U56" s="46">
        <v>36320</v>
      </c>
      <c r="V56" s="46">
        <v>37640</v>
      </c>
      <c r="W56" s="46">
        <v>38290</v>
      </c>
      <c r="X56" s="46">
        <v>39930</v>
      </c>
      <c r="Y56" s="46">
        <v>42200</v>
      </c>
      <c r="Z56" s="46">
        <v>43200</v>
      </c>
      <c r="AA56" s="46">
        <v>44920</v>
      </c>
      <c r="AB56" s="46">
        <v>45720</v>
      </c>
      <c r="AC56" s="46">
        <v>45310</v>
      </c>
      <c r="AD56" s="46">
        <v>44900</v>
      </c>
      <c r="AE56" s="46">
        <v>43640</v>
      </c>
      <c r="AF56" s="46">
        <v>43370</v>
      </c>
      <c r="AG56" s="46">
        <v>42340</v>
      </c>
      <c r="AH56" s="46">
        <v>42180</v>
      </c>
      <c r="AI56" s="46">
        <v>41860</v>
      </c>
      <c r="AJ56" s="46">
        <v>40800</v>
      </c>
      <c r="AK56" s="46">
        <v>42350</v>
      </c>
      <c r="AL56" s="46">
        <v>42030</v>
      </c>
      <c r="AM56" s="46">
        <v>41370</v>
      </c>
      <c r="AN56" s="46">
        <v>41370</v>
      </c>
      <c r="AO56" s="46">
        <v>42320</v>
      </c>
      <c r="AP56" s="46">
        <v>42470</v>
      </c>
      <c r="AQ56" s="46">
        <v>43230</v>
      </c>
      <c r="AR56" s="46">
        <v>45430</v>
      </c>
      <c r="AS56" s="46">
        <v>46600</v>
      </c>
      <c r="AT56" s="46">
        <v>46100</v>
      </c>
      <c r="AU56" s="46">
        <v>47190</v>
      </c>
      <c r="AV56" s="46">
        <v>47300</v>
      </c>
      <c r="AW56" s="46">
        <v>47490</v>
      </c>
      <c r="AX56" s="46">
        <v>47580</v>
      </c>
      <c r="AY56" s="46">
        <v>46840</v>
      </c>
      <c r="AZ56" s="46">
        <v>47010</v>
      </c>
      <c r="BA56" s="46">
        <v>46680</v>
      </c>
      <c r="BB56" s="46">
        <v>47250</v>
      </c>
      <c r="BC56" s="46">
        <v>46750</v>
      </c>
      <c r="BD56" s="46">
        <v>46880</v>
      </c>
      <c r="BE56" s="46">
        <v>46660</v>
      </c>
      <c r="BF56" s="46">
        <v>46920</v>
      </c>
      <c r="BG56" s="46">
        <v>47320</v>
      </c>
      <c r="BH56" s="46">
        <v>44850</v>
      </c>
      <c r="BI56" s="46">
        <v>45100</v>
      </c>
    </row>
    <row r="57" spans="1:61" x14ac:dyDescent="0.25">
      <c r="A57" s="11">
        <v>42</v>
      </c>
      <c r="B57" s="29">
        <v>33510</v>
      </c>
      <c r="C57" s="29">
        <v>32510</v>
      </c>
      <c r="D57" s="29">
        <v>32160</v>
      </c>
      <c r="E57" s="29">
        <v>32460</v>
      </c>
      <c r="F57" s="29">
        <v>32800</v>
      </c>
      <c r="G57" s="29">
        <v>33360</v>
      </c>
      <c r="H57" s="29">
        <v>33050</v>
      </c>
      <c r="I57" s="29">
        <v>34240</v>
      </c>
      <c r="J57" s="29">
        <v>33770</v>
      </c>
      <c r="K57" s="29">
        <v>32710</v>
      </c>
      <c r="L57" s="29">
        <v>32070</v>
      </c>
      <c r="M57" s="46">
        <v>31110</v>
      </c>
      <c r="N57" s="46">
        <v>29920</v>
      </c>
      <c r="O57" s="46">
        <v>30400</v>
      </c>
      <c r="P57" s="46">
        <v>30590</v>
      </c>
      <c r="Q57" s="46">
        <v>31590</v>
      </c>
      <c r="R57" s="46">
        <v>31840</v>
      </c>
      <c r="S57" s="46">
        <v>33080</v>
      </c>
      <c r="T57" s="46">
        <v>34810</v>
      </c>
      <c r="U57" s="46">
        <v>35870</v>
      </c>
      <c r="V57" s="46">
        <v>36560</v>
      </c>
      <c r="W57" s="46">
        <v>37900</v>
      </c>
      <c r="X57" s="46">
        <v>38560</v>
      </c>
      <c r="Y57" s="46">
        <v>40210</v>
      </c>
      <c r="Z57" s="46">
        <v>42490</v>
      </c>
      <c r="AA57" s="46">
        <v>43490</v>
      </c>
      <c r="AB57" s="46">
        <v>45210</v>
      </c>
      <c r="AC57" s="46">
        <v>46010</v>
      </c>
      <c r="AD57" s="46">
        <v>45610</v>
      </c>
      <c r="AE57" s="46">
        <v>45210</v>
      </c>
      <c r="AF57" s="46">
        <v>43950</v>
      </c>
      <c r="AG57" s="46">
        <v>43680</v>
      </c>
      <c r="AH57" s="46">
        <v>42650</v>
      </c>
      <c r="AI57" s="46">
        <v>42490</v>
      </c>
      <c r="AJ57" s="46">
        <v>42180</v>
      </c>
      <c r="AK57" s="46">
        <v>41120</v>
      </c>
      <c r="AL57" s="46">
        <v>42670</v>
      </c>
      <c r="AM57" s="46">
        <v>42360</v>
      </c>
      <c r="AN57" s="46">
        <v>41700</v>
      </c>
      <c r="AO57" s="46">
        <v>41700</v>
      </c>
      <c r="AP57" s="46">
        <v>42650</v>
      </c>
      <c r="AQ57" s="46">
        <v>42800</v>
      </c>
      <c r="AR57" s="46">
        <v>43560</v>
      </c>
      <c r="AS57" s="46">
        <v>45760</v>
      </c>
      <c r="AT57" s="46">
        <v>46940</v>
      </c>
      <c r="AU57" s="46">
        <v>46440</v>
      </c>
      <c r="AV57" s="46">
        <v>47530</v>
      </c>
      <c r="AW57" s="46">
        <v>47650</v>
      </c>
      <c r="AX57" s="46">
        <v>47830</v>
      </c>
      <c r="AY57" s="46">
        <v>47930</v>
      </c>
      <c r="AZ57" s="46">
        <v>47190</v>
      </c>
      <c r="BA57" s="46">
        <v>47360</v>
      </c>
      <c r="BB57" s="46">
        <v>47030</v>
      </c>
      <c r="BC57" s="46">
        <v>47610</v>
      </c>
      <c r="BD57" s="46">
        <v>47110</v>
      </c>
      <c r="BE57" s="46">
        <v>47250</v>
      </c>
      <c r="BF57" s="46">
        <v>47030</v>
      </c>
      <c r="BG57" s="46">
        <v>47290</v>
      </c>
      <c r="BH57" s="46">
        <v>47690</v>
      </c>
      <c r="BI57" s="46">
        <v>45220</v>
      </c>
    </row>
    <row r="58" spans="1:61" x14ac:dyDescent="0.25">
      <c r="A58" s="11">
        <v>43</v>
      </c>
      <c r="B58" s="29">
        <v>34420</v>
      </c>
      <c r="C58" s="29">
        <v>33610</v>
      </c>
      <c r="D58" s="29">
        <v>32450</v>
      </c>
      <c r="E58" s="29">
        <v>32140</v>
      </c>
      <c r="F58" s="29">
        <v>32540</v>
      </c>
      <c r="G58" s="29">
        <v>32750</v>
      </c>
      <c r="H58" s="29">
        <v>33270</v>
      </c>
      <c r="I58" s="29">
        <v>33070</v>
      </c>
      <c r="J58" s="29">
        <v>34380</v>
      </c>
      <c r="K58" s="29">
        <v>34030</v>
      </c>
      <c r="L58" s="29">
        <v>32950</v>
      </c>
      <c r="M58" s="46">
        <v>32390</v>
      </c>
      <c r="N58" s="46">
        <v>31330</v>
      </c>
      <c r="O58" s="46">
        <v>30210</v>
      </c>
      <c r="P58" s="46">
        <v>30760</v>
      </c>
      <c r="Q58" s="46">
        <v>30640</v>
      </c>
      <c r="R58" s="46">
        <v>31460</v>
      </c>
      <c r="S58" s="46">
        <v>32540</v>
      </c>
      <c r="T58" s="46">
        <v>33730</v>
      </c>
      <c r="U58" s="46">
        <v>34980</v>
      </c>
      <c r="V58" s="46">
        <v>36070</v>
      </c>
      <c r="W58" s="46">
        <v>36780</v>
      </c>
      <c r="X58" s="46">
        <v>38130</v>
      </c>
      <c r="Y58" s="46">
        <v>38800</v>
      </c>
      <c r="Z58" s="46">
        <v>40460</v>
      </c>
      <c r="AA58" s="46">
        <v>42740</v>
      </c>
      <c r="AB58" s="46">
        <v>43750</v>
      </c>
      <c r="AC58" s="46">
        <v>45460</v>
      </c>
      <c r="AD58" s="46">
        <v>46270</v>
      </c>
      <c r="AE58" s="46">
        <v>45870</v>
      </c>
      <c r="AF58" s="46">
        <v>45470</v>
      </c>
      <c r="AG58" s="46">
        <v>44220</v>
      </c>
      <c r="AH58" s="46">
        <v>43950</v>
      </c>
      <c r="AI58" s="46">
        <v>42920</v>
      </c>
      <c r="AJ58" s="46">
        <v>42770</v>
      </c>
      <c r="AK58" s="46">
        <v>42460</v>
      </c>
      <c r="AL58" s="46">
        <v>41400</v>
      </c>
      <c r="AM58" s="46">
        <v>42950</v>
      </c>
      <c r="AN58" s="46">
        <v>42640</v>
      </c>
      <c r="AO58" s="46">
        <v>41990</v>
      </c>
      <c r="AP58" s="46">
        <v>41990</v>
      </c>
      <c r="AQ58" s="46">
        <v>42940</v>
      </c>
      <c r="AR58" s="46">
        <v>43100</v>
      </c>
      <c r="AS58" s="46">
        <v>43860</v>
      </c>
      <c r="AT58" s="46">
        <v>46060</v>
      </c>
      <c r="AU58" s="46">
        <v>47240</v>
      </c>
      <c r="AV58" s="46">
        <v>46740</v>
      </c>
      <c r="AW58" s="46">
        <v>47830</v>
      </c>
      <c r="AX58" s="46">
        <v>47950</v>
      </c>
      <c r="AY58" s="46">
        <v>48140</v>
      </c>
      <c r="AZ58" s="46">
        <v>48240</v>
      </c>
      <c r="BA58" s="46">
        <v>47500</v>
      </c>
      <c r="BB58" s="46">
        <v>47680</v>
      </c>
      <c r="BC58" s="46">
        <v>47350</v>
      </c>
      <c r="BD58" s="46">
        <v>47930</v>
      </c>
      <c r="BE58" s="46">
        <v>47430</v>
      </c>
      <c r="BF58" s="46">
        <v>47570</v>
      </c>
      <c r="BG58" s="46">
        <v>47360</v>
      </c>
      <c r="BH58" s="46">
        <v>47610</v>
      </c>
      <c r="BI58" s="46">
        <v>48020</v>
      </c>
    </row>
    <row r="59" spans="1:61" x14ac:dyDescent="0.25">
      <c r="A59" s="11">
        <v>44</v>
      </c>
      <c r="B59" s="29">
        <v>34170</v>
      </c>
      <c r="C59" s="29">
        <v>34490</v>
      </c>
      <c r="D59" s="29">
        <v>33560</v>
      </c>
      <c r="E59" s="29">
        <v>32440</v>
      </c>
      <c r="F59" s="29">
        <v>32160</v>
      </c>
      <c r="G59" s="29">
        <v>32530</v>
      </c>
      <c r="H59" s="29">
        <v>32680</v>
      </c>
      <c r="I59" s="29">
        <v>33180</v>
      </c>
      <c r="J59" s="29">
        <v>33230</v>
      </c>
      <c r="K59" s="29">
        <v>34610</v>
      </c>
      <c r="L59" s="29">
        <v>34330</v>
      </c>
      <c r="M59" s="46">
        <v>33220</v>
      </c>
      <c r="N59" s="46">
        <v>32670</v>
      </c>
      <c r="O59" s="46">
        <v>31530</v>
      </c>
      <c r="P59" s="46">
        <v>30520</v>
      </c>
      <c r="Q59" s="46">
        <v>30800</v>
      </c>
      <c r="R59" s="46">
        <v>30510</v>
      </c>
      <c r="S59" s="46">
        <v>32050</v>
      </c>
      <c r="T59" s="46">
        <v>33130</v>
      </c>
      <c r="U59" s="46">
        <v>33840</v>
      </c>
      <c r="V59" s="46">
        <v>35130</v>
      </c>
      <c r="W59" s="46">
        <v>36230</v>
      </c>
      <c r="X59" s="46">
        <v>36960</v>
      </c>
      <c r="Y59" s="46">
        <v>38320</v>
      </c>
      <c r="Z59" s="46">
        <v>39000</v>
      </c>
      <c r="AA59" s="46">
        <v>40660</v>
      </c>
      <c r="AB59" s="46">
        <v>42940</v>
      </c>
      <c r="AC59" s="46">
        <v>43950</v>
      </c>
      <c r="AD59" s="46">
        <v>45670</v>
      </c>
      <c r="AE59" s="46">
        <v>46470</v>
      </c>
      <c r="AF59" s="46">
        <v>46080</v>
      </c>
      <c r="AG59" s="46">
        <v>45680</v>
      </c>
      <c r="AH59" s="46">
        <v>44430</v>
      </c>
      <c r="AI59" s="46">
        <v>44170</v>
      </c>
      <c r="AJ59" s="46">
        <v>43140</v>
      </c>
      <c r="AK59" s="46">
        <v>42990</v>
      </c>
      <c r="AL59" s="46">
        <v>42680</v>
      </c>
      <c r="AM59" s="46">
        <v>41620</v>
      </c>
      <c r="AN59" s="46">
        <v>43180</v>
      </c>
      <c r="AO59" s="46">
        <v>42870</v>
      </c>
      <c r="AP59" s="46">
        <v>42220</v>
      </c>
      <c r="AQ59" s="46">
        <v>42220</v>
      </c>
      <c r="AR59" s="46">
        <v>43180</v>
      </c>
      <c r="AS59" s="46">
        <v>43330</v>
      </c>
      <c r="AT59" s="46">
        <v>44100</v>
      </c>
      <c r="AU59" s="46">
        <v>46300</v>
      </c>
      <c r="AV59" s="46">
        <v>47480</v>
      </c>
      <c r="AW59" s="46">
        <v>46990</v>
      </c>
      <c r="AX59" s="46">
        <v>48080</v>
      </c>
      <c r="AY59" s="46">
        <v>48200</v>
      </c>
      <c r="AZ59" s="46">
        <v>48390</v>
      </c>
      <c r="BA59" s="46">
        <v>48490</v>
      </c>
      <c r="BB59" s="46">
        <v>47760</v>
      </c>
      <c r="BC59" s="46">
        <v>47940</v>
      </c>
      <c r="BD59" s="46">
        <v>47610</v>
      </c>
      <c r="BE59" s="46">
        <v>48200</v>
      </c>
      <c r="BF59" s="46">
        <v>47700</v>
      </c>
      <c r="BG59" s="46">
        <v>47840</v>
      </c>
      <c r="BH59" s="46">
        <v>47630</v>
      </c>
      <c r="BI59" s="46">
        <v>47880</v>
      </c>
    </row>
    <row r="60" spans="1:61" x14ac:dyDescent="0.25">
      <c r="A60" s="11">
        <v>45</v>
      </c>
      <c r="B60" s="29">
        <v>33510</v>
      </c>
      <c r="C60" s="29">
        <v>34170</v>
      </c>
      <c r="D60" s="29">
        <v>34370</v>
      </c>
      <c r="E60" s="29">
        <v>33510</v>
      </c>
      <c r="F60" s="29">
        <v>32390</v>
      </c>
      <c r="G60" s="29">
        <v>32090</v>
      </c>
      <c r="H60" s="29">
        <v>32440</v>
      </c>
      <c r="I60" s="29">
        <v>32650</v>
      </c>
      <c r="J60" s="29">
        <v>33280</v>
      </c>
      <c r="K60" s="29">
        <v>33410</v>
      </c>
      <c r="L60" s="29">
        <v>34850</v>
      </c>
      <c r="M60" s="46">
        <v>34620</v>
      </c>
      <c r="N60" s="46">
        <v>33450</v>
      </c>
      <c r="O60" s="46">
        <v>32810</v>
      </c>
      <c r="P60" s="46">
        <v>31800</v>
      </c>
      <c r="Q60" s="46">
        <v>30490</v>
      </c>
      <c r="R60" s="46">
        <v>30710</v>
      </c>
      <c r="S60" s="46">
        <v>31010</v>
      </c>
      <c r="T60" s="46">
        <v>32560</v>
      </c>
      <c r="U60" s="46">
        <v>33200</v>
      </c>
      <c r="V60" s="46">
        <v>33950</v>
      </c>
      <c r="W60" s="46">
        <v>35240</v>
      </c>
      <c r="X60" s="46">
        <v>36360</v>
      </c>
      <c r="Y60" s="46">
        <v>37090</v>
      </c>
      <c r="Z60" s="46">
        <v>38460</v>
      </c>
      <c r="AA60" s="46">
        <v>39140</v>
      </c>
      <c r="AB60" s="46">
        <v>40800</v>
      </c>
      <c r="AC60" s="46">
        <v>43080</v>
      </c>
      <c r="AD60" s="46">
        <v>44090</v>
      </c>
      <c r="AE60" s="46">
        <v>45810</v>
      </c>
      <c r="AF60" s="46">
        <v>46620</v>
      </c>
      <c r="AG60" s="46">
        <v>46230</v>
      </c>
      <c r="AH60" s="46">
        <v>45830</v>
      </c>
      <c r="AI60" s="46">
        <v>44590</v>
      </c>
      <c r="AJ60" s="46">
        <v>44330</v>
      </c>
      <c r="AK60" s="46">
        <v>43300</v>
      </c>
      <c r="AL60" s="46">
        <v>43150</v>
      </c>
      <c r="AM60" s="46">
        <v>42850</v>
      </c>
      <c r="AN60" s="46">
        <v>41800</v>
      </c>
      <c r="AO60" s="46">
        <v>43350</v>
      </c>
      <c r="AP60" s="46">
        <v>43050</v>
      </c>
      <c r="AQ60" s="46">
        <v>42400</v>
      </c>
      <c r="AR60" s="46">
        <v>42410</v>
      </c>
      <c r="AS60" s="46">
        <v>43360</v>
      </c>
      <c r="AT60" s="46">
        <v>43520</v>
      </c>
      <c r="AU60" s="46">
        <v>44280</v>
      </c>
      <c r="AV60" s="46">
        <v>46480</v>
      </c>
      <c r="AW60" s="46">
        <v>47660</v>
      </c>
      <c r="AX60" s="46">
        <v>47180</v>
      </c>
      <c r="AY60" s="46">
        <v>48270</v>
      </c>
      <c r="AZ60" s="46">
        <v>48390</v>
      </c>
      <c r="BA60" s="46">
        <v>48590</v>
      </c>
      <c r="BB60" s="46">
        <v>48690</v>
      </c>
      <c r="BC60" s="46">
        <v>47960</v>
      </c>
      <c r="BD60" s="46">
        <v>48140</v>
      </c>
      <c r="BE60" s="46">
        <v>47810</v>
      </c>
      <c r="BF60" s="46">
        <v>48400</v>
      </c>
      <c r="BG60" s="46">
        <v>47910</v>
      </c>
      <c r="BH60" s="46">
        <v>48050</v>
      </c>
      <c r="BI60" s="46">
        <v>47840</v>
      </c>
    </row>
    <row r="61" spans="1:61" x14ac:dyDescent="0.25">
      <c r="A61" s="11">
        <v>46</v>
      </c>
      <c r="B61" s="29">
        <v>31920</v>
      </c>
      <c r="C61" s="29">
        <v>33480</v>
      </c>
      <c r="D61" s="29">
        <v>34110</v>
      </c>
      <c r="E61" s="29">
        <v>34280</v>
      </c>
      <c r="F61" s="29">
        <v>33480</v>
      </c>
      <c r="G61" s="29">
        <v>32280</v>
      </c>
      <c r="H61" s="29">
        <v>31920</v>
      </c>
      <c r="I61" s="29">
        <v>32390</v>
      </c>
      <c r="J61" s="29">
        <v>32750</v>
      </c>
      <c r="K61" s="29">
        <v>33380</v>
      </c>
      <c r="L61" s="29">
        <v>33560</v>
      </c>
      <c r="M61" s="46">
        <v>35030</v>
      </c>
      <c r="N61" s="46">
        <v>34820</v>
      </c>
      <c r="O61" s="46">
        <v>33570</v>
      </c>
      <c r="P61" s="46">
        <v>33030</v>
      </c>
      <c r="Q61" s="46">
        <v>31780</v>
      </c>
      <c r="R61" s="46">
        <v>30370</v>
      </c>
      <c r="S61" s="46">
        <v>31140</v>
      </c>
      <c r="T61" s="46">
        <v>31390</v>
      </c>
      <c r="U61" s="46">
        <v>32580</v>
      </c>
      <c r="V61" s="46">
        <v>33240</v>
      </c>
      <c r="W61" s="46">
        <v>34000</v>
      </c>
      <c r="X61" s="46">
        <v>35310</v>
      </c>
      <c r="Y61" s="46">
        <v>36440</v>
      </c>
      <c r="Z61" s="46">
        <v>37180</v>
      </c>
      <c r="AA61" s="46">
        <v>38540</v>
      </c>
      <c r="AB61" s="46">
        <v>39230</v>
      </c>
      <c r="AC61" s="46">
        <v>40890</v>
      </c>
      <c r="AD61" s="46">
        <v>43170</v>
      </c>
      <c r="AE61" s="46">
        <v>44180</v>
      </c>
      <c r="AF61" s="46">
        <v>45900</v>
      </c>
      <c r="AG61" s="46">
        <v>46710</v>
      </c>
      <c r="AH61" s="46">
        <v>46320</v>
      </c>
      <c r="AI61" s="46">
        <v>45920</v>
      </c>
      <c r="AJ61" s="46">
        <v>44680</v>
      </c>
      <c r="AK61" s="46">
        <v>44420</v>
      </c>
      <c r="AL61" s="46">
        <v>43400</v>
      </c>
      <c r="AM61" s="46">
        <v>43260</v>
      </c>
      <c r="AN61" s="46">
        <v>42960</v>
      </c>
      <c r="AO61" s="46">
        <v>41910</v>
      </c>
      <c r="AP61" s="46">
        <v>43460</v>
      </c>
      <c r="AQ61" s="46">
        <v>43160</v>
      </c>
      <c r="AR61" s="46">
        <v>42510</v>
      </c>
      <c r="AS61" s="46">
        <v>42520</v>
      </c>
      <c r="AT61" s="46">
        <v>43480</v>
      </c>
      <c r="AU61" s="46">
        <v>43640</v>
      </c>
      <c r="AV61" s="46">
        <v>44410</v>
      </c>
      <c r="AW61" s="46">
        <v>46610</v>
      </c>
      <c r="AX61" s="46">
        <v>47790</v>
      </c>
      <c r="AY61" s="46">
        <v>47300</v>
      </c>
      <c r="AZ61" s="46">
        <v>48400</v>
      </c>
      <c r="BA61" s="46">
        <v>48520</v>
      </c>
      <c r="BB61" s="46">
        <v>48720</v>
      </c>
      <c r="BC61" s="46">
        <v>48820</v>
      </c>
      <c r="BD61" s="46">
        <v>48090</v>
      </c>
      <c r="BE61" s="46">
        <v>48270</v>
      </c>
      <c r="BF61" s="46">
        <v>47950</v>
      </c>
      <c r="BG61" s="46">
        <v>48540</v>
      </c>
      <c r="BH61" s="46">
        <v>48050</v>
      </c>
      <c r="BI61" s="46">
        <v>48190</v>
      </c>
    </row>
    <row r="62" spans="1:61" x14ac:dyDescent="0.25">
      <c r="A62" s="11">
        <v>47</v>
      </c>
      <c r="B62" s="29">
        <v>31370</v>
      </c>
      <c r="C62" s="29">
        <v>31900</v>
      </c>
      <c r="D62" s="29">
        <v>33410</v>
      </c>
      <c r="E62" s="29">
        <v>34030</v>
      </c>
      <c r="F62" s="29">
        <v>34240</v>
      </c>
      <c r="G62" s="29">
        <v>33400</v>
      </c>
      <c r="H62" s="29">
        <v>32110</v>
      </c>
      <c r="I62" s="29">
        <v>31790</v>
      </c>
      <c r="J62" s="29">
        <v>32370</v>
      </c>
      <c r="K62" s="29">
        <v>32860</v>
      </c>
      <c r="L62" s="29">
        <v>33560</v>
      </c>
      <c r="M62" s="46">
        <v>33690</v>
      </c>
      <c r="N62" s="46">
        <v>35110</v>
      </c>
      <c r="O62" s="46">
        <v>34820</v>
      </c>
      <c r="P62" s="46">
        <v>33810</v>
      </c>
      <c r="Q62" s="46">
        <v>32980</v>
      </c>
      <c r="R62" s="46">
        <v>31640</v>
      </c>
      <c r="S62" s="46">
        <v>30750</v>
      </c>
      <c r="T62" s="46">
        <v>31400</v>
      </c>
      <c r="U62" s="46">
        <v>31370</v>
      </c>
      <c r="V62" s="46">
        <v>32570</v>
      </c>
      <c r="W62" s="46">
        <v>33250</v>
      </c>
      <c r="X62" s="46">
        <v>34020</v>
      </c>
      <c r="Y62" s="46">
        <v>35330</v>
      </c>
      <c r="Z62" s="46">
        <v>36460</v>
      </c>
      <c r="AA62" s="46">
        <v>37200</v>
      </c>
      <c r="AB62" s="46">
        <v>38570</v>
      </c>
      <c r="AC62" s="46">
        <v>39260</v>
      </c>
      <c r="AD62" s="46">
        <v>40920</v>
      </c>
      <c r="AE62" s="46">
        <v>43200</v>
      </c>
      <c r="AF62" s="46">
        <v>44210</v>
      </c>
      <c r="AG62" s="46">
        <v>45930</v>
      </c>
      <c r="AH62" s="46">
        <v>46740</v>
      </c>
      <c r="AI62" s="46">
        <v>46350</v>
      </c>
      <c r="AJ62" s="46">
        <v>45960</v>
      </c>
      <c r="AK62" s="46">
        <v>44720</v>
      </c>
      <c r="AL62" s="46">
        <v>44470</v>
      </c>
      <c r="AM62" s="46">
        <v>43450</v>
      </c>
      <c r="AN62" s="46">
        <v>43310</v>
      </c>
      <c r="AO62" s="46">
        <v>43010</v>
      </c>
      <c r="AP62" s="46">
        <v>41960</v>
      </c>
      <c r="AQ62" s="46">
        <v>43520</v>
      </c>
      <c r="AR62" s="46">
        <v>43220</v>
      </c>
      <c r="AS62" s="46">
        <v>42570</v>
      </c>
      <c r="AT62" s="46">
        <v>42580</v>
      </c>
      <c r="AU62" s="46">
        <v>43540</v>
      </c>
      <c r="AV62" s="46">
        <v>43700</v>
      </c>
      <c r="AW62" s="46">
        <v>44470</v>
      </c>
      <c r="AX62" s="46">
        <v>46670</v>
      </c>
      <c r="AY62" s="46">
        <v>47850</v>
      </c>
      <c r="AZ62" s="46">
        <v>47370</v>
      </c>
      <c r="BA62" s="46">
        <v>48470</v>
      </c>
      <c r="BB62" s="46">
        <v>48590</v>
      </c>
      <c r="BC62" s="46">
        <v>48790</v>
      </c>
      <c r="BD62" s="46">
        <v>48900</v>
      </c>
      <c r="BE62" s="46">
        <v>48170</v>
      </c>
      <c r="BF62" s="46">
        <v>48350</v>
      </c>
      <c r="BG62" s="46">
        <v>48040</v>
      </c>
      <c r="BH62" s="46">
        <v>48620</v>
      </c>
      <c r="BI62" s="46">
        <v>48130</v>
      </c>
    </row>
    <row r="63" spans="1:61" x14ac:dyDescent="0.25">
      <c r="A63" s="11">
        <v>48</v>
      </c>
      <c r="B63" s="29">
        <v>29970</v>
      </c>
      <c r="C63" s="29">
        <v>31320</v>
      </c>
      <c r="D63" s="29">
        <v>31780</v>
      </c>
      <c r="E63" s="29">
        <v>33320</v>
      </c>
      <c r="F63" s="29">
        <v>33960</v>
      </c>
      <c r="G63" s="29">
        <v>34130</v>
      </c>
      <c r="H63" s="29">
        <v>33190</v>
      </c>
      <c r="I63" s="29">
        <v>31970</v>
      </c>
      <c r="J63" s="29">
        <v>31760</v>
      </c>
      <c r="K63" s="29">
        <v>32450</v>
      </c>
      <c r="L63" s="29">
        <v>33030</v>
      </c>
      <c r="M63" s="46">
        <v>33730</v>
      </c>
      <c r="N63" s="46">
        <v>33740</v>
      </c>
      <c r="O63" s="46">
        <v>35170</v>
      </c>
      <c r="P63" s="46">
        <v>34870</v>
      </c>
      <c r="Q63" s="46">
        <v>33790</v>
      </c>
      <c r="R63" s="46">
        <v>32770</v>
      </c>
      <c r="S63" s="46">
        <v>31880</v>
      </c>
      <c r="T63" s="46">
        <v>30950</v>
      </c>
      <c r="U63" s="46">
        <v>31330</v>
      </c>
      <c r="V63" s="46">
        <v>31320</v>
      </c>
      <c r="W63" s="46">
        <v>32530</v>
      </c>
      <c r="X63" s="46">
        <v>33220</v>
      </c>
      <c r="Y63" s="46">
        <v>33990</v>
      </c>
      <c r="Z63" s="46">
        <v>35310</v>
      </c>
      <c r="AA63" s="46">
        <v>36440</v>
      </c>
      <c r="AB63" s="46">
        <v>37180</v>
      </c>
      <c r="AC63" s="46">
        <v>38550</v>
      </c>
      <c r="AD63" s="46">
        <v>39240</v>
      </c>
      <c r="AE63" s="46">
        <v>40900</v>
      </c>
      <c r="AF63" s="46">
        <v>43180</v>
      </c>
      <c r="AG63" s="46">
        <v>44190</v>
      </c>
      <c r="AH63" s="46">
        <v>45910</v>
      </c>
      <c r="AI63" s="46">
        <v>46720</v>
      </c>
      <c r="AJ63" s="46">
        <v>46340</v>
      </c>
      <c r="AK63" s="46">
        <v>45950</v>
      </c>
      <c r="AL63" s="46">
        <v>44710</v>
      </c>
      <c r="AM63" s="46">
        <v>44460</v>
      </c>
      <c r="AN63" s="46">
        <v>43450</v>
      </c>
      <c r="AO63" s="46">
        <v>43310</v>
      </c>
      <c r="AP63" s="46">
        <v>43010</v>
      </c>
      <c r="AQ63" s="46">
        <v>41960</v>
      </c>
      <c r="AR63" s="46">
        <v>43520</v>
      </c>
      <c r="AS63" s="46">
        <v>43220</v>
      </c>
      <c r="AT63" s="46">
        <v>42580</v>
      </c>
      <c r="AU63" s="46">
        <v>42590</v>
      </c>
      <c r="AV63" s="46">
        <v>43550</v>
      </c>
      <c r="AW63" s="46">
        <v>43710</v>
      </c>
      <c r="AX63" s="46">
        <v>44490</v>
      </c>
      <c r="AY63" s="46">
        <v>46690</v>
      </c>
      <c r="AZ63" s="46">
        <v>47870</v>
      </c>
      <c r="BA63" s="46">
        <v>47390</v>
      </c>
      <c r="BB63" s="46">
        <v>48480</v>
      </c>
      <c r="BC63" s="46">
        <v>48610</v>
      </c>
      <c r="BD63" s="46">
        <v>48810</v>
      </c>
      <c r="BE63" s="46">
        <v>48920</v>
      </c>
      <c r="BF63" s="46">
        <v>48190</v>
      </c>
      <c r="BG63" s="46">
        <v>48380</v>
      </c>
      <c r="BH63" s="46">
        <v>48060</v>
      </c>
      <c r="BI63" s="46">
        <v>48650</v>
      </c>
    </row>
    <row r="64" spans="1:61" x14ac:dyDescent="0.25">
      <c r="A64" s="11">
        <v>49</v>
      </c>
      <c r="B64" s="29">
        <v>29280</v>
      </c>
      <c r="C64" s="29">
        <v>29840</v>
      </c>
      <c r="D64" s="29">
        <v>31230</v>
      </c>
      <c r="E64" s="29">
        <v>31700</v>
      </c>
      <c r="F64" s="29">
        <v>33260</v>
      </c>
      <c r="G64" s="29">
        <v>33830</v>
      </c>
      <c r="H64" s="29">
        <v>33930</v>
      </c>
      <c r="I64" s="29">
        <v>33100</v>
      </c>
      <c r="J64" s="29">
        <v>32010</v>
      </c>
      <c r="K64" s="29">
        <v>31800</v>
      </c>
      <c r="L64" s="29">
        <v>32510</v>
      </c>
      <c r="M64" s="46">
        <v>33180</v>
      </c>
      <c r="N64" s="46">
        <v>33830</v>
      </c>
      <c r="O64" s="46">
        <v>33690</v>
      </c>
      <c r="P64" s="46">
        <v>35250</v>
      </c>
      <c r="Q64" s="46">
        <v>34770</v>
      </c>
      <c r="R64" s="46">
        <v>33650</v>
      </c>
      <c r="S64" s="46">
        <v>32880</v>
      </c>
      <c r="T64" s="46">
        <v>32010</v>
      </c>
      <c r="U64" s="46">
        <v>30850</v>
      </c>
      <c r="V64" s="46">
        <v>31250</v>
      </c>
      <c r="W64" s="46">
        <v>31250</v>
      </c>
      <c r="X64" s="46">
        <v>32470</v>
      </c>
      <c r="Y64" s="46">
        <v>33160</v>
      </c>
      <c r="Z64" s="46">
        <v>33940</v>
      </c>
      <c r="AA64" s="46">
        <v>35260</v>
      </c>
      <c r="AB64" s="46">
        <v>36390</v>
      </c>
      <c r="AC64" s="46">
        <v>37130</v>
      </c>
      <c r="AD64" s="46">
        <v>38500</v>
      </c>
      <c r="AE64" s="46">
        <v>39190</v>
      </c>
      <c r="AF64" s="46">
        <v>40850</v>
      </c>
      <c r="AG64" s="46">
        <v>43120</v>
      </c>
      <c r="AH64" s="46">
        <v>44140</v>
      </c>
      <c r="AI64" s="46">
        <v>45860</v>
      </c>
      <c r="AJ64" s="46">
        <v>46670</v>
      </c>
      <c r="AK64" s="46">
        <v>46290</v>
      </c>
      <c r="AL64" s="46">
        <v>45900</v>
      </c>
      <c r="AM64" s="46">
        <v>44670</v>
      </c>
      <c r="AN64" s="46">
        <v>44420</v>
      </c>
      <c r="AO64" s="46">
        <v>43410</v>
      </c>
      <c r="AP64" s="46">
        <v>43270</v>
      </c>
      <c r="AQ64" s="46">
        <v>42970</v>
      </c>
      <c r="AR64" s="46">
        <v>41930</v>
      </c>
      <c r="AS64" s="46">
        <v>43490</v>
      </c>
      <c r="AT64" s="46">
        <v>43190</v>
      </c>
      <c r="AU64" s="46">
        <v>42560</v>
      </c>
      <c r="AV64" s="46">
        <v>42570</v>
      </c>
      <c r="AW64" s="46">
        <v>43530</v>
      </c>
      <c r="AX64" s="46">
        <v>43690</v>
      </c>
      <c r="AY64" s="46">
        <v>44470</v>
      </c>
      <c r="AZ64" s="46">
        <v>46660</v>
      </c>
      <c r="BA64" s="46">
        <v>47850</v>
      </c>
      <c r="BB64" s="46">
        <v>47370</v>
      </c>
      <c r="BC64" s="46">
        <v>48470</v>
      </c>
      <c r="BD64" s="46">
        <v>48600</v>
      </c>
      <c r="BE64" s="46">
        <v>48800</v>
      </c>
      <c r="BF64" s="46">
        <v>48910</v>
      </c>
      <c r="BG64" s="46">
        <v>48180</v>
      </c>
      <c r="BH64" s="46">
        <v>48370</v>
      </c>
      <c r="BI64" s="46">
        <v>48060</v>
      </c>
    </row>
    <row r="65" spans="1:61" x14ac:dyDescent="0.25">
      <c r="A65" s="11">
        <v>50</v>
      </c>
      <c r="B65" s="29">
        <v>28580</v>
      </c>
      <c r="C65" s="29">
        <v>29200</v>
      </c>
      <c r="D65" s="29">
        <v>29730</v>
      </c>
      <c r="E65" s="29">
        <v>31150</v>
      </c>
      <c r="F65" s="29">
        <v>31650</v>
      </c>
      <c r="G65" s="29">
        <v>33090</v>
      </c>
      <c r="H65" s="29">
        <v>33640</v>
      </c>
      <c r="I65" s="29">
        <v>33790</v>
      </c>
      <c r="J65" s="29">
        <v>33120</v>
      </c>
      <c r="K65" s="29">
        <v>32140</v>
      </c>
      <c r="L65" s="29">
        <v>31890</v>
      </c>
      <c r="M65" s="46">
        <v>32560</v>
      </c>
      <c r="N65" s="46">
        <v>33230</v>
      </c>
      <c r="O65" s="46">
        <v>33810</v>
      </c>
      <c r="P65" s="46">
        <v>33800</v>
      </c>
      <c r="Q65" s="46">
        <v>35150</v>
      </c>
      <c r="R65" s="46">
        <v>34570</v>
      </c>
      <c r="S65" s="46">
        <v>33720</v>
      </c>
      <c r="T65" s="46">
        <v>32970</v>
      </c>
      <c r="U65" s="46">
        <v>31890</v>
      </c>
      <c r="V65" s="46">
        <v>30750</v>
      </c>
      <c r="W65" s="46">
        <v>31150</v>
      </c>
      <c r="X65" s="46">
        <v>31160</v>
      </c>
      <c r="Y65" s="46">
        <v>32380</v>
      </c>
      <c r="Z65" s="46">
        <v>33080</v>
      </c>
      <c r="AA65" s="46">
        <v>33860</v>
      </c>
      <c r="AB65" s="46">
        <v>35180</v>
      </c>
      <c r="AC65" s="46">
        <v>36310</v>
      </c>
      <c r="AD65" s="46">
        <v>37060</v>
      </c>
      <c r="AE65" s="46">
        <v>38420</v>
      </c>
      <c r="AF65" s="46">
        <v>39110</v>
      </c>
      <c r="AG65" s="46">
        <v>40770</v>
      </c>
      <c r="AH65" s="46">
        <v>43050</v>
      </c>
      <c r="AI65" s="46">
        <v>44060</v>
      </c>
      <c r="AJ65" s="46">
        <v>45780</v>
      </c>
      <c r="AK65" s="46">
        <v>46590</v>
      </c>
      <c r="AL65" s="46">
        <v>46210</v>
      </c>
      <c r="AM65" s="46">
        <v>45830</v>
      </c>
      <c r="AN65" s="46">
        <v>44600</v>
      </c>
      <c r="AO65" s="46">
        <v>44350</v>
      </c>
      <c r="AP65" s="46">
        <v>43350</v>
      </c>
      <c r="AQ65" s="46">
        <v>43210</v>
      </c>
      <c r="AR65" s="46">
        <v>42920</v>
      </c>
      <c r="AS65" s="46">
        <v>41880</v>
      </c>
      <c r="AT65" s="46">
        <v>43440</v>
      </c>
      <c r="AU65" s="46">
        <v>43140</v>
      </c>
      <c r="AV65" s="46">
        <v>42510</v>
      </c>
      <c r="AW65" s="46">
        <v>42520</v>
      </c>
      <c r="AX65" s="46">
        <v>43480</v>
      </c>
      <c r="AY65" s="46">
        <v>43650</v>
      </c>
      <c r="AZ65" s="46">
        <v>44420</v>
      </c>
      <c r="BA65" s="46">
        <v>46620</v>
      </c>
      <c r="BB65" s="46">
        <v>47800</v>
      </c>
      <c r="BC65" s="46">
        <v>47330</v>
      </c>
      <c r="BD65" s="46">
        <v>48420</v>
      </c>
      <c r="BE65" s="46">
        <v>48560</v>
      </c>
      <c r="BF65" s="46">
        <v>48760</v>
      </c>
      <c r="BG65" s="46">
        <v>48870</v>
      </c>
      <c r="BH65" s="46">
        <v>48150</v>
      </c>
      <c r="BI65" s="46">
        <v>48340</v>
      </c>
    </row>
    <row r="66" spans="1:61" x14ac:dyDescent="0.25">
      <c r="A66" s="11">
        <v>51</v>
      </c>
      <c r="B66" s="29">
        <v>27550</v>
      </c>
      <c r="C66" s="29">
        <v>28490</v>
      </c>
      <c r="D66" s="29">
        <v>29090</v>
      </c>
      <c r="E66" s="29">
        <v>29610</v>
      </c>
      <c r="F66" s="29">
        <v>31090</v>
      </c>
      <c r="G66" s="29">
        <v>31520</v>
      </c>
      <c r="H66" s="29">
        <v>32950</v>
      </c>
      <c r="I66" s="29">
        <v>33500</v>
      </c>
      <c r="J66" s="29">
        <v>33770</v>
      </c>
      <c r="K66" s="29">
        <v>33210</v>
      </c>
      <c r="L66" s="29">
        <v>32330</v>
      </c>
      <c r="M66" s="46">
        <v>31980</v>
      </c>
      <c r="N66" s="46">
        <v>32580</v>
      </c>
      <c r="O66" s="46">
        <v>33130</v>
      </c>
      <c r="P66" s="46">
        <v>33900</v>
      </c>
      <c r="Q66" s="46">
        <v>33650</v>
      </c>
      <c r="R66" s="46">
        <v>34900</v>
      </c>
      <c r="S66" s="46">
        <v>34590</v>
      </c>
      <c r="T66" s="46">
        <v>33750</v>
      </c>
      <c r="U66" s="46">
        <v>32850</v>
      </c>
      <c r="V66" s="46">
        <v>31780</v>
      </c>
      <c r="W66" s="46">
        <v>30650</v>
      </c>
      <c r="X66" s="46">
        <v>31060</v>
      </c>
      <c r="Y66" s="46">
        <v>31080</v>
      </c>
      <c r="Z66" s="46">
        <v>32300</v>
      </c>
      <c r="AA66" s="46">
        <v>33000</v>
      </c>
      <c r="AB66" s="46">
        <v>33780</v>
      </c>
      <c r="AC66" s="46">
        <v>35100</v>
      </c>
      <c r="AD66" s="46">
        <v>36230</v>
      </c>
      <c r="AE66" s="46">
        <v>36970</v>
      </c>
      <c r="AF66" s="46">
        <v>38340</v>
      </c>
      <c r="AG66" s="46">
        <v>39030</v>
      </c>
      <c r="AH66" s="46">
        <v>40690</v>
      </c>
      <c r="AI66" s="46">
        <v>42960</v>
      </c>
      <c r="AJ66" s="46">
        <v>43980</v>
      </c>
      <c r="AK66" s="46">
        <v>45700</v>
      </c>
      <c r="AL66" s="46">
        <v>46510</v>
      </c>
      <c r="AM66" s="46">
        <v>46140</v>
      </c>
      <c r="AN66" s="46">
        <v>45750</v>
      </c>
      <c r="AO66" s="46">
        <v>44530</v>
      </c>
      <c r="AP66" s="46">
        <v>44280</v>
      </c>
      <c r="AQ66" s="46">
        <v>43280</v>
      </c>
      <c r="AR66" s="46">
        <v>43140</v>
      </c>
      <c r="AS66" s="46">
        <v>42850</v>
      </c>
      <c r="AT66" s="46">
        <v>41820</v>
      </c>
      <c r="AU66" s="46">
        <v>43380</v>
      </c>
      <c r="AV66" s="46">
        <v>43080</v>
      </c>
      <c r="AW66" s="46">
        <v>42450</v>
      </c>
      <c r="AX66" s="46">
        <v>42470</v>
      </c>
      <c r="AY66" s="46">
        <v>43430</v>
      </c>
      <c r="AZ66" s="46">
        <v>43600</v>
      </c>
      <c r="BA66" s="46">
        <v>44370</v>
      </c>
      <c r="BB66" s="46">
        <v>46570</v>
      </c>
      <c r="BC66" s="46">
        <v>47750</v>
      </c>
      <c r="BD66" s="46">
        <v>47280</v>
      </c>
      <c r="BE66" s="46">
        <v>48370</v>
      </c>
      <c r="BF66" s="46">
        <v>48510</v>
      </c>
      <c r="BG66" s="46">
        <v>48710</v>
      </c>
      <c r="BH66" s="46">
        <v>48830</v>
      </c>
      <c r="BI66" s="46">
        <v>48110</v>
      </c>
    </row>
    <row r="67" spans="1:61" x14ac:dyDescent="0.25">
      <c r="A67" s="11">
        <v>52</v>
      </c>
      <c r="B67" s="29">
        <v>26780</v>
      </c>
      <c r="C67" s="29">
        <v>27430</v>
      </c>
      <c r="D67" s="29">
        <v>28360</v>
      </c>
      <c r="E67" s="29">
        <v>28970</v>
      </c>
      <c r="F67" s="29">
        <v>29570</v>
      </c>
      <c r="G67" s="29">
        <v>30970</v>
      </c>
      <c r="H67" s="29">
        <v>31340</v>
      </c>
      <c r="I67" s="29">
        <v>32770</v>
      </c>
      <c r="J67" s="29">
        <v>33490</v>
      </c>
      <c r="K67" s="29">
        <v>33830</v>
      </c>
      <c r="L67" s="29">
        <v>33280</v>
      </c>
      <c r="M67" s="46">
        <v>32430</v>
      </c>
      <c r="N67" s="46">
        <v>32030</v>
      </c>
      <c r="O67" s="46">
        <v>32450</v>
      </c>
      <c r="P67" s="46">
        <v>33240</v>
      </c>
      <c r="Q67" s="46">
        <v>33730</v>
      </c>
      <c r="R67" s="46">
        <v>33430</v>
      </c>
      <c r="S67" s="46">
        <v>34870</v>
      </c>
      <c r="T67" s="46">
        <v>34510</v>
      </c>
      <c r="U67" s="46">
        <v>33620</v>
      </c>
      <c r="V67" s="46">
        <v>32740</v>
      </c>
      <c r="W67" s="46">
        <v>31690</v>
      </c>
      <c r="X67" s="46">
        <v>30560</v>
      </c>
      <c r="Y67" s="46">
        <v>30980</v>
      </c>
      <c r="Z67" s="46">
        <v>31000</v>
      </c>
      <c r="AA67" s="46">
        <v>32220</v>
      </c>
      <c r="AB67" s="46">
        <v>32920</v>
      </c>
      <c r="AC67" s="46">
        <v>33700</v>
      </c>
      <c r="AD67" s="46">
        <v>35020</v>
      </c>
      <c r="AE67" s="46">
        <v>36150</v>
      </c>
      <c r="AF67" s="46">
        <v>36900</v>
      </c>
      <c r="AG67" s="46">
        <v>38260</v>
      </c>
      <c r="AH67" s="46">
        <v>38960</v>
      </c>
      <c r="AI67" s="46">
        <v>40610</v>
      </c>
      <c r="AJ67" s="46">
        <v>42880</v>
      </c>
      <c r="AK67" s="46">
        <v>43900</v>
      </c>
      <c r="AL67" s="46">
        <v>45620</v>
      </c>
      <c r="AM67" s="46">
        <v>46430</v>
      </c>
      <c r="AN67" s="46">
        <v>46060</v>
      </c>
      <c r="AO67" s="46">
        <v>45680</v>
      </c>
      <c r="AP67" s="46">
        <v>44460</v>
      </c>
      <c r="AQ67" s="46">
        <v>44220</v>
      </c>
      <c r="AR67" s="46">
        <v>43210</v>
      </c>
      <c r="AS67" s="46">
        <v>43080</v>
      </c>
      <c r="AT67" s="46">
        <v>42790</v>
      </c>
      <c r="AU67" s="46">
        <v>41760</v>
      </c>
      <c r="AV67" s="46">
        <v>43320</v>
      </c>
      <c r="AW67" s="46">
        <v>43030</v>
      </c>
      <c r="AX67" s="46">
        <v>42400</v>
      </c>
      <c r="AY67" s="46">
        <v>42420</v>
      </c>
      <c r="AZ67" s="46">
        <v>43380</v>
      </c>
      <c r="BA67" s="46">
        <v>43550</v>
      </c>
      <c r="BB67" s="46">
        <v>44320</v>
      </c>
      <c r="BC67" s="46">
        <v>46520</v>
      </c>
      <c r="BD67" s="46">
        <v>47700</v>
      </c>
      <c r="BE67" s="46">
        <v>47230</v>
      </c>
      <c r="BF67" s="46">
        <v>48330</v>
      </c>
      <c r="BG67" s="46">
        <v>48460</v>
      </c>
      <c r="BH67" s="46">
        <v>48670</v>
      </c>
      <c r="BI67" s="46">
        <v>48780</v>
      </c>
    </row>
    <row r="68" spans="1:61" x14ac:dyDescent="0.25">
      <c r="A68" s="11">
        <v>53</v>
      </c>
      <c r="B68" s="29">
        <v>25610</v>
      </c>
      <c r="C68" s="29">
        <v>26710</v>
      </c>
      <c r="D68" s="29">
        <v>27350</v>
      </c>
      <c r="E68" s="29">
        <v>28270</v>
      </c>
      <c r="F68" s="29">
        <v>28970</v>
      </c>
      <c r="G68" s="29">
        <v>29410</v>
      </c>
      <c r="H68" s="29">
        <v>30830</v>
      </c>
      <c r="I68" s="29">
        <v>31240</v>
      </c>
      <c r="J68" s="29">
        <v>32740</v>
      </c>
      <c r="K68" s="29">
        <v>33520</v>
      </c>
      <c r="L68" s="29">
        <v>33960</v>
      </c>
      <c r="M68" s="46">
        <v>33370</v>
      </c>
      <c r="N68" s="46">
        <v>32560</v>
      </c>
      <c r="O68" s="46">
        <v>31900</v>
      </c>
      <c r="P68" s="46">
        <v>32570</v>
      </c>
      <c r="Q68" s="46">
        <v>32970</v>
      </c>
      <c r="R68" s="46">
        <v>33390</v>
      </c>
      <c r="S68" s="46">
        <v>33370</v>
      </c>
      <c r="T68" s="46">
        <v>34830</v>
      </c>
      <c r="U68" s="46">
        <v>34390</v>
      </c>
      <c r="V68" s="46">
        <v>33520</v>
      </c>
      <c r="W68" s="46">
        <v>32650</v>
      </c>
      <c r="X68" s="46">
        <v>31600</v>
      </c>
      <c r="Y68" s="46">
        <v>30490</v>
      </c>
      <c r="Z68" s="46">
        <v>30910</v>
      </c>
      <c r="AA68" s="46">
        <v>30930</v>
      </c>
      <c r="AB68" s="46">
        <v>32150</v>
      </c>
      <c r="AC68" s="46">
        <v>32850</v>
      </c>
      <c r="AD68" s="46">
        <v>33630</v>
      </c>
      <c r="AE68" s="46">
        <v>34950</v>
      </c>
      <c r="AF68" s="46">
        <v>36080</v>
      </c>
      <c r="AG68" s="46">
        <v>36830</v>
      </c>
      <c r="AH68" s="46">
        <v>38190</v>
      </c>
      <c r="AI68" s="46">
        <v>38890</v>
      </c>
      <c r="AJ68" s="46">
        <v>40540</v>
      </c>
      <c r="AK68" s="46">
        <v>42810</v>
      </c>
      <c r="AL68" s="46">
        <v>43820</v>
      </c>
      <c r="AM68" s="46">
        <v>45540</v>
      </c>
      <c r="AN68" s="46">
        <v>46360</v>
      </c>
      <c r="AO68" s="46">
        <v>45990</v>
      </c>
      <c r="AP68" s="46">
        <v>45610</v>
      </c>
      <c r="AQ68" s="46">
        <v>44400</v>
      </c>
      <c r="AR68" s="46">
        <v>44150</v>
      </c>
      <c r="AS68" s="46">
        <v>43160</v>
      </c>
      <c r="AT68" s="46">
        <v>43030</v>
      </c>
      <c r="AU68" s="46">
        <v>42740</v>
      </c>
      <c r="AV68" s="46">
        <v>41710</v>
      </c>
      <c r="AW68" s="46">
        <v>43270</v>
      </c>
      <c r="AX68" s="46">
        <v>42980</v>
      </c>
      <c r="AY68" s="46">
        <v>42350</v>
      </c>
      <c r="AZ68" s="46">
        <v>42370</v>
      </c>
      <c r="BA68" s="46">
        <v>43330</v>
      </c>
      <c r="BB68" s="46">
        <v>43500</v>
      </c>
      <c r="BC68" s="46">
        <v>44280</v>
      </c>
      <c r="BD68" s="46">
        <v>46470</v>
      </c>
      <c r="BE68" s="46">
        <v>47660</v>
      </c>
      <c r="BF68" s="46">
        <v>47190</v>
      </c>
      <c r="BG68" s="46">
        <v>48290</v>
      </c>
      <c r="BH68" s="46">
        <v>48420</v>
      </c>
      <c r="BI68" s="46">
        <v>48630</v>
      </c>
    </row>
    <row r="69" spans="1:61" x14ac:dyDescent="0.25">
      <c r="A69" s="11">
        <v>54</v>
      </c>
      <c r="B69" s="29">
        <v>25210</v>
      </c>
      <c r="C69" s="29">
        <v>25540</v>
      </c>
      <c r="D69" s="29">
        <v>26610</v>
      </c>
      <c r="E69" s="29">
        <v>27230</v>
      </c>
      <c r="F69" s="29">
        <v>28220</v>
      </c>
      <c r="G69" s="29">
        <v>28900</v>
      </c>
      <c r="H69" s="29">
        <v>29320</v>
      </c>
      <c r="I69" s="29">
        <v>30700</v>
      </c>
      <c r="J69" s="29">
        <v>31200</v>
      </c>
      <c r="K69" s="29">
        <v>32760</v>
      </c>
      <c r="L69" s="29">
        <v>33550</v>
      </c>
      <c r="M69" s="46">
        <v>34060</v>
      </c>
      <c r="N69" s="46">
        <v>33430</v>
      </c>
      <c r="O69" s="46">
        <v>32340</v>
      </c>
      <c r="P69" s="46">
        <v>31960</v>
      </c>
      <c r="Q69" s="46">
        <v>32390</v>
      </c>
      <c r="R69" s="46">
        <v>32650</v>
      </c>
      <c r="S69" s="46">
        <v>33290</v>
      </c>
      <c r="T69" s="46">
        <v>33270</v>
      </c>
      <c r="U69" s="46">
        <v>34730</v>
      </c>
      <c r="V69" s="46">
        <v>34300</v>
      </c>
      <c r="W69" s="46">
        <v>33440</v>
      </c>
      <c r="X69" s="46">
        <v>32580</v>
      </c>
      <c r="Y69" s="46">
        <v>31540</v>
      </c>
      <c r="Z69" s="46">
        <v>30430</v>
      </c>
      <c r="AA69" s="46">
        <v>30850</v>
      </c>
      <c r="AB69" s="46">
        <v>30870</v>
      </c>
      <c r="AC69" s="46">
        <v>32100</v>
      </c>
      <c r="AD69" s="46">
        <v>32800</v>
      </c>
      <c r="AE69" s="46">
        <v>33580</v>
      </c>
      <c r="AF69" s="46">
        <v>34890</v>
      </c>
      <c r="AG69" s="46">
        <v>36020</v>
      </c>
      <c r="AH69" s="46">
        <v>36770</v>
      </c>
      <c r="AI69" s="46">
        <v>38140</v>
      </c>
      <c r="AJ69" s="46">
        <v>38830</v>
      </c>
      <c r="AK69" s="46">
        <v>40490</v>
      </c>
      <c r="AL69" s="46">
        <v>42750</v>
      </c>
      <c r="AM69" s="46">
        <v>43770</v>
      </c>
      <c r="AN69" s="46">
        <v>45480</v>
      </c>
      <c r="AO69" s="46">
        <v>46300</v>
      </c>
      <c r="AP69" s="46">
        <v>45930</v>
      </c>
      <c r="AQ69" s="46">
        <v>45560</v>
      </c>
      <c r="AR69" s="46">
        <v>44350</v>
      </c>
      <c r="AS69" s="46">
        <v>44110</v>
      </c>
      <c r="AT69" s="46">
        <v>43110</v>
      </c>
      <c r="AU69" s="46">
        <v>42990</v>
      </c>
      <c r="AV69" s="46">
        <v>42700</v>
      </c>
      <c r="AW69" s="46">
        <v>41680</v>
      </c>
      <c r="AX69" s="46">
        <v>43230</v>
      </c>
      <c r="AY69" s="46">
        <v>42940</v>
      </c>
      <c r="AZ69" s="46">
        <v>42320</v>
      </c>
      <c r="BA69" s="46">
        <v>42340</v>
      </c>
      <c r="BB69" s="46">
        <v>43300</v>
      </c>
      <c r="BC69" s="46">
        <v>43470</v>
      </c>
      <c r="BD69" s="46">
        <v>44250</v>
      </c>
      <c r="BE69" s="46">
        <v>46440</v>
      </c>
      <c r="BF69" s="46">
        <v>47630</v>
      </c>
      <c r="BG69" s="46">
        <v>47160</v>
      </c>
      <c r="BH69" s="46">
        <v>48260</v>
      </c>
      <c r="BI69" s="46">
        <v>48400</v>
      </c>
    </row>
    <row r="70" spans="1:61" x14ac:dyDescent="0.25">
      <c r="A70" s="11">
        <v>55</v>
      </c>
      <c r="B70" s="29">
        <v>24770</v>
      </c>
      <c r="C70" s="29">
        <v>25110</v>
      </c>
      <c r="D70" s="29">
        <v>25500</v>
      </c>
      <c r="E70" s="29">
        <v>26580</v>
      </c>
      <c r="F70" s="29">
        <v>27210</v>
      </c>
      <c r="G70" s="29">
        <v>28110</v>
      </c>
      <c r="H70" s="29">
        <v>28840</v>
      </c>
      <c r="I70" s="29">
        <v>29230</v>
      </c>
      <c r="J70" s="29">
        <v>30670</v>
      </c>
      <c r="K70" s="29">
        <v>31220</v>
      </c>
      <c r="L70" s="29">
        <v>32800</v>
      </c>
      <c r="M70" s="46">
        <v>33570</v>
      </c>
      <c r="N70" s="46">
        <v>34120</v>
      </c>
      <c r="O70" s="46">
        <v>33270</v>
      </c>
      <c r="P70" s="46">
        <v>32460</v>
      </c>
      <c r="Q70" s="46">
        <v>31640</v>
      </c>
      <c r="R70" s="46">
        <v>32150</v>
      </c>
      <c r="S70" s="46">
        <v>32480</v>
      </c>
      <c r="T70" s="46">
        <v>33170</v>
      </c>
      <c r="U70" s="46">
        <v>33180</v>
      </c>
      <c r="V70" s="46">
        <v>34650</v>
      </c>
      <c r="W70" s="46">
        <v>34230</v>
      </c>
      <c r="X70" s="46">
        <v>33380</v>
      </c>
      <c r="Y70" s="46">
        <v>32530</v>
      </c>
      <c r="Z70" s="46">
        <v>31490</v>
      </c>
      <c r="AA70" s="46">
        <v>30390</v>
      </c>
      <c r="AB70" s="46">
        <v>30810</v>
      </c>
      <c r="AC70" s="46">
        <v>30840</v>
      </c>
      <c r="AD70" s="46">
        <v>32060</v>
      </c>
      <c r="AE70" s="46">
        <v>32760</v>
      </c>
      <c r="AF70" s="46">
        <v>33540</v>
      </c>
      <c r="AG70" s="46">
        <v>34860</v>
      </c>
      <c r="AH70" s="46">
        <v>35990</v>
      </c>
      <c r="AI70" s="46">
        <v>36730</v>
      </c>
      <c r="AJ70" s="46">
        <v>38100</v>
      </c>
      <c r="AK70" s="46">
        <v>38790</v>
      </c>
      <c r="AL70" s="46">
        <v>40450</v>
      </c>
      <c r="AM70" s="46">
        <v>42710</v>
      </c>
      <c r="AN70" s="46">
        <v>43730</v>
      </c>
      <c r="AO70" s="46">
        <v>45440</v>
      </c>
      <c r="AP70" s="46">
        <v>46260</v>
      </c>
      <c r="AQ70" s="46">
        <v>45890</v>
      </c>
      <c r="AR70" s="46">
        <v>45520</v>
      </c>
      <c r="AS70" s="46">
        <v>44320</v>
      </c>
      <c r="AT70" s="46">
        <v>44080</v>
      </c>
      <c r="AU70" s="46">
        <v>43090</v>
      </c>
      <c r="AV70" s="46">
        <v>42960</v>
      </c>
      <c r="AW70" s="46">
        <v>42680</v>
      </c>
      <c r="AX70" s="46">
        <v>41660</v>
      </c>
      <c r="AY70" s="46">
        <v>43210</v>
      </c>
      <c r="AZ70" s="46">
        <v>42930</v>
      </c>
      <c r="BA70" s="46">
        <v>42310</v>
      </c>
      <c r="BB70" s="46">
        <v>42330</v>
      </c>
      <c r="BC70" s="46">
        <v>43290</v>
      </c>
      <c r="BD70" s="46">
        <v>43460</v>
      </c>
      <c r="BE70" s="46">
        <v>44240</v>
      </c>
      <c r="BF70" s="46">
        <v>46430</v>
      </c>
      <c r="BG70" s="46">
        <v>47620</v>
      </c>
      <c r="BH70" s="46">
        <v>47160</v>
      </c>
      <c r="BI70" s="46">
        <v>48250</v>
      </c>
    </row>
    <row r="71" spans="1:61" x14ac:dyDescent="0.25">
      <c r="A71" s="11">
        <v>56</v>
      </c>
      <c r="B71" s="29">
        <v>24930</v>
      </c>
      <c r="C71" s="29">
        <v>24730</v>
      </c>
      <c r="D71" s="29">
        <v>25040</v>
      </c>
      <c r="E71" s="29">
        <v>25500</v>
      </c>
      <c r="F71" s="29">
        <v>26570</v>
      </c>
      <c r="G71" s="29">
        <v>27160</v>
      </c>
      <c r="H71" s="29">
        <v>28040</v>
      </c>
      <c r="I71" s="29">
        <v>28790</v>
      </c>
      <c r="J71" s="29">
        <v>29280</v>
      </c>
      <c r="K71" s="29">
        <v>30710</v>
      </c>
      <c r="L71" s="29">
        <v>31300</v>
      </c>
      <c r="M71" s="46">
        <v>32860</v>
      </c>
      <c r="N71" s="46">
        <v>33590</v>
      </c>
      <c r="O71" s="46">
        <v>33930</v>
      </c>
      <c r="P71" s="46">
        <v>33340</v>
      </c>
      <c r="Q71" s="46">
        <v>32120</v>
      </c>
      <c r="R71" s="46">
        <v>31290</v>
      </c>
      <c r="S71" s="46">
        <v>31970</v>
      </c>
      <c r="T71" s="46">
        <v>32340</v>
      </c>
      <c r="U71" s="46">
        <v>33100</v>
      </c>
      <c r="V71" s="46">
        <v>33120</v>
      </c>
      <c r="W71" s="46">
        <v>34590</v>
      </c>
      <c r="X71" s="46">
        <v>34180</v>
      </c>
      <c r="Y71" s="46">
        <v>33340</v>
      </c>
      <c r="Z71" s="46">
        <v>32490</v>
      </c>
      <c r="AA71" s="46">
        <v>31460</v>
      </c>
      <c r="AB71" s="46">
        <v>30360</v>
      </c>
      <c r="AC71" s="46">
        <v>30790</v>
      </c>
      <c r="AD71" s="46">
        <v>30810</v>
      </c>
      <c r="AE71" s="46">
        <v>32030</v>
      </c>
      <c r="AF71" s="46">
        <v>32740</v>
      </c>
      <c r="AG71" s="46">
        <v>33520</v>
      </c>
      <c r="AH71" s="46">
        <v>34830</v>
      </c>
      <c r="AI71" s="46">
        <v>35960</v>
      </c>
      <c r="AJ71" s="46">
        <v>36710</v>
      </c>
      <c r="AK71" s="46">
        <v>38070</v>
      </c>
      <c r="AL71" s="46">
        <v>38770</v>
      </c>
      <c r="AM71" s="46">
        <v>40420</v>
      </c>
      <c r="AN71" s="46">
        <v>42680</v>
      </c>
      <c r="AO71" s="46">
        <v>43700</v>
      </c>
      <c r="AP71" s="46">
        <v>45410</v>
      </c>
      <c r="AQ71" s="46">
        <v>46230</v>
      </c>
      <c r="AR71" s="46">
        <v>45870</v>
      </c>
      <c r="AS71" s="46">
        <v>45500</v>
      </c>
      <c r="AT71" s="46">
        <v>44300</v>
      </c>
      <c r="AU71" s="46">
        <v>44060</v>
      </c>
      <c r="AV71" s="46">
        <v>43080</v>
      </c>
      <c r="AW71" s="46">
        <v>42950</v>
      </c>
      <c r="AX71" s="46">
        <v>42670</v>
      </c>
      <c r="AY71" s="46">
        <v>41650</v>
      </c>
      <c r="AZ71" s="46">
        <v>43210</v>
      </c>
      <c r="BA71" s="46">
        <v>42930</v>
      </c>
      <c r="BB71" s="46">
        <v>42310</v>
      </c>
      <c r="BC71" s="46">
        <v>42330</v>
      </c>
      <c r="BD71" s="46">
        <v>43290</v>
      </c>
      <c r="BE71" s="46">
        <v>43470</v>
      </c>
      <c r="BF71" s="46">
        <v>44240</v>
      </c>
      <c r="BG71" s="46">
        <v>46440</v>
      </c>
      <c r="BH71" s="46">
        <v>47620</v>
      </c>
      <c r="BI71" s="46">
        <v>47160</v>
      </c>
    </row>
    <row r="72" spans="1:61" x14ac:dyDescent="0.25">
      <c r="A72" s="11">
        <v>57</v>
      </c>
      <c r="B72" s="29">
        <v>24090</v>
      </c>
      <c r="C72" s="29">
        <v>24850</v>
      </c>
      <c r="D72" s="29">
        <v>24680</v>
      </c>
      <c r="E72" s="29">
        <v>25000</v>
      </c>
      <c r="F72" s="29">
        <v>25510</v>
      </c>
      <c r="G72" s="29">
        <v>26540</v>
      </c>
      <c r="H72" s="29">
        <v>27140</v>
      </c>
      <c r="I72" s="29">
        <v>27970</v>
      </c>
      <c r="J72" s="29">
        <v>28700</v>
      </c>
      <c r="K72" s="29">
        <v>29360</v>
      </c>
      <c r="L72" s="29">
        <v>30770</v>
      </c>
      <c r="M72" s="46">
        <v>31310</v>
      </c>
      <c r="N72" s="46">
        <v>32830</v>
      </c>
      <c r="O72" s="46">
        <v>33480</v>
      </c>
      <c r="P72" s="46">
        <v>34060</v>
      </c>
      <c r="Q72" s="46">
        <v>32990</v>
      </c>
      <c r="R72" s="46">
        <v>31730</v>
      </c>
      <c r="S72" s="46">
        <v>31150</v>
      </c>
      <c r="T72" s="46">
        <v>31860</v>
      </c>
      <c r="U72" s="46">
        <v>32280</v>
      </c>
      <c r="V72" s="46">
        <v>33050</v>
      </c>
      <c r="W72" s="46">
        <v>33080</v>
      </c>
      <c r="X72" s="46">
        <v>34550</v>
      </c>
      <c r="Y72" s="46">
        <v>34150</v>
      </c>
      <c r="Z72" s="46">
        <v>33310</v>
      </c>
      <c r="AA72" s="46">
        <v>32460</v>
      </c>
      <c r="AB72" s="46">
        <v>31440</v>
      </c>
      <c r="AC72" s="46">
        <v>30350</v>
      </c>
      <c r="AD72" s="46">
        <v>30770</v>
      </c>
      <c r="AE72" s="46">
        <v>30800</v>
      </c>
      <c r="AF72" s="46">
        <v>32020</v>
      </c>
      <c r="AG72" s="46">
        <v>32730</v>
      </c>
      <c r="AH72" s="46">
        <v>33510</v>
      </c>
      <c r="AI72" s="46">
        <v>34820</v>
      </c>
      <c r="AJ72" s="46">
        <v>35950</v>
      </c>
      <c r="AK72" s="46">
        <v>36700</v>
      </c>
      <c r="AL72" s="46">
        <v>38060</v>
      </c>
      <c r="AM72" s="46">
        <v>38760</v>
      </c>
      <c r="AN72" s="46">
        <v>40410</v>
      </c>
      <c r="AO72" s="46">
        <v>42670</v>
      </c>
      <c r="AP72" s="46">
        <v>43680</v>
      </c>
      <c r="AQ72" s="46">
        <v>45400</v>
      </c>
      <c r="AR72" s="46">
        <v>46220</v>
      </c>
      <c r="AS72" s="46">
        <v>45860</v>
      </c>
      <c r="AT72" s="46">
        <v>45490</v>
      </c>
      <c r="AU72" s="46">
        <v>44290</v>
      </c>
      <c r="AV72" s="46">
        <v>44060</v>
      </c>
      <c r="AW72" s="46">
        <v>43080</v>
      </c>
      <c r="AX72" s="46">
        <v>42960</v>
      </c>
      <c r="AY72" s="46">
        <v>42680</v>
      </c>
      <c r="AZ72" s="46">
        <v>41670</v>
      </c>
      <c r="BA72" s="46">
        <v>43220</v>
      </c>
      <c r="BB72" s="46">
        <v>42940</v>
      </c>
      <c r="BC72" s="46">
        <v>42320</v>
      </c>
      <c r="BD72" s="46">
        <v>42350</v>
      </c>
      <c r="BE72" s="46">
        <v>43310</v>
      </c>
      <c r="BF72" s="46">
        <v>43490</v>
      </c>
      <c r="BG72" s="46">
        <v>44260</v>
      </c>
      <c r="BH72" s="46">
        <v>46450</v>
      </c>
      <c r="BI72" s="46">
        <v>47640</v>
      </c>
    </row>
    <row r="73" spans="1:61" x14ac:dyDescent="0.25">
      <c r="A73" s="11">
        <v>58</v>
      </c>
      <c r="B73" s="29">
        <v>24480</v>
      </c>
      <c r="C73" s="29">
        <v>24050</v>
      </c>
      <c r="D73" s="29">
        <v>24700</v>
      </c>
      <c r="E73" s="29">
        <v>24570</v>
      </c>
      <c r="F73" s="29">
        <v>25000</v>
      </c>
      <c r="G73" s="29">
        <v>25480</v>
      </c>
      <c r="H73" s="29">
        <v>26530</v>
      </c>
      <c r="I73" s="29">
        <v>27100</v>
      </c>
      <c r="J73" s="29">
        <v>27920</v>
      </c>
      <c r="K73" s="29">
        <v>28670</v>
      </c>
      <c r="L73" s="29">
        <v>29450</v>
      </c>
      <c r="M73" s="46">
        <v>30810</v>
      </c>
      <c r="N73" s="46">
        <v>31290</v>
      </c>
      <c r="O73" s="46">
        <v>32620</v>
      </c>
      <c r="P73" s="46">
        <v>33650</v>
      </c>
      <c r="Q73" s="46">
        <v>33630</v>
      </c>
      <c r="R73" s="46">
        <v>32550</v>
      </c>
      <c r="S73" s="46">
        <v>31510</v>
      </c>
      <c r="T73" s="46">
        <v>31020</v>
      </c>
      <c r="U73" s="46">
        <v>31810</v>
      </c>
      <c r="V73" s="46">
        <v>32240</v>
      </c>
      <c r="W73" s="46">
        <v>33010</v>
      </c>
      <c r="X73" s="46">
        <v>33050</v>
      </c>
      <c r="Y73" s="46">
        <v>34520</v>
      </c>
      <c r="Z73" s="46">
        <v>34120</v>
      </c>
      <c r="AA73" s="46">
        <v>33290</v>
      </c>
      <c r="AB73" s="46">
        <v>32450</v>
      </c>
      <c r="AC73" s="46">
        <v>31430</v>
      </c>
      <c r="AD73" s="46">
        <v>30350</v>
      </c>
      <c r="AE73" s="46">
        <v>30780</v>
      </c>
      <c r="AF73" s="46">
        <v>30810</v>
      </c>
      <c r="AG73" s="46">
        <v>32030</v>
      </c>
      <c r="AH73" s="46">
        <v>32730</v>
      </c>
      <c r="AI73" s="46">
        <v>33510</v>
      </c>
      <c r="AJ73" s="46">
        <v>34820</v>
      </c>
      <c r="AK73" s="46">
        <v>35950</v>
      </c>
      <c r="AL73" s="46">
        <v>36700</v>
      </c>
      <c r="AM73" s="46">
        <v>38060</v>
      </c>
      <c r="AN73" s="46">
        <v>38760</v>
      </c>
      <c r="AO73" s="46">
        <v>40410</v>
      </c>
      <c r="AP73" s="46">
        <v>42670</v>
      </c>
      <c r="AQ73" s="46">
        <v>43680</v>
      </c>
      <c r="AR73" s="46">
        <v>45400</v>
      </c>
      <c r="AS73" s="46">
        <v>46210</v>
      </c>
      <c r="AT73" s="46">
        <v>45860</v>
      </c>
      <c r="AU73" s="46">
        <v>45500</v>
      </c>
      <c r="AV73" s="46">
        <v>44300</v>
      </c>
      <c r="AW73" s="46">
        <v>44070</v>
      </c>
      <c r="AX73" s="46">
        <v>43090</v>
      </c>
      <c r="AY73" s="46">
        <v>42970</v>
      </c>
      <c r="AZ73" s="46">
        <v>42700</v>
      </c>
      <c r="BA73" s="46">
        <v>41690</v>
      </c>
      <c r="BB73" s="46">
        <v>43240</v>
      </c>
      <c r="BC73" s="46">
        <v>42960</v>
      </c>
      <c r="BD73" s="46">
        <v>42350</v>
      </c>
      <c r="BE73" s="46">
        <v>42380</v>
      </c>
      <c r="BF73" s="46">
        <v>43340</v>
      </c>
      <c r="BG73" s="46">
        <v>43520</v>
      </c>
      <c r="BH73" s="46">
        <v>44300</v>
      </c>
      <c r="BI73" s="46">
        <v>46490</v>
      </c>
    </row>
    <row r="74" spans="1:61" x14ac:dyDescent="0.25">
      <c r="A74" s="11">
        <v>59</v>
      </c>
      <c r="B74" s="29">
        <v>24660</v>
      </c>
      <c r="C74" s="29">
        <v>24450</v>
      </c>
      <c r="D74" s="29">
        <v>23980</v>
      </c>
      <c r="E74" s="29">
        <v>24630</v>
      </c>
      <c r="F74" s="29">
        <v>24500</v>
      </c>
      <c r="G74" s="29">
        <v>24970</v>
      </c>
      <c r="H74" s="29">
        <v>25480</v>
      </c>
      <c r="I74" s="29">
        <v>26490</v>
      </c>
      <c r="J74" s="29">
        <v>27060</v>
      </c>
      <c r="K74" s="29">
        <v>27920</v>
      </c>
      <c r="L74" s="29">
        <v>28700</v>
      </c>
      <c r="M74" s="46">
        <v>29560</v>
      </c>
      <c r="N74" s="46">
        <v>30780</v>
      </c>
      <c r="O74" s="46">
        <v>31150</v>
      </c>
      <c r="P74" s="46">
        <v>32710</v>
      </c>
      <c r="Q74" s="46">
        <v>33290</v>
      </c>
      <c r="R74" s="46">
        <v>33190</v>
      </c>
      <c r="S74" s="46">
        <v>32300</v>
      </c>
      <c r="T74" s="46">
        <v>31360</v>
      </c>
      <c r="U74" s="46">
        <v>30980</v>
      </c>
      <c r="V74" s="46">
        <v>31770</v>
      </c>
      <c r="W74" s="46">
        <v>32210</v>
      </c>
      <c r="X74" s="46">
        <v>32990</v>
      </c>
      <c r="Y74" s="46">
        <v>33030</v>
      </c>
      <c r="Z74" s="46">
        <v>34500</v>
      </c>
      <c r="AA74" s="46">
        <v>34110</v>
      </c>
      <c r="AB74" s="46">
        <v>33280</v>
      </c>
      <c r="AC74" s="46">
        <v>32450</v>
      </c>
      <c r="AD74" s="46">
        <v>31440</v>
      </c>
      <c r="AE74" s="46">
        <v>30360</v>
      </c>
      <c r="AF74" s="46">
        <v>30790</v>
      </c>
      <c r="AG74" s="46">
        <v>30820</v>
      </c>
      <c r="AH74" s="46">
        <v>32040</v>
      </c>
      <c r="AI74" s="46">
        <v>32740</v>
      </c>
      <c r="AJ74" s="46">
        <v>33520</v>
      </c>
      <c r="AK74" s="46">
        <v>34830</v>
      </c>
      <c r="AL74" s="46">
        <v>35960</v>
      </c>
      <c r="AM74" s="46">
        <v>36710</v>
      </c>
      <c r="AN74" s="46">
        <v>38080</v>
      </c>
      <c r="AO74" s="46">
        <v>38770</v>
      </c>
      <c r="AP74" s="46">
        <v>40420</v>
      </c>
      <c r="AQ74" s="46">
        <v>42680</v>
      </c>
      <c r="AR74" s="46">
        <v>43690</v>
      </c>
      <c r="AS74" s="46">
        <v>45400</v>
      </c>
      <c r="AT74" s="46">
        <v>46220</v>
      </c>
      <c r="AU74" s="46">
        <v>45870</v>
      </c>
      <c r="AV74" s="46">
        <v>45510</v>
      </c>
      <c r="AW74" s="46">
        <v>44320</v>
      </c>
      <c r="AX74" s="46">
        <v>44100</v>
      </c>
      <c r="AY74" s="46">
        <v>43120</v>
      </c>
      <c r="AZ74" s="46">
        <v>43000</v>
      </c>
      <c r="BA74" s="46">
        <v>42730</v>
      </c>
      <c r="BB74" s="46">
        <v>41730</v>
      </c>
      <c r="BC74" s="46">
        <v>43280</v>
      </c>
      <c r="BD74" s="46">
        <v>43000</v>
      </c>
      <c r="BE74" s="46">
        <v>42390</v>
      </c>
      <c r="BF74" s="46">
        <v>42420</v>
      </c>
      <c r="BG74" s="46">
        <v>43380</v>
      </c>
      <c r="BH74" s="46">
        <v>43560</v>
      </c>
      <c r="BI74" s="46">
        <v>44340</v>
      </c>
    </row>
    <row r="75" spans="1:61" x14ac:dyDescent="0.25">
      <c r="A75" s="11">
        <v>60</v>
      </c>
      <c r="B75" s="29">
        <v>20800</v>
      </c>
      <c r="C75" s="29">
        <v>24570</v>
      </c>
      <c r="D75" s="29">
        <v>24410</v>
      </c>
      <c r="E75" s="29">
        <v>23930</v>
      </c>
      <c r="F75" s="29">
        <v>24560</v>
      </c>
      <c r="G75" s="29">
        <v>24490</v>
      </c>
      <c r="H75" s="29">
        <v>24980</v>
      </c>
      <c r="I75" s="29">
        <v>25490</v>
      </c>
      <c r="J75" s="29">
        <v>26470</v>
      </c>
      <c r="K75" s="29">
        <v>27100</v>
      </c>
      <c r="L75" s="29">
        <v>27930</v>
      </c>
      <c r="M75" s="46">
        <v>28670</v>
      </c>
      <c r="N75" s="46">
        <v>29560</v>
      </c>
      <c r="O75" s="46">
        <v>30620</v>
      </c>
      <c r="P75" s="46">
        <v>31310</v>
      </c>
      <c r="Q75" s="46">
        <v>32280</v>
      </c>
      <c r="R75" s="46">
        <v>32940</v>
      </c>
      <c r="S75" s="46">
        <v>32930</v>
      </c>
      <c r="T75" s="46">
        <v>32200</v>
      </c>
      <c r="U75" s="46">
        <v>31300</v>
      </c>
      <c r="V75" s="46">
        <v>30940</v>
      </c>
      <c r="W75" s="46">
        <v>31740</v>
      </c>
      <c r="X75" s="46">
        <v>32180</v>
      </c>
      <c r="Y75" s="46">
        <v>32960</v>
      </c>
      <c r="Z75" s="46">
        <v>33010</v>
      </c>
      <c r="AA75" s="46">
        <v>34480</v>
      </c>
      <c r="AB75" s="46">
        <v>34090</v>
      </c>
      <c r="AC75" s="46">
        <v>33270</v>
      </c>
      <c r="AD75" s="46">
        <v>32440</v>
      </c>
      <c r="AE75" s="46">
        <v>31440</v>
      </c>
      <c r="AF75" s="46">
        <v>30370</v>
      </c>
      <c r="AG75" s="46">
        <v>30790</v>
      </c>
      <c r="AH75" s="46">
        <v>30830</v>
      </c>
      <c r="AI75" s="46">
        <v>32050</v>
      </c>
      <c r="AJ75" s="46">
        <v>32750</v>
      </c>
      <c r="AK75" s="46">
        <v>33540</v>
      </c>
      <c r="AL75" s="46">
        <v>34850</v>
      </c>
      <c r="AM75" s="46">
        <v>35970</v>
      </c>
      <c r="AN75" s="46">
        <v>36720</v>
      </c>
      <c r="AO75" s="46">
        <v>38090</v>
      </c>
      <c r="AP75" s="46">
        <v>38780</v>
      </c>
      <c r="AQ75" s="46">
        <v>40430</v>
      </c>
      <c r="AR75" s="46">
        <v>42680</v>
      </c>
      <c r="AS75" s="46">
        <v>43700</v>
      </c>
      <c r="AT75" s="46">
        <v>45410</v>
      </c>
      <c r="AU75" s="46">
        <v>46230</v>
      </c>
      <c r="AV75" s="46">
        <v>45880</v>
      </c>
      <c r="AW75" s="46">
        <v>45530</v>
      </c>
      <c r="AX75" s="46">
        <v>44340</v>
      </c>
      <c r="AY75" s="46">
        <v>44120</v>
      </c>
      <c r="AZ75" s="46">
        <v>43150</v>
      </c>
      <c r="BA75" s="46">
        <v>43030</v>
      </c>
      <c r="BB75" s="46">
        <v>42760</v>
      </c>
      <c r="BC75" s="46">
        <v>41760</v>
      </c>
      <c r="BD75" s="46">
        <v>43310</v>
      </c>
      <c r="BE75" s="46">
        <v>43040</v>
      </c>
      <c r="BF75" s="46">
        <v>42430</v>
      </c>
      <c r="BG75" s="46">
        <v>42460</v>
      </c>
      <c r="BH75" s="46">
        <v>43430</v>
      </c>
      <c r="BI75" s="46">
        <v>43610</v>
      </c>
    </row>
    <row r="76" spans="1:61" x14ac:dyDescent="0.25">
      <c r="A76" s="11">
        <v>61</v>
      </c>
      <c r="B76" s="29">
        <v>19700</v>
      </c>
      <c r="C76" s="29">
        <v>20750</v>
      </c>
      <c r="D76" s="29">
        <v>24470</v>
      </c>
      <c r="E76" s="29">
        <v>24340</v>
      </c>
      <c r="F76" s="29">
        <v>23890</v>
      </c>
      <c r="G76" s="29">
        <v>24540</v>
      </c>
      <c r="H76" s="29">
        <v>24440</v>
      </c>
      <c r="I76" s="29">
        <v>24970</v>
      </c>
      <c r="J76" s="29">
        <v>25470</v>
      </c>
      <c r="K76" s="29">
        <v>26430</v>
      </c>
      <c r="L76" s="29">
        <v>27220</v>
      </c>
      <c r="M76" s="46">
        <v>27870</v>
      </c>
      <c r="N76" s="46">
        <v>28610</v>
      </c>
      <c r="O76" s="46">
        <v>29460</v>
      </c>
      <c r="P76" s="46">
        <v>30770</v>
      </c>
      <c r="Q76" s="46">
        <v>30830</v>
      </c>
      <c r="R76" s="46">
        <v>31790</v>
      </c>
      <c r="S76" s="46">
        <v>32630</v>
      </c>
      <c r="T76" s="46">
        <v>32800</v>
      </c>
      <c r="U76" s="46">
        <v>32140</v>
      </c>
      <c r="V76" s="46">
        <v>31260</v>
      </c>
      <c r="W76" s="46">
        <v>30910</v>
      </c>
      <c r="X76" s="46">
        <v>31710</v>
      </c>
      <c r="Y76" s="46">
        <v>32160</v>
      </c>
      <c r="Z76" s="46">
        <v>32940</v>
      </c>
      <c r="AA76" s="46">
        <v>32990</v>
      </c>
      <c r="AB76" s="46">
        <v>34460</v>
      </c>
      <c r="AC76" s="46">
        <v>34080</v>
      </c>
      <c r="AD76" s="46">
        <v>33260</v>
      </c>
      <c r="AE76" s="46">
        <v>32440</v>
      </c>
      <c r="AF76" s="46">
        <v>31440</v>
      </c>
      <c r="AG76" s="46">
        <v>30380</v>
      </c>
      <c r="AH76" s="46">
        <v>30810</v>
      </c>
      <c r="AI76" s="46">
        <v>30850</v>
      </c>
      <c r="AJ76" s="46">
        <v>32060</v>
      </c>
      <c r="AK76" s="46">
        <v>32770</v>
      </c>
      <c r="AL76" s="46">
        <v>33550</v>
      </c>
      <c r="AM76" s="46">
        <v>34860</v>
      </c>
      <c r="AN76" s="46">
        <v>35990</v>
      </c>
      <c r="AO76" s="46">
        <v>36740</v>
      </c>
      <c r="AP76" s="46">
        <v>38100</v>
      </c>
      <c r="AQ76" s="46">
        <v>38800</v>
      </c>
      <c r="AR76" s="46">
        <v>40450</v>
      </c>
      <c r="AS76" s="46">
        <v>42690</v>
      </c>
      <c r="AT76" s="46">
        <v>43710</v>
      </c>
      <c r="AU76" s="46">
        <v>45420</v>
      </c>
      <c r="AV76" s="46">
        <v>46240</v>
      </c>
      <c r="AW76" s="46">
        <v>45900</v>
      </c>
      <c r="AX76" s="46">
        <v>45540</v>
      </c>
      <c r="AY76" s="46">
        <v>44360</v>
      </c>
      <c r="AZ76" s="46">
        <v>44140</v>
      </c>
      <c r="BA76" s="46">
        <v>43180</v>
      </c>
      <c r="BB76" s="46">
        <v>43070</v>
      </c>
      <c r="BC76" s="46">
        <v>42800</v>
      </c>
      <c r="BD76" s="46">
        <v>41800</v>
      </c>
      <c r="BE76" s="46">
        <v>43350</v>
      </c>
      <c r="BF76" s="46">
        <v>43080</v>
      </c>
      <c r="BG76" s="46">
        <v>42480</v>
      </c>
      <c r="BH76" s="46">
        <v>42510</v>
      </c>
      <c r="BI76" s="46">
        <v>43480</v>
      </c>
    </row>
    <row r="77" spans="1:61" x14ac:dyDescent="0.25">
      <c r="A77" s="11">
        <v>62</v>
      </c>
      <c r="B77" s="29">
        <v>18680</v>
      </c>
      <c r="C77" s="29">
        <v>19610</v>
      </c>
      <c r="D77" s="29">
        <v>20680</v>
      </c>
      <c r="E77" s="29">
        <v>24370</v>
      </c>
      <c r="F77" s="29">
        <v>24280</v>
      </c>
      <c r="G77" s="29">
        <v>23840</v>
      </c>
      <c r="H77" s="29">
        <v>24510</v>
      </c>
      <c r="I77" s="29">
        <v>24380</v>
      </c>
      <c r="J77" s="29">
        <v>24920</v>
      </c>
      <c r="K77" s="29">
        <v>25430</v>
      </c>
      <c r="L77" s="29">
        <v>26400</v>
      </c>
      <c r="M77" s="46">
        <v>27180</v>
      </c>
      <c r="N77" s="46">
        <v>27820</v>
      </c>
      <c r="O77" s="46">
        <v>28520</v>
      </c>
      <c r="P77" s="46">
        <v>29640</v>
      </c>
      <c r="Q77" s="46">
        <v>30390</v>
      </c>
      <c r="R77" s="46">
        <v>30380</v>
      </c>
      <c r="S77" s="46">
        <v>31510</v>
      </c>
      <c r="T77" s="46">
        <v>32450</v>
      </c>
      <c r="U77" s="46">
        <v>32730</v>
      </c>
      <c r="V77" s="46">
        <v>32080</v>
      </c>
      <c r="W77" s="46">
        <v>31220</v>
      </c>
      <c r="X77" s="46">
        <v>30870</v>
      </c>
      <c r="Y77" s="46">
        <v>31680</v>
      </c>
      <c r="Z77" s="46">
        <v>32130</v>
      </c>
      <c r="AA77" s="46">
        <v>32910</v>
      </c>
      <c r="AB77" s="46">
        <v>32970</v>
      </c>
      <c r="AC77" s="46">
        <v>34430</v>
      </c>
      <c r="AD77" s="46">
        <v>34060</v>
      </c>
      <c r="AE77" s="46">
        <v>33250</v>
      </c>
      <c r="AF77" s="46">
        <v>32440</v>
      </c>
      <c r="AG77" s="46">
        <v>31440</v>
      </c>
      <c r="AH77" s="46">
        <v>30390</v>
      </c>
      <c r="AI77" s="46">
        <v>30820</v>
      </c>
      <c r="AJ77" s="46">
        <v>30860</v>
      </c>
      <c r="AK77" s="46">
        <v>32070</v>
      </c>
      <c r="AL77" s="46">
        <v>32780</v>
      </c>
      <c r="AM77" s="46">
        <v>33560</v>
      </c>
      <c r="AN77" s="46">
        <v>34870</v>
      </c>
      <c r="AO77" s="46">
        <v>36000</v>
      </c>
      <c r="AP77" s="46">
        <v>36750</v>
      </c>
      <c r="AQ77" s="46">
        <v>38110</v>
      </c>
      <c r="AR77" s="46">
        <v>38810</v>
      </c>
      <c r="AS77" s="46">
        <v>40450</v>
      </c>
      <c r="AT77" s="46">
        <v>42700</v>
      </c>
      <c r="AU77" s="46">
        <v>43720</v>
      </c>
      <c r="AV77" s="46">
        <v>45420</v>
      </c>
      <c r="AW77" s="46">
        <v>46250</v>
      </c>
      <c r="AX77" s="46">
        <v>45900</v>
      </c>
      <c r="AY77" s="46">
        <v>45560</v>
      </c>
      <c r="AZ77" s="46">
        <v>44380</v>
      </c>
      <c r="BA77" s="46">
        <v>44170</v>
      </c>
      <c r="BB77" s="46">
        <v>43200</v>
      </c>
      <c r="BC77" s="46">
        <v>43100</v>
      </c>
      <c r="BD77" s="46">
        <v>42830</v>
      </c>
      <c r="BE77" s="46">
        <v>41840</v>
      </c>
      <c r="BF77" s="46">
        <v>43390</v>
      </c>
      <c r="BG77" s="46">
        <v>43120</v>
      </c>
      <c r="BH77" s="46">
        <v>42520</v>
      </c>
      <c r="BI77" s="46">
        <v>42560</v>
      </c>
    </row>
    <row r="78" spans="1:61" x14ac:dyDescent="0.25">
      <c r="A78" s="11">
        <v>63</v>
      </c>
      <c r="B78" s="29">
        <v>16840</v>
      </c>
      <c r="C78" s="29">
        <v>18600</v>
      </c>
      <c r="D78" s="29">
        <v>19540</v>
      </c>
      <c r="E78" s="29">
        <v>20580</v>
      </c>
      <c r="F78" s="29">
        <v>24270</v>
      </c>
      <c r="G78" s="29">
        <v>24200</v>
      </c>
      <c r="H78" s="29">
        <v>23820</v>
      </c>
      <c r="I78" s="29">
        <v>24470</v>
      </c>
      <c r="J78" s="29">
        <v>24270</v>
      </c>
      <c r="K78" s="29">
        <v>24920</v>
      </c>
      <c r="L78" s="29">
        <v>25420</v>
      </c>
      <c r="M78" s="46">
        <v>26370</v>
      </c>
      <c r="N78" s="46">
        <v>27120</v>
      </c>
      <c r="O78" s="46">
        <v>27760</v>
      </c>
      <c r="P78" s="46">
        <v>28730</v>
      </c>
      <c r="Q78" s="46">
        <v>29220</v>
      </c>
      <c r="R78" s="46">
        <v>29890</v>
      </c>
      <c r="S78" s="46">
        <v>30120</v>
      </c>
      <c r="T78" s="46">
        <v>31370</v>
      </c>
      <c r="U78" s="46">
        <v>32360</v>
      </c>
      <c r="V78" s="46">
        <v>32650</v>
      </c>
      <c r="W78" s="46">
        <v>32020</v>
      </c>
      <c r="X78" s="46">
        <v>31170</v>
      </c>
      <c r="Y78" s="46">
        <v>30830</v>
      </c>
      <c r="Z78" s="46">
        <v>31640</v>
      </c>
      <c r="AA78" s="46">
        <v>32090</v>
      </c>
      <c r="AB78" s="46">
        <v>32870</v>
      </c>
      <c r="AC78" s="46">
        <v>32930</v>
      </c>
      <c r="AD78" s="46">
        <v>34390</v>
      </c>
      <c r="AE78" s="46">
        <v>34020</v>
      </c>
      <c r="AF78" s="46">
        <v>33230</v>
      </c>
      <c r="AG78" s="46">
        <v>32420</v>
      </c>
      <c r="AH78" s="46">
        <v>31430</v>
      </c>
      <c r="AI78" s="46">
        <v>30380</v>
      </c>
      <c r="AJ78" s="46">
        <v>30810</v>
      </c>
      <c r="AK78" s="46">
        <v>30860</v>
      </c>
      <c r="AL78" s="46">
        <v>32070</v>
      </c>
      <c r="AM78" s="46">
        <v>32780</v>
      </c>
      <c r="AN78" s="46">
        <v>33560</v>
      </c>
      <c r="AO78" s="46">
        <v>34870</v>
      </c>
      <c r="AP78" s="46">
        <v>36000</v>
      </c>
      <c r="AQ78" s="46">
        <v>36750</v>
      </c>
      <c r="AR78" s="46">
        <v>38110</v>
      </c>
      <c r="AS78" s="46">
        <v>38810</v>
      </c>
      <c r="AT78" s="46">
        <v>40450</v>
      </c>
      <c r="AU78" s="46">
        <v>42690</v>
      </c>
      <c r="AV78" s="46">
        <v>43710</v>
      </c>
      <c r="AW78" s="46">
        <v>45420</v>
      </c>
      <c r="AX78" s="46">
        <v>46240</v>
      </c>
      <c r="AY78" s="46">
        <v>45900</v>
      </c>
      <c r="AZ78" s="46">
        <v>45560</v>
      </c>
      <c r="BA78" s="46">
        <v>44390</v>
      </c>
      <c r="BB78" s="46">
        <v>44180</v>
      </c>
      <c r="BC78" s="46">
        <v>43220</v>
      </c>
      <c r="BD78" s="46">
        <v>43110</v>
      </c>
      <c r="BE78" s="46">
        <v>42850</v>
      </c>
      <c r="BF78" s="46">
        <v>41860</v>
      </c>
      <c r="BG78" s="46">
        <v>43410</v>
      </c>
      <c r="BH78" s="46">
        <v>43150</v>
      </c>
      <c r="BI78" s="46">
        <v>42550</v>
      </c>
    </row>
    <row r="79" spans="1:61" x14ac:dyDescent="0.25">
      <c r="A79" s="11">
        <v>64</v>
      </c>
      <c r="B79" s="29">
        <v>18730</v>
      </c>
      <c r="C79" s="29">
        <v>16750</v>
      </c>
      <c r="D79" s="29">
        <v>18530</v>
      </c>
      <c r="E79" s="29">
        <v>19490</v>
      </c>
      <c r="F79" s="29">
        <v>20520</v>
      </c>
      <c r="G79" s="29">
        <v>24170</v>
      </c>
      <c r="H79" s="29">
        <v>24150</v>
      </c>
      <c r="I79" s="29">
        <v>23800</v>
      </c>
      <c r="J79" s="29">
        <v>24370</v>
      </c>
      <c r="K79" s="29">
        <v>24140</v>
      </c>
      <c r="L79" s="29">
        <v>24830</v>
      </c>
      <c r="M79" s="46">
        <v>25400</v>
      </c>
      <c r="N79" s="46">
        <v>26240</v>
      </c>
      <c r="O79" s="46">
        <v>26990</v>
      </c>
      <c r="P79" s="46">
        <v>28000</v>
      </c>
      <c r="Q79" s="46">
        <v>28380</v>
      </c>
      <c r="R79" s="46">
        <v>28800</v>
      </c>
      <c r="S79" s="46">
        <v>29610</v>
      </c>
      <c r="T79" s="46">
        <v>29960</v>
      </c>
      <c r="U79" s="46">
        <v>31260</v>
      </c>
      <c r="V79" s="46">
        <v>32260</v>
      </c>
      <c r="W79" s="46">
        <v>32560</v>
      </c>
      <c r="X79" s="46">
        <v>31940</v>
      </c>
      <c r="Y79" s="46">
        <v>31090</v>
      </c>
      <c r="Z79" s="46">
        <v>30760</v>
      </c>
      <c r="AA79" s="46">
        <v>31570</v>
      </c>
      <c r="AB79" s="46">
        <v>32020</v>
      </c>
      <c r="AC79" s="46">
        <v>32810</v>
      </c>
      <c r="AD79" s="46">
        <v>32870</v>
      </c>
      <c r="AE79" s="46">
        <v>34330</v>
      </c>
      <c r="AF79" s="46">
        <v>33970</v>
      </c>
      <c r="AG79" s="46">
        <v>33180</v>
      </c>
      <c r="AH79" s="46">
        <v>32380</v>
      </c>
      <c r="AI79" s="46">
        <v>31400</v>
      </c>
      <c r="AJ79" s="46">
        <v>30360</v>
      </c>
      <c r="AK79" s="46">
        <v>30790</v>
      </c>
      <c r="AL79" s="46">
        <v>30840</v>
      </c>
      <c r="AM79" s="46">
        <v>32050</v>
      </c>
      <c r="AN79" s="46">
        <v>32760</v>
      </c>
      <c r="AO79" s="46">
        <v>33540</v>
      </c>
      <c r="AP79" s="46">
        <v>34850</v>
      </c>
      <c r="AQ79" s="46">
        <v>35970</v>
      </c>
      <c r="AR79" s="46">
        <v>36730</v>
      </c>
      <c r="AS79" s="46">
        <v>38080</v>
      </c>
      <c r="AT79" s="46">
        <v>38780</v>
      </c>
      <c r="AU79" s="46">
        <v>40430</v>
      </c>
      <c r="AV79" s="46">
        <v>42660</v>
      </c>
      <c r="AW79" s="46">
        <v>43680</v>
      </c>
      <c r="AX79" s="46">
        <v>45390</v>
      </c>
      <c r="AY79" s="46">
        <v>46210</v>
      </c>
      <c r="AZ79" s="46">
        <v>45880</v>
      </c>
      <c r="BA79" s="46">
        <v>45540</v>
      </c>
      <c r="BB79" s="46">
        <v>44370</v>
      </c>
      <c r="BC79" s="46">
        <v>44160</v>
      </c>
      <c r="BD79" s="46">
        <v>43210</v>
      </c>
      <c r="BE79" s="46">
        <v>43110</v>
      </c>
      <c r="BF79" s="46">
        <v>42850</v>
      </c>
      <c r="BG79" s="46">
        <v>41870</v>
      </c>
      <c r="BH79" s="46">
        <v>43420</v>
      </c>
      <c r="BI79" s="46">
        <v>43150</v>
      </c>
    </row>
    <row r="80" spans="1:61" x14ac:dyDescent="0.25">
      <c r="A80" s="11">
        <v>65</v>
      </c>
      <c r="B80" s="29">
        <v>18400</v>
      </c>
      <c r="C80" s="29">
        <v>18630</v>
      </c>
      <c r="D80" s="29">
        <v>16670</v>
      </c>
      <c r="E80" s="29">
        <v>18440</v>
      </c>
      <c r="F80" s="29">
        <v>19440</v>
      </c>
      <c r="G80" s="29">
        <v>20450</v>
      </c>
      <c r="H80" s="29">
        <v>24040</v>
      </c>
      <c r="I80" s="29">
        <v>24050</v>
      </c>
      <c r="J80" s="29">
        <v>23620</v>
      </c>
      <c r="K80" s="29">
        <v>24270</v>
      </c>
      <c r="L80" s="29">
        <v>24050</v>
      </c>
      <c r="M80" s="46">
        <v>24720</v>
      </c>
      <c r="N80" s="46">
        <v>25300</v>
      </c>
      <c r="O80" s="46">
        <v>26070</v>
      </c>
      <c r="P80" s="46">
        <v>27150</v>
      </c>
      <c r="Q80" s="46">
        <v>27620</v>
      </c>
      <c r="R80" s="46">
        <v>27950</v>
      </c>
      <c r="S80" s="46">
        <v>28510</v>
      </c>
      <c r="T80" s="46">
        <v>29430</v>
      </c>
      <c r="U80" s="46">
        <v>29840</v>
      </c>
      <c r="V80" s="46">
        <v>31140</v>
      </c>
      <c r="W80" s="46">
        <v>32140</v>
      </c>
      <c r="X80" s="46">
        <v>32440</v>
      </c>
      <c r="Y80" s="46">
        <v>31830</v>
      </c>
      <c r="Z80" s="46">
        <v>31000</v>
      </c>
      <c r="AA80" s="46">
        <v>30680</v>
      </c>
      <c r="AB80" s="46">
        <v>31490</v>
      </c>
      <c r="AC80" s="46">
        <v>31940</v>
      </c>
      <c r="AD80" s="46">
        <v>32730</v>
      </c>
      <c r="AE80" s="46">
        <v>32790</v>
      </c>
      <c r="AF80" s="46">
        <v>34250</v>
      </c>
      <c r="AG80" s="46">
        <v>33890</v>
      </c>
      <c r="AH80" s="46">
        <v>33110</v>
      </c>
      <c r="AI80" s="46">
        <v>32320</v>
      </c>
      <c r="AJ80" s="46">
        <v>31350</v>
      </c>
      <c r="AK80" s="46">
        <v>30310</v>
      </c>
      <c r="AL80" s="46">
        <v>30750</v>
      </c>
      <c r="AM80" s="46">
        <v>30800</v>
      </c>
      <c r="AN80" s="46">
        <v>32010</v>
      </c>
      <c r="AO80" s="46">
        <v>32720</v>
      </c>
      <c r="AP80" s="46">
        <v>33500</v>
      </c>
      <c r="AQ80" s="46">
        <v>34800</v>
      </c>
      <c r="AR80" s="46">
        <v>35930</v>
      </c>
      <c r="AS80" s="46">
        <v>36680</v>
      </c>
      <c r="AT80" s="46">
        <v>38040</v>
      </c>
      <c r="AU80" s="46">
        <v>38740</v>
      </c>
      <c r="AV80" s="46">
        <v>40380</v>
      </c>
      <c r="AW80" s="46">
        <v>42620</v>
      </c>
      <c r="AX80" s="46">
        <v>43630</v>
      </c>
      <c r="AY80" s="46">
        <v>45340</v>
      </c>
      <c r="AZ80" s="46">
        <v>46160</v>
      </c>
      <c r="BA80" s="46">
        <v>45830</v>
      </c>
      <c r="BB80" s="46">
        <v>45500</v>
      </c>
      <c r="BC80" s="46">
        <v>44340</v>
      </c>
      <c r="BD80" s="46">
        <v>44130</v>
      </c>
      <c r="BE80" s="46">
        <v>43190</v>
      </c>
      <c r="BF80" s="46">
        <v>43090</v>
      </c>
      <c r="BG80" s="46">
        <v>42830</v>
      </c>
      <c r="BH80" s="46">
        <v>41850</v>
      </c>
      <c r="BI80" s="46">
        <v>43400</v>
      </c>
    </row>
    <row r="81" spans="1:61" x14ac:dyDescent="0.25">
      <c r="A81" s="11">
        <v>66</v>
      </c>
      <c r="B81" s="29">
        <v>16900</v>
      </c>
      <c r="C81" s="29">
        <v>18240</v>
      </c>
      <c r="D81" s="29">
        <v>18470</v>
      </c>
      <c r="E81" s="29">
        <v>16570</v>
      </c>
      <c r="F81" s="29">
        <v>18340</v>
      </c>
      <c r="G81" s="29">
        <v>19330</v>
      </c>
      <c r="H81" s="29">
        <v>20350</v>
      </c>
      <c r="I81" s="29">
        <v>23940</v>
      </c>
      <c r="J81" s="29">
        <v>23910</v>
      </c>
      <c r="K81" s="29">
        <v>23450</v>
      </c>
      <c r="L81" s="29">
        <v>24090</v>
      </c>
      <c r="M81" s="46">
        <v>23950</v>
      </c>
      <c r="N81" s="46">
        <v>24570</v>
      </c>
      <c r="O81" s="46">
        <v>25070</v>
      </c>
      <c r="P81" s="46">
        <v>26220</v>
      </c>
      <c r="Q81" s="46">
        <v>26740</v>
      </c>
      <c r="R81" s="46">
        <v>27170</v>
      </c>
      <c r="S81" s="46">
        <v>27730</v>
      </c>
      <c r="T81" s="46">
        <v>28350</v>
      </c>
      <c r="U81" s="46">
        <v>29280</v>
      </c>
      <c r="V81" s="46">
        <v>29700</v>
      </c>
      <c r="W81" s="46">
        <v>31000</v>
      </c>
      <c r="X81" s="46">
        <v>32000</v>
      </c>
      <c r="Y81" s="46">
        <v>32310</v>
      </c>
      <c r="Z81" s="46">
        <v>31710</v>
      </c>
      <c r="AA81" s="46">
        <v>30890</v>
      </c>
      <c r="AB81" s="46">
        <v>30570</v>
      </c>
      <c r="AC81" s="46">
        <v>31380</v>
      </c>
      <c r="AD81" s="46">
        <v>31840</v>
      </c>
      <c r="AE81" s="46">
        <v>32630</v>
      </c>
      <c r="AF81" s="46">
        <v>32690</v>
      </c>
      <c r="AG81" s="46">
        <v>34150</v>
      </c>
      <c r="AH81" s="46">
        <v>33800</v>
      </c>
      <c r="AI81" s="46">
        <v>33020</v>
      </c>
      <c r="AJ81" s="46">
        <v>32240</v>
      </c>
      <c r="AK81" s="46">
        <v>31270</v>
      </c>
      <c r="AL81" s="46">
        <v>30250</v>
      </c>
      <c r="AM81" s="46">
        <v>30680</v>
      </c>
      <c r="AN81" s="46">
        <v>30740</v>
      </c>
      <c r="AO81" s="46">
        <v>31950</v>
      </c>
      <c r="AP81" s="46">
        <v>32650</v>
      </c>
      <c r="AQ81" s="46">
        <v>33440</v>
      </c>
      <c r="AR81" s="46">
        <v>34740</v>
      </c>
      <c r="AS81" s="46">
        <v>35860</v>
      </c>
      <c r="AT81" s="46">
        <v>36620</v>
      </c>
      <c r="AU81" s="46">
        <v>37970</v>
      </c>
      <c r="AV81" s="46">
        <v>38680</v>
      </c>
      <c r="AW81" s="46">
        <v>40310</v>
      </c>
      <c r="AX81" s="46">
        <v>42550</v>
      </c>
      <c r="AY81" s="46">
        <v>43560</v>
      </c>
      <c r="AZ81" s="46">
        <v>45260</v>
      </c>
      <c r="BA81" s="46">
        <v>46090</v>
      </c>
      <c r="BB81" s="46">
        <v>45770</v>
      </c>
      <c r="BC81" s="46">
        <v>45430</v>
      </c>
      <c r="BD81" s="46">
        <v>44280</v>
      </c>
      <c r="BE81" s="46">
        <v>44080</v>
      </c>
      <c r="BF81" s="46">
        <v>43140</v>
      </c>
      <c r="BG81" s="46">
        <v>43040</v>
      </c>
      <c r="BH81" s="46">
        <v>42790</v>
      </c>
      <c r="BI81" s="46">
        <v>41820</v>
      </c>
    </row>
    <row r="82" spans="1:61" x14ac:dyDescent="0.25">
      <c r="A82" s="11">
        <v>67</v>
      </c>
      <c r="B82" s="29">
        <v>15620</v>
      </c>
      <c r="C82" s="29">
        <v>16740</v>
      </c>
      <c r="D82" s="29">
        <v>18050</v>
      </c>
      <c r="E82" s="29">
        <v>18370</v>
      </c>
      <c r="F82" s="29">
        <v>16430</v>
      </c>
      <c r="G82" s="29">
        <v>18210</v>
      </c>
      <c r="H82" s="29">
        <v>19190</v>
      </c>
      <c r="I82" s="29">
        <v>20190</v>
      </c>
      <c r="J82" s="29">
        <v>23730</v>
      </c>
      <c r="K82" s="29">
        <v>23720</v>
      </c>
      <c r="L82" s="29">
        <v>23280</v>
      </c>
      <c r="M82" s="46">
        <v>23910</v>
      </c>
      <c r="N82" s="46">
        <v>23710</v>
      </c>
      <c r="O82" s="46">
        <v>24360</v>
      </c>
      <c r="P82" s="46">
        <v>25120</v>
      </c>
      <c r="Q82" s="46">
        <v>25740</v>
      </c>
      <c r="R82" s="46">
        <v>26230</v>
      </c>
      <c r="S82" s="46">
        <v>26840</v>
      </c>
      <c r="T82" s="46">
        <v>27440</v>
      </c>
      <c r="U82" s="46">
        <v>28180</v>
      </c>
      <c r="V82" s="46">
        <v>29120</v>
      </c>
      <c r="W82" s="46">
        <v>29540</v>
      </c>
      <c r="X82" s="46">
        <v>30840</v>
      </c>
      <c r="Y82" s="46">
        <v>31840</v>
      </c>
      <c r="Z82" s="46">
        <v>32160</v>
      </c>
      <c r="AA82" s="46">
        <v>31560</v>
      </c>
      <c r="AB82" s="46">
        <v>30750</v>
      </c>
      <c r="AC82" s="46">
        <v>30440</v>
      </c>
      <c r="AD82" s="46">
        <v>31250</v>
      </c>
      <c r="AE82" s="46">
        <v>31710</v>
      </c>
      <c r="AF82" s="46">
        <v>32500</v>
      </c>
      <c r="AG82" s="46">
        <v>32570</v>
      </c>
      <c r="AH82" s="46">
        <v>34020</v>
      </c>
      <c r="AI82" s="46">
        <v>33680</v>
      </c>
      <c r="AJ82" s="46">
        <v>32910</v>
      </c>
      <c r="AK82" s="46">
        <v>32130</v>
      </c>
      <c r="AL82" s="46">
        <v>31180</v>
      </c>
      <c r="AM82" s="46">
        <v>30160</v>
      </c>
      <c r="AN82" s="46">
        <v>30600</v>
      </c>
      <c r="AO82" s="46">
        <v>30650</v>
      </c>
      <c r="AP82" s="46">
        <v>31860</v>
      </c>
      <c r="AQ82" s="46">
        <v>32570</v>
      </c>
      <c r="AR82" s="46">
        <v>33360</v>
      </c>
      <c r="AS82" s="46">
        <v>34660</v>
      </c>
      <c r="AT82" s="46">
        <v>35780</v>
      </c>
      <c r="AU82" s="46">
        <v>36530</v>
      </c>
      <c r="AV82" s="46">
        <v>37890</v>
      </c>
      <c r="AW82" s="46">
        <v>38590</v>
      </c>
      <c r="AX82" s="46">
        <v>40220</v>
      </c>
      <c r="AY82" s="46">
        <v>42450</v>
      </c>
      <c r="AZ82" s="46">
        <v>43470</v>
      </c>
      <c r="BA82" s="46">
        <v>45170</v>
      </c>
      <c r="BB82" s="46">
        <v>45990</v>
      </c>
      <c r="BC82" s="46">
        <v>45680</v>
      </c>
      <c r="BD82" s="46">
        <v>45350</v>
      </c>
      <c r="BE82" s="46">
        <v>44210</v>
      </c>
      <c r="BF82" s="46">
        <v>44010</v>
      </c>
      <c r="BG82" s="46">
        <v>43070</v>
      </c>
      <c r="BH82" s="46">
        <v>42980</v>
      </c>
      <c r="BI82" s="46">
        <v>42730</v>
      </c>
    </row>
    <row r="83" spans="1:61" x14ac:dyDescent="0.25">
      <c r="A83" s="11">
        <v>68</v>
      </c>
      <c r="B83" s="29">
        <v>14760</v>
      </c>
      <c r="C83" s="29">
        <v>15410</v>
      </c>
      <c r="D83" s="29">
        <v>16570</v>
      </c>
      <c r="E83" s="29">
        <v>17860</v>
      </c>
      <c r="F83" s="29">
        <v>18190</v>
      </c>
      <c r="G83" s="29">
        <v>16290</v>
      </c>
      <c r="H83" s="29">
        <v>18050</v>
      </c>
      <c r="I83" s="29">
        <v>19110</v>
      </c>
      <c r="J83" s="29">
        <v>20010</v>
      </c>
      <c r="K83" s="29">
        <v>23460</v>
      </c>
      <c r="L83" s="29">
        <v>23510</v>
      </c>
      <c r="M83" s="46">
        <v>23070</v>
      </c>
      <c r="N83" s="46">
        <v>23680</v>
      </c>
      <c r="O83" s="46">
        <v>23470</v>
      </c>
      <c r="P83" s="46">
        <v>24360</v>
      </c>
      <c r="Q83" s="46">
        <v>24680</v>
      </c>
      <c r="R83" s="46">
        <v>25280</v>
      </c>
      <c r="S83" s="46">
        <v>25820</v>
      </c>
      <c r="T83" s="46">
        <v>26610</v>
      </c>
      <c r="U83" s="46">
        <v>27250</v>
      </c>
      <c r="V83" s="46">
        <v>28000</v>
      </c>
      <c r="W83" s="46">
        <v>28930</v>
      </c>
      <c r="X83" s="46">
        <v>29360</v>
      </c>
      <c r="Y83" s="46">
        <v>30650</v>
      </c>
      <c r="Z83" s="46">
        <v>31660</v>
      </c>
      <c r="AA83" s="46">
        <v>31970</v>
      </c>
      <c r="AB83" s="46">
        <v>31390</v>
      </c>
      <c r="AC83" s="46">
        <v>30590</v>
      </c>
      <c r="AD83" s="46">
        <v>30290</v>
      </c>
      <c r="AE83" s="46">
        <v>31100</v>
      </c>
      <c r="AF83" s="46">
        <v>31560</v>
      </c>
      <c r="AG83" s="46">
        <v>32350</v>
      </c>
      <c r="AH83" s="46">
        <v>32420</v>
      </c>
      <c r="AI83" s="46">
        <v>33870</v>
      </c>
      <c r="AJ83" s="46">
        <v>33530</v>
      </c>
      <c r="AK83" s="46">
        <v>32770</v>
      </c>
      <c r="AL83" s="46">
        <v>32000</v>
      </c>
      <c r="AM83" s="46">
        <v>31060</v>
      </c>
      <c r="AN83" s="46">
        <v>30050</v>
      </c>
      <c r="AO83" s="46">
        <v>30490</v>
      </c>
      <c r="AP83" s="46">
        <v>30550</v>
      </c>
      <c r="AQ83" s="46">
        <v>31750</v>
      </c>
      <c r="AR83" s="46">
        <v>32460</v>
      </c>
      <c r="AS83" s="46">
        <v>33250</v>
      </c>
      <c r="AT83" s="46">
        <v>34550</v>
      </c>
      <c r="AU83" s="46">
        <v>35670</v>
      </c>
      <c r="AV83" s="46">
        <v>36420</v>
      </c>
      <c r="AW83" s="46">
        <v>37770</v>
      </c>
      <c r="AX83" s="46">
        <v>38480</v>
      </c>
      <c r="AY83" s="46">
        <v>40110</v>
      </c>
      <c r="AZ83" s="46">
        <v>42330</v>
      </c>
      <c r="BA83" s="46">
        <v>43350</v>
      </c>
      <c r="BB83" s="46">
        <v>45050</v>
      </c>
      <c r="BC83" s="46">
        <v>45870</v>
      </c>
      <c r="BD83" s="46">
        <v>45560</v>
      </c>
      <c r="BE83" s="46">
        <v>45240</v>
      </c>
      <c r="BF83" s="46">
        <v>44100</v>
      </c>
      <c r="BG83" s="46">
        <v>43910</v>
      </c>
      <c r="BH83" s="46">
        <v>42980</v>
      </c>
      <c r="BI83" s="46">
        <v>42890</v>
      </c>
    </row>
    <row r="84" spans="1:61" x14ac:dyDescent="0.25">
      <c r="A84" s="11">
        <v>69</v>
      </c>
      <c r="B84" s="29">
        <v>14230</v>
      </c>
      <c r="C84" s="29">
        <v>14600</v>
      </c>
      <c r="D84" s="29">
        <v>15220</v>
      </c>
      <c r="E84" s="29">
        <v>16380</v>
      </c>
      <c r="F84" s="29">
        <v>17680</v>
      </c>
      <c r="G84" s="29">
        <v>18000</v>
      </c>
      <c r="H84" s="29">
        <v>16110</v>
      </c>
      <c r="I84" s="29">
        <v>17900</v>
      </c>
      <c r="J84" s="29">
        <v>18880</v>
      </c>
      <c r="K84" s="29">
        <v>19780</v>
      </c>
      <c r="L84" s="29">
        <v>23170</v>
      </c>
      <c r="M84" s="46">
        <v>23270</v>
      </c>
      <c r="N84" s="46">
        <v>22740</v>
      </c>
      <c r="O84" s="46">
        <v>23440</v>
      </c>
      <c r="P84" s="46">
        <v>23430</v>
      </c>
      <c r="Q84" s="46">
        <v>23960</v>
      </c>
      <c r="R84" s="46">
        <v>24210</v>
      </c>
      <c r="S84" s="46">
        <v>24980</v>
      </c>
      <c r="T84" s="46">
        <v>25560</v>
      </c>
      <c r="U84" s="46">
        <v>26400</v>
      </c>
      <c r="V84" s="46">
        <v>27040</v>
      </c>
      <c r="W84" s="46">
        <v>27790</v>
      </c>
      <c r="X84" s="46">
        <v>28720</v>
      </c>
      <c r="Y84" s="46">
        <v>29160</v>
      </c>
      <c r="Z84" s="46">
        <v>30450</v>
      </c>
      <c r="AA84" s="46">
        <v>31450</v>
      </c>
      <c r="AB84" s="46">
        <v>31770</v>
      </c>
      <c r="AC84" s="46">
        <v>31200</v>
      </c>
      <c r="AD84" s="46">
        <v>30410</v>
      </c>
      <c r="AE84" s="46">
        <v>30110</v>
      </c>
      <c r="AF84" s="46">
        <v>30920</v>
      </c>
      <c r="AG84" s="46">
        <v>31390</v>
      </c>
      <c r="AH84" s="46">
        <v>32170</v>
      </c>
      <c r="AI84" s="46">
        <v>32260</v>
      </c>
      <c r="AJ84" s="46">
        <v>33700</v>
      </c>
      <c r="AK84" s="46">
        <v>33370</v>
      </c>
      <c r="AL84" s="46">
        <v>32620</v>
      </c>
      <c r="AM84" s="46">
        <v>31860</v>
      </c>
      <c r="AN84" s="46">
        <v>30920</v>
      </c>
      <c r="AO84" s="46">
        <v>29920</v>
      </c>
      <c r="AP84" s="46">
        <v>30360</v>
      </c>
      <c r="AQ84" s="46">
        <v>30420</v>
      </c>
      <c r="AR84" s="46">
        <v>31630</v>
      </c>
      <c r="AS84" s="46">
        <v>32340</v>
      </c>
      <c r="AT84" s="46">
        <v>33120</v>
      </c>
      <c r="AU84" s="46">
        <v>34420</v>
      </c>
      <c r="AV84" s="46">
        <v>35540</v>
      </c>
      <c r="AW84" s="46">
        <v>36300</v>
      </c>
      <c r="AX84" s="46">
        <v>37640</v>
      </c>
      <c r="AY84" s="46">
        <v>38350</v>
      </c>
      <c r="AZ84" s="46">
        <v>39980</v>
      </c>
      <c r="BA84" s="46">
        <v>42200</v>
      </c>
      <c r="BB84" s="46">
        <v>43210</v>
      </c>
      <c r="BC84" s="46">
        <v>44910</v>
      </c>
      <c r="BD84" s="46">
        <v>45730</v>
      </c>
      <c r="BE84" s="46">
        <v>45430</v>
      </c>
      <c r="BF84" s="46">
        <v>45110</v>
      </c>
      <c r="BG84" s="46">
        <v>43980</v>
      </c>
      <c r="BH84" s="46">
        <v>43790</v>
      </c>
      <c r="BI84" s="46">
        <v>42870</v>
      </c>
    </row>
    <row r="85" spans="1:61" x14ac:dyDescent="0.25">
      <c r="A85" s="11">
        <v>70</v>
      </c>
      <c r="B85" s="29">
        <v>13460</v>
      </c>
      <c r="C85" s="29">
        <v>13990</v>
      </c>
      <c r="D85" s="29">
        <v>14400</v>
      </c>
      <c r="E85" s="29">
        <v>15000</v>
      </c>
      <c r="F85" s="29">
        <v>16170</v>
      </c>
      <c r="G85" s="29">
        <v>17450</v>
      </c>
      <c r="H85" s="29">
        <v>17790</v>
      </c>
      <c r="I85" s="29">
        <v>15930</v>
      </c>
      <c r="J85" s="29">
        <v>17690</v>
      </c>
      <c r="K85" s="29">
        <v>18640</v>
      </c>
      <c r="L85" s="29">
        <v>19550</v>
      </c>
      <c r="M85" s="46">
        <v>22870</v>
      </c>
      <c r="N85" s="46">
        <v>22970</v>
      </c>
      <c r="O85" s="46">
        <v>22460</v>
      </c>
      <c r="P85" s="46">
        <v>23360</v>
      </c>
      <c r="Q85" s="46">
        <v>23010</v>
      </c>
      <c r="R85" s="46">
        <v>23480</v>
      </c>
      <c r="S85" s="46">
        <v>23820</v>
      </c>
      <c r="T85" s="46">
        <v>24690</v>
      </c>
      <c r="U85" s="46">
        <v>25340</v>
      </c>
      <c r="V85" s="46">
        <v>26180</v>
      </c>
      <c r="W85" s="46">
        <v>26820</v>
      </c>
      <c r="X85" s="46">
        <v>27570</v>
      </c>
      <c r="Y85" s="46">
        <v>28510</v>
      </c>
      <c r="Z85" s="46">
        <v>28940</v>
      </c>
      <c r="AA85" s="46">
        <v>30230</v>
      </c>
      <c r="AB85" s="46">
        <v>31230</v>
      </c>
      <c r="AC85" s="46">
        <v>31550</v>
      </c>
      <c r="AD85" s="46">
        <v>30990</v>
      </c>
      <c r="AE85" s="46">
        <v>30210</v>
      </c>
      <c r="AF85" s="46">
        <v>29920</v>
      </c>
      <c r="AG85" s="46">
        <v>30730</v>
      </c>
      <c r="AH85" s="46">
        <v>31200</v>
      </c>
      <c r="AI85" s="46">
        <v>31980</v>
      </c>
      <c r="AJ85" s="46">
        <v>32070</v>
      </c>
      <c r="AK85" s="46">
        <v>33510</v>
      </c>
      <c r="AL85" s="46">
        <v>33180</v>
      </c>
      <c r="AM85" s="46">
        <v>32450</v>
      </c>
      <c r="AN85" s="46">
        <v>31690</v>
      </c>
      <c r="AO85" s="46">
        <v>30770</v>
      </c>
      <c r="AP85" s="46">
        <v>29780</v>
      </c>
      <c r="AQ85" s="46">
        <v>30220</v>
      </c>
      <c r="AR85" s="46">
        <v>30290</v>
      </c>
      <c r="AS85" s="46">
        <v>31490</v>
      </c>
      <c r="AT85" s="46">
        <v>32200</v>
      </c>
      <c r="AU85" s="46">
        <v>32980</v>
      </c>
      <c r="AV85" s="46">
        <v>34280</v>
      </c>
      <c r="AW85" s="46">
        <v>35390</v>
      </c>
      <c r="AX85" s="46">
        <v>36150</v>
      </c>
      <c r="AY85" s="46">
        <v>37500</v>
      </c>
      <c r="AZ85" s="46">
        <v>38200</v>
      </c>
      <c r="BA85" s="46">
        <v>39830</v>
      </c>
      <c r="BB85" s="46">
        <v>42040</v>
      </c>
      <c r="BC85" s="46">
        <v>43060</v>
      </c>
      <c r="BD85" s="46">
        <v>44750</v>
      </c>
      <c r="BE85" s="46">
        <v>45580</v>
      </c>
      <c r="BF85" s="46">
        <v>45270</v>
      </c>
      <c r="BG85" s="46">
        <v>44960</v>
      </c>
      <c r="BH85" s="46">
        <v>43840</v>
      </c>
      <c r="BI85" s="46">
        <v>43660</v>
      </c>
    </row>
    <row r="86" spans="1:61" x14ac:dyDescent="0.25">
      <c r="A86" s="11">
        <v>71</v>
      </c>
      <c r="B86" s="29">
        <v>12650</v>
      </c>
      <c r="C86" s="29">
        <v>13250</v>
      </c>
      <c r="D86" s="29">
        <v>13770</v>
      </c>
      <c r="E86" s="29">
        <v>14190</v>
      </c>
      <c r="F86" s="29">
        <v>14780</v>
      </c>
      <c r="G86" s="29">
        <v>15900</v>
      </c>
      <c r="H86" s="29">
        <v>17210</v>
      </c>
      <c r="I86" s="29">
        <v>17570</v>
      </c>
      <c r="J86" s="29">
        <v>15700</v>
      </c>
      <c r="K86" s="29">
        <v>17460</v>
      </c>
      <c r="L86" s="29">
        <v>18370</v>
      </c>
      <c r="M86" s="46">
        <v>19290</v>
      </c>
      <c r="N86" s="46">
        <v>22520</v>
      </c>
      <c r="O86" s="46">
        <v>22640</v>
      </c>
      <c r="P86" s="46">
        <v>22340</v>
      </c>
      <c r="Q86" s="46">
        <v>22970</v>
      </c>
      <c r="R86" s="46">
        <v>22540</v>
      </c>
      <c r="S86" s="46">
        <v>23100</v>
      </c>
      <c r="T86" s="46">
        <v>23540</v>
      </c>
      <c r="U86" s="46">
        <v>24440</v>
      </c>
      <c r="V86" s="46">
        <v>25090</v>
      </c>
      <c r="W86" s="46">
        <v>25930</v>
      </c>
      <c r="X86" s="46">
        <v>26580</v>
      </c>
      <c r="Y86" s="46">
        <v>27330</v>
      </c>
      <c r="Z86" s="46">
        <v>28260</v>
      </c>
      <c r="AA86" s="46">
        <v>28700</v>
      </c>
      <c r="AB86" s="46">
        <v>29980</v>
      </c>
      <c r="AC86" s="46">
        <v>30980</v>
      </c>
      <c r="AD86" s="46">
        <v>31310</v>
      </c>
      <c r="AE86" s="46">
        <v>30750</v>
      </c>
      <c r="AF86" s="46">
        <v>29990</v>
      </c>
      <c r="AG86" s="46">
        <v>29710</v>
      </c>
      <c r="AH86" s="46">
        <v>30520</v>
      </c>
      <c r="AI86" s="46">
        <v>30980</v>
      </c>
      <c r="AJ86" s="46">
        <v>31770</v>
      </c>
      <c r="AK86" s="46">
        <v>31860</v>
      </c>
      <c r="AL86" s="46">
        <v>33300</v>
      </c>
      <c r="AM86" s="46">
        <v>32980</v>
      </c>
      <c r="AN86" s="46">
        <v>32250</v>
      </c>
      <c r="AO86" s="46">
        <v>31500</v>
      </c>
      <c r="AP86" s="46">
        <v>30590</v>
      </c>
      <c r="AQ86" s="46">
        <v>29610</v>
      </c>
      <c r="AR86" s="46">
        <v>30060</v>
      </c>
      <c r="AS86" s="46">
        <v>30130</v>
      </c>
      <c r="AT86" s="46">
        <v>31320</v>
      </c>
      <c r="AU86" s="46">
        <v>32030</v>
      </c>
      <c r="AV86" s="46">
        <v>32820</v>
      </c>
      <c r="AW86" s="46">
        <v>34110</v>
      </c>
      <c r="AX86" s="46">
        <v>35230</v>
      </c>
      <c r="AY86" s="46">
        <v>35980</v>
      </c>
      <c r="AZ86" s="46">
        <v>37330</v>
      </c>
      <c r="BA86" s="46">
        <v>38030</v>
      </c>
      <c r="BB86" s="46">
        <v>39660</v>
      </c>
      <c r="BC86" s="46">
        <v>41860</v>
      </c>
      <c r="BD86" s="46">
        <v>42880</v>
      </c>
      <c r="BE86" s="46">
        <v>44560</v>
      </c>
      <c r="BF86" s="46">
        <v>45400</v>
      </c>
      <c r="BG86" s="46">
        <v>45100</v>
      </c>
      <c r="BH86" s="46">
        <v>44790</v>
      </c>
      <c r="BI86" s="46">
        <v>43680</v>
      </c>
    </row>
    <row r="87" spans="1:61" x14ac:dyDescent="0.25">
      <c r="A87" s="11">
        <v>72</v>
      </c>
      <c r="B87" s="29">
        <v>12410</v>
      </c>
      <c r="C87" s="29">
        <v>12440</v>
      </c>
      <c r="D87" s="29">
        <v>13040</v>
      </c>
      <c r="E87" s="29">
        <v>13540</v>
      </c>
      <c r="F87" s="29">
        <v>14000</v>
      </c>
      <c r="G87" s="29">
        <v>14570</v>
      </c>
      <c r="H87" s="29">
        <v>15680</v>
      </c>
      <c r="I87" s="29">
        <v>16960</v>
      </c>
      <c r="J87" s="29">
        <v>17320</v>
      </c>
      <c r="K87" s="29">
        <v>15460</v>
      </c>
      <c r="L87" s="29">
        <v>17180</v>
      </c>
      <c r="M87" s="46">
        <v>18070</v>
      </c>
      <c r="N87" s="46">
        <v>18980</v>
      </c>
      <c r="O87" s="46">
        <v>22220</v>
      </c>
      <c r="P87" s="46">
        <v>22470</v>
      </c>
      <c r="Q87" s="46">
        <v>21880</v>
      </c>
      <c r="R87" s="46">
        <v>22500</v>
      </c>
      <c r="S87" s="46">
        <v>22150</v>
      </c>
      <c r="T87" s="46">
        <v>22810</v>
      </c>
      <c r="U87" s="46">
        <v>23270</v>
      </c>
      <c r="V87" s="46">
        <v>24180</v>
      </c>
      <c r="W87" s="46">
        <v>24830</v>
      </c>
      <c r="X87" s="46">
        <v>25660</v>
      </c>
      <c r="Y87" s="46">
        <v>26310</v>
      </c>
      <c r="Z87" s="46">
        <v>27060</v>
      </c>
      <c r="AA87" s="46">
        <v>27990</v>
      </c>
      <c r="AB87" s="46">
        <v>28430</v>
      </c>
      <c r="AC87" s="46">
        <v>29710</v>
      </c>
      <c r="AD87" s="46">
        <v>30700</v>
      </c>
      <c r="AE87" s="46">
        <v>31030</v>
      </c>
      <c r="AF87" s="46">
        <v>30490</v>
      </c>
      <c r="AG87" s="46">
        <v>29740</v>
      </c>
      <c r="AH87" s="46">
        <v>29470</v>
      </c>
      <c r="AI87" s="46">
        <v>30280</v>
      </c>
      <c r="AJ87" s="46">
        <v>30740</v>
      </c>
      <c r="AK87" s="46">
        <v>31530</v>
      </c>
      <c r="AL87" s="46">
        <v>31630</v>
      </c>
      <c r="AM87" s="46">
        <v>33060</v>
      </c>
      <c r="AN87" s="46">
        <v>32750</v>
      </c>
      <c r="AO87" s="46">
        <v>32030</v>
      </c>
      <c r="AP87" s="46">
        <v>31300</v>
      </c>
      <c r="AQ87" s="46">
        <v>30390</v>
      </c>
      <c r="AR87" s="46">
        <v>29420</v>
      </c>
      <c r="AS87" s="46">
        <v>29870</v>
      </c>
      <c r="AT87" s="46">
        <v>29940</v>
      </c>
      <c r="AU87" s="46">
        <v>31140</v>
      </c>
      <c r="AV87" s="46">
        <v>31850</v>
      </c>
      <c r="AW87" s="46">
        <v>32630</v>
      </c>
      <c r="AX87" s="46">
        <v>33920</v>
      </c>
      <c r="AY87" s="46">
        <v>35040</v>
      </c>
      <c r="AZ87" s="46">
        <v>35790</v>
      </c>
      <c r="BA87" s="46">
        <v>37130</v>
      </c>
      <c r="BB87" s="46">
        <v>37840</v>
      </c>
      <c r="BC87" s="46">
        <v>39460</v>
      </c>
      <c r="BD87" s="46">
        <v>41660</v>
      </c>
      <c r="BE87" s="46">
        <v>42670</v>
      </c>
      <c r="BF87" s="46">
        <v>44360</v>
      </c>
      <c r="BG87" s="46">
        <v>45190</v>
      </c>
      <c r="BH87" s="46">
        <v>44900</v>
      </c>
      <c r="BI87" s="46">
        <v>44600</v>
      </c>
    </row>
    <row r="88" spans="1:61" x14ac:dyDescent="0.25">
      <c r="A88" s="11">
        <v>73</v>
      </c>
      <c r="B88" s="29">
        <v>12300</v>
      </c>
      <c r="C88" s="29">
        <v>12150</v>
      </c>
      <c r="D88" s="29">
        <v>12180</v>
      </c>
      <c r="E88" s="29">
        <v>12780</v>
      </c>
      <c r="F88" s="29">
        <v>13280</v>
      </c>
      <c r="G88" s="29">
        <v>13760</v>
      </c>
      <c r="H88" s="29">
        <v>14350</v>
      </c>
      <c r="I88" s="29">
        <v>15490</v>
      </c>
      <c r="J88" s="29">
        <v>16700</v>
      </c>
      <c r="K88" s="29">
        <v>17050</v>
      </c>
      <c r="L88" s="29">
        <v>15210</v>
      </c>
      <c r="M88" s="46">
        <v>16840</v>
      </c>
      <c r="N88" s="46">
        <v>17720</v>
      </c>
      <c r="O88" s="46">
        <v>18600</v>
      </c>
      <c r="P88" s="46">
        <v>22040</v>
      </c>
      <c r="Q88" s="46">
        <v>22000</v>
      </c>
      <c r="R88" s="46">
        <v>21380</v>
      </c>
      <c r="S88" s="46">
        <v>22130</v>
      </c>
      <c r="T88" s="46">
        <v>21830</v>
      </c>
      <c r="U88" s="46">
        <v>22520</v>
      </c>
      <c r="V88" s="46">
        <v>22990</v>
      </c>
      <c r="W88" s="46">
        <v>23890</v>
      </c>
      <c r="X88" s="46">
        <v>24540</v>
      </c>
      <c r="Y88" s="46">
        <v>25370</v>
      </c>
      <c r="Z88" s="46">
        <v>26020</v>
      </c>
      <c r="AA88" s="46">
        <v>26770</v>
      </c>
      <c r="AB88" s="46">
        <v>27700</v>
      </c>
      <c r="AC88" s="46">
        <v>28140</v>
      </c>
      <c r="AD88" s="46">
        <v>29410</v>
      </c>
      <c r="AE88" s="46">
        <v>30400</v>
      </c>
      <c r="AF88" s="46">
        <v>30740</v>
      </c>
      <c r="AG88" s="46">
        <v>30210</v>
      </c>
      <c r="AH88" s="46">
        <v>29470</v>
      </c>
      <c r="AI88" s="46">
        <v>29200</v>
      </c>
      <c r="AJ88" s="46">
        <v>30010</v>
      </c>
      <c r="AK88" s="46">
        <v>30480</v>
      </c>
      <c r="AL88" s="46">
        <v>31270</v>
      </c>
      <c r="AM88" s="46">
        <v>31370</v>
      </c>
      <c r="AN88" s="46">
        <v>32790</v>
      </c>
      <c r="AO88" s="46">
        <v>32490</v>
      </c>
      <c r="AP88" s="46">
        <v>31780</v>
      </c>
      <c r="AQ88" s="46">
        <v>31060</v>
      </c>
      <c r="AR88" s="46">
        <v>30170</v>
      </c>
      <c r="AS88" s="46">
        <v>29220</v>
      </c>
      <c r="AT88" s="46">
        <v>29670</v>
      </c>
      <c r="AU88" s="46">
        <v>29740</v>
      </c>
      <c r="AV88" s="46">
        <v>30940</v>
      </c>
      <c r="AW88" s="46">
        <v>31640</v>
      </c>
      <c r="AX88" s="46">
        <v>32430</v>
      </c>
      <c r="AY88" s="46">
        <v>33710</v>
      </c>
      <c r="AZ88" s="46">
        <v>34820</v>
      </c>
      <c r="BA88" s="46">
        <v>35580</v>
      </c>
      <c r="BB88" s="46">
        <v>36920</v>
      </c>
      <c r="BC88" s="46">
        <v>37630</v>
      </c>
      <c r="BD88" s="46">
        <v>39240</v>
      </c>
      <c r="BE88" s="46">
        <v>41430</v>
      </c>
      <c r="BF88" s="46">
        <v>42450</v>
      </c>
      <c r="BG88" s="46">
        <v>44130</v>
      </c>
      <c r="BH88" s="46">
        <v>44960</v>
      </c>
      <c r="BI88" s="46">
        <v>44680</v>
      </c>
    </row>
    <row r="89" spans="1:61" x14ac:dyDescent="0.25">
      <c r="A89" s="11">
        <v>74</v>
      </c>
      <c r="B89" s="29">
        <v>11960</v>
      </c>
      <c r="C89" s="29">
        <v>12030</v>
      </c>
      <c r="D89" s="29">
        <v>11880</v>
      </c>
      <c r="E89" s="29">
        <v>11930</v>
      </c>
      <c r="F89" s="29">
        <v>12500</v>
      </c>
      <c r="G89" s="29">
        <v>13050</v>
      </c>
      <c r="H89" s="29">
        <v>13510</v>
      </c>
      <c r="I89" s="29">
        <v>14060</v>
      </c>
      <c r="J89" s="29">
        <v>15230</v>
      </c>
      <c r="K89" s="29">
        <v>16370</v>
      </c>
      <c r="L89" s="29">
        <v>16740</v>
      </c>
      <c r="M89" s="46">
        <v>14900</v>
      </c>
      <c r="N89" s="46">
        <v>16490</v>
      </c>
      <c r="O89" s="46">
        <v>17350</v>
      </c>
      <c r="P89" s="46">
        <v>18400</v>
      </c>
      <c r="Q89" s="46">
        <v>21620</v>
      </c>
      <c r="R89" s="46">
        <v>21510</v>
      </c>
      <c r="S89" s="46">
        <v>20970</v>
      </c>
      <c r="T89" s="46">
        <v>21790</v>
      </c>
      <c r="U89" s="46">
        <v>21520</v>
      </c>
      <c r="V89" s="46">
        <v>22210</v>
      </c>
      <c r="W89" s="46">
        <v>22680</v>
      </c>
      <c r="X89" s="46">
        <v>23570</v>
      </c>
      <c r="Y89" s="46">
        <v>24230</v>
      </c>
      <c r="Z89" s="46">
        <v>25060</v>
      </c>
      <c r="AA89" s="46">
        <v>25700</v>
      </c>
      <c r="AB89" s="46">
        <v>26450</v>
      </c>
      <c r="AC89" s="46">
        <v>27370</v>
      </c>
      <c r="AD89" s="46">
        <v>27810</v>
      </c>
      <c r="AE89" s="46">
        <v>29080</v>
      </c>
      <c r="AF89" s="46">
        <v>30070</v>
      </c>
      <c r="AG89" s="46">
        <v>30410</v>
      </c>
      <c r="AH89" s="46">
        <v>29890</v>
      </c>
      <c r="AI89" s="46">
        <v>29170</v>
      </c>
      <c r="AJ89" s="46">
        <v>28910</v>
      </c>
      <c r="AK89" s="46">
        <v>29720</v>
      </c>
      <c r="AL89" s="46">
        <v>30190</v>
      </c>
      <c r="AM89" s="46">
        <v>30980</v>
      </c>
      <c r="AN89" s="46">
        <v>31080</v>
      </c>
      <c r="AO89" s="46">
        <v>32500</v>
      </c>
      <c r="AP89" s="46">
        <v>32210</v>
      </c>
      <c r="AQ89" s="46">
        <v>31510</v>
      </c>
      <c r="AR89" s="46">
        <v>30810</v>
      </c>
      <c r="AS89" s="46">
        <v>29930</v>
      </c>
      <c r="AT89" s="46">
        <v>28990</v>
      </c>
      <c r="AU89" s="46">
        <v>29430</v>
      </c>
      <c r="AV89" s="46">
        <v>29520</v>
      </c>
      <c r="AW89" s="46">
        <v>30710</v>
      </c>
      <c r="AX89" s="46">
        <v>31410</v>
      </c>
      <c r="AY89" s="46">
        <v>32200</v>
      </c>
      <c r="AZ89" s="46">
        <v>33480</v>
      </c>
      <c r="BA89" s="46">
        <v>34590</v>
      </c>
      <c r="BB89" s="46">
        <v>35340</v>
      </c>
      <c r="BC89" s="46">
        <v>36680</v>
      </c>
      <c r="BD89" s="46">
        <v>37390</v>
      </c>
      <c r="BE89" s="46">
        <v>39000</v>
      </c>
      <c r="BF89" s="46">
        <v>41180</v>
      </c>
      <c r="BG89" s="46">
        <v>42190</v>
      </c>
      <c r="BH89" s="46">
        <v>43870</v>
      </c>
      <c r="BI89" s="46">
        <v>44700</v>
      </c>
    </row>
    <row r="90" spans="1:61" x14ac:dyDescent="0.25">
      <c r="A90" s="11">
        <v>75</v>
      </c>
      <c r="B90" s="29">
        <v>12130</v>
      </c>
      <c r="C90" s="29">
        <v>11650</v>
      </c>
      <c r="D90" s="29">
        <v>11720</v>
      </c>
      <c r="E90" s="29">
        <v>11580</v>
      </c>
      <c r="F90" s="29">
        <v>11660</v>
      </c>
      <c r="G90" s="29">
        <v>12210</v>
      </c>
      <c r="H90" s="29">
        <v>12750</v>
      </c>
      <c r="I90" s="29">
        <v>13220</v>
      </c>
      <c r="J90" s="29">
        <v>13800</v>
      </c>
      <c r="K90" s="29">
        <v>14950</v>
      </c>
      <c r="L90" s="29">
        <v>16050</v>
      </c>
      <c r="M90" s="46">
        <v>16380</v>
      </c>
      <c r="N90" s="46">
        <v>14540</v>
      </c>
      <c r="O90" s="46">
        <v>16140</v>
      </c>
      <c r="P90" s="46">
        <v>17110</v>
      </c>
      <c r="Q90" s="46">
        <v>17960</v>
      </c>
      <c r="R90" s="46">
        <v>21080</v>
      </c>
      <c r="S90" s="46">
        <v>20960</v>
      </c>
      <c r="T90" s="46">
        <v>20570</v>
      </c>
      <c r="U90" s="46">
        <v>21440</v>
      </c>
      <c r="V90" s="46">
        <v>21180</v>
      </c>
      <c r="W90" s="46">
        <v>21870</v>
      </c>
      <c r="X90" s="46">
        <v>22340</v>
      </c>
      <c r="Y90" s="46">
        <v>23230</v>
      </c>
      <c r="Z90" s="46">
        <v>23880</v>
      </c>
      <c r="AA90" s="46">
        <v>24710</v>
      </c>
      <c r="AB90" s="46">
        <v>25350</v>
      </c>
      <c r="AC90" s="46">
        <v>26100</v>
      </c>
      <c r="AD90" s="46">
        <v>27020</v>
      </c>
      <c r="AE90" s="46">
        <v>27460</v>
      </c>
      <c r="AF90" s="46">
        <v>28720</v>
      </c>
      <c r="AG90" s="46">
        <v>29700</v>
      </c>
      <c r="AH90" s="46">
        <v>30050</v>
      </c>
      <c r="AI90" s="46">
        <v>29550</v>
      </c>
      <c r="AJ90" s="46">
        <v>28840</v>
      </c>
      <c r="AK90" s="46">
        <v>28590</v>
      </c>
      <c r="AL90" s="46">
        <v>29400</v>
      </c>
      <c r="AM90" s="46">
        <v>29870</v>
      </c>
      <c r="AN90" s="46">
        <v>30650</v>
      </c>
      <c r="AO90" s="46">
        <v>30770</v>
      </c>
      <c r="AP90" s="46">
        <v>32180</v>
      </c>
      <c r="AQ90" s="46">
        <v>31890</v>
      </c>
      <c r="AR90" s="46">
        <v>31210</v>
      </c>
      <c r="AS90" s="46">
        <v>30520</v>
      </c>
      <c r="AT90" s="46">
        <v>29660</v>
      </c>
      <c r="AU90" s="46">
        <v>28730</v>
      </c>
      <c r="AV90" s="46">
        <v>29180</v>
      </c>
      <c r="AW90" s="46">
        <v>29270</v>
      </c>
      <c r="AX90" s="46">
        <v>30450</v>
      </c>
      <c r="AY90" s="46">
        <v>31160</v>
      </c>
      <c r="AZ90" s="46">
        <v>31940</v>
      </c>
      <c r="BA90" s="46">
        <v>33210</v>
      </c>
      <c r="BB90" s="46">
        <v>34320</v>
      </c>
      <c r="BC90" s="46">
        <v>35080</v>
      </c>
      <c r="BD90" s="46">
        <v>36410</v>
      </c>
      <c r="BE90" s="46">
        <v>37120</v>
      </c>
      <c r="BF90" s="46">
        <v>38720</v>
      </c>
      <c r="BG90" s="46">
        <v>40890</v>
      </c>
      <c r="BH90" s="46">
        <v>41910</v>
      </c>
      <c r="BI90" s="46">
        <v>43580</v>
      </c>
    </row>
    <row r="91" spans="1:61" x14ac:dyDescent="0.25">
      <c r="A91" s="11">
        <v>76</v>
      </c>
      <c r="B91" s="29">
        <v>11810</v>
      </c>
      <c r="C91" s="29">
        <v>11810</v>
      </c>
      <c r="D91" s="29">
        <v>11370</v>
      </c>
      <c r="E91" s="29">
        <v>11450</v>
      </c>
      <c r="F91" s="29">
        <v>11320</v>
      </c>
      <c r="G91" s="29">
        <v>11380</v>
      </c>
      <c r="H91" s="29">
        <v>11880</v>
      </c>
      <c r="I91" s="29">
        <v>12470</v>
      </c>
      <c r="J91" s="29">
        <v>12930</v>
      </c>
      <c r="K91" s="29">
        <v>13500</v>
      </c>
      <c r="L91" s="29">
        <v>14640</v>
      </c>
      <c r="M91" s="46">
        <v>15680</v>
      </c>
      <c r="N91" s="46">
        <v>16020</v>
      </c>
      <c r="O91" s="46">
        <v>14210</v>
      </c>
      <c r="P91" s="46">
        <v>15870</v>
      </c>
      <c r="Q91" s="46">
        <v>16670</v>
      </c>
      <c r="R91" s="46">
        <v>17430</v>
      </c>
      <c r="S91" s="46">
        <v>20590</v>
      </c>
      <c r="T91" s="46">
        <v>20550</v>
      </c>
      <c r="U91" s="46">
        <v>20200</v>
      </c>
      <c r="V91" s="46">
        <v>21060</v>
      </c>
      <c r="W91" s="46">
        <v>20820</v>
      </c>
      <c r="X91" s="46">
        <v>21500</v>
      </c>
      <c r="Y91" s="46">
        <v>21970</v>
      </c>
      <c r="Z91" s="46">
        <v>22860</v>
      </c>
      <c r="AA91" s="46">
        <v>23510</v>
      </c>
      <c r="AB91" s="46">
        <v>24330</v>
      </c>
      <c r="AC91" s="46">
        <v>24970</v>
      </c>
      <c r="AD91" s="46">
        <v>25720</v>
      </c>
      <c r="AE91" s="46">
        <v>26630</v>
      </c>
      <c r="AF91" s="46">
        <v>27080</v>
      </c>
      <c r="AG91" s="46">
        <v>28320</v>
      </c>
      <c r="AH91" s="46">
        <v>29300</v>
      </c>
      <c r="AI91" s="46">
        <v>29650</v>
      </c>
      <c r="AJ91" s="46">
        <v>29160</v>
      </c>
      <c r="AK91" s="46">
        <v>28470</v>
      </c>
      <c r="AL91" s="46">
        <v>28240</v>
      </c>
      <c r="AM91" s="46">
        <v>29040</v>
      </c>
      <c r="AN91" s="46">
        <v>29520</v>
      </c>
      <c r="AO91" s="46">
        <v>30300</v>
      </c>
      <c r="AP91" s="46">
        <v>30420</v>
      </c>
      <c r="AQ91" s="46">
        <v>31820</v>
      </c>
      <c r="AR91" s="46">
        <v>31550</v>
      </c>
      <c r="AS91" s="46">
        <v>30880</v>
      </c>
      <c r="AT91" s="46">
        <v>30200</v>
      </c>
      <c r="AU91" s="46">
        <v>29350</v>
      </c>
      <c r="AV91" s="46">
        <v>28440</v>
      </c>
      <c r="AW91" s="46">
        <v>28890</v>
      </c>
      <c r="AX91" s="46">
        <v>28990</v>
      </c>
      <c r="AY91" s="46">
        <v>30160</v>
      </c>
      <c r="AZ91" s="46">
        <v>30870</v>
      </c>
      <c r="BA91" s="46">
        <v>31650</v>
      </c>
      <c r="BB91" s="46">
        <v>32920</v>
      </c>
      <c r="BC91" s="46">
        <v>34020</v>
      </c>
      <c r="BD91" s="46">
        <v>34780</v>
      </c>
      <c r="BE91" s="46">
        <v>36110</v>
      </c>
      <c r="BF91" s="46">
        <v>36820</v>
      </c>
      <c r="BG91" s="46">
        <v>38410</v>
      </c>
      <c r="BH91" s="46">
        <v>40570</v>
      </c>
      <c r="BI91" s="46">
        <v>41580</v>
      </c>
    </row>
    <row r="92" spans="1:61" x14ac:dyDescent="0.25">
      <c r="A92" s="11">
        <v>77</v>
      </c>
      <c r="B92" s="29">
        <v>11080</v>
      </c>
      <c r="C92" s="29">
        <v>11460</v>
      </c>
      <c r="D92" s="29">
        <v>11470</v>
      </c>
      <c r="E92" s="29">
        <v>11050</v>
      </c>
      <c r="F92" s="29">
        <v>11120</v>
      </c>
      <c r="G92" s="29">
        <v>11050</v>
      </c>
      <c r="H92" s="29">
        <v>11070</v>
      </c>
      <c r="I92" s="29">
        <v>11540</v>
      </c>
      <c r="J92" s="29">
        <v>12120</v>
      </c>
      <c r="K92" s="29">
        <v>12620</v>
      </c>
      <c r="L92" s="29">
        <v>13180</v>
      </c>
      <c r="M92" s="46">
        <v>14290</v>
      </c>
      <c r="N92" s="46">
        <v>15250</v>
      </c>
      <c r="O92" s="46">
        <v>15590</v>
      </c>
      <c r="P92" s="46">
        <v>13980</v>
      </c>
      <c r="Q92" s="46">
        <v>15470</v>
      </c>
      <c r="R92" s="46">
        <v>16130</v>
      </c>
      <c r="S92" s="46">
        <v>16920</v>
      </c>
      <c r="T92" s="46">
        <v>20130</v>
      </c>
      <c r="U92" s="46">
        <v>20130</v>
      </c>
      <c r="V92" s="46">
        <v>19800</v>
      </c>
      <c r="W92" s="46">
        <v>20650</v>
      </c>
      <c r="X92" s="46">
        <v>20420</v>
      </c>
      <c r="Y92" s="46">
        <v>21100</v>
      </c>
      <c r="Z92" s="46">
        <v>21580</v>
      </c>
      <c r="AA92" s="46">
        <v>22450</v>
      </c>
      <c r="AB92" s="46">
        <v>23100</v>
      </c>
      <c r="AC92" s="46">
        <v>23920</v>
      </c>
      <c r="AD92" s="46">
        <v>24560</v>
      </c>
      <c r="AE92" s="46">
        <v>25300</v>
      </c>
      <c r="AF92" s="46">
        <v>26200</v>
      </c>
      <c r="AG92" s="46">
        <v>26650</v>
      </c>
      <c r="AH92" s="46">
        <v>27890</v>
      </c>
      <c r="AI92" s="46">
        <v>28860</v>
      </c>
      <c r="AJ92" s="46">
        <v>29210</v>
      </c>
      <c r="AK92" s="46">
        <v>28740</v>
      </c>
      <c r="AL92" s="46">
        <v>28070</v>
      </c>
      <c r="AM92" s="46">
        <v>27850</v>
      </c>
      <c r="AN92" s="46">
        <v>28650</v>
      </c>
      <c r="AO92" s="46">
        <v>29120</v>
      </c>
      <c r="AP92" s="46">
        <v>29900</v>
      </c>
      <c r="AQ92" s="46">
        <v>30030</v>
      </c>
      <c r="AR92" s="46">
        <v>31420</v>
      </c>
      <c r="AS92" s="46">
        <v>31160</v>
      </c>
      <c r="AT92" s="46">
        <v>30510</v>
      </c>
      <c r="AU92" s="46">
        <v>29840</v>
      </c>
      <c r="AV92" s="46">
        <v>29020</v>
      </c>
      <c r="AW92" s="46">
        <v>28120</v>
      </c>
      <c r="AX92" s="46">
        <v>28570</v>
      </c>
      <c r="AY92" s="46">
        <v>28670</v>
      </c>
      <c r="AZ92" s="46">
        <v>29840</v>
      </c>
      <c r="BA92" s="46">
        <v>30550</v>
      </c>
      <c r="BB92" s="46">
        <v>31330</v>
      </c>
      <c r="BC92" s="46">
        <v>32590</v>
      </c>
      <c r="BD92" s="46">
        <v>33690</v>
      </c>
      <c r="BE92" s="46">
        <v>34450</v>
      </c>
      <c r="BF92" s="46">
        <v>35760</v>
      </c>
      <c r="BG92" s="46">
        <v>36480</v>
      </c>
      <c r="BH92" s="46">
        <v>38060</v>
      </c>
      <c r="BI92" s="46">
        <v>40210</v>
      </c>
    </row>
    <row r="93" spans="1:61" x14ac:dyDescent="0.25">
      <c r="A93" s="11">
        <v>78</v>
      </c>
      <c r="B93" s="29">
        <v>10800</v>
      </c>
      <c r="C93" s="29">
        <v>10740</v>
      </c>
      <c r="D93" s="29">
        <v>11110</v>
      </c>
      <c r="E93" s="29">
        <v>11130</v>
      </c>
      <c r="F93" s="29">
        <v>10710</v>
      </c>
      <c r="G93" s="29">
        <v>10800</v>
      </c>
      <c r="H93" s="29">
        <v>10750</v>
      </c>
      <c r="I93" s="29">
        <v>10730</v>
      </c>
      <c r="J93" s="29">
        <v>11180</v>
      </c>
      <c r="K93" s="29">
        <v>11750</v>
      </c>
      <c r="L93" s="29">
        <v>12220</v>
      </c>
      <c r="M93" s="46">
        <v>12840</v>
      </c>
      <c r="N93" s="46">
        <v>13860</v>
      </c>
      <c r="O93" s="46">
        <v>14840</v>
      </c>
      <c r="P93" s="46">
        <v>15220</v>
      </c>
      <c r="Q93" s="46">
        <v>13610</v>
      </c>
      <c r="R93" s="46">
        <v>14950</v>
      </c>
      <c r="S93" s="46">
        <v>15660</v>
      </c>
      <c r="T93" s="46">
        <v>16530</v>
      </c>
      <c r="U93" s="46">
        <v>19660</v>
      </c>
      <c r="V93" s="46">
        <v>19680</v>
      </c>
      <c r="W93" s="46">
        <v>19360</v>
      </c>
      <c r="X93" s="46">
        <v>20210</v>
      </c>
      <c r="Y93" s="46">
        <v>19990</v>
      </c>
      <c r="Z93" s="46">
        <v>20670</v>
      </c>
      <c r="AA93" s="46">
        <v>21140</v>
      </c>
      <c r="AB93" s="46">
        <v>22010</v>
      </c>
      <c r="AC93" s="46">
        <v>22650</v>
      </c>
      <c r="AD93" s="46">
        <v>23460</v>
      </c>
      <c r="AE93" s="46">
        <v>24100</v>
      </c>
      <c r="AF93" s="46">
        <v>24830</v>
      </c>
      <c r="AG93" s="46">
        <v>25730</v>
      </c>
      <c r="AH93" s="46">
        <v>26180</v>
      </c>
      <c r="AI93" s="46">
        <v>27410</v>
      </c>
      <c r="AJ93" s="46">
        <v>28370</v>
      </c>
      <c r="AK93" s="46">
        <v>28730</v>
      </c>
      <c r="AL93" s="46">
        <v>28280</v>
      </c>
      <c r="AM93" s="46">
        <v>27620</v>
      </c>
      <c r="AN93" s="46">
        <v>27410</v>
      </c>
      <c r="AO93" s="46">
        <v>28210</v>
      </c>
      <c r="AP93" s="46">
        <v>28690</v>
      </c>
      <c r="AQ93" s="46">
        <v>29460</v>
      </c>
      <c r="AR93" s="46">
        <v>29590</v>
      </c>
      <c r="AS93" s="46">
        <v>30970</v>
      </c>
      <c r="AT93" s="46">
        <v>30730</v>
      </c>
      <c r="AU93" s="46">
        <v>30090</v>
      </c>
      <c r="AV93" s="46">
        <v>29450</v>
      </c>
      <c r="AW93" s="46">
        <v>28640</v>
      </c>
      <c r="AX93" s="46">
        <v>27760</v>
      </c>
      <c r="AY93" s="46">
        <v>28210</v>
      </c>
      <c r="AZ93" s="46">
        <v>28320</v>
      </c>
      <c r="BA93" s="46">
        <v>29480</v>
      </c>
      <c r="BB93" s="46">
        <v>30190</v>
      </c>
      <c r="BC93" s="46">
        <v>30960</v>
      </c>
      <c r="BD93" s="46">
        <v>32220</v>
      </c>
      <c r="BE93" s="46">
        <v>33310</v>
      </c>
      <c r="BF93" s="46">
        <v>34070</v>
      </c>
      <c r="BG93" s="46">
        <v>35380</v>
      </c>
      <c r="BH93" s="46">
        <v>36090</v>
      </c>
      <c r="BI93" s="46">
        <v>37670</v>
      </c>
    </row>
    <row r="94" spans="1:61" x14ac:dyDescent="0.25">
      <c r="A94" s="11">
        <v>79</v>
      </c>
      <c r="B94" s="29">
        <v>10220</v>
      </c>
      <c r="C94" s="29">
        <v>10390</v>
      </c>
      <c r="D94" s="29">
        <v>10360</v>
      </c>
      <c r="E94" s="29">
        <v>10710</v>
      </c>
      <c r="F94" s="29">
        <v>10800</v>
      </c>
      <c r="G94" s="29">
        <v>10360</v>
      </c>
      <c r="H94" s="29">
        <v>10460</v>
      </c>
      <c r="I94" s="29">
        <v>10380</v>
      </c>
      <c r="J94" s="29">
        <v>10380</v>
      </c>
      <c r="K94" s="29">
        <v>10830</v>
      </c>
      <c r="L94" s="29">
        <v>11340</v>
      </c>
      <c r="M94" s="46">
        <v>11830</v>
      </c>
      <c r="N94" s="46">
        <v>12410</v>
      </c>
      <c r="O94" s="46">
        <v>13400</v>
      </c>
      <c r="P94" s="46">
        <v>14460</v>
      </c>
      <c r="Q94" s="46">
        <v>14720</v>
      </c>
      <c r="R94" s="46">
        <v>13160</v>
      </c>
      <c r="S94" s="46">
        <v>14410</v>
      </c>
      <c r="T94" s="46">
        <v>15170</v>
      </c>
      <c r="U94" s="46">
        <v>16090</v>
      </c>
      <c r="V94" s="46">
        <v>19150</v>
      </c>
      <c r="W94" s="46">
        <v>19180</v>
      </c>
      <c r="X94" s="46">
        <v>18880</v>
      </c>
      <c r="Y94" s="46">
        <v>19720</v>
      </c>
      <c r="Z94" s="46">
        <v>19520</v>
      </c>
      <c r="AA94" s="46">
        <v>20190</v>
      </c>
      <c r="AB94" s="46">
        <v>20660</v>
      </c>
      <c r="AC94" s="46">
        <v>21520</v>
      </c>
      <c r="AD94" s="46">
        <v>22160</v>
      </c>
      <c r="AE94" s="46">
        <v>22960</v>
      </c>
      <c r="AF94" s="46">
        <v>23590</v>
      </c>
      <c r="AG94" s="46">
        <v>24320</v>
      </c>
      <c r="AH94" s="46">
        <v>25210</v>
      </c>
      <c r="AI94" s="46">
        <v>25660</v>
      </c>
      <c r="AJ94" s="46">
        <v>26870</v>
      </c>
      <c r="AK94" s="46">
        <v>27830</v>
      </c>
      <c r="AL94" s="46">
        <v>28190</v>
      </c>
      <c r="AM94" s="46">
        <v>27750</v>
      </c>
      <c r="AN94" s="46">
        <v>27120</v>
      </c>
      <c r="AO94" s="46">
        <v>26930</v>
      </c>
      <c r="AP94" s="46">
        <v>27710</v>
      </c>
      <c r="AQ94" s="46">
        <v>28190</v>
      </c>
      <c r="AR94" s="46">
        <v>28970</v>
      </c>
      <c r="AS94" s="46">
        <v>29110</v>
      </c>
      <c r="AT94" s="46">
        <v>30470</v>
      </c>
      <c r="AU94" s="46">
        <v>30240</v>
      </c>
      <c r="AV94" s="46">
        <v>29620</v>
      </c>
      <c r="AW94" s="46">
        <v>28990</v>
      </c>
      <c r="AX94" s="46">
        <v>28210</v>
      </c>
      <c r="AY94" s="46">
        <v>27350</v>
      </c>
      <c r="AZ94" s="46">
        <v>27810</v>
      </c>
      <c r="BA94" s="46">
        <v>27920</v>
      </c>
      <c r="BB94" s="46">
        <v>29070</v>
      </c>
      <c r="BC94" s="46">
        <v>29770</v>
      </c>
      <c r="BD94" s="46">
        <v>30550</v>
      </c>
      <c r="BE94" s="46">
        <v>31790</v>
      </c>
      <c r="BF94" s="46">
        <v>32880</v>
      </c>
      <c r="BG94" s="46">
        <v>33630</v>
      </c>
      <c r="BH94" s="46">
        <v>34930</v>
      </c>
      <c r="BI94" s="46">
        <v>35640</v>
      </c>
    </row>
    <row r="95" spans="1:61" x14ac:dyDescent="0.25">
      <c r="A95" s="11">
        <v>80</v>
      </c>
      <c r="B95" s="29">
        <v>9890</v>
      </c>
      <c r="C95" s="29">
        <v>9830</v>
      </c>
      <c r="D95" s="29">
        <v>9990</v>
      </c>
      <c r="E95" s="29">
        <v>9950</v>
      </c>
      <c r="F95" s="29">
        <v>10300</v>
      </c>
      <c r="G95" s="29">
        <v>10410</v>
      </c>
      <c r="H95" s="29">
        <v>9930</v>
      </c>
      <c r="I95" s="29">
        <v>10090</v>
      </c>
      <c r="J95" s="29">
        <v>10000</v>
      </c>
      <c r="K95" s="29">
        <v>10010</v>
      </c>
      <c r="L95" s="29">
        <v>10420</v>
      </c>
      <c r="M95" s="46">
        <v>10940</v>
      </c>
      <c r="N95" s="46">
        <v>11400</v>
      </c>
      <c r="O95" s="46">
        <v>11970</v>
      </c>
      <c r="P95" s="46">
        <v>12960</v>
      </c>
      <c r="Q95" s="46">
        <v>13990</v>
      </c>
      <c r="R95" s="46">
        <v>14140</v>
      </c>
      <c r="S95" s="46">
        <v>12670</v>
      </c>
      <c r="T95" s="46">
        <v>13920</v>
      </c>
      <c r="U95" s="46">
        <v>14710</v>
      </c>
      <c r="V95" s="46">
        <v>15620</v>
      </c>
      <c r="W95" s="46">
        <v>18600</v>
      </c>
      <c r="X95" s="46">
        <v>18640</v>
      </c>
      <c r="Y95" s="46">
        <v>18360</v>
      </c>
      <c r="Z95" s="46">
        <v>19180</v>
      </c>
      <c r="AA95" s="46">
        <v>19000</v>
      </c>
      <c r="AB95" s="46">
        <v>19660</v>
      </c>
      <c r="AC95" s="46">
        <v>20130</v>
      </c>
      <c r="AD95" s="46">
        <v>20970</v>
      </c>
      <c r="AE95" s="46">
        <v>21610</v>
      </c>
      <c r="AF95" s="46">
        <v>22400</v>
      </c>
      <c r="AG95" s="46">
        <v>23030</v>
      </c>
      <c r="AH95" s="46">
        <v>23750</v>
      </c>
      <c r="AI95" s="46">
        <v>24630</v>
      </c>
      <c r="AJ95" s="46">
        <v>25080</v>
      </c>
      <c r="AK95" s="46">
        <v>26270</v>
      </c>
      <c r="AL95" s="46">
        <v>27220</v>
      </c>
      <c r="AM95" s="46">
        <v>27580</v>
      </c>
      <c r="AN95" s="46">
        <v>27170</v>
      </c>
      <c r="AO95" s="46">
        <v>26560</v>
      </c>
      <c r="AP95" s="46">
        <v>26380</v>
      </c>
      <c r="AQ95" s="46">
        <v>27160</v>
      </c>
      <c r="AR95" s="46">
        <v>27640</v>
      </c>
      <c r="AS95" s="46">
        <v>28410</v>
      </c>
      <c r="AT95" s="46">
        <v>28550</v>
      </c>
      <c r="AU95" s="46">
        <v>29900</v>
      </c>
      <c r="AV95" s="46">
        <v>29680</v>
      </c>
      <c r="AW95" s="46">
        <v>29090</v>
      </c>
      <c r="AX95" s="46">
        <v>28480</v>
      </c>
      <c r="AY95" s="46">
        <v>27720</v>
      </c>
      <c r="AZ95" s="46">
        <v>26880</v>
      </c>
      <c r="BA95" s="46">
        <v>27340</v>
      </c>
      <c r="BB95" s="46">
        <v>27460</v>
      </c>
      <c r="BC95" s="46">
        <v>28600</v>
      </c>
      <c r="BD95" s="46">
        <v>29300</v>
      </c>
      <c r="BE95" s="46">
        <v>30070</v>
      </c>
      <c r="BF95" s="46">
        <v>31300</v>
      </c>
      <c r="BG95" s="46">
        <v>32380</v>
      </c>
      <c r="BH95" s="46">
        <v>33130</v>
      </c>
      <c r="BI95" s="46">
        <v>34420</v>
      </c>
    </row>
    <row r="96" spans="1:61" x14ac:dyDescent="0.25">
      <c r="A96" s="11">
        <v>81</v>
      </c>
      <c r="B96" s="29">
        <v>9610</v>
      </c>
      <c r="C96" s="29">
        <v>9450</v>
      </c>
      <c r="D96" s="29">
        <v>9380</v>
      </c>
      <c r="E96" s="29">
        <v>9540</v>
      </c>
      <c r="F96" s="29">
        <v>9510</v>
      </c>
      <c r="G96" s="29">
        <v>9820</v>
      </c>
      <c r="H96" s="29">
        <v>9960</v>
      </c>
      <c r="I96" s="29">
        <v>9520</v>
      </c>
      <c r="J96" s="29">
        <v>9660</v>
      </c>
      <c r="K96" s="29">
        <v>9590</v>
      </c>
      <c r="L96" s="29">
        <v>9630</v>
      </c>
      <c r="M96" s="46">
        <v>9970</v>
      </c>
      <c r="N96" s="46">
        <v>10460</v>
      </c>
      <c r="O96" s="46">
        <v>10890</v>
      </c>
      <c r="P96" s="46">
        <v>11530</v>
      </c>
      <c r="Q96" s="46">
        <v>12480</v>
      </c>
      <c r="R96" s="46">
        <v>13380</v>
      </c>
      <c r="S96" s="46">
        <v>13500</v>
      </c>
      <c r="T96" s="46">
        <v>12170</v>
      </c>
      <c r="U96" s="46">
        <v>13440</v>
      </c>
      <c r="V96" s="46">
        <v>14210</v>
      </c>
      <c r="W96" s="46">
        <v>15100</v>
      </c>
      <c r="X96" s="46">
        <v>18000</v>
      </c>
      <c r="Y96" s="46">
        <v>18040</v>
      </c>
      <c r="Z96" s="46">
        <v>17780</v>
      </c>
      <c r="AA96" s="46">
        <v>18590</v>
      </c>
      <c r="AB96" s="46">
        <v>18420</v>
      </c>
      <c r="AC96" s="46">
        <v>19080</v>
      </c>
      <c r="AD96" s="46">
        <v>19540</v>
      </c>
      <c r="AE96" s="46">
        <v>20370</v>
      </c>
      <c r="AF96" s="46">
        <v>21000</v>
      </c>
      <c r="AG96" s="46">
        <v>21780</v>
      </c>
      <c r="AH96" s="46">
        <v>22400</v>
      </c>
      <c r="AI96" s="46">
        <v>23110</v>
      </c>
      <c r="AJ96" s="46">
        <v>23980</v>
      </c>
      <c r="AK96" s="46">
        <v>24430</v>
      </c>
      <c r="AL96" s="46">
        <v>25600</v>
      </c>
      <c r="AM96" s="46">
        <v>26540</v>
      </c>
      <c r="AN96" s="46">
        <v>26900</v>
      </c>
      <c r="AO96" s="46">
        <v>26510</v>
      </c>
      <c r="AP96" s="46">
        <v>25930</v>
      </c>
      <c r="AQ96" s="46">
        <v>25760</v>
      </c>
      <c r="AR96" s="46">
        <v>26530</v>
      </c>
      <c r="AS96" s="46">
        <v>27010</v>
      </c>
      <c r="AT96" s="46">
        <v>27770</v>
      </c>
      <c r="AU96" s="46">
        <v>27930</v>
      </c>
      <c r="AV96" s="46">
        <v>29260</v>
      </c>
      <c r="AW96" s="46">
        <v>29050</v>
      </c>
      <c r="AX96" s="46">
        <v>28480</v>
      </c>
      <c r="AY96" s="46">
        <v>27900</v>
      </c>
      <c r="AZ96" s="46">
        <v>27160</v>
      </c>
      <c r="BA96" s="46">
        <v>26350</v>
      </c>
      <c r="BB96" s="46">
        <v>26810</v>
      </c>
      <c r="BC96" s="46">
        <v>26930</v>
      </c>
      <c r="BD96" s="46">
        <v>28060</v>
      </c>
      <c r="BE96" s="46">
        <v>28750</v>
      </c>
      <c r="BF96" s="46">
        <v>29520</v>
      </c>
      <c r="BG96" s="46">
        <v>30740</v>
      </c>
      <c r="BH96" s="46">
        <v>31810</v>
      </c>
      <c r="BI96" s="46">
        <v>32560</v>
      </c>
    </row>
    <row r="97" spans="1:61" x14ac:dyDescent="0.25">
      <c r="A97" s="11">
        <v>82</v>
      </c>
      <c r="B97" s="29">
        <v>8770</v>
      </c>
      <c r="C97" s="29">
        <v>9110</v>
      </c>
      <c r="D97" s="29">
        <v>8970</v>
      </c>
      <c r="E97" s="29">
        <v>8930</v>
      </c>
      <c r="F97" s="29">
        <v>9080</v>
      </c>
      <c r="G97" s="29">
        <v>9040</v>
      </c>
      <c r="H97" s="29">
        <v>9340</v>
      </c>
      <c r="I97" s="29">
        <v>9530</v>
      </c>
      <c r="J97" s="29">
        <v>9070</v>
      </c>
      <c r="K97" s="29">
        <v>9160</v>
      </c>
      <c r="L97" s="29">
        <v>9150</v>
      </c>
      <c r="M97" s="46">
        <v>9180</v>
      </c>
      <c r="N97" s="46">
        <v>9480</v>
      </c>
      <c r="O97" s="46">
        <v>9970</v>
      </c>
      <c r="P97" s="46">
        <v>10500</v>
      </c>
      <c r="Q97" s="46">
        <v>10990</v>
      </c>
      <c r="R97" s="46">
        <v>11860</v>
      </c>
      <c r="S97" s="46">
        <v>12710</v>
      </c>
      <c r="T97" s="46">
        <v>12970</v>
      </c>
      <c r="U97" s="46">
        <v>11680</v>
      </c>
      <c r="V97" s="46">
        <v>12920</v>
      </c>
      <c r="W97" s="46">
        <v>13670</v>
      </c>
      <c r="X97" s="46">
        <v>14540</v>
      </c>
      <c r="Y97" s="46">
        <v>17330</v>
      </c>
      <c r="Z97" s="46">
        <v>17390</v>
      </c>
      <c r="AA97" s="46">
        <v>17150</v>
      </c>
      <c r="AB97" s="46">
        <v>17940</v>
      </c>
      <c r="AC97" s="46">
        <v>17790</v>
      </c>
      <c r="AD97" s="46">
        <v>18430</v>
      </c>
      <c r="AE97" s="46">
        <v>18890</v>
      </c>
      <c r="AF97" s="46">
        <v>19700</v>
      </c>
      <c r="AG97" s="46">
        <v>20320</v>
      </c>
      <c r="AH97" s="46">
        <v>21080</v>
      </c>
      <c r="AI97" s="46">
        <v>21700</v>
      </c>
      <c r="AJ97" s="46">
        <v>22400</v>
      </c>
      <c r="AK97" s="46">
        <v>23250</v>
      </c>
      <c r="AL97" s="46">
        <v>23700</v>
      </c>
      <c r="AM97" s="46">
        <v>24850</v>
      </c>
      <c r="AN97" s="46">
        <v>25770</v>
      </c>
      <c r="AO97" s="46">
        <v>26130</v>
      </c>
      <c r="AP97" s="46">
        <v>25760</v>
      </c>
      <c r="AQ97" s="46">
        <v>25210</v>
      </c>
      <c r="AR97" s="46">
        <v>25060</v>
      </c>
      <c r="AS97" s="46">
        <v>25820</v>
      </c>
      <c r="AT97" s="46">
        <v>26300</v>
      </c>
      <c r="AU97" s="46">
        <v>27050</v>
      </c>
      <c r="AV97" s="46">
        <v>27210</v>
      </c>
      <c r="AW97" s="46">
        <v>28520</v>
      </c>
      <c r="AX97" s="46">
        <v>28330</v>
      </c>
      <c r="AY97" s="46">
        <v>27790</v>
      </c>
      <c r="AZ97" s="46">
        <v>27230</v>
      </c>
      <c r="BA97" s="46">
        <v>26510</v>
      </c>
      <c r="BB97" s="46">
        <v>25740</v>
      </c>
      <c r="BC97" s="46">
        <v>26190</v>
      </c>
      <c r="BD97" s="46">
        <v>26320</v>
      </c>
      <c r="BE97" s="46">
        <v>27440</v>
      </c>
      <c r="BF97" s="46">
        <v>28130</v>
      </c>
      <c r="BG97" s="46">
        <v>28880</v>
      </c>
      <c r="BH97" s="46">
        <v>30090</v>
      </c>
      <c r="BI97" s="46">
        <v>31140</v>
      </c>
    </row>
    <row r="98" spans="1:61" x14ac:dyDescent="0.25">
      <c r="A98" s="11">
        <v>83</v>
      </c>
      <c r="B98" s="29">
        <v>8030</v>
      </c>
      <c r="C98" s="29">
        <v>8270</v>
      </c>
      <c r="D98" s="29">
        <v>8570</v>
      </c>
      <c r="E98" s="29">
        <v>8440</v>
      </c>
      <c r="F98" s="29">
        <v>8400</v>
      </c>
      <c r="G98" s="29">
        <v>8590</v>
      </c>
      <c r="H98" s="29">
        <v>8550</v>
      </c>
      <c r="I98" s="29">
        <v>8820</v>
      </c>
      <c r="J98" s="29">
        <v>9020</v>
      </c>
      <c r="K98" s="29">
        <v>8550</v>
      </c>
      <c r="L98" s="29">
        <v>8690</v>
      </c>
      <c r="M98" s="46">
        <v>8680</v>
      </c>
      <c r="N98" s="46">
        <v>8700</v>
      </c>
      <c r="O98" s="46">
        <v>9010</v>
      </c>
      <c r="P98" s="46">
        <v>9450</v>
      </c>
      <c r="Q98" s="46">
        <v>9940</v>
      </c>
      <c r="R98" s="46">
        <v>10370</v>
      </c>
      <c r="S98" s="46">
        <v>11220</v>
      </c>
      <c r="T98" s="46">
        <v>12100</v>
      </c>
      <c r="U98" s="46">
        <v>12380</v>
      </c>
      <c r="V98" s="46">
        <v>11160</v>
      </c>
      <c r="W98" s="46">
        <v>12350</v>
      </c>
      <c r="X98" s="46">
        <v>13080</v>
      </c>
      <c r="Y98" s="46">
        <v>13920</v>
      </c>
      <c r="Z98" s="46">
        <v>16600</v>
      </c>
      <c r="AA98" s="46">
        <v>16670</v>
      </c>
      <c r="AB98" s="46">
        <v>16450</v>
      </c>
      <c r="AC98" s="46">
        <v>17220</v>
      </c>
      <c r="AD98" s="46">
        <v>17090</v>
      </c>
      <c r="AE98" s="46">
        <v>17710</v>
      </c>
      <c r="AF98" s="46">
        <v>18160</v>
      </c>
      <c r="AG98" s="46">
        <v>18960</v>
      </c>
      <c r="AH98" s="46">
        <v>19560</v>
      </c>
      <c r="AI98" s="46">
        <v>20310</v>
      </c>
      <c r="AJ98" s="46">
        <v>20910</v>
      </c>
      <c r="AK98" s="46">
        <v>21600</v>
      </c>
      <c r="AL98" s="46">
        <v>22440</v>
      </c>
      <c r="AM98" s="46">
        <v>22880</v>
      </c>
      <c r="AN98" s="46">
        <v>24000</v>
      </c>
      <c r="AO98" s="46">
        <v>24900</v>
      </c>
      <c r="AP98" s="46">
        <v>25270</v>
      </c>
      <c r="AQ98" s="46">
        <v>24930</v>
      </c>
      <c r="AR98" s="46">
        <v>24400</v>
      </c>
      <c r="AS98" s="46">
        <v>24270</v>
      </c>
      <c r="AT98" s="46">
        <v>25020</v>
      </c>
      <c r="AU98" s="46">
        <v>25490</v>
      </c>
      <c r="AV98" s="46">
        <v>26230</v>
      </c>
      <c r="AW98" s="46">
        <v>26400</v>
      </c>
      <c r="AX98" s="46">
        <v>27680</v>
      </c>
      <c r="AY98" s="46">
        <v>27510</v>
      </c>
      <c r="AZ98" s="46">
        <v>26990</v>
      </c>
      <c r="BA98" s="46">
        <v>26460</v>
      </c>
      <c r="BB98" s="46">
        <v>25780</v>
      </c>
      <c r="BC98" s="46">
        <v>25040</v>
      </c>
      <c r="BD98" s="46">
        <v>25490</v>
      </c>
      <c r="BE98" s="46">
        <v>25620</v>
      </c>
      <c r="BF98" s="46">
        <v>26720</v>
      </c>
      <c r="BG98" s="46">
        <v>27400</v>
      </c>
      <c r="BH98" s="46">
        <v>28150</v>
      </c>
      <c r="BI98" s="46">
        <v>29340</v>
      </c>
    </row>
    <row r="99" spans="1:61" x14ac:dyDescent="0.25">
      <c r="A99" s="11">
        <v>84</v>
      </c>
      <c r="B99" s="29">
        <v>7700</v>
      </c>
      <c r="C99" s="29">
        <v>7490</v>
      </c>
      <c r="D99" s="29">
        <v>7730</v>
      </c>
      <c r="E99" s="29">
        <v>8040</v>
      </c>
      <c r="F99" s="29">
        <v>7890</v>
      </c>
      <c r="G99" s="29">
        <v>7870</v>
      </c>
      <c r="H99" s="29">
        <v>7980</v>
      </c>
      <c r="I99" s="29">
        <v>8060</v>
      </c>
      <c r="J99" s="29">
        <v>8350</v>
      </c>
      <c r="K99" s="29">
        <v>8450</v>
      </c>
      <c r="L99" s="29">
        <v>8090</v>
      </c>
      <c r="M99" s="46">
        <v>8140</v>
      </c>
      <c r="N99" s="46">
        <v>8170</v>
      </c>
      <c r="O99" s="46">
        <v>8190</v>
      </c>
      <c r="P99" s="46">
        <v>8540</v>
      </c>
      <c r="Q99" s="46">
        <v>8950</v>
      </c>
      <c r="R99" s="46">
        <v>9330</v>
      </c>
      <c r="S99" s="46">
        <v>9740</v>
      </c>
      <c r="T99" s="46">
        <v>10620</v>
      </c>
      <c r="U99" s="46">
        <v>11460</v>
      </c>
      <c r="V99" s="46">
        <v>11730</v>
      </c>
      <c r="W99" s="46">
        <v>10590</v>
      </c>
      <c r="X99" s="46">
        <v>11730</v>
      </c>
      <c r="Y99" s="46">
        <v>12430</v>
      </c>
      <c r="Z99" s="46">
        <v>13240</v>
      </c>
      <c r="AA99" s="46">
        <v>15810</v>
      </c>
      <c r="AB99" s="46">
        <v>15880</v>
      </c>
      <c r="AC99" s="46">
        <v>15680</v>
      </c>
      <c r="AD99" s="46">
        <v>16430</v>
      </c>
      <c r="AE99" s="46">
        <v>16310</v>
      </c>
      <c r="AF99" s="46">
        <v>16920</v>
      </c>
      <c r="AG99" s="46">
        <v>17360</v>
      </c>
      <c r="AH99" s="46">
        <v>18130</v>
      </c>
      <c r="AI99" s="46">
        <v>18720</v>
      </c>
      <c r="AJ99" s="46">
        <v>19450</v>
      </c>
      <c r="AK99" s="46">
        <v>20040</v>
      </c>
      <c r="AL99" s="46">
        <v>20710</v>
      </c>
      <c r="AM99" s="46">
        <v>21520</v>
      </c>
      <c r="AN99" s="46">
        <v>21960</v>
      </c>
      <c r="AO99" s="46">
        <v>23050</v>
      </c>
      <c r="AP99" s="46">
        <v>23930</v>
      </c>
      <c r="AQ99" s="46">
        <v>24300</v>
      </c>
      <c r="AR99" s="46">
        <v>23980</v>
      </c>
      <c r="AS99" s="46">
        <v>23490</v>
      </c>
      <c r="AT99" s="46">
        <v>23370</v>
      </c>
      <c r="AU99" s="46">
        <v>24110</v>
      </c>
      <c r="AV99" s="46">
        <v>24580</v>
      </c>
      <c r="AW99" s="46">
        <v>25300</v>
      </c>
      <c r="AX99" s="46">
        <v>25480</v>
      </c>
      <c r="AY99" s="46">
        <v>26730</v>
      </c>
      <c r="AZ99" s="46">
        <v>26570</v>
      </c>
      <c r="BA99" s="46">
        <v>26090</v>
      </c>
      <c r="BB99" s="46">
        <v>25580</v>
      </c>
      <c r="BC99" s="46">
        <v>24940</v>
      </c>
      <c r="BD99" s="46">
        <v>24230</v>
      </c>
      <c r="BE99" s="46">
        <v>24680</v>
      </c>
      <c r="BF99" s="46">
        <v>24820</v>
      </c>
      <c r="BG99" s="46">
        <v>25890</v>
      </c>
      <c r="BH99" s="46">
        <v>26560</v>
      </c>
      <c r="BI99" s="46">
        <v>27300</v>
      </c>
    </row>
    <row r="100" spans="1:61" x14ac:dyDescent="0.25">
      <c r="A100" s="11">
        <v>85</v>
      </c>
      <c r="B100" s="29">
        <v>6940</v>
      </c>
      <c r="C100" s="29">
        <v>7130</v>
      </c>
      <c r="D100" s="29">
        <v>6960</v>
      </c>
      <c r="E100" s="29">
        <v>7160</v>
      </c>
      <c r="F100" s="29">
        <v>7480</v>
      </c>
      <c r="G100" s="29">
        <v>7290</v>
      </c>
      <c r="H100" s="29">
        <v>7350</v>
      </c>
      <c r="I100" s="29">
        <v>7380</v>
      </c>
      <c r="J100" s="29">
        <v>7510</v>
      </c>
      <c r="K100" s="29">
        <v>7750</v>
      </c>
      <c r="L100" s="29">
        <v>7850</v>
      </c>
      <c r="M100" s="46">
        <v>7530</v>
      </c>
      <c r="N100" s="46">
        <v>7600</v>
      </c>
      <c r="O100" s="46">
        <v>7620</v>
      </c>
      <c r="P100" s="46">
        <v>7650</v>
      </c>
      <c r="Q100" s="46">
        <v>8030</v>
      </c>
      <c r="R100" s="46">
        <v>8330</v>
      </c>
      <c r="S100" s="46">
        <v>8670</v>
      </c>
      <c r="T100" s="46">
        <v>9160</v>
      </c>
      <c r="U100" s="46">
        <v>9970</v>
      </c>
      <c r="V100" s="46">
        <v>10770</v>
      </c>
      <c r="W100" s="46">
        <v>11040</v>
      </c>
      <c r="X100" s="46">
        <v>9980</v>
      </c>
      <c r="Y100" s="46">
        <v>11050</v>
      </c>
      <c r="Z100" s="46">
        <v>11730</v>
      </c>
      <c r="AA100" s="46">
        <v>12500</v>
      </c>
      <c r="AB100" s="46">
        <v>14930</v>
      </c>
      <c r="AC100" s="46">
        <v>15010</v>
      </c>
      <c r="AD100" s="46">
        <v>14840</v>
      </c>
      <c r="AE100" s="46">
        <v>15550</v>
      </c>
      <c r="AF100" s="46">
        <v>15450</v>
      </c>
      <c r="AG100" s="46">
        <v>16040</v>
      </c>
      <c r="AH100" s="46">
        <v>16470</v>
      </c>
      <c r="AI100" s="46">
        <v>17220</v>
      </c>
      <c r="AJ100" s="46">
        <v>17790</v>
      </c>
      <c r="AK100" s="46">
        <v>18490</v>
      </c>
      <c r="AL100" s="46">
        <v>19070</v>
      </c>
      <c r="AM100" s="46">
        <v>19720</v>
      </c>
      <c r="AN100" s="46">
        <v>20500</v>
      </c>
      <c r="AO100" s="46">
        <v>20940</v>
      </c>
      <c r="AP100" s="46">
        <v>21990</v>
      </c>
      <c r="AQ100" s="46">
        <v>22840</v>
      </c>
      <c r="AR100" s="46">
        <v>23200</v>
      </c>
      <c r="AS100" s="46">
        <v>22910</v>
      </c>
      <c r="AT100" s="46">
        <v>22460</v>
      </c>
      <c r="AU100" s="46">
        <v>22360</v>
      </c>
      <c r="AV100" s="46">
        <v>23070</v>
      </c>
      <c r="AW100" s="46">
        <v>23540</v>
      </c>
      <c r="AX100" s="46">
        <v>24250</v>
      </c>
      <c r="AY100" s="46">
        <v>24430</v>
      </c>
      <c r="AZ100" s="46">
        <v>25640</v>
      </c>
      <c r="BA100" s="46">
        <v>25510</v>
      </c>
      <c r="BB100" s="46">
        <v>25050</v>
      </c>
      <c r="BC100" s="46">
        <v>24580</v>
      </c>
      <c r="BD100" s="46">
        <v>23970</v>
      </c>
      <c r="BE100" s="46">
        <v>23300</v>
      </c>
      <c r="BF100" s="46">
        <v>23750</v>
      </c>
      <c r="BG100" s="46">
        <v>23900</v>
      </c>
      <c r="BH100" s="46">
        <v>24940</v>
      </c>
      <c r="BI100" s="46">
        <v>25600</v>
      </c>
    </row>
    <row r="101" spans="1:61" x14ac:dyDescent="0.25">
      <c r="A101" s="11">
        <v>86</v>
      </c>
      <c r="B101" s="29">
        <v>6240</v>
      </c>
      <c r="C101" s="29">
        <v>6390</v>
      </c>
      <c r="D101" s="29">
        <v>6540</v>
      </c>
      <c r="E101" s="29">
        <v>6380</v>
      </c>
      <c r="F101" s="29">
        <v>6560</v>
      </c>
      <c r="G101" s="29">
        <v>6900</v>
      </c>
      <c r="H101" s="29">
        <v>6650</v>
      </c>
      <c r="I101" s="29">
        <v>6750</v>
      </c>
      <c r="J101" s="29">
        <v>6850</v>
      </c>
      <c r="K101" s="29">
        <v>6940</v>
      </c>
      <c r="L101" s="29">
        <v>7160</v>
      </c>
      <c r="M101" s="46">
        <v>7200</v>
      </c>
      <c r="N101" s="46">
        <v>6930</v>
      </c>
      <c r="O101" s="46">
        <v>7000</v>
      </c>
      <c r="P101" s="46">
        <v>7090</v>
      </c>
      <c r="Q101" s="46">
        <v>7100</v>
      </c>
      <c r="R101" s="46">
        <v>7440</v>
      </c>
      <c r="S101" s="46">
        <v>7680</v>
      </c>
      <c r="T101" s="46">
        <v>8060</v>
      </c>
      <c r="U101" s="46">
        <v>8520</v>
      </c>
      <c r="V101" s="46">
        <v>9280</v>
      </c>
      <c r="W101" s="46">
        <v>10040</v>
      </c>
      <c r="X101" s="46">
        <v>10300</v>
      </c>
      <c r="Y101" s="46">
        <v>9310</v>
      </c>
      <c r="Z101" s="46">
        <v>10330</v>
      </c>
      <c r="AA101" s="46">
        <v>10960</v>
      </c>
      <c r="AB101" s="46">
        <v>11690</v>
      </c>
      <c r="AC101" s="46">
        <v>13980</v>
      </c>
      <c r="AD101" s="46">
        <v>14070</v>
      </c>
      <c r="AE101" s="46">
        <v>13920</v>
      </c>
      <c r="AF101" s="46">
        <v>14600</v>
      </c>
      <c r="AG101" s="46">
        <v>14520</v>
      </c>
      <c r="AH101" s="46">
        <v>15080</v>
      </c>
      <c r="AI101" s="46">
        <v>15500</v>
      </c>
      <c r="AJ101" s="46">
        <v>16210</v>
      </c>
      <c r="AK101" s="46">
        <v>16760</v>
      </c>
      <c r="AL101" s="46">
        <v>17440</v>
      </c>
      <c r="AM101" s="46">
        <v>17990</v>
      </c>
      <c r="AN101" s="46">
        <v>18620</v>
      </c>
      <c r="AO101" s="46">
        <v>19370</v>
      </c>
      <c r="AP101" s="46">
        <v>19790</v>
      </c>
      <c r="AQ101" s="46">
        <v>20800</v>
      </c>
      <c r="AR101" s="46">
        <v>21620</v>
      </c>
      <c r="AS101" s="46">
        <v>21980</v>
      </c>
      <c r="AT101" s="46">
        <v>21720</v>
      </c>
      <c r="AU101" s="46">
        <v>21300</v>
      </c>
      <c r="AV101" s="46">
        <v>21220</v>
      </c>
      <c r="AW101" s="46">
        <v>21910</v>
      </c>
      <c r="AX101" s="46">
        <v>22370</v>
      </c>
      <c r="AY101" s="46">
        <v>23060</v>
      </c>
      <c r="AZ101" s="46">
        <v>23240</v>
      </c>
      <c r="BA101" s="46">
        <v>24410</v>
      </c>
      <c r="BB101" s="46">
        <v>24300</v>
      </c>
      <c r="BC101" s="46">
        <v>23880</v>
      </c>
      <c r="BD101" s="46">
        <v>23440</v>
      </c>
      <c r="BE101" s="46">
        <v>22870</v>
      </c>
      <c r="BF101" s="46">
        <v>22250</v>
      </c>
      <c r="BG101" s="46">
        <v>22680</v>
      </c>
      <c r="BH101" s="46">
        <v>22840</v>
      </c>
      <c r="BI101" s="46">
        <v>23850</v>
      </c>
    </row>
    <row r="102" spans="1:61" x14ac:dyDescent="0.25">
      <c r="A102" s="11">
        <v>87</v>
      </c>
      <c r="B102" s="29">
        <v>4700</v>
      </c>
      <c r="C102" s="29">
        <v>5630</v>
      </c>
      <c r="D102" s="29">
        <v>5730</v>
      </c>
      <c r="E102" s="29">
        <v>5900</v>
      </c>
      <c r="F102" s="29">
        <v>5790</v>
      </c>
      <c r="G102" s="29">
        <v>5930</v>
      </c>
      <c r="H102" s="29">
        <v>6250</v>
      </c>
      <c r="I102" s="29">
        <v>6040</v>
      </c>
      <c r="J102" s="29">
        <v>6210</v>
      </c>
      <c r="K102" s="29">
        <v>6250</v>
      </c>
      <c r="L102" s="29">
        <v>6360</v>
      </c>
      <c r="M102" s="46">
        <v>6550</v>
      </c>
      <c r="N102" s="46">
        <v>6560</v>
      </c>
      <c r="O102" s="46">
        <v>6310</v>
      </c>
      <c r="P102" s="46">
        <v>6420</v>
      </c>
      <c r="Q102" s="46">
        <v>6510</v>
      </c>
      <c r="R102" s="46">
        <v>6450</v>
      </c>
      <c r="S102" s="46">
        <v>6770</v>
      </c>
      <c r="T102" s="46">
        <v>7020</v>
      </c>
      <c r="U102" s="46">
        <v>7400</v>
      </c>
      <c r="V102" s="46">
        <v>7830</v>
      </c>
      <c r="W102" s="46">
        <v>8540</v>
      </c>
      <c r="X102" s="46">
        <v>9250</v>
      </c>
      <c r="Y102" s="46">
        <v>9500</v>
      </c>
      <c r="Z102" s="46">
        <v>8600</v>
      </c>
      <c r="AA102" s="46">
        <v>9550</v>
      </c>
      <c r="AB102" s="46">
        <v>10140</v>
      </c>
      <c r="AC102" s="46">
        <v>10830</v>
      </c>
      <c r="AD102" s="46">
        <v>12960</v>
      </c>
      <c r="AE102" s="46">
        <v>13050</v>
      </c>
      <c r="AF102" s="46">
        <v>12920</v>
      </c>
      <c r="AG102" s="46">
        <v>13560</v>
      </c>
      <c r="AH102" s="46">
        <v>13500</v>
      </c>
      <c r="AI102" s="46">
        <v>14030</v>
      </c>
      <c r="AJ102" s="46">
        <v>14430</v>
      </c>
      <c r="AK102" s="46">
        <v>15110</v>
      </c>
      <c r="AL102" s="46">
        <v>15630</v>
      </c>
      <c r="AM102" s="46">
        <v>16280</v>
      </c>
      <c r="AN102" s="46">
        <v>16800</v>
      </c>
      <c r="AO102" s="46">
        <v>17400</v>
      </c>
      <c r="AP102" s="46">
        <v>18120</v>
      </c>
      <c r="AQ102" s="46">
        <v>18530</v>
      </c>
      <c r="AR102" s="46">
        <v>19490</v>
      </c>
      <c r="AS102" s="46">
        <v>20270</v>
      </c>
      <c r="AT102" s="46">
        <v>20620</v>
      </c>
      <c r="AU102" s="46">
        <v>20390</v>
      </c>
      <c r="AV102" s="46">
        <v>20010</v>
      </c>
      <c r="AW102" s="46">
        <v>19950</v>
      </c>
      <c r="AX102" s="46">
        <v>20620</v>
      </c>
      <c r="AY102" s="46">
        <v>21060</v>
      </c>
      <c r="AZ102" s="46">
        <v>21720</v>
      </c>
      <c r="BA102" s="46">
        <v>21910</v>
      </c>
      <c r="BB102" s="46">
        <v>23020</v>
      </c>
      <c r="BC102" s="46">
        <v>22930</v>
      </c>
      <c r="BD102" s="46">
        <v>22550</v>
      </c>
      <c r="BE102" s="46">
        <v>22150</v>
      </c>
      <c r="BF102" s="46">
        <v>21630</v>
      </c>
      <c r="BG102" s="46">
        <v>21050</v>
      </c>
      <c r="BH102" s="46">
        <v>21480</v>
      </c>
      <c r="BI102" s="46">
        <v>21640</v>
      </c>
    </row>
    <row r="103" spans="1:61" x14ac:dyDescent="0.25">
      <c r="A103" s="11">
        <v>88</v>
      </c>
      <c r="B103" s="29">
        <v>4260</v>
      </c>
      <c r="C103" s="29">
        <v>4210</v>
      </c>
      <c r="D103" s="29">
        <v>4990</v>
      </c>
      <c r="E103" s="29">
        <v>5140</v>
      </c>
      <c r="F103" s="29">
        <v>5280</v>
      </c>
      <c r="G103" s="29">
        <v>5170</v>
      </c>
      <c r="H103" s="29">
        <v>5280</v>
      </c>
      <c r="I103" s="29">
        <v>5610</v>
      </c>
      <c r="J103" s="29">
        <v>5470</v>
      </c>
      <c r="K103" s="29">
        <v>5590</v>
      </c>
      <c r="L103" s="29">
        <v>5620</v>
      </c>
      <c r="M103" s="46">
        <v>5750</v>
      </c>
      <c r="N103" s="46">
        <v>5890</v>
      </c>
      <c r="O103" s="46">
        <v>5930</v>
      </c>
      <c r="P103" s="46">
        <v>5720</v>
      </c>
      <c r="Q103" s="46">
        <v>5800</v>
      </c>
      <c r="R103" s="46">
        <v>5850</v>
      </c>
      <c r="S103" s="46">
        <v>5800</v>
      </c>
      <c r="T103" s="46">
        <v>6150</v>
      </c>
      <c r="U103" s="46">
        <v>6360</v>
      </c>
      <c r="V103" s="46">
        <v>6720</v>
      </c>
      <c r="W103" s="46">
        <v>7110</v>
      </c>
      <c r="X103" s="46">
        <v>7770</v>
      </c>
      <c r="Y103" s="46">
        <v>8420</v>
      </c>
      <c r="Z103" s="46">
        <v>8650</v>
      </c>
      <c r="AA103" s="46">
        <v>7840</v>
      </c>
      <c r="AB103" s="46">
        <v>8710</v>
      </c>
      <c r="AC103" s="46">
        <v>9270</v>
      </c>
      <c r="AD103" s="46">
        <v>9900</v>
      </c>
      <c r="AE103" s="46">
        <v>11860</v>
      </c>
      <c r="AF103" s="46">
        <v>11960</v>
      </c>
      <c r="AG103" s="46">
        <v>11850</v>
      </c>
      <c r="AH103" s="46">
        <v>12450</v>
      </c>
      <c r="AI103" s="46">
        <v>12400</v>
      </c>
      <c r="AJ103" s="46">
        <v>12900</v>
      </c>
      <c r="AK103" s="46">
        <v>13280</v>
      </c>
      <c r="AL103" s="46">
        <v>13910</v>
      </c>
      <c r="AM103" s="46">
        <v>14410</v>
      </c>
      <c r="AN103" s="46">
        <v>15010</v>
      </c>
      <c r="AO103" s="46">
        <v>15510</v>
      </c>
      <c r="AP103" s="46">
        <v>16080</v>
      </c>
      <c r="AQ103" s="46">
        <v>16760</v>
      </c>
      <c r="AR103" s="46">
        <v>17150</v>
      </c>
      <c r="AS103" s="46">
        <v>18050</v>
      </c>
      <c r="AT103" s="46">
        <v>18790</v>
      </c>
      <c r="AU103" s="46">
        <v>19130</v>
      </c>
      <c r="AV103" s="46">
        <v>18930</v>
      </c>
      <c r="AW103" s="46">
        <v>18590</v>
      </c>
      <c r="AX103" s="46">
        <v>18540</v>
      </c>
      <c r="AY103" s="46">
        <v>19180</v>
      </c>
      <c r="AZ103" s="46">
        <v>19600</v>
      </c>
      <c r="BA103" s="46">
        <v>20230</v>
      </c>
      <c r="BB103" s="46">
        <v>20420</v>
      </c>
      <c r="BC103" s="46">
        <v>21480</v>
      </c>
      <c r="BD103" s="46">
        <v>21410</v>
      </c>
      <c r="BE103" s="46">
        <v>21060</v>
      </c>
      <c r="BF103" s="46">
        <v>20710</v>
      </c>
      <c r="BG103" s="46">
        <v>20230</v>
      </c>
      <c r="BH103" s="46">
        <v>19700</v>
      </c>
      <c r="BI103" s="46">
        <v>20110</v>
      </c>
    </row>
    <row r="104" spans="1:61" x14ac:dyDescent="0.25">
      <c r="A104" s="11">
        <v>89</v>
      </c>
      <c r="B104" s="29">
        <v>3770</v>
      </c>
      <c r="C104" s="29">
        <v>3750</v>
      </c>
      <c r="D104" s="29">
        <v>3720</v>
      </c>
      <c r="E104" s="29">
        <v>4400</v>
      </c>
      <c r="F104" s="29">
        <v>4520</v>
      </c>
      <c r="G104" s="29">
        <v>4660</v>
      </c>
      <c r="H104" s="29">
        <v>4540</v>
      </c>
      <c r="I104" s="29">
        <v>4660</v>
      </c>
      <c r="J104" s="29">
        <v>5010</v>
      </c>
      <c r="K104" s="29">
        <v>4890</v>
      </c>
      <c r="L104" s="29">
        <v>4990</v>
      </c>
      <c r="M104" s="46">
        <v>4950</v>
      </c>
      <c r="N104" s="46">
        <v>5110</v>
      </c>
      <c r="O104" s="46">
        <v>5240</v>
      </c>
      <c r="P104" s="46">
        <v>5280</v>
      </c>
      <c r="Q104" s="46">
        <v>5120</v>
      </c>
      <c r="R104" s="46">
        <v>5190</v>
      </c>
      <c r="S104" s="46">
        <v>5140</v>
      </c>
      <c r="T104" s="46">
        <v>5150</v>
      </c>
      <c r="U104" s="46">
        <v>5480</v>
      </c>
      <c r="V104" s="46">
        <v>5680</v>
      </c>
      <c r="W104" s="46">
        <v>6000</v>
      </c>
      <c r="X104" s="46">
        <v>6370</v>
      </c>
      <c r="Y104" s="46">
        <v>6960</v>
      </c>
      <c r="Z104" s="46">
        <v>7550</v>
      </c>
      <c r="AA104" s="46">
        <v>7770</v>
      </c>
      <c r="AB104" s="46">
        <v>7050</v>
      </c>
      <c r="AC104" s="46">
        <v>7840</v>
      </c>
      <c r="AD104" s="46">
        <v>8350</v>
      </c>
      <c r="AE104" s="46">
        <v>8930</v>
      </c>
      <c r="AF104" s="46">
        <v>10700</v>
      </c>
      <c r="AG104" s="46">
        <v>10800</v>
      </c>
      <c r="AH104" s="46">
        <v>10710</v>
      </c>
      <c r="AI104" s="46">
        <v>11270</v>
      </c>
      <c r="AJ104" s="46">
        <v>11230</v>
      </c>
      <c r="AK104" s="46">
        <v>11700</v>
      </c>
      <c r="AL104" s="46">
        <v>12050</v>
      </c>
      <c r="AM104" s="46">
        <v>12640</v>
      </c>
      <c r="AN104" s="46">
        <v>13100</v>
      </c>
      <c r="AO104" s="46">
        <v>13660</v>
      </c>
      <c r="AP104" s="46">
        <v>14120</v>
      </c>
      <c r="AQ104" s="46">
        <v>14650</v>
      </c>
      <c r="AR104" s="46">
        <v>15280</v>
      </c>
      <c r="AS104" s="46">
        <v>15650</v>
      </c>
      <c r="AT104" s="46">
        <v>16490</v>
      </c>
      <c r="AU104" s="46">
        <v>17180</v>
      </c>
      <c r="AV104" s="46">
        <v>17500</v>
      </c>
      <c r="AW104" s="46">
        <v>17330</v>
      </c>
      <c r="AX104" s="46">
        <v>17030</v>
      </c>
      <c r="AY104" s="46">
        <v>17010</v>
      </c>
      <c r="AZ104" s="46">
        <v>17600</v>
      </c>
      <c r="BA104" s="46">
        <v>18000</v>
      </c>
      <c r="BB104" s="46">
        <v>18600</v>
      </c>
      <c r="BC104" s="46">
        <v>18790</v>
      </c>
      <c r="BD104" s="46">
        <v>19770</v>
      </c>
      <c r="BE104" s="46">
        <v>19720</v>
      </c>
      <c r="BF104" s="46">
        <v>19420</v>
      </c>
      <c r="BG104" s="46">
        <v>19110</v>
      </c>
      <c r="BH104" s="46">
        <v>18680</v>
      </c>
      <c r="BI104" s="46">
        <v>18210</v>
      </c>
    </row>
    <row r="105" spans="1:61" x14ac:dyDescent="0.25">
      <c r="A105" s="11">
        <v>90</v>
      </c>
      <c r="B105" s="29">
        <v>3250</v>
      </c>
      <c r="C105" s="29">
        <v>3250</v>
      </c>
      <c r="D105" s="29">
        <v>3240</v>
      </c>
      <c r="E105" s="29">
        <v>3190</v>
      </c>
      <c r="F105" s="29">
        <v>3800</v>
      </c>
      <c r="G105" s="29">
        <v>3930</v>
      </c>
      <c r="H105" s="29">
        <v>4010</v>
      </c>
      <c r="I105" s="29">
        <v>3930</v>
      </c>
      <c r="J105" s="29">
        <v>4070</v>
      </c>
      <c r="K105" s="29">
        <v>4410</v>
      </c>
      <c r="L105" s="29">
        <v>4240</v>
      </c>
      <c r="M105" s="46">
        <v>4340</v>
      </c>
      <c r="N105" s="46">
        <v>4320</v>
      </c>
      <c r="O105" s="46">
        <v>4470</v>
      </c>
      <c r="P105" s="46">
        <v>4600</v>
      </c>
      <c r="Q105" s="46">
        <v>4660</v>
      </c>
      <c r="R105" s="46">
        <v>4470</v>
      </c>
      <c r="S105" s="46">
        <v>4480</v>
      </c>
      <c r="T105" s="46">
        <v>4490</v>
      </c>
      <c r="U105" s="46">
        <v>4510</v>
      </c>
      <c r="V105" s="46">
        <v>4810</v>
      </c>
      <c r="W105" s="46">
        <v>4990</v>
      </c>
      <c r="X105" s="46">
        <v>5280</v>
      </c>
      <c r="Y105" s="46">
        <v>5600</v>
      </c>
      <c r="Z105" s="46">
        <v>6130</v>
      </c>
      <c r="AA105" s="46">
        <v>6660</v>
      </c>
      <c r="AB105" s="46">
        <v>6860</v>
      </c>
      <c r="AC105" s="46">
        <v>6230</v>
      </c>
      <c r="AD105" s="46">
        <v>6940</v>
      </c>
      <c r="AE105" s="46">
        <v>7390</v>
      </c>
      <c r="AF105" s="46">
        <v>7920</v>
      </c>
      <c r="AG105" s="46">
        <v>9500</v>
      </c>
      <c r="AH105" s="46">
        <v>9600</v>
      </c>
      <c r="AI105" s="46">
        <v>9530</v>
      </c>
      <c r="AJ105" s="46">
        <v>10030</v>
      </c>
      <c r="AK105" s="46">
        <v>10010</v>
      </c>
      <c r="AL105" s="46">
        <v>10430</v>
      </c>
      <c r="AM105" s="46">
        <v>10760</v>
      </c>
      <c r="AN105" s="46">
        <v>11290</v>
      </c>
      <c r="AO105" s="46">
        <v>11710</v>
      </c>
      <c r="AP105" s="46">
        <v>12230</v>
      </c>
      <c r="AQ105" s="46">
        <v>12660</v>
      </c>
      <c r="AR105" s="46">
        <v>13140</v>
      </c>
      <c r="AS105" s="46">
        <v>13720</v>
      </c>
      <c r="AT105" s="46">
        <v>14060</v>
      </c>
      <c r="AU105" s="46">
        <v>14820</v>
      </c>
      <c r="AV105" s="46">
        <v>15460</v>
      </c>
      <c r="AW105" s="46">
        <v>15760</v>
      </c>
      <c r="AX105" s="46">
        <v>15620</v>
      </c>
      <c r="AY105" s="46">
        <v>15370</v>
      </c>
      <c r="AZ105" s="46">
        <v>15360</v>
      </c>
      <c r="BA105" s="46">
        <v>15910</v>
      </c>
      <c r="BB105" s="46">
        <v>16280</v>
      </c>
      <c r="BC105" s="46">
        <v>16830</v>
      </c>
      <c r="BD105" s="46">
        <v>17020</v>
      </c>
      <c r="BE105" s="46">
        <v>17920</v>
      </c>
      <c r="BF105" s="46">
        <v>17890</v>
      </c>
      <c r="BG105" s="46">
        <v>17630</v>
      </c>
      <c r="BH105" s="46">
        <v>17360</v>
      </c>
      <c r="BI105" s="46">
        <v>16990</v>
      </c>
    </row>
    <row r="106" spans="1:61" x14ac:dyDescent="0.25">
      <c r="A106" s="11">
        <v>91</v>
      </c>
      <c r="B106" s="29">
        <v>2700</v>
      </c>
      <c r="C106" s="29">
        <v>2720</v>
      </c>
      <c r="D106" s="29">
        <v>2760</v>
      </c>
      <c r="E106" s="29">
        <v>2730</v>
      </c>
      <c r="F106" s="29">
        <v>2700</v>
      </c>
      <c r="G106" s="29">
        <v>3200</v>
      </c>
      <c r="H106" s="29">
        <v>3320</v>
      </c>
      <c r="I106" s="29">
        <v>3410</v>
      </c>
      <c r="J106" s="29">
        <v>3370</v>
      </c>
      <c r="K106" s="29">
        <v>3510</v>
      </c>
      <c r="L106" s="29">
        <v>3740</v>
      </c>
      <c r="M106" s="46">
        <v>3660</v>
      </c>
      <c r="N106" s="46">
        <v>3690</v>
      </c>
      <c r="O106" s="46">
        <v>3680</v>
      </c>
      <c r="P106" s="46">
        <v>3850</v>
      </c>
      <c r="Q106" s="46">
        <v>3990</v>
      </c>
      <c r="R106" s="46">
        <v>3930</v>
      </c>
      <c r="S106" s="46">
        <v>3810</v>
      </c>
      <c r="T106" s="46">
        <v>3840</v>
      </c>
      <c r="U106" s="46">
        <v>3850</v>
      </c>
      <c r="V106" s="46">
        <v>3880</v>
      </c>
      <c r="W106" s="46">
        <v>4140</v>
      </c>
      <c r="X106" s="46">
        <v>4300</v>
      </c>
      <c r="Y106" s="46">
        <v>4550</v>
      </c>
      <c r="Z106" s="46">
        <v>4840</v>
      </c>
      <c r="AA106" s="46">
        <v>5310</v>
      </c>
      <c r="AB106" s="46">
        <v>5770</v>
      </c>
      <c r="AC106" s="46">
        <v>5950</v>
      </c>
      <c r="AD106" s="46">
        <v>5410</v>
      </c>
      <c r="AE106" s="46">
        <v>6030</v>
      </c>
      <c r="AF106" s="46">
        <v>6430</v>
      </c>
      <c r="AG106" s="46">
        <v>6890</v>
      </c>
      <c r="AH106" s="46">
        <v>8280</v>
      </c>
      <c r="AI106" s="46">
        <v>8370</v>
      </c>
      <c r="AJ106" s="46">
        <v>8320</v>
      </c>
      <c r="AK106" s="46">
        <v>8770</v>
      </c>
      <c r="AL106" s="46">
        <v>8760</v>
      </c>
      <c r="AM106" s="46">
        <v>9140</v>
      </c>
      <c r="AN106" s="46">
        <v>9430</v>
      </c>
      <c r="AO106" s="46">
        <v>9910</v>
      </c>
      <c r="AP106" s="46">
        <v>10290</v>
      </c>
      <c r="AQ106" s="46">
        <v>10750</v>
      </c>
      <c r="AR106" s="46">
        <v>11140</v>
      </c>
      <c r="AS106" s="46">
        <v>11580</v>
      </c>
      <c r="AT106" s="46">
        <v>12090</v>
      </c>
      <c r="AU106" s="46">
        <v>12410</v>
      </c>
      <c r="AV106" s="46">
        <v>13090</v>
      </c>
      <c r="AW106" s="46">
        <v>13660</v>
      </c>
      <c r="AX106" s="46">
        <v>13950</v>
      </c>
      <c r="AY106" s="46">
        <v>13840</v>
      </c>
      <c r="AZ106" s="46">
        <v>13620</v>
      </c>
      <c r="BA106" s="46">
        <v>13620</v>
      </c>
      <c r="BB106" s="46">
        <v>14120</v>
      </c>
      <c r="BC106" s="46">
        <v>14470</v>
      </c>
      <c r="BD106" s="46">
        <v>14970</v>
      </c>
      <c r="BE106" s="46">
        <v>15150</v>
      </c>
      <c r="BF106" s="46">
        <v>15970</v>
      </c>
      <c r="BG106" s="46">
        <v>15950</v>
      </c>
      <c r="BH106" s="46">
        <v>15740</v>
      </c>
      <c r="BI106" s="46">
        <v>15510</v>
      </c>
    </row>
    <row r="107" spans="1:61" x14ac:dyDescent="0.25">
      <c r="A107" s="11">
        <v>92</v>
      </c>
      <c r="B107" s="29">
        <v>2080</v>
      </c>
      <c r="C107" s="29">
        <v>2240</v>
      </c>
      <c r="D107" s="29">
        <v>2290</v>
      </c>
      <c r="E107" s="29">
        <v>2290</v>
      </c>
      <c r="F107" s="29">
        <v>2300</v>
      </c>
      <c r="G107" s="29">
        <v>2240</v>
      </c>
      <c r="H107" s="29">
        <v>2650</v>
      </c>
      <c r="I107" s="29">
        <v>2740</v>
      </c>
      <c r="J107" s="29">
        <v>2890</v>
      </c>
      <c r="K107" s="29">
        <v>2840</v>
      </c>
      <c r="L107" s="29">
        <v>2970</v>
      </c>
      <c r="M107" s="46">
        <v>3170</v>
      </c>
      <c r="N107" s="46">
        <v>3090</v>
      </c>
      <c r="O107" s="46">
        <v>3060</v>
      </c>
      <c r="P107" s="46">
        <v>3100</v>
      </c>
      <c r="Q107" s="46">
        <v>3280</v>
      </c>
      <c r="R107" s="46">
        <v>3310</v>
      </c>
      <c r="S107" s="46">
        <v>3270</v>
      </c>
      <c r="T107" s="46">
        <v>3160</v>
      </c>
      <c r="U107" s="46">
        <v>3220</v>
      </c>
      <c r="V107" s="46">
        <v>3230</v>
      </c>
      <c r="W107" s="46">
        <v>3260</v>
      </c>
      <c r="X107" s="46">
        <v>3490</v>
      </c>
      <c r="Y107" s="46">
        <v>3630</v>
      </c>
      <c r="Z107" s="46">
        <v>3850</v>
      </c>
      <c r="AA107" s="46">
        <v>4100</v>
      </c>
      <c r="AB107" s="46">
        <v>4500</v>
      </c>
      <c r="AC107" s="46">
        <v>4900</v>
      </c>
      <c r="AD107" s="46">
        <v>5050</v>
      </c>
      <c r="AE107" s="46">
        <v>4600</v>
      </c>
      <c r="AF107" s="46">
        <v>5130</v>
      </c>
      <c r="AG107" s="46">
        <v>5480</v>
      </c>
      <c r="AH107" s="46">
        <v>5880</v>
      </c>
      <c r="AI107" s="46">
        <v>7070</v>
      </c>
      <c r="AJ107" s="46">
        <v>7160</v>
      </c>
      <c r="AK107" s="46">
        <v>7120</v>
      </c>
      <c r="AL107" s="46">
        <v>7510</v>
      </c>
      <c r="AM107" s="46">
        <v>7510</v>
      </c>
      <c r="AN107" s="46">
        <v>7850</v>
      </c>
      <c r="AO107" s="46">
        <v>8110</v>
      </c>
      <c r="AP107" s="46">
        <v>8520</v>
      </c>
      <c r="AQ107" s="46">
        <v>8860</v>
      </c>
      <c r="AR107" s="46">
        <v>9270</v>
      </c>
      <c r="AS107" s="46">
        <v>9610</v>
      </c>
      <c r="AT107" s="46">
        <v>10000</v>
      </c>
      <c r="AU107" s="46">
        <v>10450</v>
      </c>
      <c r="AV107" s="46">
        <v>10740</v>
      </c>
      <c r="AW107" s="46">
        <v>11340</v>
      </c>
      <c r="AX107" s="46">
        <v>11840</v>
      </c>
      <c r="AY107" s="46">
        <v>12100</v>
      </c>
      <c r="AZ107" s="46">
        <v>12010</v>
      </c>
      <c r="BA107" s="46">
        <v>11840</v>
      </c>
      <c r="BB107" s="46">
        <v>11850</v>
      </c>
      <c r="BC107" s="46">
        <v>12300</v>
      </c>
      <c r="BD107" s="46">
        <v>12610</v>
      </c>
      <c r="BE107" s="46">
        <v>13060</v>
      </c>
      <c r="BF107" s="46">
        <v>13230</v>
      </c>
      <c r="BG107" s="46">
        <v>13950</v>
      </c>
      <c r="BH107" s="46">
        <v>13950</v>
      </c>
      <c r="BI107" s="46">
        <v>13770</v>
      </c>
    </row>
    <row r="108" spans="1:61" x14ac:dyDescent="0.25">
      <c r="A108" s="11">
        <v>93</v>
      </c>
      <c r="B108" s="29">
        <v>1740</v>
      </c>
      <c r="C108" s="29">
        <v>1660</v>
      </c>
      <c r="D108" s="29">
        <v>1830</v>
      </c>
      <c r="E108" s="29">
        <v>1880</v>
      </c>
      <c r="F108" s="29">
        <v>1870</v>
      </c>
      <c r="G108" s="29">
        <v>1880</v>
      </c>
      <c r="H108" s="29">
        <v>1790</v>
      </c>
      <c r="I108" s="29">
        <v>2150</v>
      </c>
      <c r="J108" s="29">
        <v>2270</v>
      </c>
      <c r="K108" s="29">
        <v>2370</v>
      </c>
      <c r="L108" s="29">
        <v>2360</v>
      </c>
      <c r="M108" s="46">
        <v>2500</v>
      </c>
      <c r="N108" s="46">
        <v>2610</v>
      </c>
      <c r="O108" s="46">
        <v>2520</v>
      </c>
      <c r="P108" s="46">
        <v>2530</v>
      </c>
      <c r="Q108" s="46">
        <v>2560</v>
      </c>
      <c r="R108" s="46">
        <v>2700</v>
      </c>
      <c r="S108" s="46">
        <v>2700</v>
      </c>
      <c r="T108" s="46">
        <v>2640</v>
      </c>
      <c r="U108" s="46">
        <v>2590</v>
      </c>
      <c r="V108" s="46">
        <v>2650</v>
      </c>
      <c r="W108" s="46">
        <v>2660</v>
      </c>
      <c r="X108" s="46">
        <v>2690</v>
      </c>
      <c r="Y108" s="46">
        <v>2880</v>
      </c>
      <c r="Z108" s="46">
        <v>3000</v>
      </c>
      <c r="AA108" s="46">
        <v>3180</v>
      </c>
      <c r="AB108" s="46">
        <v>3390</v>
      </c>
      <c r="AC108" s="46">
        <v>3730</v>
      </c>
      <c r="AD108" s="46">
        <v>4070</v>
      </c>
      <c r="AE108" s="46">
        <v>4200</v>
      </c>
      <c r="AF108" s="46">
        <v>3830</v>
      </c>
      <c r="AG108" s="46">
        <v>4280</v>
      </c>
      <c r="AH108" s="46">
        <v>4570</v>
      </c>
      <c r="AI108" s="46">
        <v>4910</v>
      </c>
      <c r="AJ108" s="46">
        <v>5910</v>
      </c>
      <c r="AK108" s="46">
        <v>5990</v>
      </c>
      <c r="AL108" s="46">
        <v>5970</v>
      </c>
      <c r="AM108" s="46">
        <v>6300</v>
      </c>
      <c r="AN108" s="46">
        <v>6310</v>
      </c>
      <c r="AO108" s="46">
        <v>6590</v>
      </c>
      <c r="AP108" s="46">
        <v>6820</v>
      </c>
      <c r="AQ108" s="46">
        <v>7180</v>
      </c>
      <c r="AR108" s="46">
        <v>7470</v>
      </c>
      <c r="AS108" s="46">
        <v>7820</v>
      </c>
      <c r="AT108" s="46">
        <v>8120</v>
      </c>
      <c r="AU108" s="46">
        <v>8450</v>
      </c>
      <c r="AV108" s="46">
        <v>8850</v>
      </c>
      <c r="AW108" s="46">
        <v>9090</v>
      </c>
      <c r="AX108" s="46">
        <v>9610</v>
      </c>
      <c r="AY108" s="46">
        <v>10050</v>
      </c>
      <c r="AZ108" s="46">
        <v>10280</v>
      </c>
      <c r="BA108" s="46">
        <v>10220</v>
      </c>
      <c r="BB108" s="46">
        <v>10080</v>
      </c>
      <c r="BC108" s="46">
        <v>10100</v>
      </c>
      <c r="BD108" s="46">
        <v>10490</v>
      </c>
      <c r="BE108" s="46">
        <v>10760</v>
      </c>
      <c r="BF108" s="46">
        <v>11150</v>
      </c>
      <c r="BG108" s="46">
        <v>11310</v>
      </c>
      <c r="BH108" s="46">
        <v>11940</v>
      </c>
      <c r="BI108" s="46">
        <v>11950</v>
      </c>
    </row>
    <row r="109" spans="1:61" x14ac:dyDescent="0.25">
      <c r="A109" s="11">
        <v>94</v>
      </c>
      <c r="B109" s="29">
        <v>1310</v>
      </c>
      <c r="C109" s="29">
        <v>1370</v>
      </c>
      <c r="D109" s="29">
        <v>1330</v>
      </c>
      <c r="E109" s="29">
        <v>1450</v>
      </c>
      <c r="F109" s="29">
        <v>1480</v>
      </c>
      <c r="G109" s="29">
        <v>1480</v>
      </c>
      <c r="H109" s="29">
        <v>1480</v>
      </c>
      <c r="I109" s="29">
        <v>1400</v>
      </c>
      <c r="J109" s="29">
        <v>1740</v>
      </c>
      <c r="K109" s="29">
        <v>1830</v>
      </c>
      <c r="L109" s="29">
        <v>1920</v>
      </c>
      <c r="M109" s="46">
        <v>1940</v>
      </c>
      <c r="N109" s="46">
        <v>2000</v>
      </c>
      <c r="O109" s="46">
        <v>2070</v>
      </c>
      <c r="P109" s="46">
        <v>2050</v>
      </c>
      <c r="Q109" s="46">
        <v>2070</v>
      </c>
      <c r="R109" s="46">
        <v>1990</v>
      </c>
      <c r="S109" s="46">
        <v>2120</v>
      </c>
      <c r="T109" s="46">
        <v>2190</v>
      </c>
      <c r="U109" s="46">
        <v>2110</v>
      </c>
      <c r="V109" s="46">
        <v>2080</v>
      </c>
      <c r="W109" s="46">
        <v>2130</v>
      </c>
      <c r="X109" s="46">
        <v>2140</v>
      </c>
      <c r="Y109" s="46">
        <v>2170</v>
      </c>
      <c r="Z109" s="46">
        <v>2320</v>
      </c>
      <c r="AA109" s="46">
        <v>2420</v>
      </c>
      <c r="AB109" s="46">
        <v>2580</v>
      </c>
      <c r="AC109" s="46">
        <v>2750</v>
      </c>
      <c r="AD109" s="46">
        <v>3020</v>
      </c>
      <c r="AE109" s="46">
        <v>3300</v>
      </c>
      <c r="AF109" s="46">
        <v>3410</v>
      </c>
      <c r="AG109" s="46">
        <v>3120</v>
      </c>
      <c r="AH109" s="46">
        <v>3480</v>
      </c>
      <c r="AI109" s="46">
        <v>3730</v>
      </c>
      <c r="AJ109" s="46">
        <v>4010</v>
      </c>
      <c r="AK109" s="46">
        <v>4830</v>
      </c>
      <c r="AL109" s="46">
        <v>4900</v>
      </c>
      <c r="AM109" s="46">
        <v>4890</v>
      </c>
      <c r="AN109" s="46">
        <v>5170</v>
      </c>
      <c r="AO109" s="46">
        <v>5170</v>
      </c>
      <c r="AP109" s="46">
        <v>5420</v>
      </c>
      <c r="AQ109" s="46">
        <v>5610</v>
      </c>
      <c r="AR109" s="46">
        <v>5910</v>
      </c>
      <c r="AS109" s="46">
        <v>6150</v>
      </c>
      <c r="AT109" s="46">
        <v>6450</v>
      </c>
      <c r="AU109" s="46">
        <v>6700</v>
      </c>
      <c r="AV109" s="46">
        <v>6990</v>
      </c>
      <c r="AW109" s="46">
        <v>7320</v>
      </c>
      <c r="AX109" s="46">
        <v>7530</v>
      </c>
      <c r="AY109" s="46">
        <v>7970</v>
      </c>
      <c r="AZ109" s="46">
        <v>8340</v>
      </c>
      <c r="BA109" s="46">
        <v>8540</v>
      </c>
      <c r="BB109" s="46">
        <v>8490</v>
      </c>
      <c r="BC109" s="46">
        <v>8390</v>
      </c>
      <c r="BD109" s="46">
        <v>8410</v>
      </c>
      <c r="BE109" s="46">
        <v>8740</v>
      </c>
      <c r="BF109" s="46">
        <v>8980</v>
      </c>
      <c r="BG109" s="46">
        <v>9320</v>
      </c>
      <c r="BH109" s="46">
        <v>9460</v>
      </c>
      <c r="BI109" s="46">
        <v>9990</v>
      </c>
    </row>
    <row r="110" spans="1:61" x14ac:dyDescent="0.25">
      <c r="A110" s="11" t="s">
        <v>8</v>
      </c>
      <c r="B110" s="29">
        <v>2960</v>
      </c>
      <c r="C110" s="29">
        <v>3090</v>
      </c>
      <c r="D110" s="29">
        <v>3260</v>
      </c>
      <c r="E110" s="29">
        <v>3310</v>
      </c>
      <c r="F110" s="29">
        <v>3590</v>
      </c>
      <c r="G110" s="29">
        <v>3710</v>
      </c>
      <c r="H110" s="29">
        <v>3780</v>
      </c>
      <c r="I110" s="29">
        <v>3810</v>
      </c>
      <c r="J110" s="29">
        <v>3860</v>
      </c>
      <c r="K110" s="29">
        <v>4120</v>
      </c>
      <c r="L110" s="29">
        <v>4390</v>
      </c>
      <c r="M110" s="46">
        <v>4710</v>
      </c>
      <c r="N110" s="46">
        <v>4980</v>
      </c>
      <c r="O110" s="46">
        <v>5180</v>
      </c>
      <c r="P110" s="46">
        <v>5330</v>
      </c>
      <c r="Q110" s="46">
        <v>5510</v>
      </c>
      <c r="R110" s="46">
        <v>5380</v>
      </c>
      <c r="S110" s="46">
        <v>5140</v>
      </c>
      <c r="T110" s="46">
        <v>5280</v>
      </c>
      <c r="U110" s="46">
        <v>5600</v>
      </c>
      <c r="V110" s="46">
        <v>5800</v>
      </c>
      <c r="W110" s="46">
        <v>5920</v>
      </c>
      <c r="X110" s="46">
        <v>6040</v>
      </c>
      <c r="Y110" s="46">
        <v>6140</v>
      </c>
      <c r="Z110" s="46">
        <v>6230</v>
      </c>
      <c r="AA110" s="46">
        <v>6430</v>
      </c>
      <c r="AB110" s="46">
        <v>6660</v>
      </c>
      <c r="AC110" s="46">
        <v>6950</v>
      </c>
      <c r="AD110" s="46">
        <v>7320</v>
      </c>
      <c r="AE110" s="46">
        <v>7810</v>
      </c>
      <c r="AF110" s="46">
        <v>8410</v>
      </c>
      <c r="AG110" s="46">
        <v>8960</v>
      </c>
      <c r="AH110" s="46">
        <v>9140</v>
      </c>
      <c r="AI110" s="46">
        <v>9560</v>
      </c>
      <c r="AJ110" s="46">
        <v>10080</v>
      </c>
      <c r="AK110" s="46">
        <v>10690</v>
      </c>
      <c r="AL110" s="46">
        <v>11830</v>
      </c>
      <c r="AM110" s="46">
        <v>12760</v>
      </c>
      <c r="AN110" s="46">
        <v>13460</v>
      </c>
      <c r="AO110" s="46">
        <v>14210</v>
      </c>
      <c r="AP110" s="46">
        <v>14780</v>
      </c>
      <c r="AQ110" s="46">
        <v>15420</v>
      </c>
      <c r="AR110" s="46">
        <v>16050</v>
      </c>
      <c r="AS110" s="46">
        <v>16780</v>
      </c>
      <c r="AT110" s="46">
        <v>17550</v>
      </c>
      <c r="AU110" s="46">
        <v>18370</v>
      </c>
      <c r="AV110" s="46">
        <v>19220</v>
      </c>
      <c r="AW110" s="46">
        <v>20110</v>
      </c>
      <c r="AX110" s="46">
        <v>21070</v>
      </c>
      <c r="AY110" s="46">
        <v>21990</v>
      </c>
      <c r="AZ110" s="46">
        <v>23060</v>
      </c>
      <c r="BA110" s="46">
        <v>24200</v>
      </c>
      <c r="BB110" s="46">
        <v>25240</v>
      </c>
      <c r="BC110" s="46">
        <v>26030</v>
      </c>
      <c r="BD110" s="46">
        <v>26540</v>
      </c>
      <c r="BE110" s="46">
        <v>26970</v>
      </c>
      <c r="BF110" s="46">
        <v>27570</v>
      </c>
      <c r="BG110" s="46">
        <v>28250</v>
      </c>
      <c r="BH110" s="46">
        <v>29070</v>
      </c>
      <c r="BI110" s="46">
        <v>29840</v>
      </c>
    </row>
    <row r="111" spans="1:61" x14ac:dyDescent="0.25">
      <c r="A111" s="9" t="s">
        <v>9</v>
      </c>
      <c r="B111" s="6">
        <f>SUM(B$15:B$110)</f>
        <v>2136250</v>
      </c>
      <c r="C111" s="6">
        <f t="shared" ref="C111:AI111" si="87">SUM(C$15:C$110)</f>
        <v>2157380</v>
      </c>
      <c r="D111" s="6">
        <f t="shared" si="87"/>
        <v>2176330</v>
      </c>
      <c r="E111" s="6">
        <f t="shared" si="87"/>
        <v>2197940</v>
      </c>
      <c r="F111" s="6">
        <f t="shared" si="87"/>
        <v>2222910</v>
      </c>
      <c r="G111" s="6">
        <f t="shared" si="87"/>
        <v>2240420</v>
      </c>
      <c r="H111" s="6">
        <f t="shared" si="87"/>
        <v>2252990</v>
      </c>
      <c r="I111" s="6">
        <f t="shared" si="87"/>
        <v>2269940</v>
      </c>
      <c r="J111" s="6">
        <f t="shared" si="87"/>
        <v>2300720</v>
      </c>
      <c r="K111" s="6">
        <f t="shared" si="87"/>
        <v>2339290</v>
      </c>
      <c r="L111" s="6">
        <f t="shared" si="87"/>
        <v>2385590</v>
      </c>
      <c r="M111" s="80">
        <f t="shared" si="87"/>
        <v>2430960</v>
      </c>
      <c r="N111" s="80">
        <f t="shared" si="87"/>
        <v>2470450</v>
      </c>
      <c r="O111" s="80">
        <f t="shared" si="87"/>
        <v>2503330</v>
      </c>
      <c r="P111" s="80">
        <f t="shared" si="87"/>
        <v>2553480</v>
      </c>
      <c r="Q111" s="80">
        <f t="shared" si="87"/>
        <v>2559850</v>
      </c>
      <c r="R111" s="80">
        <f t="shared" si="87"/>
        <v>2558580</v>
      </c>
      <c r="S111" s="80">
        <f t="shared" si="87"/>
        <v>2610040</v>
      </c>
      <c r="T111" s="80">
        <f t="shared" si="87"/>
        <v>2655820</v>
      </c>
      <c r="U111" s="80">
        <f t="shared" si="87"/>
        <v>2679180</v>
      </c>
      <c r="V111" s="80">
        <f t="shared" si="87"/>
        <v>2704680</v>
      </c>
      <c r="W111" s="80">
        <f t="shared" si="87"/>
        <v>2730980</v>
      </c>
      <c r="X111" s="80">
        <f t="shared" si="87"/>
        <v>2757940</v>
      </c>
      <c r="Y111" s="80">
        <f t="shared" si="87"/>
        <v>2785200</v>
      </c>
      <c r="Z111" s="80">
        <f t="shared" si="87"/>
        <v>2812540</v>
      </c>
      <c r="AA111" s="80">
        <f t="shared" si="87"/>
        <v>2839720</v>
      </c>
      <c r="AB111" s="80">
        <f t="shared" si="87"/>
        <v>2866560</v>
      </c>
      <c r="AC111" s="80">
        <f t="shared" si="87"/>
        <v>2893160</v>
      </c>
      <c r="AD111" s="80">
        <f t="shared" si="87"/>
        <v>2919460</v>
      </c>
      <c r="AE111" s="80">
        <f t="shared" si="87"/>
        <v>2945480</v>
      </c>
      <c r="AF111" s="80">
        <f t="shared" si="87"/>
        <v>2971390</v>
      </c>
      <c r="AG111" s="80">
        <f t="shared" si="87"/>
        <v>2997010</v>
      </c>
      <c r="AH111" s="80">
        <f t="shared" si="87"/>
        <v>3022440</v>
      </c>
      <c r="AI111" s="80">
        <f t="shared" si="87"/>
        <v>3047710</v>
      </c>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row>
    <row r="112" spans="1:61" x14ac:dyDescent="0.25">
      <c r="A112" s="9"/>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row>
    <row r="113" spans="1:61" x14ac:dyDescent="0.25">
      <c r="A113" s="9"/>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row>
    <row r="114" spans="1:61" x14ac:dyDescent="0.25">
      <c r="A114" s="9" t="s">
        <v>10</v>
      </c>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row>
    <row r="115" spans="1:61" x14ac:dyDescent="0.25">
      <c r="A115" s="11">
        <f>$A$15</f>
        <v>0</v>
      </c>
      <c r="B115" s="29">
        <v>30150</v>
      </c>
      <c r="C115" s="29">
        <v>31900</v>
      </c>
      <c r="D115" s="29">
        <v>33050</v>
      </c>
      <c r="E115" s="29">
        <v>33060</v>
      </c>
      <c r="F115" s="29">
        <v>33020</v>
      </c>
      <c r="G115" s="29">
        <v>32130</v>
      </c>
      <c r="H115" s="29">
        <v>31320</v>
      </c>
      <c r="I115" s="29">
        <v>30890</v>
      </c>
      <c r="J115" s="29">
        <v>30140</v>
      </c>
      <c r="K115" s="29">
        <v>30350</v>
      </c>
      <c r="L115" s="29">
        <v>30610</v>
      </c>
      <c r="M115" s="46">
        <v>30690</v>
      </c>
      <c r="N115" s="46">
        <v>30530</v>
      </c>
      <c r="O115" s="46">
        <v>30740</v>
      </c>
      <c r="P115" s="46">
        <v>30270</v>
      </c>
      <c r="Q115" s="46">
        <v>31310</v>
      </c>
      <c r="R115" s="46">
        <v>30520</v>
      </c>
      <c r="S115" s="46">
        <v>29280</v>
      </c>
      <c r="T115" s="46">
        <v>29270</v>
      </c>
      <c r="U115" s="46">
        <v>29840</v>
      </c>
      <c r="V115" s="46">
        <v>29850</v>
      </c>
      <c r="W115" s="46">
        <v>29850</v>
      </c>
      <c r="X115" s="46">
        <v>29830</v>
      </c>
      <c r="Y115" s="46">
        <v>29820</v>
      </c>
      <c r="Z115" s="46">
        <v>29810</v>
      </c>
      <c r="AA115" s="46">
        <v>29810</v>
      </c>
      <c r="AB115" s="46">
        <v>29830</v>
      </c>
      <c r="AC115" s="46">
        <v>29890</v>
      </c>
      <c r="AD115" s="46">
        <v>29980</v>
      </c>
      <c r="AE115" s="46">
        <v>30100</v>
      </c>
      <c r="AF115" s="46">
        <v>30270</v>
      </c>
      <c r="AG115" s="46">
        <v>30460</v>
      </c>
      <c r="AH115" s="46">
        <v>30680</v>
      </c>
      <c r="AI115" s="46">
        <v>30910</v>
      </c>
      <c r="AJ115" s="46">
        <v>31150</v>
      </c>
      <c r="AK115" s="46">
        <v>31380</v>
      </c>
      <c r="AL115" s="46">
        <v>31580</v>
      </c>
      <c r="AM115" s="46">
        <v>31750</v>
      </c>
      <c r="AN115" s="46">
        <v>31880</v>
      </c>
      <c r="AO115" s="46">
        <v>31980</v>
      </c>
      <c r="AP115" s="46">
        <v>32050</v>
      </c>
      <c r="AQ115" s="46">
        <v>32080</v>
      </c>
      <c r="AR115" s="46">
        <v>32080</v>
      </c>
      <c r="AS115" s="46">
        <v>32050</v>
      </c>
      <c r="AT115" s="46">
        <v>32010</v>
      </c>
      <c r="AU115" s="46">
        <v>31950</v>
      </c>
      <c r="AV115" s="46">
        <v>31880</v>
      </c>
      <c r="AW115" s="46">
        <v>31810</v>
      </c>
      <c r="AX115" s="46">
        <v>31750</v>
      </c>
      <c r="AY115" s="46">
        <v>31690</v>
      </c>
      <c r="AZ115" s="46">
        <v>31640</v>
      </c>
      <c r="BA115" s="46">
        <v>31610</v>
      </c>
      <c r="BB115" s="46">
        <v>31600</v>
      </c>
      <c r="BC115" s="46">
        <v>31610</v>
      </c>
      <c r="BD115" s="46">
        <v>31640</v>
      </c>
      <c r="BE115" s="46">
        <v>31690</v>
      </c>
      <c r="BF115" s="46">
        <v>31750</v>
      </c>
      <c r="BG115" s="46">
        <v>31840</v>
      </c>
      <c r="BH115" s="46">
        <v>31940</v>
      </c>
      <c r="BI115" s="46">
        <v>32050</v>
      </c>
    </row>
    <row r="116" spans="1:61" x14ac:dyDescent="0.25">
      <c r="A116" s="11">
        <f>$A$16</f>
        <v>1</v>
      </c>
      <c r="B116" s="29">
        <v>29380</v>
      </c>
      <c r="C116" s="29">
        <v>30170</v>
      </c>
      <c r="D116" s="29">
        <v>31780</v>
      </c>
      <c r="E116" s="29">
        <v>32980</v>
      </c>
      <c r="F116" s="29">
        <v>33130</v>
      </c>
      <c r="G116" s="29">
        <v>33060</v>
      </c>
      <c r="H116" s="29">
        <v>32050</v>
      </c>
      <c r="I116" s="29">
        <v>31410</v>
      </c>
      <c r="J116" s="29">
        <v>31010</v>
      </c>
      <c r="K116" s="29">
        <v>30350</v>
      </c>
      <c r="L116" s="29">
        <v>30650</v>
      </c>
      <c r="M116" s="46">
        <v>30930</v>
      </c>
      <c r="N116" s="46">
        <v>30900</v>
      </c>
      <c r="O116" s="46">
        <v>30640</v>
      </c>
      <c r="P116" s="46">
        <v>31000</v>
      </c>
      <c r="Q116" s="46">
        <v>30370</v>
      </c>
      <c r="R116" s="46">
        <v>31240</v>
      </c>
      <c r="S116" s="46">
        <v>30750</v>
      </c>
      <c r="T116" s="46">
        <v>29490</v>
      </c>
      <c r="U116" s="46">
        <v>29240</v>
      </c>
      <c r="V116" s="46">
        <v>29840</v>
      </c>
      <c r="W116" s="46">
        <v>29860</v>
      </c>
      <c r="X116" s="46">
        <v>29870</v>
      </c>
      <c r="Y116" s="46">
        <v>29860</v>
      </c>
      <c r="Z116" s="46">
        <v>29850</v>
      </c>
      <c r="AA116" s="46">
        <v>29840</v>
      </c>
      <c r="AB116" s="46">
        <v>29850</v>
      </c>
      <c r="AC116" s="46">
        <v>29880</v>
      </c>
      <c r="AD116" s="46">
        <v>29930</v>
      </c>
      <c r="AE116" s="46">
        <v>30020</v>
      </c>
      <c r="AF116" s="46">
        <v>30150</v>
      </c>
      <c r="AG116" s="46">
        <v>30310</v>
      </c>
      <c r="AH116" s="46">
        <v>30510</v>
      </c>
      <c r="AI116" s="46">
        <v>30730</v>
      </c>
      <c r="AJ116" s="46">
        <v>30970</v>
      </c>
      <c r="AK116" s="46">
        <v>31200</v>
      </c>
      <c r="AL116" s="46">
        <v>31430</v>
      </c>
      <c r="AM116" s="46">
        <v>31630</v>
      </c>
      <c r="AN116" s="46">
        <v>31810</v>
      </c>
      <c r="AO116" s="46">
        <v>31940</v>
      </c>
      <c r="AP116" s="46">
        <v>32040</v>
      </c>
      <c r="AQ116" s="46">
        <v>32110</v>
      </c>
      <c r="AR116" s="46">
        <v>32140</v>
      </c>
      <c r="AS116" s="46">
        <v>32140</v>
      </c>
      <c r="AT116" s="46">
        <v>32120</v>
      </c>
      <c r="AU116" s="46">
        <v>32080</v>
      </c>
      <c r="AV116" s="46">
        <v>32020</v>
      </c>
      <c r="AW116" s="46">
        <v>31960</v>
      </c>
      <c r="AX116" s="46">
        <v>31890</v>
      </c>
      <c r="AY116" s="46">
        <v>31830</v>
      </c>
      <c r="AZ116" s="46">
        <v>31770</v>
      </c>
      <c r="BA116" s="46">
        <v>31720</v>
      </c>
      <c r="BB116" s="46">
        <v>31690</v>
      </c>
      <c r="BC116" s="46">
        <v>31680</v>
      </c>
      <c r="BD116" s="46">
        <v>31690</v>
      </c>
      <c r="BE116" s="46">
        <v>31720</v>
      </c>
      <c r="BF116" s="46">
        <v>31770</v>
      </c>
      <c r="BG116" s="46">
        <v>31840</v>
      </c>
      <c r="BH116" s="46">
        <v>31930</v>
      </c>
      <c r="BI116" s="46">
        <v>32030</v>
      </c>
    </row>
    <row r="117" spans="1:61" x14ac:dyDescent="0.25">
      <c r="A117" s="11">
        <f>$A$17</f>
        <v>2</v>
      </c>
      <c r="B117" s="29">
        <v>29510</v>
      </c>
      <c r="C117" s="29">
        <v>29490</v>
      </c>
      <c r="D117" s="29">
        <v>30170</v>
      </c>
      <c r="E117" s="29">
        <v>31800</v>
      </c>
      <c r="F117" s="29">
        <v>33070</v>
      </c>
      <c r="G117" s="29">
        <v>33070</v>
      </c>
      <c r="H117" s="29">
        <v>32930</v>
      </c>
      <c r="I117" s="29">
        <v>31970</v>
      </c>
      <c r="J117" s="29">
        <v>31670</v>
      </c>
      <c r="K117" s="29">
        <v>31400</v>
      </c>
      <c r="L117" s="29">
        <v>30920</v>
      </c>
      <c r="M117" s="46">
        <v>31290</v>
      </c>
      <c r="N117" s="46">
        <v>31420</v>
      </c>
      <c r="O117" s="46">
        <v>31310</v>
      </c>
      <c r="P117" s="46">
        <v>31070</v>
      </c>
      <c r="Q117" s="46">
        <v>31160</v>
      </c>
      <c r="R117" s="46">
        <v>30440</v>
      </c>
      <c r="S117" s="46">
        <v>31660</v>
      </c>
      <c r="T117" s="46">
        <v>31270</v>
      </c>
      <c r="U117" s="46">
        <v>29590</v>
      </c>
      <c r="V117" s="46">
        <v>29370</v>
      </c>
      <c r="W117" s="46">
        <v>29980</v>
      </c>
      <c r="X117" s="46">
        <v>30020</v>
      </c>
      <c r="Y117" s="46">
        <v>30030</v>
      </c>
      <c r="Z117" s="46">
        <v>30030</v>
      </c>
      <c r="AA117" s="46">
        <v>30030</v>
      </c>
      <c r="AB117" s="46">
        <v>30020</v>
      </c>
      <c r="AC117" s="46">
        <v>30030</v>
      </c>
      <c r="AD117" s="46">
        <v>30060</v>
      </c>
      <c r="AE117" s="46">
        <v>30110</v>
      </c>
      <c r="AF117" s="46">
        <v>30200</v>
      </c>
      <c r="AG117" s="46">
        <v>30340</v>
      </c>
      <c r="AH117" s="46">
        <v>30500</v>
      </c>
      <c r="AI117" s="46">
        <v>30700</v>
      </c>
      <c r="AJ117" s="46">
        <v>30920</v>
      </c>
      <c r="AK117" s="46">
        <v>31160</v>
      </c>
      <c r="AL117" s="46">
        <v>31400</v>
      </c>
      <c r="AM117" s="46">
        <v>31630</v>
      </c>
      <c r="AN117" s="46">
        <v>31830</v>
      </c>
      <c r="AO117" s="46">
        <v>32010</v>
      </c>
      <c r="AP117" s="46">
        <v>32150</v>
      </c>
      <c r="AQ117" s="46">
        <v>32250</v>
      </c>
      <c r="AR117" s="46">
        <v>32310</v>
      </c>
      <c r="AS117" s="46">
        <v>32350</v>
      </c>
      <c r="AT117" s="46">
        <v>32350</v>
      </c>
      <c r="AU117" s="46">
        <v>32330</v>
      </c>
      <c r="AV117" s="46">
        <v>32290</v>
      </c>
      <c r="AW117" s="46">
        <v>32240</v>
      </c>
      <c r="AX117" s="46">
        <v>32170</v>
      </c>
      <c r="AY117" s="46">
        <v>32110</v>
      </c>
      <c r="AZ117" s="46">
        <v>32040</v>
      </c>
      <c r="BA117" s="46">
        <v>31990</v>
      </c>
      <c r="BB117" s="46">
        <v>31940</v>
      </c>
      <c r="BC117" s="46">
        <v>31920</v>
      </c>
      <c r="BD117" s="46">
        <v>31910</v>
      </c>
      <c r="BE117" s="46">
        <v>31920</v>
      </c>
      <c r="BF117" s="46">
        <v>31950</v>
      </c>
      <c r="BG117" s="46">
        <v>32000</v>
      </c>
      <c r="BH117" s="46">
        <v>32070</v>
      </c>
      <c r="BI117" s="46">
        <v>32160</v>
      </c>
    </row>
    <row r="118" spans="1:61" x14ac:dyDescent="0.25">
      <c r="A118" s="11">
        <f>$A$18</f>
        <v>3</v>
      </c>
      <c r="B118" s="29">
        <v>28800</v>
      </c>
      <c r="C118" s="29">
        <v>29680</v>
      </c>
      <c r="D118" s="29">
        <v>29550</v>
      </c>
      <c r="E118" s="29">
        <v>30280</v>
      </c>
      <c r="F118" s="29">
        <v>31860</v>
      </c>
      <c r="G118" s="29">
        <v>32950</v>
      </c>
      <c r="H118" s="29">
        <v>32970</v>
      </c>
      <c r="I118" s="29">
        <v>32960</v>
      </c>
      <c r="J118" s="29">
        <v>32220</v>
      </c>
      <c r="K118" s="29">
        <v>32020</v>
      </c>
      <c r="L118" s="29">
        <v>31970</v>
      </c>
      <c r="M118" s="46">
        <v>31570</v>
      </c>
      <c r="N118" s="46">
        <v>31850</v>
      </c>
      <c r="O118" s="46">
        <v>31860</v>
      </c>
      <c r="P118" s="46">
        <v>31920</v>
      </c>
      <c r="Q118" s="46">
        <v>31240</v>
      </c>
      <c r="R118" s="46">
        <v>31390</v>
      </c>
      <c r="S118" s="46">
        <v>31090</v>
      </c>
      <c r="T118" s="46">
        <v>32200</v>
      </c>
      <c r="U118" s="46">
        <v>31410</v>
      </c>
      <c r="V118" s="46">
        <v>29770</v>
      </c>
      <c r="W118" s="46">
        <v>29560</v>
      </c>
      <c r="X118" s="46">
        <v>30190</v>
      </c>
      <c r="Y118" s="46">
        <v>30240</v>
      </c>
      <c r="Z118" s="46">
        <v>30260</v>
      </c>
      <c r="AA118" s="46">
        <v>30260</v>
      </c>
      <c r="AB118" s="46">
        <v>30260</v>
      </c>
      <c r="AC118" s="46">
        <v>30250</v>
      </c>
      <c r="AD118" s="46">
        <v>30260</v>
      </c>
      <c r="AE118" s="46">
        <v>30290</v>
      </c>
      <c r="AF118" s="46">
        <v>30350</v>
      </c>
      <c r="AG118" s="46">
        <v>30450</v>
      </c>
      <c r="AH118" s="46">
        <v>30580</v>
      </c>
      <c r="AI118" s="46">
        <v>30750</v>
      </c>
      <c r="AJ118" s="46">
        <v>30950</v>
      </c>
      <c r="AK118" s="46">
        <v>31170</v>
      </c>
      <c r="AL118" s="46">
        <v>31410</v>
      </c>
      <c r="AM118" s="46">
        <v>31650</v>
      </c>
      <c r="AN118" s="46">
        <v>31880</v>
      </c>
      <c r="AO118" s="46">
        <v>32090</v>
      </c>
      <c r="AP118" s="46">
        <v>32260</v>
      </c>
      <c r="AQ118" s="46">
        <v>32400</v>
      </c>
      <c r="AR118" s="46">
        <v>32510</v>
      </c>
      <c r="AS118" s="46">
        <v>32580</v>
      </c>
      <c r="AT118" s="46">
        <v>32610</v>
      </c>
      <c r="AU118" s="46">
        <v>32620</v>
      </c>
      <c r="AV118" s="46">
        <v>32600</v>
      </c>
      <c r="AW118" s="46">
        <v>32560</v>
      </c>
      <c r="AX118" s="46">
        <v>32510</v>
      </c>
      <c r="AY118" s="46">
        <v>32440</v>
      </c>
      <c r="AZ118" s="46">
        <v>32380</v>
      </c>
      <c r="BA118" s="46">
        <v>32320</v>
      </c>
      <c r="BB118" s="46">
        <v>32270</v>
      </c>
      <c r="BC118" s="46">
        <v>32230</v>
      </c>
      <c r="BD118" s="46">
        <v>32200</v>
      </c>
      <c r="BE118" s="46">
        <v>32190</v>
      </c>
      <c r="BF118" s="46">
        <v>32200</v>
      </c>
      <c r="BG118" s="46">
        <v>32240</v>
      </c>
      <c r="BH118" s="46">
        <v>32290</v>
      </c>
      <c r="BI118" s="46">
        <v>32360</v>
      </c>
    </row>
    <row r="119" spans="1:61" x14ac:dyDescent="0.25">
      <c r="A119" s="11">
        <f>$A$19</f>
        <v>4</v>
      </c>
      <c r="B119" s="29">
        <v>28370</v>
      </c>
      <c r="C119" s="29">
        <v>28970</v>
      </c>
      <c r="D119" s="29">
        <v>29740</v>
      </c>
      <c r="E119" s="29">
        <v>29670</v>
      </c>
      <c r="F119" s="29">
        <v>30290</v>
      </c>
      <c r="G119" s="29">
        <v>31810</v>
      </c>
      <c r="H119" s="29">
        <v>32820</v>
      </c>
      <c r="I119" s="29">
        <v>32930</v>
      </c>
      <c r="J119" s="29">
        <v>33110</v>
      </c>
      <c r="K119" s="29">
        <v>32540</v>
      </c>
      <c r="L119" s="29">
        <v>32460</v>
      </c>
      <c r="M119" s="46">
        <v>32480</v>
      </c>
      <c r="N119" s="46">
        <v>32120</v>
      </c>
      <c r="O119" s="46">
        <v>32360</v>
      </c>
      <c r="P119" s="46">
        <v>32360</v>
      </c>
      <c r="Q119" s="46">
        <v>32020</v>
      </c>
      <c r="R119" s="46">
        <v>31360</v>
      </c>
      <c r="S119" s="46">
        <v>32140</v>
      </c>
      <c r="T119" s="46">
        <v>31840</v>
      </c>
      <c r="U119" s="46">
        <v>32380</v>
      </c>
      <c r="V119" s="46">
        <v>31630</v>
      </c>
      <c r="W119" s="46">
        <v>30010</v>
      </c>
      <c r="X119" s="46">
        <v>29820</v>
      </c>
      <c r="Y119" s="46">
        <v>30460</v>
      </c>
      <c r="Z119" s="46">
        <v>30510</v>
      </c>
      <c r="AA119" s="46">
        <v>30540</v>
      </c>
      <c r="AB119" s="46">
        <v>30550</v>
      </c>
      <c r="AC119" s="46">
        <v>30540</v>
      </c>
      <c r="AD119" s="46">
        <v>30540</v>
      </c>
      <c r="AE119" s="46">
        <v>30550</v>
      </c>
      <c r="AF119" s="46">
        <v>30580</v>
      </c>
      <c r="AG119" s="46">
        <v>30640</v>
      </c>
      <c r="AH119" s="46">
        <v>30740</v>
      </c>
      <c r="AI119" s="46">
        <v>30870</v>
      </c>
      <c r="AJ119" s="46">
        <v>31050</v>
      </c>
      <c r="AK119" s="46">
        <v>31250</v>
      </c>
      <c r="AL119" s="46">
        <v>31470</v>
      </c>
      <c r="AM119" s="46">
        <v>31710</v>
      </c>
      <c r="AN119" s="46">
        <v>31960</v>
      </c>
      <c r="AO119" s="46">
        <v>32190</v>
      </c>
      <c r="AP119" s="46">
        <v>32400</v>
      </c>
      <c r="AQ119" s="46">
        <v>32570</v>
      </c>
      <c r="AR119" s="46">
        <v>32720</v>
      </c>
      <c r="AS119" s="46">
        <v>32820</v>
      </c>
      <c r="AT119" s="46">
        <v>32890</v>
      </c>
      <c r="AU119" s="46">
        <v>32930</v>
      </c>
      <c r="AV119" s="46">
        <v>32940</v>
      </c>
      <c r="AW119" s="46">
        <v>32920</v>
      </c>
      <c r="AX119" s="46">
        <v>32890</v>
      </c>
      <c r="AY119" s="46">
        <v>32830</v>
      </c>
      <c r="AZ119" s="46">
        <v>32770</v>
      </c>
      <c r="BA119" s="46">
        <v>32710</v>
      </c>
      <c r="BB119" s="46">
        <v>32650</v>
      </c>
      <c r="BC119" s="46">
        <v>32600</v>
      </c>
      <c r="BD119" s="46">
        <v>32560</v>
      </c>
      <c r="BE119" s="46">
        <v>32540</v>
      </c>
      <c r="BF119" s="46">
        <v>32530</v>
      </c>
      <c r="BG119" s="46">
        <v>32550</v>
      </c>
      <c r="BH119" s="46">
        <v>32580</v>
      </c>
      <c r="BI119" s="46">
        <v>32640</v>
      </c>
    </row>
    <row r="120" spans="1:61" x14ac:dyDescent="0.25">
      <c r="A120" s="11">
        <f>$A$20</f>
        <v>5</v>
      </c>
      <c r="B120" s="29">
        <v>29670</v>
      </c>
      <c r="C120" s="29">
        <v>28590</v>
      </c>
      <c r="D120" s="29">
        <v>29100</v>
      </c>
      <c r="E120" s="29">
        <v>29870</v>
      </c>
      <c r="F120" s="29">
        <v>29760</v>
      </c>
      <c r="G120" s="29">
        <v>30240</v>
      </c>
      <c r="H120" s="29">
        <v>31670</v>
      </c>
      <c r="I120" s="29">
        <v>32730</v>
      </c>
      <c r="J120" s="29">
        <v>33050</v>
      </c>
      <c r="K120" s="29">
        <v>33360</v>
      </c>
      <c r="L120" s="29">
        <v>32990</v>
      </c>
      <c r="M120" s="46">
        <v>32950</v>
      </c>
      <c r="N120" s="46">
        <v>32960</v>
      </c>
      <c r="O120" s="46">
        <v>32680</v>
      </c>
      <c r="P120" s="46">
        <v>32910</v>
      </c>
      <c r="Q120" s="46">
        <v>32500</v>
      </c>
      <c r="R120" s="46">
        <v>32050</v>
      </c>
      <c r="S120" s="46">
        <v>32120</v>
      </c>
      <c r="T120" s="46">
        <v>32920</v>
      </c>
      <c r="U120" s="46">
        <v>32030</v>
      </c>
      <c r="V120" s="46">
        <v>32610</v>
      </c>
      <c r="W120" s="46">
        <v>31880</v>
      </c>
      <c r="X120" s="46">
        <v>30280</v>
      </c>
      <c r="Y120" s="46">
        <v>30100</v>
      </c>
      <c r="Z120" s="46">
        <v>30750</v>
      </c>
      <c r="AA120" s="46">
        <v>30800</v>
      </c>
      <c r="AB120" s="46">
        <v>30830</v>
      </c>
      <c r="AC120" s="46">
        <v>30840</v>
      </c>
      <c r="AD120" s="46">
        <v>30840</v>
      </c>
      <c r="AE120" s="46">
        <v>30840</v>
      </c>
      <c r="AF120" s="46">
        <v>30850</v>
      </c>
      <c r="AG120" s="46">
        <v>30890</v>
      </c>
      <c r="AH120" s="46">
        <v>30950</v>
      </c>
      <c r="AI120" s="46">
        <v>31050</v>
      </c>
      <c r="AJ120" s="46">
        <v>31180</v>
      </c>
      <c r="AK120" s="46">
        <v>31360</v>
      </c>
      <c r="AL120" s="46">
        <v>31560</v>
      </c>
      <c r="AM120" s="46">
        <v>31790</v>
      </c>
      <c r="AN120" s="46">
        <v>32030</v>
      </c>
      <c r="AO120" s="46">
        <v>32280</v>
      </c>
      <c r="AP120" s="46">
        <v>32510</v>
      </c>
      <c r="AQ120" s="46">
        <v>32720</v>
      </c>
      <c r="AR120" s="46">
        <v>32900</v>
      </c>
      <c r="AS120" s="46">
        <v>33050</v>
      </c>
      <c r="AT120" s="46">
        <v>33150</v>
      </c>
      <c r="AU120" s="46">
        <v>33230</v>
      </c>
      <c r="AV120" s="46">
        <v>33270</v>
      </c>
      <c r="AW120" s="46">
        <v>33280</v>
      </c>
      <c r="AX120" s="46">
        <v>33260</v>
      </c>
      <c r="AY120" s="46">
        <v>33230</v>
      </c>
      <c r="AZ120" s="46">
        <v>33180</v>
      </c>
      <c r="BA120" s="46">
        <v>33120</v>
      </c>
      <c r="BB120" s="46">
        <v>33060</v>
      </c>
      <c r="BC120" s="46">
        <v>33000</v>
      </c>
      <c r="BD120" s="46">
        <v>32950</v>
      </c>
      <c r="BE120" s="46">
        <v>32920</v>
      </c>
      <c r="BF120" s="46">
        <v>32890</v>
      </c>
      <c r="BG120" s="46">
        <v>32890</v>
      </c>
      <c r="BH120" s="46">
        <v>32910</v>
      </c>
      <c r="BI120" s="46">
        <v>32940</v>
      </c>
    </row>
    <row r="121" spans="1:61" x14ac:dyDescent="0.25">
      <c r="A121" s="11">
        <f>$A$21</f>
        <v>6</v>
      </c>
      <c r="B121" s="29">
        <v>30280</v>
      </c>
      <c r="C121" s="29">
        <v>29980</v>
      </c>
      <c r="D121" s="29">
        <v>28760</v>
      </c>
      <c r="E121" s="29">
        <v>29210</v>
      </c>
      <c r="F121" s="29">
        <v>29950</v>
      </c>
      <c r="G121" s="29">
        <v>29730</v>
      </c>
      <c r="H121" s="29">
        <v>30080</v>
      </c>
      <c r="I121" s="29">
        <v>31520</v>
      </c>
      <c r="J121" s="29">
        <v>32870</v>
      </c>
      <c r="K121" s="29">
        <v>33280</v>
      </c>
      <c r="L121" s="29">
        <v>33630</v>
      </c>
      <c r="M121" s="46">
        <v>33450</v>
      </c>
      <c r="N121" s="46">
        <v>33340</v>
      </c>
      <c r="O121" s="46">
        <v>33330</v>
      </c>
      <c r="P121" s="46">
        <v>33180</v>
      </c>
      <c r="Q121" s="46">
        <v>32980</v>
      </c>
      <c r="R121" s="46">
        <v>32530</v>
      </c>
      <c r="S121" s="46">
        <v>32760</v>
      </c>
      <c r="T121" s="46">
        <v>32910</v>
      </c>
      <c r="U121" s="46">
        <v>33130</v>
      </c>
      <c r="V121" s="46">
        <v>32280</v>
      </c>
      <c r="W121" s="46">
        <v>32880</v>
      </c>
      <c r="X121" s="46">
        <v>32170</v>
      </c>
      <c r="Y121" s="46">
        <v>30580</v>
      </c>
      <c r="Z121" s="46">
        <v>30410</v>
      </c>
      <c r="AA121" s="46">
        <v>31060</v>
      </c>
      <c r="AB121" s="46">
        <v>31120</v>
      </c>
      <c r="AC121" s="46">
        <v>31150</v>
      </c>
      <c r="AD121" s="46">
        <v>31160</v>
      </c>
      <c r="AE121" s="46">
        <v>31160</v>
      </c>
      <c r="AF121" s="46">
        <v>31160</v>
      </c>
      <c r="AG121" s="46">
        <v>31180</v>
      </c>
      <c r="AH121" s="46">
        <v>31210</v>
      </c>
      <c r="AI121" s="46">
        <v>31280</v>
      </c>
      <c r="AJ121" s="46">
        <v>31380</v>
      </c>
      <c r="AK121" s="46">
        <v>31520</v>
      </c>
      <c r="AL121" s="46">
        <v>31690</v>
      </c>
      <c r="AM121" s="46">
        <v>31900</v>
      </c>
      <c r="AN121" s="46">
        <v>32130</v>
      </c>
      <c r="AO121" s="46">
        <v>32370</v>
      </c>
      <c r="AP121" s="46">
        <v>32620</v>
      </c>
      <c r="AQ121" s="46">
        <v>32860</v>
      </c>
      <c r="AR121" s="46">
        <v>33070</v>
      </c>
      <c r="AS121" s="46">
        <v>33250</v>
      </c>
      <c r="AT121" s="46">
        <v>33400</v>
      </c>
      <c r="AU121" s="46">
        <v>33510</v>
      </c>
      <c r="AV121" s="46">
        <v>33580</v>
      </c>
      <c r="AW121" s="46">
        <v>33620</v>
      </c>
      <c r="AX121" s="46">
        <v>33640</v>
      </c>
      <c r="AY121" s="46">
        <v>33620</v>
      </c>
      <c r="AZ121" s="46">
        <v>33590</v>
      </c>
      <c r="BA121" s="46">
        <v>33540</v>
      </c>
      <c r="BB121" s="46">
        <v>33490</v>
      </c>
      <c r="BC121" s="46">
        <v>33430</v>
      </c>
      <c r="BD121" s="46">
        <v>33380</v>
      </c>
      <c r="BE121" s="46">
        <v>33330</v>
      </c>
      <c r="BF121" s="46">
        <v>33290</v>
      </c>
      <c r="BG121" s="46">
        <v>33270</v>
      </c>
      <c r="BH121" s="46">
        <v>33270</v>
      </c>
      <c r="BI121" s="46">
        <v>33290</v>
      </c>
    </row>
    <row r="122" spans="1:61" x14ac:dyDescent="0.25">
      <c r="A122" s="11">
        <f>$A$22</f>
        <v>7</v>
      </c>
      <c r="B122" s="29">
        <v>29500</v>
      </c>
      <c r="C122" s="29">
        <v>30570</v>
      </c>
      <c r="D122" s="29">
        <v>30180</v>
      </c>
      <c r="E122" s="29">
        <v>28890</v>
      </c>
      <c r="F122" s="29">
        <v>29340</v>
      </c>
      <c r="G122" s="29">
        <v>29910</v>
      </c>
      <c r="H122" s="29">
        <v>29610</v>
      </c>
      <c r="I122" s="29">
        <v>29960</v>
      </c>
      <c r="J122" s="29">
        <v>31670</v>
      </c>
      <c r="K122" s="29">
        <v>33060</v>
      </c>
      <c r="L122" s="29">
        <v>33510</v>
      </c>
      <c r="M122" s="46">
        <v>33970</v>
      </c>
      <c r="N122" s="46">
        <v>33780</v>
      </c>
      <c r="O122" s="46">
        <v>33750</v>
      </c>
      <c r="P122" s="46">
        <v>33740</v>
      </c>
      <c r="Q122" s="46">
        <v>33350</v>
      </c>
      <c r="R122" s="46">
        <v>33010</v>
      </c>
      <c r="S122" s="46">
        <v>33250</v>
      </c>
      <c r="T122" s="46">
        <v>33470</v>
      </c>
      <c r="U122" s="46">
        <v>33130</v>
      </c>
      <c r="V122" s="46">
        <v>33390</v>
      </c>
      <c r="W122" s="46">
        <v>32560</v>
      </c>
      <c r="X122" s="46">
        <v>33180</v>
      </c>
      <c r="Y122" s="46">
        <v>32480</v>
      </c>
      <c r="Z122" s="46">
        <v>30900</v>
      </c>
      <c r="AA122" s="46">
        <v>30730</v>
      </c>
      <c r="AB122" s="46">
        <v>31390</v>
      </c>
      <c r="AC122" s="46">
        <v>31450</v>
      </c>
      <c r="AD122" s="46">
        <v>31480</v>
      </c>
      <c r="AE122" s="46">
        <v>31490</v>
      </c>
      <c r="AF122" s="46">
        <v>31500</v>
      </c>
      <c r="AG122" s="46">
        <v>31500</v>
      </c>
      <c r="AH122" s="46">
        <v>31520</v>
      </c>
      <c r="AI122" s="46">
        <v>31560</v>
      </c>
      <c r="AJ122" s="46">
        <v>31620</v>
      </c>
      <c r="AK122" s="46">
        <v>31720</v>
      </c>
      <c r="AL122" s="46">
        <v>31870</v>
      </c>
      <c r="AM122" s="46">
        <v>32040</v>
      </c>
      <c r="AN122" s="46">
        <v>32250</v>
      </c>
      <c r="AO122" s="46">
        <v>32480</v>
      </c>
      <c r="AP122" s="46">
        <v>32730</v>
      </c>
      <c r="AQ122" s="46">
        <v>32980</v>
      </c>
      <c r="AR122" s="46">
        <v>33220</v>
      </c>
      <c r="AS122" s="46">
        <v>33430</v>
      </c>
      <c r="AT122" s="46">
        <v>33620</v>
      </c>
      <c r="AU122" s="46">
        <v>33770</v>
      </c>
      <c r="AV122" s="46">
        <v>33880</v>
      </c>
      <c r="AW122" s="46">
        <v>33960</v>
      </c>
      <c r="AX122" s="46">
        <v>34000</v>
      </c>
      <c r="AY122" s="46">
        <v>34010</v>
      </c>
      <c r="AZ122" s="46">
        <v>34000</v>
      </c>
      <c r="BA122" s="46">
        <v>33970</v>
      </c>
      <c r="BB122" s="46">
        <v>33930</v>
      </c>
      <c r="BC122" s="46">
        <v>33870</v>
      </c>
      <c r="BD122" s="46">
        <v>33820</v>
      </c>
      <c r="BE122" s="46">
        <v>33770</v>
      </c>
      <c r="BF122" s="46">
        <v>33720</v>
      </c>
      <c r="BG122" s="46">
        <v>33690</v>
      </c>
      <c r="BH122" s="46">
        <v>33670</v>
      </c>
      <c r="BI122" s="46">
        <v>33670</v>
      </c>
    </row>
    <row r="123" spans="1:61" x14ac:dyDescent="0.25">
      <c r="A123" s="11">
        <f>$A$23</f>
        <v>8</v>
      </c>
      <c r="B123" s="29">
        <v>29960</v>
      </c>
      <c r="C123" s="29">
        <v>29810</v>
      </c>
      <c r="D123" s="29">
        <v>30860</v>
      </c>
      <c r="E123" s="29">
        <v>30370</v>
      </c>
      <c r="F123" s="29">
        <v>29120</v>
      </c>
      <c r="G123" s="29">
        <v>29410</v>
      </c>
      <c r="H123" s="29">
        <v>29840</v>
      </c>
      <c r="I123" s="29">
        <v>29550</v>
      </c>
      <c r="J123" s="29">
        <v>30110</v>
      </c>
      <c r="K123" s="29">
        <v>31880</v>
      </c>
      <c r="L123" s="29">
        <v>33360</v>
      </c>
      <c r="M123" s="46">
        <v>33860</v>
      </c>
      <c r="N123" s="46">
        <v>34200</v>
      </c>
      <c r="O123" s="46">
        <v>34170</v>
      </c>
      <c r="P123" s="46">
        <v>34210</v>
      </c>
      <c r="Q123" s="46">
        <v>33870</v>
      </c>
      <c r="R123" s="46">
        <v>33350</v>
      </c>
      <c r="S123" s="46">
        <v>33740</v>
      </c>
      <c r="T123" s="46">
        <v>34050</v>
      </c>
      <c r="U123" s="46">
        <v>33700</v>
      </c>
      <c r="V123" s="46">
        <v>33400</v>
      </c>
      <c r="W123" s="46">
        <v>33680</v>
      </c>
      <c r="X123" s="46">
        <v>32870</v>
      </c>
      <c r="Y123" s="46">
        <v>33500</v>
      </c>
      <c r="Z123" s="46">
        <v>32810</v>
      </c>
      <c r="AA123" s="46">
        <v>31230</v>
      </c>
      <c r="AB123" s="46">
        <v>31060</v>
      </c>
      <c r="AC123" s="46">
        <v>31720</v>
      </c>
      <c r="AD123" s="46">
        <v>31790</v>
      </c>
      <c r="AE123" s="46">
        <v>31820</v>
      </c>
      <c r="AF123" s="46">
        <v>31840</v>
      </c>
      <c r="AG123" s="46">
        <v>31840</v>
      </c>
      <c r="AH123" s="46">
        <v>31850</v>
      </c>
      <c r="AI123" s="46">
        <v>31870</v>
      </c>
      <c r="AJ123" s="46">
        <v>31910</v>
      </c>
      <c r="AK123" s="46">
        <v>31980</v>
      </c>
      <c r="AL123" s="46">
        <v>32080</v>
      </c>
      <c r="AM123" s="46">
        <v>32220</v>
      </c>
      <c r="AN123" s="46">
        <v>32400</v>
      </c>
      <c r="AO123" s="46">
        <v>32610</v>
      </c>
      <c r="AP123" s="46">
        <v>32850</v>
      </c>
      <c r="AQ123" s="46">
        <v>33100</v>
      </c>
      <c r="AR123" s="46">
        <v>33350</v>
      </c>
      <c r="AS123" s="46">
        <v>33590</v>
      </c>
      <c r="AT123" s="46">
        <v>33810</v>
      </c>
      <c r="AU123" s="46">
        <v>33990</v>
      </c>
      <c r="AV123" s="46">
        <v>34140</v>
      </c>
      <c r="AW123" s="46">
        <v>34260</v>
      </c>
      <c r="AX123" s="46">
        <v>34340</v>
      </c>
      <c r="AY123" s="46">
        <v>34380</v>
      </c>
      <c r="AZ123" s="46">
        <v>34400</v>
      </c>
      <c r="BA123" s="46">
        <v>34390</v>
      </c>
      <c r="BB123" s="46">
        <v>34360</v>
      </c>
      <c r="BC123" s="46">
        <v>34320</v>
      </c>
      <c r="BD123" s="46">
        <v>34270</v>
      </c>
      <c r="BE123" s="46">
        <v>34220</v>
      </c>
      <c r="BF123" s="46">
        <v>34160</v>
      </c>
      <c r="BG123" s="46">
        <v>34120</v>
      </c>
      <c r="BH123" s="46">
        <v>34090</v>
      </c>
      <c r="BI123" s="46">
        <v>34080</v>
      </c>
    </row>
    <row r="124" spans="1:61" x14ac:dyDescent="0.25">
      <c r="A124" s="11">
        <f>$A$24</f>
        <v>9</v>
      </c>
      <c r="B124" s="29">
        <v>29820</v>
      </c>
      <c r="C124" s="29">
        <v>30270</v>
      </c>
      <c r="D124" s="29">
        <v>30090</v>
      </c>
      <c r="E124" s="29">
        <v>31080</v>
      </c>
      <c r="F124" s="29">
        <v>30610</v>
      </c>
      <c r="G124" s="29">
        <v>29220</v>
      </c>
      <c r="H124" s="29">
        <v>29330</v>
      </c>
      <c r="I124" s="29">
        <v>29810</v>
      </c>
      <c r="J124" s="29">
        <v>29700</v>
      </c>
      <c r="K124" s="29">
        <v>30340</v>
      </c>
      <c r="L124" s="29">
        <v>32240</v>
      </c>
      <c r="M124" s="46">
        <v>33630</v>
      </c>
      <c r="N124" s="46">
        <v>34150</v>
      </c>
      <c r="O124" s="46">
        <v>34610</v>
      </c>
      <c r="P124" s="46">
        <v>34590</v>
      </c>
      <c r="Q124" s="46">
        <v>34310</v>
      </c>
      <c r="R124" s="46">
        <v>33920</v>
      </c>
      <c r="S124" s="46">
        <v>34030</v>
      </c>
      <c r="T124" s="46">
        <v>34600</v>
      </c>
      <c r="U124" s="46">
        <v>34290</v>
      </c>
      <c r="V124" s="46">
        <v>33970</v>
      </c>
      <c r="W124" s="46">
        <v>33690</v>
      </c>
      <c r="X124" s="46">
        <v>33990</v>
      </c>
      <c r="Y124" s="46">
        <v>33190</v>
      </c>
      <c r="Z124" s="46">
        <v>33830</v>
      </c>
      <c r="AA124" s="46">
        <v>33140</v>
      </c>
      <c r="AB124" s="46">
        <v>31570</v>
      </c>
      <c r="AC124" s="46">
        <v>31400</v>
      </c>
      <c r="AD124" s="46">
        <v>32060</v>
      </c>
      <c r="AE124" s="46">
        <v>32130</v>
      </c>
      <c r="AF124" s="46">
        <v>32170</v>
      </c>
      <c r="AG124" s="46">
        <v>32180</v>
      </c>
      <c r="AH124" s="46">
        <v>32190</v>
      </c>
      <c r="AI124" s="46">
        <v>32200</v>
      </c>
      <c r="AJ124" s="46">
        <v>32220</v>
      </c>
      <c r="AK124" s="46">
        <v>32260</v>
      </c>
      <c r="AL124" s="46">
        <v>32340</v>
      </c>
      <c r="AM124" s="46">
        <v>32440</v>
      </c>
      <c r="AN124" s="46">
        <v>32590</v>
      </c>
      <c r="AO124" s="46">
        <v>32770</v>
      </c>
      <c r="AP124" s="46">
        <v>32980</v>
      </c>
      <c r="AQ124" s="46">
        <v>33220</v>
      </c>
      <c r="AR124" s="46">
        <v>33470</v>
      </c>
      <c r="AS124" s="46">
        <v>33720</v>
      </c>
      <c r="AT124" s="46">
        <v>33970</v>
      </c>
      <c r="AU124" s="46">
        <v>34180</v>
      </c>
      <c r="AV124" s="46">
        <v>34370</v>
      </c>
      <c r="AW124" s="46">
        <v>34530</v>
      </c>
      <c r="AX124" s="46">
        <v>34640</v>
      </c>
      <c r="AY124" s="46">
        <v>34720</v>
      </c>
      <c r="AZ124" s="46">
        <v>34770</v>
      </c>
      <c r="BA124" s="46">
        <v>34790</v>
      </c>
      <c r="BB124" s="46">
        <v>34780</v>
      </c>
      <c r="BC124" s="46">
        <v>34760</v>
      </c>
      <c r="BD124" s="46">
        <v>34720</v>
      </c>
      <c r="BE124" s="46">
        <v>34670</v>
      </c>
      <c r="BF124" s="46">
        <v>34620</v>
      </c>
      <c r="BG124" s="46">
        <v>34570</v>
      </c>
      <c r="BH124" s="46">
        <v>34530</v>
      </c>
      <c r="BI124" s="46">
        <v>34500</v>
      </c>
    </row>
    <row r="125" spans="1:61" x14ac:dyDescent="0.25">
      <c r="A125" s="11">
        <f>$A$25</f>
        <v>10</v>
      </c>
      <c r="B125" s="29">
        <v>31100</v>
      </c>
      <c r="C125" s="29">
        <v>30190</v>
      </c>
      <c r="D125" s="29">
        <v>30480</v>
      </c>
      <c r="E125" s="29">
        <v>30320</v>
      </c>
      <c r="F125" s="29">
        <v>31360</v>
      </c>
      <c r="G125" s="29">
        <v>30720</v>
      </c>
      <c r="H125" s="29">
        <v>29220</v>
      </c>
      <c r="I125" s="29">
        <v>29330</v>
      </c>
      <c r="J125" s="29">
        <v>29960</v>
      </c>
      <c r="K125" s="29">
        <v>29980</v>
      </c>
      <c r="L125" s="29">
        <v>30710</v>
      </c>
      <c r="M125" s="46">
        <v>32680</v>
      </c>
      <c r="N125" s="46">
        <v>33930</v>
      </c>
      <c r="O125" s="46">
        <v>34530</v>
      </c>
      <c r="P125" s="46">
        <v>35100</v>
      </c>
      <c r="Q125" s="46">
        <v>34700</v>
      </c>
      <c r="R125" s="46">
        <v>34360</v>
      </c>
      <c r="S125" s="46">
        <v>34700</v>
      </c>
      <c r="T125" s="46">
        <v>34830</v>
      </c>
      <c r="U125" s="46">
        <v>34830</v>
      </c>
      <c r="V125" s="46">
        <v>34560</v>
      </c>
      <c r="W125" s="46">
        <v>34270</v>
      </c>
      <c r="X125" s="46">
        <v>34000</v>
      </c>
      <c r="Y125" s="46">
        <v>34310</v>
      </c>
      <c r="Z125" s="46">
        <v>33530</v>
      </c>
      <c r="AA125" s="46">
        <v>34170</v>
      </c>
      <c r="AB125" s="46">
        <v>33480</v>
      </c>
      <c r="AC125" s="46">
        <v>31910</v>
      </c>
      <c r="AD125" s="46">
        <v>31750</v>
      </c>
      <c r="AE125" s="46">
        <v>32410</v>
      </c>
      <c r="AF125" s="46">
        <v>32480</v>
      </c>
      <c r="AG125" s="46">
        <v>32520</v>
      </c>
      <c r="AH125" s="46">
        <v>32540</v>
      </c>
      <c r="AI125" s="46">
        <v>32550</v>
      </c>
      <c r="AJ125" s="46">
        <v>32560</v>
      </c>
      <c r="AK125" s="46">
        <v>32580</v>
      </c>
      <c r="AL125" s="46">
        <v>32630</v>
      </c>
      <c r="AM125" s="46">
        <v>32700</v>
      </c>
      <c r="AN125" s="46">
        <v>32810</v>
      </c>
      <c r="AO125" s="46">
        <v>32960</v>
      </c>
      <c r="AP125" s="46">
        <v>33140</v>
      </c>
      <c r="AQ125" s="46">
        <v>33350</v>
      </c>
      <c r="AR125" s="46">
        <v>33590</v>
      </c>
      <c r="AS125" s="46">
        <v>33850</v>
      </c>
      <c r="AT125" s="46">
        <v>34100</v>
      </c>
      <c r="AU125" s="46">
        <v>34350</v>
      </c>
      <c r="AV125" s="46">
        <v>34570</v>
      </c>
      <c r="AW125" s="46">
        <v>34760</v>
      </c>
      <c r="AX125" s="46">
        <v>34910</v>
      </c>
      <c r="AY125" s="46">
        <v>35030</v>
      </c>
      <c r="AZ125" s="46">
        <v>35120</v>
      </c>
      <c r="BA125" s="46">
        <v>35170</v>
      </c>
      <c r="BB125" s="46">
        <v>35190</v>
      </c>
      <c r="BC125" s="46">
        <v>35180</v>
      </c>
      <c r="BD125" s="46">
        <v>35160</v>
      </c>
      <c r="BE125" s="46">
        <v>35120</v>
      </c>
      <c r="BF125" s="46">
        <v>35070</v>
      </c>
      <c r="BG125" s="46">
        <v>35020</v>
      </c>
      <c r="BH125" s="46">
        <v>34980</v>
      </c>
      <c r="BI125" s="46">
        <v>34940</v>
      </c>
    </row>
    <row r="126" spans="1:61" x14ac:dyDescent="0.25">
      <c r="A126" s="11">
        <f>$A$26</f>
        <v>11</v>
      </c>
      <c r="B126" s="29">
        <v>31570</v>
      </c>
      <c r="C126" s="29">
        <v>31310</v>
      </c>
      <c r="D126" s="29">
        <v>30420</v>
      </c>
      <c r="E126" s="29">
        <v>30690</v>
      </c>
      <c r="F126" s="29">
        <v>30620</v>
      </c>
      <c r="G126" s="29">
        <v>31500</v>
      </c>
      <c r="H126" s="29">
        <v>30790</v>
      </c>
      <c r="I126" s="29">
        <v>29240</v>
      </c>
      <c r="J126" s="29">
        <v>29600</v>
      </c>
      <c r="K126" s="29">
        <v>30160</v>
      </c>
      <c r="L126" s="29">
        <v>30300</v>
      </c>
      <c r="M126" s="46">
        <v>31150</v>
      </c>
      <c r="N126" s="46">
        <v>33010</v>
      </c>
      <c r="O126" s="46">
        <v>34340</v>
      </c>
      <c r="P126" s="46">
        <v>34870</v>
      </c>
      <c r="Q126" s="46">
        <v>35210</v>
      </c>
      <c r="R126" s="46">
        <v>34760</v>
      </c>
      <c r="S126" s="46">
        <v>35040</v>
      </c>
      <c r="T126" s="46">
        <v>35460</v>
      </c>
      <c r="U126" s="46">
        <v>35070</v>
      </c>
      <c r="V126" s="46">
        <v>35110</v>
      </c>
      <c r="W126" s="46">
        <v>34860</v>
      </c>
      <c r="X126" s="46">
        <v>34590</v>
      </c>
      <c r="Y126" s="46">
        <v>34330</v>
      </c>
      <c r="Z126" s="46">
        <v>34650</v>
      </c>
      <c r="AA126" s="46">
        <v>33870</v>
      </c>
      <c r="AB126" s="46">
        <v>34520</v>
      </c>
      <c r="AC126" s="46">
        <v>33830</v>
      </c>
      <c r="AD126" s="46">
        <v>32260</v>
      </c>
      <c r="AE126" s="46">
        <v>32100</v>
      </c>
      <c r="AF126" s="46">
        <v>32770</v>
      </c>
      <c r="AG126" s="46">
        <v>32840</v>
      </c>
      <c r="AH126" s="46">
        <v>32880</v>
      </c>
      <c r="AI126" s="46">
        <v>32900</v>
      </c>
      <c r="AJ126" s="46">
        <v>32910</v>
      </c>
      <c r="AK126" s="46">
        <v>32920</v>
      </c>
      <c r="AL126" s="46">
        <v>32950</v>
      </c>
      <c r="AM126" s="46">
        <v>33000</v>
      </c>
      <c r="AN126" s="46">
        <v>33070</v>
      </c>
      <c r="AO126" s="46">
        <v>33180</v>
      </c>
      <c r="AP126" s="46">
        <v>33330</v>
      </c>
      <c r="AQ126" s="46">
        <v>33520</v>
      </c>
      <c r="AR126" s="46">
        <v>33730</v>
      </c>
      <c r="AS126" s="46">
        <v>33970</v>
      </c>
      <c r="AT126" s="46">
        <v>34230</v>
      </c>
      <c r="AU126" s="46">
        <v>34490</v>
      </c>
      <c r="AV126" s="46">
        <v>34730</v>
      </c>
      <c r="AW126" s="46">
        <v>34960</v>
      </c>
      <c r="AX126" s="46">
        <v>35150</v>
      </c>
      <c r="AY126" s="46">
        <v>35310</v>
      </c>
      <c r="AZ126" s="46">
        <v>35430</v>
      </c>
      <c r="BA126" s="46">
        <v>35510</v>
      </c>
      <c r="BB126" s="46">
        <v>35570</v>
      </c>
      <c r="BC126" s="46">
        <v>35590</v>
      </c>
      <c r="BD126" s="46">
        <v>35590</v>
      </c>
      <c r="BE126" s="46">
        <v>35560</v>
      </c>
      <c r="BF126" s="46">
        <v>35530</v>
      </c>
      <c r="BG126" s="46">
        <v>35480</v>
      </c>
      <c r="BH126" s="46">
        <v>35430</v>
      </c>
      <c r="BI126" s="46">
        <v>35390</v>
      </c>
    </row>
    <row r="127" spans="1:61" x14ac:dyDescent="0.25">
      <c r="A127" s="11">
        <f>$A$27</f>
        <v>12</v>
      </c>
      <c r="B127" s="29">
        <v>31640</v>
      </c>
      <c r="C127" s="29">
        <v>31640</v>
      </c>
      <c r="D127" s="29">
        <v>31450</v>
      </c>
      <c r="E127" s="29">
        <v>30620</v>
      </c>
      <c r="F127" s="29">
        <v>30980</v>
      </c>
      <c r="G127" s="29">
        <v>30730</v>
      </c>
      <c r="H127" s="29">
        <v>31640</v>
      </c>
      <c r="I127" s="29">
        <v>30870</v>
      </c>
      <c r="J127" s="29">
        <v>29490</v>
      </c>
      <c r="K127" s="29">
        <v>29980</v>
      </c>
      <c r="L127" s="29">
        <v>30450</v>
      </c>
      <c r="M127" s="46">
        <v>30710</v>
      </c>
      <c r="N127" s="46">
        <v>31540</v>
      </c>
      <c r="O127" s="46">
        <v>33560</v>
      </c>
      <c r="P127" s="46">
        <v>34840</v>
      </c>
      <c r="Q127" s="46">
        <v>35020</v>
      </c>
      <c r="R127" s="46">
        <v>35240</v>
      </c>
      <c r="S127" s="46">
        <v>35440</v>
      </c>
      <c r="T127" s="46">
        <v>35780</v>
      </c>
      <c r="U127" s="46">
        <v>35700</v>
      </c>
      <c r="V127" s="46">
        <v>35350</v>
      </c>
      <c r="W127" s="46">
        <v>35420</v>
      </c>
      <c r="X127" s="46">
        <v>35180</v>
      </c>
      <c r="Y127" s="46">
        <v>34920</v>
      </c>
      <c r="Z127" s="46">
        <v>34670</v>
      </c>
      <c r="AA127" s="46">
        <v>35000</v>
      </c>
      <c r="AB127" s="46">
        <v>34210</v>
      </c>
      <c r="AC127" s="46">
        <v>34860</v>
      </c>
      <c r="AD127" s="46">
        <v>34180</v>
      </c>
      <c r="AE127" s="46">
        <v>32610</v>
      </c>
      <c r="AF127" s="46">
        <v>32460</v>
      </c>
      <c r="AG127" s="46">
        <v>33120</v>
      </c>
      <c r="AH127" s="46">
        <v>33190</v>
      </c>
      <c r="AI127" s="46">
        <v>33240</v>
      </c>
      <c r="AJ127" s="46">
        <v>33260</v>
      </c>
      <c r="AK127" s="46">
        <v>33270</v>
      </c>
      <c r="AL127" s="46">
        <v>33290</v>
      </c>
      <c r="AM127" s="46">
        <v>33320</v>
      </c>
      <c r="AN127" s="46">
        <v>33360</v>
      </c>
      <c r="AO127" s="46">
        <v>33440</v>
      </c>
      <c r="AP127" s="46">
        <v>33550</v>
      </c>
      <c r="AQ127" s="46">
        <v>33700</v>
      </c>
      <c r="AR127" s="46">
        <v>33890</v>
      </c>
      <c r="AS127" s="46">
        <v>34110</v>
      </c>
      <c r="AT127" s="46">
        <v>34350</v>
      </c>
      <c r="AU127" s="46">
        <v>34610</v>
      </c>
      <c r="AV127" s="46">
        <v>34870</v>
      </c>
      <c r="AW127" s="46">
        <v>35120</v>
      </c>
      <c r="AX127" s="46">
        <v>35340</v>
      </c>
      <c r="AY127" s="46">
        <v>35540</v>
      </c>
      <c r="AZ127" s="46">
        <v>35700</v>
      </c>
      <c r="BA127" s="46">
        <v>35820</v>
      </c>
      <c r="BB127" s="46">
        <v>35910</v>
      </c>
      <c r="BC127" s="46">
        <v>35960</v>
      </c>
      <c r="BD127" s="46">
        <v>35990</v>
      </c>
      <c r="BE127" s="46">
        <v>35990</v>
      </c>
      <c r="BF127" s="46">
        <v>35970</v>
      </c>
      <c r="BG127" s="46">
        <v>35930</v>
      </c>
      <c r="BH127" s="46">
        <v>35890</v>
      </c>
      <c r="BI127" s="46">
        <v>35840</v>
      </c>
    </row>
    <row r="128" spans="1:61" x14ac:dyDescent="0.25">
      <c r="A128" s="11">
        <f>$A$28</f>
        <v>13</v>
      </c>
      <c r="B128" s="29">
        <v>32400</v>
      </c>
      <c r="C128" s="29">
        <v>31620</v>
      </c>
      <c r="D128" s="29">
        <v>31620</v>
      </c>
      <c r="E128" s="29">
        <v>31610</v>
      </c>
      <c r="F128" s="29">
        <v>30840</v>
      </c>
      <c r="G128" s="29">
        <v>31190</v>
      </c>
      <c r="H128" s="29">
        <v>30830</v>
      </c>
      <c r="I128" s="29">
        <v>31780</v>
      </c>
      <c r="J128" s="29">
        <v>31050</v>
      </c>
      <c r="K128" s="29">
        <v>29880</v>
      </c>
      <c r="L128" s="29">
        <v>30500</v>
      </c>
      <c r="M128" s="46">
        <v>30750</v>
      </c>
      <c r="N128" s="46">
        <v>31040</v>
      </c>
      <c r="O128" s="46">
        <v>32050</v>
      </c>
      <c r="P128" s="46">
        <v>34110</v>
      </c>
      <c r="Q128" s="46">
        <v>35090</v>
      </c>
      <c r="R128" s="46">
        <v>35090</v>
      </c>
      <c r="S128" s="46">
        <v>35950</v>
      </c>
      <c r="T128" s="46">
        <v>36220</v>
      </c>
      <c r="U128" s="46">
        <v>36050</v>
      </c>
      <c r="V128" s="46">
        <v>36010</v>
      </c>
      <c r="W128" s="46">
        <v>35680</v>
      </c>
      <c r="X128" s="46">
        <v>35760</v>
      </c>
      <c r="Y128" s="46">
        <v>35540</v>
      </c>
      <c r="Z128" s="46">
        <v>35280</v>
      </c>
      <c r="AA128" s="46">
        <v>35040</v>
      </c>
      <c r="AB128" s="46">
        <v>35360</v>
      </c>
      <c r="AC128" s="46">
        <v>34580</v>
      </c>
      <c r="AD128" s="46">
        <v>35230</v>
      </c>
      <c r="AE128" s="46">
        <v>34550</v>
      </c>
      <c r="AF128" s="46">
        <v>32990</v>
      </c>
      <c r="AG128" s="46">
        <v>32830</v>
      </c>
      <c r="AH128" s="46">
        <v>33500</v>
      </c>
      <c r="AI128" s="46">
        <v>33570</v>
      </c>
      <c r="AJ128" s="46">
        <v>33620</v>
      </c>
      <c r="AK128" s="46">
        <v>33640</v>
      </c>
      <c r="AL128" s="46">
        <v>33660</v>
      </c>
      <c r="AM128" s="46">
        <v>33670</v>
      </c>
      <c r="AN128" s="46">
        <v>33700</v>
      </c>
      <c r="AO128" s="46">
        <v>33760</v>
      </c>
      <c r="AP128" s="46">
        <v>33830</v>
      </c>
      <c r="AQ128" s="46">
        <v>33950</v>
      </c>
      <c r="AR128" s="46">
        <v>34100</v>
      </c>
      <c r="AS128" s="46">
        <v>34290</v>
      </c>
      <c r="AT128" s="46">
        <v>34510</v>
      </c>
      <c r="AU128" s="46">
        <v>34750</v>
      </c>
      <c r="AV128" s="46">
        <v>35010</v>
      </c>
      <c r="AW128" s="46">
        <v>35280</v>
      </c>
      <c r="AX128" s="46">
        <v>35530</v>
      </c>
      <c r="AY128" s="46">
        <v>35750</v>
      </c>
      <c r="AZ128" s="46">
        <v>35950</v>
      </c>
      <c r="BA128" s="46">
        <v>36110</v>
      </c>
      <c r="BB128" s="46">
        <v>36240</v>
      </c>
      <c r="BC128" s="46">
        <v>36330</v>
      </c>
      <c r="BD128" s="46">
        <v>36380</v>
      </c>
      <c r="BE128" s="46">
        <v>36410</v>
      </c>
      <c r="BF128" s="46">
        <v>36410</v>
      </c>
      <c r="BG128" s="46">
        <v>36390</v>
      </c>
      <c r="BH128" s="46">
        <v>36360</v>
      </c>
      <c r="BI128" s="46">
        <v>36320</v>
      </c>
    </row>
    <row r="129" spans="1:61" x14ac:dyDescent="0.25">
      <c r="A129" s="11">
        <f>$A$29</f>
        <v>14</v>
      </c>
      <c r="B129" s="29">
        <v>32800</v>
      </c>
      <c r="C129" s="29">
        <v>32260</v>
      </c>
      <c r="D129" s="29">
        <v>31550</v>
      </c>
      <c r="E129" s="29">
        <v>31640</v>
      </c>
      <c r="F129" s="29">
        <v>31810</v>
      </c>
      <c r="G129" s="29">
        <v>31060</v>
      </c>
      <c r="H129" s="29">
        <v>31400</v>
      </c>
      <c r="I129" s="29">
        <v>30980</v>
      </c>
      <c r="J129" s="29">
        <v>31850</v>
      </c>
      <c r="K129" s="29">
        <v>31360</v>
      </c>
      <c r="L129" s="29">
        <v>30430</v>
      </c>
      <c r="M129" s="46">
        <v>31080</v>
      </c>
      <c r="N129" s="46">
        <v>31160</v>
      </c>
      <c r="O129" s="46">
        <v>31570</v>
      </c>
      <c r="P129" s="46">
        <v>32560</v>
      </c>
      <c r="Q129" s="46">
        <v>34280</v>
      </c>
      <c r="R129" s="46">
        <v>35220</v>
      </c>
      <c r="S129" s="46">
        <v>35800</v>
      </c>
      <c r="T129" s="46">
        <v>36680</v>
      </c>
      <c r="U129" s="46">
        <v>36540</v>
      </c>
      <c r="V129" s="46">
        <v>36400</v>
      </c>
      <c r="W129" s="46">
        <v>36380</v>
      </c>
      <c r="X129" s="46">
        <v>36060</v>
      </c>
      <c r="Y129" s="46">
        <v>36150</v>
      </c>
      <c r="Z129" s="46">
        <v>35940</v>
      </c>
      <c r="AA129" s="46">
        <v>35680</v>
      </c>
      <c r="AB129" s="46">
        <v>35440</v>
      </c>
      <c r="AC129" s="46">
        <v>35770</v>
      </c>
      <c r="AD129" s="46">
        <v>34990</v>
      </c>
      <c r="AE129" s="46">
        <v>35640</v>
      </c>
      <c r="AF129" s="46">
        <v>34960</v>
      </c>
      <c r="AG129" s="46">
        <v>33400</v>
      </c>
      <c r="AH129" s="46">
        <v>33250</v>
      </c>
      <c r="AI129" s="46">
        <v>33920</v>
      </c>
      <c r="AJ129" s="46">
        <v>33990</v>
      </c>
      <c r="AK129" s="46">
        <v>34040</v>
      </c>
      <c r="AL129" s="46">
        <v>34070</v>
      </c>
      <c r="AM129" s="46">
        <v>34080</v>
      </c>
      <c r="AN129" s="46">
        <v>34100</v>
      </c>
      <c r="AO129" s="46">
        <v>34130</v>
      </c>
      <c r="AP129" s="46">
        <v>34190</v>
      </c>
      <c r="AQ129" s="46">
        <v>34270</v>
      </c>
      <c r="AR129" s="46">
        <v>34380</v>
      </c>
      <c r="AS129" s="46">
        <v>34540</v>
      </c>
      <c r="AT129" s="46">
        <v>34730</v>
      </c>
      <c r="AU129" s="46">
        <v>34950</v>
      </c>
      <c r="AV129" s="46">
        <v>35200</v>
      </c>
      <c r="AW129" s="46">
        <v>35460</v>
      </c>
      <c r="AX129" s="46">
        <v>35720</v>
      </c>
      <c r="AY129" s="46">
        <v>35980</v>
      </c>
      <c r="AZ129" s="46">
        <v>36200</v>
      </c>
      <c r="BA129" s="46">
        <v>36400</v>
      </c>
      <c r="BB129" s="46">
        <v>36570</v>
      </c>
      <c r="BC129" s="46">
        <v>36690</v>
      </c>
      <c r="BD129" s="46">
        <v>36780</v>
      </c>
      <c r="BE129" s="46">
        <v>36840</v>
      </c>
      <c r="BF129" s="46">
        <v>36870</v>
      </c>
      <c r="BG129" s="46">
        <v>36870</v>
      </c>
      <c r="BH129" s="46">
        <v>36860</v>
      </c>
      <c r="BI129" s="46">
        <v>36830</v>
      </c>
    </row>
    <row r="130" spans="1:61" x14ac:dyDescent="0.25">
      <c r="A130" s="11">
        <f>$A$30</f>
        <v>15</v>
      </c>
      <c r="B130" s="29">
        <v>33590</v>
      </c>
      <c r="C130" s="29">
        <v>32590</v>
      </c>
      <c r="D130" s="29">
        <v>32100</v>
      </c>
      <c r="E130" s="29">
        <v>31480</v>
      </c>
      <c r="F130" s="29">
        <v>31790</v>
      </c>
      <c r="G130" s="29">
        <v>31950</v>
      </c>
      <c r="H130" s="29">
        <v>31310</v>
      </c>
      <c r="I130" s="29">
        <v>31620</v>
      </c>
      <c r="J130" s="29">
        <v>31200</v>
      </c>
      <c r="K130" s="29">
        <v>32200</v>
      </c>
      <c r="L130" s="29">
        <v>31970</v>
      </c>
      <c r="M130" s="46">
        <v>31110</v>
      </c>
      <c r="N130" s="46">
        <v>31730</v>
      </c>
      <c r="O130" s="46">
        <v>31760</v>
      </c>
      <c r="P130" s="46">
        <v>32140</v>
      </c>
      <c r="Q130" s="46">
        <v>32720</v>
      </c>
      <c r="R130" s="46">
        <v>34490</v>
      </c>
      <c r="S130" s="46">
        <v>36160</v>
      </c>
      <c r="T130" s="46">
        <v>36610</v>
      </c>
      <c r="U130" s="46">
        <v>37050</v>
      </c>
      <c r="V130" s="46">
        <v>36940</v>
      </c>
      <c r="W130" s="46">
        <v>36820</v>
      </c>
      <c r="X130" s="46">
        <v>36810</v>
      </c>
      <c r="Y130" s="46">
        <v>36510</v>
      </c>
      <c r="Z130" s="46">
        <v>36600</v>
      </c>
      <c r="AA130" s="46">
        <v>36390</v>
      </c>
      <c r="AB130" s="46">
        <v>36140</v>
      </c>
      <c r="AC130" s="46">
        <v>35900</v>
      </c>
      <c r="AD130" s="46">
        <v>36230</v>
      </c>
      <c r="AE130" s="46">
        <v>35450</v>
      </c>
      <c r="AF130" s="46">
        <v>36110</v>
      </c>
      <c r="AG130" s="46">
        <v>35430</v>
      </c>
      <c r="AH130" s="46">
        <v>33870</v>
      </c>
      <c r="AI130" s="46">
        <v>33720</v>
      </c>
      <c r="AJ130" s="46">
        <v>34390</v>
      </c>
      <c r="AK130" s="46">
        <v>34470</v>
      </c>
      <c r="AL130" s="46">
        <v>34520</v>
      </c>
      <c r="AM130" s="46">
        <v>34540</v>
      </c>
      <c r="AN130" s="46">
        <v>34560</v>
      </c>
      <c r="AO130" s="46">
        <v>34580</v>
      </c>
      <c r="AP130" s="46">
        <v>34620</v>
      </c>
      <c r="AQ130" s="46">
        <v>34670</v>
      </c>
      <c r="AR130" s="46">
        <v>34750</v>
      </c>
      <c r="AS130" s="46">
        <v>34870</v>
      </c>
      <c r="AT130" s="46">
        <v>35030</v>
      </c>
      <c r="AU130" s="46">
        <v>35220</v>
      </c>
      <c r="AV130" s="46">
        <v>35450</v>
      </c>
      <c r="AW130" s="46">
        <v>35690</v>
      </c>
      <c r="AX130" s="46">
        <v>35960</v>
      </c>
      <c r="AY130" s="46">
        <v>36220</v>
      </c>
      <c r="AZ130" s="46">
        <v>36480</v>
      </c>
      <c r="BA130" s="46">
        <v>36710</v>
      </c>
      <c r="BB130" s="46">
        <v>36910</v>
      </c>
      <c r="BC130" s="46">
        <v>37070</v>
      </c>
      <c r="BD130" s="46">
        <v>37200</v>
      </c>
      <c r="BE130" s="46">
        <v>37290</v>
      </c>
      <c r="BF130" s="46">
        <v>37350</v>
      </c>
      <c r="BG130" s="46">
        <v>37380</v>
      </c>
      <c r="BH130" s="46">
        <v>37390</v>
      </c>
      <c r="BI130" s="46">
        <v>37380</v>
      </c>
    </row>
    <row r="131" spans="1:61" x14ac:dyDescent="0.25">
      <c r="A131" s="11">
        <f>$A$31</f>
        <v>16</v>
      </c>
      <c r="B131" s="29">
        <v>32610</v>
      </c>
      <c r="C131" s="29">
        <v>33310</v>
      </c>
      <c r="D131" s="29">
        <v>32300</v>
      </c>
      <c r="E131" s="29">
        <v>32050</v>
      </c>
      <c r="F131" s="29">
        <v>31680</v>
      </c>
      <c r="G131" s="29">
        <v>31980</v>
      </c>
      <c r="H131" s="29">
        <v>32180</v>
      </c>
      <c r="I131" s="29">
        <v>31650</v>
      </c>
      <c r="J131" s="29">
        <v>31920</v>
      </c>
      <c r="K131" s="29">
        <v>31620</v>
      </c>
      <c r="L131" s="29">
        <v>32770</v>
      </c>
      <c r="M131" s="46">
        <v>32690</v>
      </c>
      <c r="N131" s="46">
        <v>31800</v>
      </c>
      <c r="O131" s="46">
        <v>32190</v>
      </c>
      <c r="P131" s="46">
        <v>32350</v>
      </c>
      <c r="Q131" s="46">
        <v>32320</v>
      </c>
      <c r="R131" s="46">
        <v>32920</v>
      </c>
      <c r="S131" s="46">
        <v>35350</v>
      </c>
      <c r="T131" s="46">
        <v>37080</v>
      </c>
      <c r="U131" s="46">
        <v>37080</v>
      </c>
      <c r="V131" s="46">
        <v>37560</v>
      </c>
      <c r="W131" s="46">
        <v>37460</v>
      </c>
      <c r="X131" s="46">
        <v>37360</v>
      </c>
      <c r="Y131" s="46">
        <v>37370</v>
      </c>
      <c r="Z131" s="46">
        <v>37070</v>
      </c>
      <c r="AA131" s="46">
        <v>37170</v>
      </c>
      <c r="AB131" s="46">
        <v>36960</v>
      </c>
      <c r="AC131" s="46">
        <v>36710</v>
      </c>
      <c r="AD131" s="46">
        <v>36480</v>
      </c>
      <c r="AE131" s="46">
        <v>36810</v>
      </c>
      <c r="AF131" s="46">
        <v>36030</v>
      </c>
      <c r="AG131" s="46">
        <v>36690</v>
      </c>
      <c r="AH131" s="46">
        <v>36010</v>
      </c>
      <c r="AI131" s="46">
        <v>34450</v>
      </c>
      <c r="AJ131" s="46">
        <v>34310</v>
      </c>
      <c r="AK131" s="46">
        <v>34980</v>
      </c>
      <c r="AL131" s="46">
        <v>35060</v>
      </c>
      <c r="AM131" s="46">
        <v>35110</v>
      </c>
      <c r="AN131" s="46">
        <v>35140</v>
      </c>
      <c r="AO131" s="46">
        <v>35160</v>
      </c>
      <c r="AP131" s="46">
        <v>35180</v>
      </c>
      <c r="AQ131" s="46">
        <v>35220</v>
      </c>
      <c r="AR131" s="46">
        <v>35280</v>
      </c>
      <c r="AS131" s="46">
        <v>35360</v>
      </c>
      <c r="AT131" s="46">
        <v>35480</v>
      </c>
      <c r="AU131" s="46">
        <v>35640</v>
      </c>
      <c r="AV131" s="46">
        <v>35840</v>
      </c>
      <c r="AW131" s="46">
        <v>36060</v>
      </c>
      <c r="AX131" s="46">
        <v>36310</v>
      </c>
      <c r="AY131" s="46">
        <v>36580</v>
      </c>
      <c r="AZ131" s="46">
        <v>36850</v>
      </c>
      <c r="BA131" s="46">
        <v>37100</v>
      </c>
      <c r="BB131" s="46">
        <v>37330</v>
      </c>
      <c r="BC131" s="46">
        <v>37540</v>
      </c>
      <c r="BD131" s="46">
        <v>37700</v>
      </c>
      <c r="BE131" s="46">
        <v>37830</v>
      </c>
      <c r="BF131" s="46">
        <v>37930</v>
      </c>
      <c r="BG131" s="46">
        <v>37990</v>
      </c>
      <c r="BH131" s="46">
        <v>38020</v>
      </c>
      <c r="BI131" s="46">
        <v>38030</v>
      </c>
    </row>
    <row r="132" spans="1:61" x14ac:dyDescent="0.25">
      <c r="A132" s="11">
        <f>$A$32</f>
        <v>17</v>
      </c>
      <c r="B132" s="29">
        <v>31820</v>
      </c>
      <c r="C132" s="29">
        <v>32260</v>
      </c>
      <c r="D132" s="29">
        <v>33160</v>
      </c>
      <c r="E132" s="29">
        <v>32180</v>
      </c>
      <c r="F132" s="29">
        <v>32210</v>
      </c>
      <c r="G132" s="29">
        <v>31800</v>
      </c>
      <c r="H132" s="29">
        <v>32120</v>
      </c>
      <c r="I132" s="29">
        <v>32430</v>
      </c>
      <c r="J132" s="29">
        <v>31970</v>
      </c>
      <c r="K132" s="29">
        <v>32340</v>
      </c>
      <c r="L132" s="29">
        <v>32150</v>
      </c>
      <c r="M132" s="46">
        <v>33240</v>
      </c>
      <c r="N132" s="46">
        <v>33240</v>
      </c>
      <c r="O132" s="46">
        <v>32050</v>
      </c>
      <c r="P132" s="46">
        <v>32410</v>
      </c>
      <c r="Q132" s="46">
        <v>32410</v>
      </c>
      <c r="R132" s="46">
        <v>32480</v>
      </c>
      <c r="S132" s="46">
        <v>33660</v>
      </c>
      <c r="T132" s="46">
        <v>36040</v>
      </c>
      <c r="U132" s="46">
        <v>37630</v>
      </c>
      <c r="V132" s="46">
        <v>37680</v>
      </c>
      <c r="W132" s="46">
        <v>38190</v>
      </c>
      <c r="X132" s="46">
        <v>38120</v>
      </c>
      <c r="Y132" s="46">
        <v>38030</v>
      </c>
      <c r="Z132" s="46">
        <v>38050</v>
      </c>
      <c r="AA132" s="46">
        <v>37760</v>
      </c>
      <c r="AB132" s="46">
        <v>37860</v>
      </c>
      <c r="AC132" s="46">
        <v>37660</v>
      </c>
      <c r="AD132" s="46">
        <v>37410</v>
      </c>
      <c r="AE132" s="46">
        <v>37180</v>
      </c>
      <c r="AF132" s="46">
        <v>37510</v>
      </c>
      <c r="AG132" s="46">
        <v>36740</v>
      </c>
      <c r="AH132" s="46">
        <v>37400</v>
      </c>
      <c r="AI132" s="46">
        <v>36730</v>
      </c>
      <c r="AJ132" s="46">
        <v>35170</v>
      </c>
      <c r="AK132" s="46">
        <v>35030</v>
      </c>
      <c r="AL132" s="46">
        <v>35700</v>
      </c>
      <c r="AM132" s="46">
        <v>35780</v>
      </c>
      <c r="AN132" s="46">
        <v>35840</v>
      </c>
      <c r="AO132" s="46">
        <v>35870</v>
      </c>
      <c r="AP132" s="46">
        <v>35900</v>
      </c>
      <c r="AQ132" s="46">
        <v>35920</v>
      </c>
      <c r="AR132" s="46">
        <v>35960</v>
      </c>
      <c r="AS132" s="46">
        <v>36020</v>
      </c>
      <c r="AT132" s="46">
        <v>36110</v>
      </c>
      <c r="AU132" s="46">
        <v>36230</v>
      </c>
      <c r="AV132" s="46">
        <v>36390</v>
      </c>
      <c r="AW132" s="46">
        <v>36590</v>
      </c>
      <c r="AX132" s="46">
        <v>36820</v>
      </c>
      <c r="AY132" s="46">
        <v>37070</v>
      </c>
      <c r="AZ132" s="46">
        <v>37340</v>
      </c>
      <c r="BA132" s="46">
        <v>37610</v>
      </c>
      <c r="BB132" s="46">
        <v>37870</v>
      </c>
      <c r="BC132" s="46">
        <v>38110</v>
      </c>
      <c r="BD132" s="46">
        <v>38310</v>
      </c>
      <c r="BE132" s="46">
        <v>38480</v>
      </c>
      <c r="BF132" s="46">
        <v>38620</v>
      </c>
      <c r="BG132" s="46">
        <v>38710</v>
      </c>
      <c r="BH132" s="46">
        <v>38780</v>
      </c>
      <c r="BI132" s="46">
        <v>38810</v>
      </c>
    </row>
    <row r="133" spans="1:61" x14ac:dyDescent="0.25">
      <c r="A133" s="11">
        <f>$A$33</f>
        <v>18</v>
      </c>
      <c r="B133" s="29">
        <v>31140</v>
      </c>
      <c r="C133" s="29">
        <v>31370</v>
      </c>
      <c r="D133" s="29">
        <v>31770</v>
      </c>
      <c r="E133" s="29">
        <v>32780</v>
      </c>
      <c r="F133" s="29">
        <v>32130</v>
      </c>
      <c r="G133" s="29">
        <v>32140</v>
      </c>
      <c r="H133" s="29">
        <v>31760</v>
      </c>
      <c r="I133" s="29">
        <v>32160</v>
      </c>
      <c r="J133" s="29">
        <v>32870</v>
      </c>
      <c r="K133" s="29">
        <v>32580</v>
      </c>
      <c r="L133" s="29">
        <v>32900</v>
      </c>
      <c r="M133" s="46">
        <v>32440</v>
      </c>
      <c r="N133" s="46">
        <v>33440</v>
      </c>
      <c r="O133" s="46">
        <v>33280</v>
      </c>
      <c r="P133" s="46">
        <v>32230</v>
      </c>
      <c r="Q133" s="46">
        <v>32100</v>
      </c>
      <c r="R133" s="46">
        <v>32260</v>
      </c>
      <c r="S133" s="46">
        <v>32990</v>
      </c>
      <c r="T133" s="46">
        <v>34000</v>
      </c>
      <c r="U133" s="46">
        <v>36600</v>
      </c>
      <c r="V133" s="46">
        <v>38250</v>
      </c>
      <c r="W133" s="46">
        <v>38330</v>
      </c>
      <c r="X133" s="46">
        <v>38870</v>
      </c>
      <c r="Y133" s="46">
        <v>38820</v>
      </c>
      <c r="Z133" s="46">
        <v>38750</v>
      </c>
      <c r="AA133" s="46">
        <v>38770</v>
      </c>
      <c r="AB133" s="46">
        <v>38480</v>
      </c>
      <c r="AC133" s="46">
        <v>38590</v>
      </c>
      <c r="AD133" s="46">
        <v>38390</v>
      </c>
      <c r="AE133" s="46">
        <v>38140</v>
      </c>
      <c r="AF133" s="46">
        <v>37910</v>
      </c>
      <c r="AG133" s="46">
        <v>38250</v>
      </c>
      <c r="AH133" s="46">
        <v>37480</v>
      </c>
      <c r="AI133" s="46">
        <v>38150</v>
      </c>
      <c r="AJ133" s="46">
        <v>37480</v>
      </c>
      <c r="AK133" s="46">
        <v>35930</v>
      </c>
      <c r="AL133" s="46">
        <v>35790</v>
      </c>
      <c r="AM133" s="46">
        <v>36460</v>
      </c>
      <c r="AN133" s="46">
        <v>36550</v>
      </c>
      <c r="AO133" s="46">
        <v>36610</v>
      </c>
      <c r="AP133" s="46">
        <v>36640</v>
      </c>
      <c r="AQ133" s="46">
        <v>36670</v>
      </c>
      <c r="AR133" s="46">
        <v>36700</v>
      </c>
      <c r="AS133" s="46">
        <v>36740</v>
      </c>
      <c r="AT133" s="46">
        <v>36810</v>
      </c>
      <c r="AU133" s="46">
        <v>36900</v>
      </c>
      <c r="AV133" s="46">
        <v>37020</v>
      </c>
      <c r="AW133" s="46">
        <v>37190</v>
      </c>
      <c r="AX133" s="46">
        <v>37390</v>
      </c>
      <c r="AY133" s="46">
        <v>37620</v>
      </c>
      <c r="AZ133" s="46">
        <v>37880</v>
      </c>
      <c r="BA133" s="46">
        <v>38150</v>
      </c>
      <c r="BB133" s="46">
        <v>38420</v>
      </c>
      <c r="BC133" s="46">
        <v>38690</v>
      </c>
      <c r="BD133" s="46">
        <v>38930</v>
      </c>
      <c r="BE133" s="46">
        <v>39130</v>
      </c>
      <c r="BF133" s="46">
        <v>39310</v>
      </c>
      <c r="BG133" s="46">
        <v>39440</v>
      </c>
      <c r="BH133" s="46">
        <v>39550</v>
      </c>
      <c r="BI133" s="46">
        <v>39610</v>
      </c>
    </row>
    <row r="134" spans="1:61" x14ac:dyDescent="0.25">
      <c r="A134" s="11">
        <f>$A$34</f>
        <v>19</v>
      </c>
      <c r="B134" s="29">
        <v>30250</v>
      </c>
      <c r="C134" s="29">
        <v>30770</v>
      </c>
      <c r="D134" s="29">
        <v>31170</v>
      </c>
      <c r="E134" s="29">
        <v>31800</v>
      </c>
      <c r="F134" s="29">
        <v>33050</v>
      </c>
      <c r="G134" s="29">
        <v>32460</v>
      </c>
      <c r="H134" s="29">
        <v>32470</v>
      </c>
      <c r="I134" s="29">
        <v>32290</v>
      </c>
      <c r="J134" s="29">
        <v>33320</v>
      </c>
      <c r="K134" s="29">
        <v>34130</v>
      </c>
      <c r="L134" s="29">
        <v>33640</v>
      </c>
      <c r="M134" s="46">
        <v>33610</v>
      </c>
      <c r="N134" s="46">
        <v>32890</v>
      </c>
      <c r="O134" s="46">
        <v>33760</v>
      </c>
      <c r="P134" s="46">
        <v>33740</v>
      </c>
      <c r="Q134" s="46">
        <v>31810</v>
      </c>
      <c r="R134" s="46">
        <v>31740</v>
      </c>
      <c r="S134" s="46">
        <v>33010</v>
      </c>
      <c r="T134" s="46">
        <v>33790</v>
      </c>
      <c r="U134" s="46">
        <v>34500</v>
      </c>
      <c r="V134" s="46">
        <v>37170</v>
      </c>
      <c r="W134" s="46">
        <v>38850</v>
      </c>
      <c r="X134" s="46">
        <v>38960</v>
      </c>
      <c r="Y134" s="46">
        <v>39520</v>
      </c>
      <c r="Z134" s="46">
        <v>39480</v>
      </c>
      <c r="AA134" s="46">
        <v>39420</v>
      </c>
      <c r="AB134" s="46">
        <v>39450</v>
      </c>
      <c r="AC134" s="46">
        <v>39160</v>
      </c>
      <c r="AD134" s="46">
        <v>39270</v>
      </c>
      <c r="AE134" s="46">
        <v>39080</v>
      </c>
      <c r="AF134" s="46">
        <v>38840</v>
      </c>
      <c r="AG134" s="46">
        <v>38610</v>
      </c>
      <c r="AH134" s="46">
        <v>38950</v>
      </c>
      <c r="AI134" s="46">
        <v>38190</v>
      </c>
      <c r="AJ134" s="46">
        <v>38860</v>
      </c>
      <c r="AK134" s="46">
        <v>38190</v>
      </c>
      <c r="AL134" s="46">
        <v>36640</v>
      </c>
      <c r="AM134" s="46">
        <v>36510</v>
      </c>
      <c r="AN134" s="46">
        <v>37190</v>
      </c>
      <c r="AO134" s="46">
        <v>37280</v>
      </c>
      <c r="AP134" s="46">
        <v>37340</v>
      </c>
      <c r="AQ134" s="46">
        <v>37380</v>
      </c>
      <c r="AR134" s="46">
        <v>37410</v>
      </c>
      <c r="AS134" s="46">
        <v>37440</v>
      </c>
      <c r="AT134" s="46">
        <v>37490</v>
      </c>
      <c r="AU134" s="46">
        <v>37560</v>
      </c>
      <c r="AV134" s="46">
        <v>37650</v>
      </c>
      <c r="AW134" s="46">
        <v>37780</v>
      </c>
      <c r="AX134" s="46">
        <v>37950</v>
      </c>
      <c r="AY134" s="46">
        <v>38160</v>
      </c>
      <c r="AZ134" s="46">
        <v>38390</v>
      </c>
      <c r="BA134" s="46">
        <v>38650</v>
      </c>
      <c r="BB134" s="46">
        <v>38930</v>
      </c>
      <c r="BC134" s="46">
        <v>39200</v>
      </c>
      <c r="BD134" s="46">
        <v>39470</v>
      </c>
      <c r="BE134" s="46">
        <v>39710</v>
      </c>
      <c r="BF134" s="46">
        <v>39920</v>
      </c>
      <c r="BG134" s="46">
        <v>40100</v>
      </c>
      <c r="BH134" s="46">
        <v>40240</v>
      </c>
      <c r="BI134" s="46">
        <v>40350</v>
      </c>
    </row>
    <row r="135" spans="1:61" x14ac:dyDescent="0.25">
      <c r="A135" s="11">
        <f>$A$35</f>
        <v>20</v>
      </c>
      <c r="B135" s="29">
        <v>29830</v>
      </c>
      <c r="C135" s="29">
        <v>29900</v>
      </c>
      <c r="D135" s="29">
        <v>30470</v>
      </c>
      <c r="E135" s="29">
        <v>31180</v>
      </c>
      <c r="F135" s="29">
        <v>32100</v>
      </c>
      <c r="G135" s="29">
        <v>33380</v>
      </c>
      <c r="H135" s="29">
        <v>32580</v>
      </c>
      <c r="I135" s="29">
        <v>32810</v>
      </c>
      <c r="J135" s="29">
        <v>33360</v>
      </c>
      <c r="K135" s="29">
        <v>34710</v>
      </c>
      <c r="L135" s="29">
        <v>35250</v>
      </c>
      <c r="M135" s="46">
        <v>34280</v>
      </c>
      <c r="N135" s="46">
        <v>34130</v>
      </c>
      <c r="O135" s="46">
        <v>33130</v>
      </c>
      <c r="P135" s="46">
        <v>34400</v>
      </c>
      <c r="Q135" s="46">
        <v>33190</v>
      </c>
      <c r="R135" s="46">
        <v>31430</v>
      </c>
      <c r="S135" s="46">
        <v>32620</v>
      </c>
      <c r="T135" s="46">
        <v>34030</v>
      </c>
      <c r="U135" s="46">
        <v>34210</v>
      </c>
      <c r="V135" s="46">
        <v>35000</v>
      </c>
      <c r="W135" s="46">
        <v>37700</v>
      </c>
      <c r="X135" s="46">
        <v>39420</v>
      </c>
      <c r="Y135" s="46">
        <v>39550</v>
      </c>
      <c r="Z135" s="46">
        <v>40120</v>
      </c>
      <c r="AA135" s="46">
        <v>40100</v>
      </c>
      <c r="AB135" s="46">
        <v>40040</v>
      </c>
      <c r="AC135" s="46">
        <v>40070</v>
      </c>
      <c r="AD135" s="46">
        <v>39790</v>
      </c>
      <c r="AE135" s="46">
        <v>39900</v>
      </c>
      <c r="AF135" s="46">
        <v>39710</v>
      </c>
      <c r="AG135" s="46">
        <v>39470</v>
      </c>
      <c r="AH135" s="46">
        <v>39250</v>
      </c>
      <c r="AI135" s="46">
        <v>39600</v>
      </c>
      <c r="AJ135" s="46">
        <v>38840</v>
      </c>
      <c r="AK135" s="46">
        <v>39510</v>
      </c>
      <c r="AL135" s="46">
        <v>38850</v>
      </c>
      <c r="AM135" s="46">
        <v>37310</v>
      </c>
      <c r="AN135" s="46">
        <v>37170</v>
      </c>
      <c r="AO135" s="46">
        <v>37860</v>
      </c>
      <c r="AP135" s="46">
        <v>37950</v>
      </c>
      <c r="AQ135" s="46">
        <v>38020</v>
      </c>
      <c r="AR135" s="46">
        <v>38060</v>
      </c>
      <c r="AS135" s="46">
        <v>38100</v>
      </c>
      <c r="AT135" s="46">
        <v>38140</v>
      </c>
      <c r="AU135" s="46">
        <v>38190</v>
      </c>
      <c r="AV135" s="46">
        <v>38260</v>
      </c>
      <c r="AW135" s="46">
        <v>38360</v>
      </c>
      <c r="AX135" s="46">
        <v>38490</v>
      </c>
      <c r="AY135" s="46">
        <v>38660</v>
      </c>
      <c r="AZ135" s="46">
        <v>38870</v>
      </c>
      <c r="BA135" s="46">
        <v>39110</v>
      </c>
      <c r="BB135" s="46">
        <v>39380</v>
      </c>
      <c r="BC135" s="46">
        <v>39660</v>
      </c>
      <c r="BD135" s="46">
        <v>39940</v>
      </c>
      <c r="BE135" s="46">
        <v>40210</v>
      </c>
      <c r="BF135" s="46">
        <v>40450</v>
      </c>
      <c r="BG135" s="46">
        <v>40670</v>
      </c>
      <c r="BH135" s="46">
        <v>40850</v>
      </c>
      <c r="BI135" s="46">
        <v>41000</v>
      </c>
    </row>
    <row r="136" spans="1:61" x14ac:dyDescent="0.25">
      <c r="A136" s="11">
        <f>$A$36</f>
        <v>21</v>
      </c>
      <c r="B136" s="29">
        <v>29560</v>
      </c>
      <c r="C136" s="29">
        <v>29170</v>
      </c>
      <c r="D136" s="29">
        <v>29450</v>
      </c>
      <c r="E136" s="29">
        <v>30280</v>
      </c>
      <c r="F136" s="29">
        <v>31170</v>
      </c>
      <c r="G136" s="29">
        <v>32090</v>
      </c>
      <c r="H136" s="29">
        <v>33060</v>
      </c>
      <c r="I136" s="29">
        <v>32490</v>
      </c>
      <c r="J136" s="29">
        <v>33640</v>
      </c>
      <c r="K136" s="29">
        <v>34560</v>
      </c>
      <c r="L136" s="29">
        <v>35630</v>
      </c>
      <c r="M136" s="46">
        <v>35580</v>
      </c>
      <c r="N136" s="46">
        <v>34500</v>
      </c>
      <c r="O136" s="46">
        <v>34400</v>
      </c>
      <c r="P136" s="46">
        <v>33810</v>
      </c>
      <c r="Q136" s="46">
        <v>33920</v>
      </c>
      <c r="R136" s="46">
        <v>32710</v>
      </c>
      <c r="S136" s="46">
        <v>32360</v>
      </c>
      <c r="T136" s="46">
        <v>33420</v>
      </c>
      <c r="U136" s="46">
        <v>34220</v>
      </c>
      <c r="V136" s="46">
        <v>34470</v>
      </c>
      <c r="W136" s="46">
        <v>35290</v>
      </c>
      <c r="X136" s="46">
        <v>38030</v>
      </c>
      <c r="Y136" s="46">
        <v>39760</v>
      </c>
      <c r="Z136" s="46">
        <v>39910</v>
      </c>
      <c r="AA136" s="46">
        <v>40490</v>
      </c>
      <c r="AB136" s="46">
        <v>40470</v>
      </c>
      <c r="AC136" s="46">
        <v>40410</v>
      </c>
      <c r="AD136" s="46">
        <v>40450</v>
      </c>
      <c r="AE136" s="46">
        <v>40170</v>
      </c>
      <c r="AF136" s="46">
        <v>40290</v>
      </c>
      <c r="AG136" s="46">
        <v>40100</v>
      </c>
      <c r="AH136" s="46">
        <v>39870</v>
      </c>
      <c r="AI136" s="46">
        <v>39660</v>
      </c>
      <c r="AJ136" s="46">
        <v>40000</v>
      </c>
      <c r="AK136" s="46">
        <v>39250</v>
      </c>
      <c r="AL136" s="46">
        <v>39920</v>
      </c>
      <c r="AM136" s="46">
        <v>39270</v>
      </c>
      <c r="AN136" s="46">
        <v>37730</v>
      </c>
      <c r="AO136" s="46">
        <v>37600</v>
      </c>
      <c r="AP136" s="46">
        <v>38290</v>
      </c>
      <c r="AQ136" s="46">
        <v>38390</v>
      </c>
      <c r="AR136" s="46">
        <v>38460</v>
      </c>
      <c r="AS136" s="46">
        <v>38510</v>
      </c>
      <c r="AT136" s="46">
        <v>38550</v>
      </c>
      <c r="AU136" s="46">
        <v>38590</v>
      </c>
      <c r="AV136" s="46">
        <v>38640</v>
      </c>
      <c r="AW136" s="46">
        <v>38710</v>
      </c>
      <c r="AX136" s="46">
        <v>38820</v>
      </c>
      <c r="AY136" s="46">
        <v>38950</v>
      </c>
      <c r="AZ136" s="46">
        <v>39130</v>
      </c>
      <c r="BA136" s="46">
        <v>39350</v>
      </c>
      <c r="BB136" s="46">
        <v>39590</v>
      </c>
      <c r="BC136" s="46">
        <v>39860</v>
      </c>
      <c r="BD136" s="46">
        <v>40140</v>
      </c>
      <c r="BE136" s="46">
        <v>40420</v>
      </c>
      <c r="BF136" s="46">
        <v>40700</v>
      </c>
      <c r="BG136" s="46">
        <v>40950</v>
      </c>
      <c r="BH136" s="46">
        <v>41170</v>
      </c>
      <c r="BI136" s="46">
        <v>41350</v>
      </c>
    </row>
    <row r="137" spans="1:61" x14ac:dyDescent="0.25">
      <c r="A137" s="11">
        <f>$A$37</f>
        <v>22</v>
      </c>
      <c r="B137" s="29">
        <v>29400</v>
      </c>
      <c r="C137" s="29">
        <v>28750</v>
      </c>
      <c r="D137" s="29">
        <v>28560</v>
      </c>
      <c r="E137" s="29">
        <v>29170</v>
      </c>
      <c r="F137" s="29">
        <v>30130</v>
      </c>
      <c r="G137" s="29">
        <v>30860</v>
      </c>
      <c r="H137" s="29">
        <v>31510</v>
      </c>
      <c r="I137" s="29">
        <v>32760</v>
      </c>
      <c r="J137" s="29">
        <v>33500</v>
      </c>
      <c r="K137" s="29">
        <v>35130</v>
      </c>
      <c r="L137" s="29">
        <v>35470</v>
      </c>
      <c r="M137" s="46">
        <v>35840</v>
      </c>
      <c r="N137" s="46">
        <v>35600</v>
      </c>
      <c r="O137" s="46">
        <v>34550</v>
      </c>
      <c r="P137" s="46">
        <v>34890</v>
      </c>
      <c r="Q137" s="46">
        <v>33310</v>
      </c>
      <c r="R137" s="46">
        <v>33450</v>
      </c>
      <c r="S137" s="46">
        <v>33470</v>
      </c>
      <c r="T137" s="46">
        <v>33000</v>
      </c>
      <c r="U137" s="46">
        <v>33510</v>
      </c>
      <c r="V137" s="46">
        <v>34380</v>
      </c>
      <c r="W137" s="46">
        <v>34670</v>
      </c>
      <c r="X137" s="46">
        <v>35520</v>
      </c>
      <c r="Y137" s="46">
        <v>38280</v>
      </c>
      <c r="Z137" s="46">
        <v>40030</v>
      </c>
      <c r="AA137" s="46">
        <v>40190</v>
      </c>
      <c r="AB137" s="46">
        <v>40770</v>
      </c>
      <c r="AC137" s="46">
        <v>40750</v>
      </c>
      <c r="AD137" s="46">
        <v>40700</v>
      </c>
      <c r="AE137" s="46">
        <v>40740</v>
      </c>
      <c r="AF137" s="46">
        <v>40470</v>
      </c>
      <c r="AG137" s="46">
        <v>40590</v>
      </c>
      <c r="AH137" s="46">
        <v>40410</v>
      </c>
      <c r="AI137" s="46">
        <v>40180</v>
      </c>
      <c r="AJ137" s="46">
        <v>39970</v>
      </c>
      <c r="AK137" s="46">
        <v>40320</v>
      </c>
      <c r="AL137" s="46">
        <v>39570</v>
      </c>
      <c r="AM137" s="46">
        <v>40250</v>
      </c>
      <c r="AN137" s="46">
        <v>39600</v>
      </c>
      <c r="AO137" s="46">
        <v>38060</v>
      </c>
      <c r="AP137" s="46">
        <v>37940</v>
      </c>
      <c r="AQ137" s="46">
        <v>38630</v>
      </c>
      <c r="AR137" s="46">
        <v>38730</v>
      </c>
      <c r="AS137" s="46">
        <v>38810</v>
      </c>
      <c r="AT137" s="46">
        <v>38860</v>
      </c>
      <c r="AU137" s="46">
        <v>38900</v>
      </c>
      <c r="AV137" s="46">
        <v>38950</v>
      </c>
      <c r="AW137" s="46">
        <v>39010</v>
      </c>
      <c r="AX137" s="46">
        <v>39090</v>
      </c>
      <c r="AY137" s="46">
        <v>39190</v>
      </c>
      <c r="AZ137" s="46">
        <v>39330</v>
      </c>
      <c r="BA137" s="46">
        <v>39510</v>
      </c>
      <c r="BB137" s="46">
        <v>39730</v>
      </c>
      <c r="BC137" s="46">
        <v>39980</v>
      </c>
      <c r="BD137" s="46">
        <v>40250</v>
      </c>
      <c r="BE137" s="46">
        <v>40540</v>
      </c>
      <c r="BF137" s="46">
        <v>40830</v>
      </c>
      <c r="BG137" s="46">
        <v>41100</v>
      </c>
      <c r="BH137" s="46">
        <v>41360</v>
      </c>
      <c r="BI137" s="46">
        <v>41580</v>
      </c>
    </row>
    <row r="138" spans="1:61" x14ac:dyDescent="0.25">
      <c r="A138" s="11">
        <f>$A$38</f>
        <v>23</v>
      </c>
      <c r="B138" s="29">
        <v>29090</v>
      </c>
      <c r="C138" s="29">
        <v>28510</v>
      </c>
      <c r="D138" s="29">
        <v>28050</v>
      </c>
      <c r="E138" s="29">
        <v>28280</v>
      </c>
      <c r="F138" s="29">
        <v>28950</v>
      </c>
      <c r="G138" s="29">
        <v>29690</v>
      </c>
      <c r="H138" s="29">
        <v>30250</v>
      </c>
      <c r="I138" s="29">
        <v>31220</v>
      </c>
      <c r="J138" s="29">
        <v>33600</v>
      </c>
      <c r="K138" s="29">
        <v>35270</v>
      </c>
      <c r="L138" s="29">
        <v>36570</v>
      </c>
      <c r="M138" s="46">
        <v>36110</v>
      </c>
      <c r="N138" s="46">
        <v>36120</v>
      </c>
      <c r="O138" s="46">
        <v>35810</v>
      </c>
      <c r="P138" s="46">
        <v>35380</v>
      </c>
      <c r="Q138" s="46">
        <v>34290</v>
      </c>
      <c r="R138" s="46">
        <v>32750</v>
      </c>
      <c r="S138" s="46">
        <v>34240</v>
      </c>
      <c r="T138" s="46">
        <v>34000</v>
      </c>
      <c r="U138" s="46">
        <v>33050</v>
      </c>
      <c r="V138" s="46">
        <v>33640</v>
      </c>
      <c r="W138" s="46">
        <v>34560</v>
      </c>
      <c r="X138" s="46">
        <v>34880</v>
      </c>
      <c r="Y138" s="46">
        <v>35750</v>
      </c>
      <c r="Z138" s="46">
        <v>38530</v>
      </c>
      <c r="AA138" s="46">
        <v>40280</v>
      </c>
      <c r="AB138" s="46">
        <v>40450</v>
      </c>
      <c r="AC138" s="46">
        <v>41030</v>
      </c>
      <c r="AD138" s="46">
        <v>41020</v>
      </c>
      <c r="AE138" s="46">
        <v>40970</v>
      </c>
      <c r="AF138" s="46">
        <v>41010</v>
      </c>
      <c r="AG138" s="46">
        <v>40750</v>
      </c>
      <c r="AH138" s="46">
        <v>40880</v>
      </c>
      <c r="AI138" s="46">
        <v>40690</v>
      </c>
      <c r="AJ138" s="46">
        <v>40470</v>
      </c>
      <c r="AK138" s="46">
        <v>40260</v>
      </c>
      <c r="AL138" s="46">
        <v>40620</v>
      </c>
      <c r="AM138" s="46">
        <v>39880</v>
      </c>
      <c r="AN138" s="46">
        <v>40560</v>
      </c>
      <c r="AO138" s="46">
        <v>39910</v>
      </c>
      <c r="AP138" s="46">
        <v>38380</v>
      </c>
      <c r="AQ138" s="46">
        <v>38260</v>
      </c>
      <c r="AR138" s="46">
        <v>38960</v>
      </c>
      <c r="AS138" s="46">
        <v>39060</v>
      </c>
      <c r="AT138" s="46">
        <v>39140</v>
      </c>
      <c r="AU138" s="46">
        <v>39200</v>
      </c>
      <c r="AV138" s="46">
        <v>39250</v>
      </c>
      <c r="AW138" s="46">
        <v>39300</v>
      </c>
      <c r="AX138" s="46">
        <v>39360</v>
      </c>
      <c r="AY138" s="46">
        <v>39440</v>
      </c>
      <c r="AZ138" s="46">
        <v>39550</v>
      </c>
      <c r="BA138" s="46">
        <v>39700</v>
      </c>
      <c r="BB138" s="46">
        <v>39880</v>
      </c>
      <c r="BC138" s="46">
        <v>40100</v>
      </c>
      <c r="BD138" s="46">
        <v>40360</v>
      </c>
      <c r="BE138" s="46">
        <v>40630</v>
      </c>
      <c r="BF138" s="46">
        <v>40920</v>
      </c>
      <c r="BG138" s="46">
        <v>41220</v>
      </c>
      <c r="BH138" s="46">
        <v>41500</v>
      </c>
      <c r="BI138" s="46">
        <v>41760</v>
      </c>
    </row>
    <row r="139" spans="1:61" x14ac:dyDescent="0.25">
      <c r="A139" s="11">
        <f>$A$39</f>
        <v>24</v>
      </c>
      <c r="B139" s="29">
        <v>27970</v>
      </c>
      <c r="C139" s="29">
        <v>28320</v>
      </c>
      <c r="D139" s="29">
        <v>27860</v>
      </c>
      <c r="E139" s="29">
        <v>27710</v>
      </c>
      <c r="F139" s="29">
        <v>28100</v>
      </c>
      <c r="G139" s="29">
        <v>28460</v>
      </c>
      <c r="H139" s="29">
        <v>28950</v>
      </c>
      <c r="I139" s="29">
        <v>29910</v>
      </c>
      <c r="J139" s="29">
        <v>32200</v>
      </c>
      <c r="K139" s="29">
        <v>35200</v>
      </c>
      <c r="L139" s="29">
        <v>36820</v>
      </c>
      <c r="M139" s="46">
        <v>37470</v>
      </c>
      <c r="N139" s="46">
        <v>36450</v>
      </c>
      <c r="O139" s="46">
        <v>36340</v>
      </c>
      <c r="P139" s="46">
        <v>36870</v>
      </c>
      <c r="Q139" s="46">
        <v>34730</v>
      </c>
      <c r="R139" s="46">
        <v>33700</v>
      </c>
      <c r="S139" s="46">
        <v>33590</v>
      </c>
      <c r="T139" s="46">
        <v>34620</v>
      </c>
      <c r="U139" s="46">
        <v>34050</v>
      </c>
      <c r="V139" s="46">
        <v>33180</v>
      </c>
      <c r="W139" s="46">
        <v>33810</v>
      </c>
      <c r="X139" s="46">
        <v>34750</v>
      </c>
      <c r="Y139" s="46">
        <v>35100</v>
      </c>
      <c r="Z139" s="46">
        <v>35990</v>
      </c>
      <c r="AA139" s="46">
        <v>38770</v>
      </c>
      <c r="AB139" s="46">
        <v>40530</v>
      </c>
      <c r="AC139" s="46">
        <v>40700</v>
      </c>
      <c r="AD139" s="46">
        <v>41290</v>
      </c>
      <c r="AE139" s="46">
        <v>41280</v>
      </c>
      <c r="AF139" s="46">
        <v>41230</v>
      </c>
      <c r="AG139" s="46">
        <v>41280</v>
      </c>
      <c r="AH139" s="46">
        <v>41020</v>
      </c>
      <c r="AI139" s="46">
        <v>41150</v>
      </c>
      <c r="AJ139" s="46">
        <v>40980</v>
      </c>
      <c r="AK139" s="46">
        <v>40760</v>
      </c>
      <c r="AL139" s="46">
        <v>40550</v>
      </c>
      <c r="AM139" s="46">
        <v>40910</v>
      </c>
      <c r="AN139" s="46">
        <v>40170</v>
      </c>
      <c r="AO139" s="46">
        <v>40860</v>
      </c>
      <c r="AP139" s="46">
        <v>40220</v>
      </c>
      <c r="AQ139" s="46">
        <v>38690</v>
      </c>
      <c r="AR139" s="46">
        <v>38580</v>
      </c>
      <c r="AS139" s="46">
        <v>39280</v>
      </c>
      <c r="AT139" s="46">
        <v>39390</v>
      </c>
      <c r="AU139" s="46">
        <v>39470</v>
      </c>
      <c r="AV139" s="46">
        <v>39530</v>
      </c>
      <c r="AW139" s="46">
        <v>39580</v>
      </c>
      <c r="AX139" s="46">
        <v>39640</v>
      </c>
      <c r="AY139" s="46">
        <v>39700</v>
      </c>
      <c r="AZ139" s="46">
        <v>39790</v>
      </c>
      <c r="BA139" s="46">
        <v>39910</v>
      </c>
      <c r="BB139" s="46">
        <v>40050</v>
      </c>
      <c r="BC139" s="46">
        <v>40240</v>
      </c>
      <c r="BD139" s="46">
        <v>40470</v>
      </c>
      <c r="BE139" s="46">
        <v>40720</v>
      </c>
      <c r="BF139" s="46">
        <v>41000</v>
      </c>
      <c r="BG139" s="46">
        <v>41300</v>
      </c>
      <c r="BH139" s="46">
        <v>41600</v>
      </c>
      <c r="BI139" s="46">
        <v>41880</v>
      </c>
    </row>
    <row r="140" spans="1:61" x14ac:dyDescent="0.25">
      <c r="A140" s="11">
        <f>$A$40</f>
        <v>25</v>
      </c>
      <c r="B140" s="29">
        <v>26850</v>
      </c>
      <c r="C140" s="29">
        <v>27330</v>
      </c>
      <c r="D140" s="29">
        <v>27690</v>
      </c>
      <c r="E140" s="29">
        <v>27550</v>
      </c>
      <c r="F140" s="29">
        <v>27400</v>
      </c>
      <c r="G140" s="29">
        <v>27490</v>
      </c>
      <c r="H140" s="29">
        <v>27780</v>
      </c>
      <c r="I140" s="29">
        <v>28550</v>
      </c>
      <c r="J140" s="29">
        <v>30780</v>
      </c>
      <c r="K140" s="29">
        <v>33840</v>
      </c>
      <c r="L140" s="29">
        <v>36740</v>
      </c>
      <c r="M140" s="46">
        <v>37940</v>
      </c>
      <c r="N140" s="46">
        <v>37990</v>
      </c>
      <c r="O140" s="46">
        <v>36610</v>
      </c>
      <c r="P140" s="46">
        <v>37410</v>
      </c>
      <c r="Q140" s="46">
        <v>36230</v>
      </c>
      <c r="R140" s="46">
        <v>34050</v>
      </c>
      <c r="S140" s="46">
        <v>34530</v>
      </c>
      <c r="T140" s="46">
        <v>33850</v>
      </c>
      <c r="U140" s="46">
        <v>34660</v>
      </c>
      <c r="V140" s="46">
        <v>34170</v>
      </c>
      <c r="W140" s="46">
        <v>33330</v>
      </c>
      <c r="X140" s="46">
        <v>33990</v>
      </c>
      <c r="Y140" s="46">
        <v>34960</v>
      </c>
      <c r="Z140" s="46">
        <v>35320</v>
      </c>
      <c r="AA140" s="46">
        <v>36220</v>
      </c>
      <c r="AB140" s="46">
        <v>39000</v>
      </c>
      <c r="AC140" s="46">
        <v>40760</v>
      </c>
      <c r="AD140" s="46">
        <v>40930</v>
      </c>
      <c r="AE140" s="46">
        <v>41530</v>
      </c>
      <c r="AF140" s="46">
        <v>41520</v>
      </c>
      <c r="AG140" s="46">
        <v>41480</v>
      </c>
      <c r="AH140" s="46">
        <v>41540</v>
      </c>
      <c r="AI140" s="46">
        <v>41280</v>
      </c>
      <c r="AJ140" s="46">
        <v>41410</v>
      </c>
      <c r="AK140" s="46">
        <v>41240</v>
      </c>
      <c r="AL140" s="46">
        <v>41030</v>
      </c>
      <c r="AM140" s="46">
        <v>40830</v>
      </c>
      <c r="AN140" s="46">
        <v>41190</v>
      </c>
      <c r="AO140" s="46">
        <v>40460</v>
      </c>
      <c r="AP140" s="46">
        <v>41150</v>
      </c>
      <c r="AQ140" s="46">
        <v>40510</v>
      </c>
      <c r="AR140" s="46">
        <v>38990</v>
      </c>
      <c r="AS140" s="46">
        <v>38880</v>
      </c>
      <c r="AT140" s="46">
        <v>39580</v>
      </c>
      <c r="AU140" s="46">
        <v>39700</v>
      </c>
      <c r="AV140" s="46">
        <v>39780</v>
      </c>
      <c r="AW140" s="46">
        <v>39850</v>
      </c>
      <c r="AX140" s="46">
        <v>39900</v>
      </c>
      <c r="AY140" s="46">
        <v>39960</v>
      </c>
      <c r="AZ140" s="46">
        <v>40030</v>
      </c>
      <c r="BA140" s="46">
        <v>40120</v>
      </c>
      <c r="BB140" s="46">
        <v>40240</v>
      </c>
      <c r="BC140" s="46">
        <v>40390</v>
      </c>
      <c r="BD140" s="46">
        <v>40590</v>
      </c>
      <c r="BE140" s="46">
        <v>40820</v>
      </c>
      <c r="BF140" s="46">
        <v>41080</v>
      </c>
      <c r="BG140" s="46">
        <v>41360</v>
      </c>
      <c r="BH140" s="46">
        <v>41660</v>
      </c>
      <c r="BI140" s="46">
        <v>41960</v>
      </c>
    </row>
    <row r="141" spans="1:61" x14ac:dyDescent="0.25">
      <c r="A141" s="11">
        <f>$A$41</f>
        <v>26</v>
      </c>
      <c r="B141" s="29">
        <v>25810</v>
      </c>
      <c r="C141" s="29">
        <v>26520</v>
      </c>
      <c r="D141" s="29">
        <v>26680</v>
      </c>
      <c r="E141" s="29">
        <v>27300</v>
      </c>
      <c r="F141" s="29">
        <v>27360</v>
      </c>
      <c r="G141" s="29">
        <v>26870</v>
      </c>
      <c r="H141" s="29">
        <v>26900</v>
      </c>
      <c r="I141" s="29">
        <v>27500</v>
      </c>
      <c r="J141" s="29">
        <v>29490</v>
      </c>
      <c r="K141" s="29">
        <v>32170</v>
      </c>
      <c r="L141" s="29">
        <v>35490</v>
      </c>
      <c r="M141" s="46">
        <v>37790</v>
      </c>
      <c r="N141" s="46">
        <v>38730</v>
      </c>
      <c r="O141" s="46">
        <v>38220</v>
      </c>
      <c r="P141" s="46">
        <v>37780</v>
      </c>
      <c r="Q141" s="46">
        <v>36690</v>
      </c>
      <c r="R141" s="46">
        <v>35310</v>
      </c>
      <c r="S141" s="46">
        <v>35000</v>
      </c>
      <c r="T141" s="46">
        <v>34780</v>
      </c>
      <c r="U141" s="46">
        <v>33920</v>
      </c>
      <c r="V141" s="46">
        <v>34790</v>
      </c>
      <c r="W141" s="46">
        <v>34330</v>
      </c>
      <c r="X141" s="46">
        <v>33530</v>
      </c>
      <c r="Y141" s="46">
        <v>34210</v>
      </c>
      <c r="Z141" s="46">
        <v>35190</v>
      </c>
      <c r="AA141" s="46">
        <v>35560</v>
      </c>
      <c r="AB141" s="46">
        <v>36460</v>
      </c>
      <c r="AC141" s="46">
        <v>39240</v>
      </c>
      <c r="AD141" s="46">
        <v>41010</v>
      </c>
      <c r="AE141" s="46">
        <v>41190</v>
      </c>
      <c r="AF141" s="46">
        <v>41780</v>
      </c>
      <c r="AG141" s="46">
        <v>41780</v>
      </c>
      <c r="AH141" s="46">
        <v>41750</v>
      </c>
      <c r="AI141" s="46">
        <v>41800</v>
      </c>
      <c r="AJ141" s="46">
        <v>41550</v>
      </c>
      <c r="AK141" s="46">
        <v>41690</v>
      </c>
      <c r="AL141" s="46">
        <v>41520</v>
      </c>
      <c r="AM141" s="46">
        <v>41310</v>
      </c>
      <c r="AN141" s="46">
        <v>41120</v>
      </c>
      <c r="AO141" s="46">
        <v>41480</v>
      </c>
      <c r="AP141" s="46">
        <v>40750</v>
      </c>
      <c r="AQ141" s="46">
        <v>41440</v>
      </c>
      <c r="AR141" s="46">
        <v>40810</v>
      </c>
      <c r="AS141" s="46">
        <v>39300</v>
      </c>
      <c r="AT141" s="46">
        <v>39190</v>
      </c>
      <c r="AU141" s="46">
        <v>39900</v>
      </c>
      <c r="AV141" s="46">
        <v>40010</v>
      </c>
      <c r="AW141" s="46">
        <v>40100</v>
      </c>
      <c r="AX141" s="46">
        <v>40170</v>
      </c>
      <c r="AY141" s="46">
        <v>40230</v>
      </c>
      <c r="AZ141" s="46">
        <v>40290</v>
      </c>
      <c r="BA141" s="46">
        <v>40370</v>
      </c>
      <c r="BB141" s="46">
        <v>40460</v>
      </c>
      <c r="BC141" s="46">
        <v>40580</v>
      </c>
      <c r="BD141" s="46">
        <v>40740</v>
      </c>
      <c r="BE141" s="46">
        <v>40940</v>
      </c>
      <c r="BF141" s="46">
        <v>41170</v>
      </c>
      <c r="BG141" s="46">
        <v>41430</v>
      </c>
      <c r="BH141" s="46">
        <v>41720</v>
      </c>
      <c r="BI141" s="46">
        <v>42020</v>
      </c>
    </row>
    <row r="142" spans="1:61" x14ac:dyDescent="0.25">
      <c r="A142" s="11">
        <f>$A$42</f>
        <v>27</v>
      </c>
      <c r="B142" s="29">
        <v>24950</v>
      </c>
      <c r="C142" s="29">
        <v>25500</v>
      </c>
      <c r="D142" s="29">
        <v>26180</v>
      </c>
      <c r="E142" s="29">
        <v>26500</v>
      </c>
      <c r="F142" s="29">
        <v>27160</v>
      </c>
      <c r="G142" s="29">
        <v>26830</v>
      </c>
      <c r="H142" s="29">
        <v>26330</v>
      </c>
      <c r="I142" s="29">
        <v>26710</v>
      </c>
      <c r="J142" s="29">
        <v>28440</v>
      </c>
      <c r="K142" s="29">
        <v>31000</v>
      </c>
      <c r="L142" s="29">
        <v>33600</v>
      </c>
      <c r="M142" s="46">
        <v>36760</v>
      </c>
      <c r="N142" s="46">
        <v>38680</v>
      </c>
      <c r="O142" s="46">
        <v>39030</v>
      </c>
      <c r="P142" s="46">
        <v>39300</v>
      </c>
      <c r="Q142" s="46">
        <v>37130</v>
      </c>
      <c r="R142" s="46">
        <v>35860</v>
      </c>
      <c r="S142" s="46">
        <v>36560</v>
      </c>
      <c r="T142" s="46">
        <v>35260</v>
      </c>
      <c r="U142" s="46">
        <v>34910</v>
      </c>
      <c r="V142" s="46">
        <v>34110</v>
      </c>
      <c r="W142" s="46">
        <v>35020</v>
      </c>
      <c r="X142" s="46">
        <v>34590</v>
      </c>
      <c r="Y142" s="46">
        <v>33800</v>
      </c>
      <c r="Z142" s="46">
        <v>34500</v>
      </c>
      <c r="AA142" s="46">
        <v>35480</v>
      </c>
      <c r="AB142" s="46">
        <v>35850</v>
      </c>
      <c r="AC142" s="46">
        <v>36760</v>
      </c>
      <c r="AD142" s="46">
        <v>39550</v>
      </c>
      <c r="AE142" s="46">
        <v>41310</v>
      </c>
      <c r="AF142" s="46">
        <v>41490</v>
      </c>
      <c r="AG142" s="46">
        <v>42090</v>
      </c>
      <c r="AH142" s="46">
        <v>42100</v>
      </c>
      <c r="AI142" s="46">
        <v>42060</v>
      </c>
      <c r="AJ142" s="46">
        <v>42120</v>
      </c>
      <c r="AK142" s="46">
        <v>41880</v>
      </c>
      <c r="AL142" s="46">
        <v>42020</v>
      </c>
      <c r="AM142" s="46">
        <v>41850</v>
      </c>
      <c r="AN142" s="46">
        <v>41650</v>
      </c>
      <c r="AO142" s="46">
        <v>41460</v>
      </c>
      <c r="AP142" s="46">
        <v>41830</v>
      </c>
      <c r="AQ142" s="46">
        <v>41100</v>
      </c>
      <c r="AR142" s="46">
        <v>41790</v>
      </c>
      <c r="AS142" s="46">
        <v>41160</v>
      </c>
      <c r="AT142" s="46">
        <v>39660</v>
      </c>
      <c r="AU142" s="46">
        <v>39550</v>
      </c>
      <c r="AV142" s="46">
        <v>40260</v>
      </c>
      <c r="AW142" s="46">
        <v>40380</v>
      </c>
      <c r="AX142" s="46">
        <v>40470</v>
      </c>
      <c r="AY142" s="46">
        <v>40550</v>
      </c>
      <c r="AZ142" s="46">
        <v>40610</v>
      </c>
      <c r="BA142" s="46">
        <v>40670</v>
      </c>
      <c r="BB142" s="46">
        <v>40750</v>
      </c>
      <c r="BC142" s="46">
        <v>40850</v>
      </c>
      <c r="BD142" s="46">
        <v>40980</v>
      </c>
      <c r="BE142" s="46">
        <v>41140</v>
      </c>
      <c r="BF142" s="46">
        <v>41340</v>
      </c>
      <c r="BG142" s="46">
        <v>41570</v>
      </c>
      <c r="BH142" s="46">
        <v>41840</v>
      </c>
      <c r="BI142" s="46">
        <v>42130</v>
      </c>
    </row>
    <row r="143" spans="1:61" x14ac:dyDescent="0.25">
      <c r="A143" s="11">
        <f>$A$43</f>
        <v>28</v>
      </c>
      <c r="B143" s="29">
        <v>24310</v>
      </c>
      <c r="C143" s="29">
        <v>25050</v>
      </c>
      <c r="D143" s="29">
        <v>25420</v>
      </c>
      <c r="E143" s="29">
        <v>26210</v>
      </c>
      <c r="F143" s="29">
        <v>26400</v>
      </c>
      <c r="G143" s="29">
        <v>26740</v>
      </c>
      <c r="H143" s="29">
        <v>26420</v>
      </c>
      <c r="I143" s="29">
        <v>26240</v>
      </c>
      <c r="J143" s="29">
        <v>27720</v>
      </c>
      <c r="K143" s="29">
        <v>29900</v>
      </c>
      <c r="L143" s="29">
        <v>32600</v>
      </c>
      <c r="M143" s="46">
        <v>34940</v>
      </c>
      <c r="N143" s="46">
        <v>37910</v>
      </c>
      <c r="O143" s="46">
        <v>39120</v>
      </c>
      <c r="P143" s="46">
        <v>40080</v>
      </c>
      <c r="Q143" s="46">
        <v>38540</v>
      </c>
      <c r="R143" s="46">
        <v>36380</v>
      </c>
      <c r="S143" s="46">
        <v>37510</v>
      </c>
      <c r="T143" s="46">
        <v>37090</v>
      </c>
      <c r="U143" s="46">
        <v>35470</v>
      </c>
      <c r="V143" s="46">
        <v>35180</v>
      </c>
      <c r="W143" s="46">
        <v>34420</v>
      </c>
      <c r="X143" s="46">
        <v>35350</v>
      </c>
      <c r="Y143" s="46">
        <v>34940</v>
      </c>
      <c r="Z143" s="46">
        <v>34170</v>
      </c>
      <c r="AA143" s="46">
        <v>34870</v>
      </c>
      <c r="AB143" s="46">
        <v>35860</v>
      </c>
      <c r="AC143" s="46">
        <v>36240</v>
      </c>
      <c r="AD143" s="46">
        <v>37150</v>
      </c>
      <c r="AE143" s="46">
        <v>39930</v>
      </c>
      <c r="AF143" s="46">
        <v>41700</v>
      </c>
      <c r="AG143" s="46">
        <v>41890</v>
      </c>
      <c r="AH143" s="46">
        <v>42490</v>
      </c>
      <c r="AI143" s="46">
        <v>42500</v>
      </c>
      <c r="AJ143" s="46">
        <v>42470</v>
      </c>
      <c r="AK143" s="46">
        <v>42530</v>
      </c>
      <c r="AL143" s="46">
        <v>42290</v>
      </c>
      <c r="AM143" s="46">
        <v>42430</v>
      </c>
      <c r="AN143" s="46">
        <v>42270</v>
      </c>
      <c r="AO143" s="46">
        <v>42070</v>
      </c>
      <c r="AP143" s="46">
        <v>41880</v>
      </c>
      <c r="AQ143" s="46">
        <v>42250</v>
      </c>
      <c r="AR143" s="46">
        <v>41530</v>
      </c>
      <c r="AS143" s="46">
        <v>42230</v>
      </c>
      <c r="AT143" s="46">
        <v>41600</v>
      </c>
      <c r="AU143" s="46">
        <v>40100</v>
      </c>
      <c r="AV143" s="46">
        <v>40000</v>
      </c>
      <c r="AW143" s="46">
        <v>40710</v>
      </c>
      <c r="AX143" s="46">
        <v>40840</v>
      </c>
      <c r="AY143" s="46">
        <v>40930</v>
      </c>
      <c r="AZ143" s="46">
        <v>41010</v>
      </c>
      <c r="BA143" s="46">
        <v>41070</v>
      </c>
      <c r="BB143" s="46">
        <v>41140</v>
      </c>
      <c r="BC143" s="46">
        <v>41220</v>
      </c>
      <c r="BD143" s="46">
        <v>41320</v>
      </c>
      <c r="BE143" s="46">
        <v>41450</v>
      </c>
      <c r="BF143" s="46">
        <v>41620</v>
      </c>
      <c r="BG143" s="46">
        <v>41820</v>
      </c>
      <c r="BH143" s="46">
        <v>42060</v>
      </c>
      <c r="BI143" s="46">
        <v>42330</v>
      </c>
    </row>
    <row r="144" spans="1:61" x14ac:dyDescent="0.25">
      <c r="A144" s="11">
        <f>$A$44</f>
        <v>29</v>
      </c>
      <c r="B144" s="29">
        <v>24860</v>
      </c>
      <c r="C144" s="29">
        <v>24580</v>
      </c>
      <c r="D144" s="29">
        <v>25170</v>
      </c>
      <c r="E144" s="29">
        <v>25650</v>
      </c>
      <c r="F144" s="29">
        <v>26170</v>
      </c>
      <c r="G144" s="29">
        <v>26150</v>
      </c>
      <c r="H144" s="29">
        <v>26520</v>
      </c>
      <c r="I144" s="29">
        <v>26330</v>
      </c>
      <c r="J144" s="29">
        <v>27110</v>
      </c>
      <c r="K144" s="29">
        <v>29070</v>
      </c>
      <c r="L144" s="29">
        <v>31620</v>
      </c>
      <c r="M144" s="46">
        <v>34150</v>
      </c>
      <c r="N144" s="46">
        <v>36030</v>
      </c>
      <c r="O144" s="46">
        <v>38510</v>
      </c>
      <c r="P144" s="46">
        <v>40340</v>
      </c>
      <c r="Q144" s="46">
        <v>39410</v>
      </c>
      <c r="R144" s="46">
        <v>37670</v>
      </c>
      <c r="S144" s="46">
        <v>38060</v>
      </c>
      <c r="T144" s="46">
        <v>38040</v>
      </c>
      <c r="U144" s="46">
        <v>37380</v>
      </c>
      <c r="V144" s="46">
        <v>35820</v>
      </c>
      <c r="W144" s="46">
        <v>35560</v>
      </c>
      <c r="X144" s="46">
        <v>34820</v>
      </c>
      <c r="Y144" s="46">
        <v>35780</v>
      </c>
      <c r="Z144" s="46">
        <v>35380</v>
      </c>
      <c r="AA144" s="46">
        <v>34610</v>
      </c>
      <c r="AB144" s="46">
        <v>35320</v>
      </c>
      <c r="AC144" s="46">
        <v>36310</v>
      </c>
      <c r="AD144" s="46">
        <v>36690</v>
      </c>
      <c r="AE144" s="46">
        <v>37600</v>
      </c>
      <c r="AF144" s="46">
        <v>40390</v>
      </c>
      <c r="AG144" s="46">
        <v>42160</v>
      </c>
      <c r="AH144" s="46">
        <v>42350</v>
      </c>
      <c r="AI144" s="46">
        <v>42960</v>
      </c>
      <c r="AJ144" s="46">
        <v>42970</v>
      </c>
      <c r="AK144" s="46">
        <v>42940</v>
      </c>
      <c r="AL144" s="46">
        <v>43010</v>
      </c>
      <c r="AM144" s="46">
        <v>42770</v>
      </c>
      <c r="AN144" s="46">
        <v>42920</v>
      </c>
      <c r="AO144" s="46">
        <v>42760</v>
      </c>
      <c r="AP144" s="46">
        <v>42560</v>
      </c>
      <c r="AQ144" s="46">
        <v>42370</v>
      </c>
      <c r="AR144" s="46">
        <v>42750</v>
      </c>
      <c r="AS144" s="46">
        <v>42030</v>
      </c>
      <c r="AT144" s="46">
        <v>42730</v>
      </c>
      <c r="AU144" s="46">
        <v>42110</v>
      </c>
      <c r="AV144" s="46">
        <v>40610</v>
      </c>
      <c r="AW144" s="46">
        <v>40510</v>
      </c>
      <c r="AX144" s="46">
        <v>41230</v>
      </c>
      <c r="AY144" s="46">
        <v>41360</v>
      </c>
      <c r="AZ144" s="46">
        <v>41460</v>
      </c>
      <c r="BA144" s="46">
        <v>41530</v>
      </c>
      <c r="BB144" s="46">
        <v>41600</v>
      </c>
      <c r="BC144" s="46">
        <v>41680</v>
      </c>
      <c r="BD144" s="46">
        <v>41760</v>
      </c>
      <c r="BE144" s="46">
        <v>41860</v>
      </c>
      <c r="BF144" s="46">
        <v>42000</v>
      </c>
      <c r="BG144" s="46">
        <v>42160</v>
      </c>
      <c r="BH144" s="46">
        <v>42370</v>
      </c>
      <c r="BI144" s="46">
        <v>42610</v>
      </c>
    </row>
    <row r="145" spans="1:61" x14ac:dyDescent="0.25">
      <c r="A145" s="11">
        <f>$A$45</f>
        <v>30</v>
      </c>
      <c r="B145" s="29">
        <v>25180</v>
      </c>
      <c r="C145" s="29">
        <v>25160</v>
      </c>
      <c r="D145" s="29">
        <v>24780</v>
      </c>
      <c r="E145" s="29">
        <v>25430</v>
      </c>
      <c r="F145" s="29">
        <v>25770</v>
      </c>
      <c r="G145" s="29">
        <v>26150</v>
      </c>
      <c r="H145" s="29">
        <v>26000</v>
      </c>
      <c r="I145" s="29">
        <v>26530</v>
      </c>
      <c r="J145" s="29">
        <v>27330</v>
      </c>
      <c r="K145" s="29">
        <v>28470</v>
      </c>
      <c r="L145" s="29">
        <v>30500</v>
      </c>
      <c r="M145" s="46">
        <v>33140</v>
      </c>
      <c r="N145" s="46">
        <v>35420</v>
      </c>
      <c r="O145" s="46">
        <v>36740</v>
      </c>
      <c r="P145" s="46">
        <v>39650</v>
      </c>
      <c r="Q145" s="46">
        <v>39820</v>
      </c>
      <c r="R145" s="46">
        <v>38760</v>
      </c>
      <c r="S145" s="46">
        <v>39660</v>
      </c>
      <c r="T145" s="46">
        <v>38920</v>
      </c>
      <c r="U145" s="46">
        <v>38380</v>
      </c>
      <c r="V145" s="46">
        <v>37780</v>
      </c>
      <c r="W145" s="46">
        <v>36250</v>
      </c>
      <c r="X145" s="46">
        <v>36020</v>
      </c>
      <c r="Y145" s="46">
        <v>35300</v>
      </c>
      <c r="Z145" s="46">
        <v>36270</v>
      </c>
      <c r="AA145" s="46">
        <v>35870</v>
      </c>
      <c r="AB145" s="46">
        <v>35110</v>
      </c>
      <c r="AC145" s="46">
        <v>35820</v>
      </c>
      <c r="AD145" s="46">
        <v>36810</v>
      </c>
      <c r="AE145" s="46">
        <v>37200</v>
      </c>
      <c r="AF145" s="46">
        <v>38110</v>
      </c>
      <c r="AG145" s="46">
        <v>40900</v>
      </c>
      <c r="AH145" s="46">
        <v>42680</v>
      </c>
      <c r="AI145" s="46">
        <v>42870</v>
      </c>
      <c r="AJ145" s="46">
        <v>43480</v>
      </c>
      <c r="AK145" s="46">
        <v>43490</v>
      </c>
      <c r="AL145" s="46">
        <v>43470</v>
      </c>
      <c r="AM145" s="46">
        <v>43540</v>
      </c>
      <c r="AN145" s="46">
        <v>43300</v>
      </c>
      <c r="AO145" s="46">
        <v>43450</v>
      </c>
      <c r="AP145" s="46">
        <v>43300</v>
      </c>
      <c r="AQ145" s="46">
        <v>43100</v>
      </c>
      <c r="AR145" s="46">
        <v>42920</v>
      </c>
      <c r="AS145" s="46">
        <v>43300</v>
      </c>
      <c r="AT145" s="46">
        <v>42590</v>
      </c>
      <c r="AU145" s="46">
        <v>43290</v>
      </c>
      <c r="AV145" s="46">
        <v>42670</v>
      </c>
      <c r="AW145" s="46">
        <v>41170</v>
      </c>
      <c r="AX145" s="46">
        <v>41080</v>
      </c>
      <c r="AY145" s="46">
        <v>41800</v>
      </c>
      <c r="AZ145" s="46">
        <v>41930</v>
      </c>
      <c r="BA145" s="46">
        <v>42030</v>
      </c>
      <c r="BB145" s="46">
        <v>42110</v>
      </c>
      <c r="BC145" s="46">
        <v>42190</v>
      </c>
      <c r="BD145" s="46">
        <v>42260</v>
      </c>
      <c r="BE145" s="46">
        <v>42350</v>
      </c>
      <c r="BF145" s="46">
        <v>42460</v>
      </c>
      <c r="BG145" s="46">
        <v>42590</v>
      </c>
      <c r="BH145" s="46">
        <v>42760</v>
      </c>
      <c r="BI145" s="46">
        <v>42970</v>
      </c>
    </row>
    <row r="146" spans="1:61" x14ac:dyDescent="0.25">
      <c r="A146" s="11">
        <f>$A$46</f>
        <v>31</v>
      </c>
      <c r="B146" s="29">
        <v>26120</v>
      </c>
      <c r="C146" s="29">
        <v>25420</v>
      </c>
      <c r="D146" s="29">
        <v>25480</v>
      </c>
      <c r="E146" s="29">
        <v>25060</v>
      </c>
      <c r="F146" s="29">
        <v>25520</v>
      </c>
      <c r="G146" s="29">
        <v>25770</v>
      </c>
      <c r="H146" s="29">
        <v>26110</v>
      </c>
      <c r="I146" s="29">
        <v>26060</v>
      </c>
      <c r="J146" s="29">
        <v>27460</v>
      </c>
      <c r="K146" s="29">
        <v>28560</v>
      </c>
      <c r="L146" s="29">
        <v>29760</v>
      </c>
      <c r="M146" s="46">
        <v>31930</v>
      </c>
      <c r="N146" s="46">
        <v>34380</v>
      </c>
      <c r="O146" s="46">
        <v>36180</v>
      </c>
      <c r="P146" s="46">
        <v>38030</v>
      </c>
      <c r="Q146" s="46">
        <v>39100</v>
      </c>
      <c r="R146" s="46">
        <v>39310</v>
      </c>
      <c r="S146" s="46">
        <v>40880</v>
      </c>
      <c r="T146" s="46">
        <v>40550</v>
      </c>
      <c r="U146" s="46">
        <v>39270</v>
      </c>
      <c r="V146" s="46">
        <v>38780</v>
      </c>
      <c r="W146" s="46">
        <v>38210</v>
      </c>
      <c r="X146" s="46">
        <v>36700</v>
      </c>
      <c r="Y146" s="46">
        <v>36490</v>
      </c>
      <c r="Z146" s="46">
        <v>35780</v>
      </c>
      <c r="AA146" s="46">
        <v>36750</v>
      </c>
      <c r="AB146" s="46">
        <v>36360</v>
      </c>
      <c r="AC146" s="46">
        <v>35600</v>
      </c>
      <c r="AD146" s="46">
        <v>36310</v>
      </c>
      <c r="AE146" s="46">
        <v>37310</v>
      </c>
      <c r="AF146" s="46">
        <v>37690</v>
      </c>
      <c r="AG146" s="46">
        <v>38610</v>
      </c>
      <c r="AH146" s="46">
        <v>41410</v>
      </c>
      <c r="AI146" s="46">
        <v>43180</v>
      </c>
      <c r="AJ146" s="46">
        <v>43370</v>
      </c>
      <c r="AK146" s="46">
        <v>43990</v>
      </c>
      <c r="AL146" s="46">
        <v>44000</v>
      </c>
      <c r="AM146" s="46">
        <v>43990</v>
      </c>
      <c r="AN146" s="46">
        <v>44060</v>
      </c>
      <c r="AO146" s="46">
        <v>43820</v>
      </c>
      <c r="AP146" s="46">
        <v>43980</v>
      </c>
      <c r="AQ146" s="46">
        <v>43830</v>
      </c>
      <c r="AR146" s="46">
        <v>43630</v>
      </c>
      <c r="AS146" s="46">
        <v>43460</v>
      </c>
      <c r="AT146" s="46">
        <v>43840</v>
      </c>
      <c r="AU146" s="46">
        <v>43130</v>
      </c>
      <c r="AV146" s="46">
        <v>43830</v>
      </c>
      <c r="AW146" s="46">
        <v>43220</v>
      </c>
      <c r="AX146" s="46">
        <v>41720</v>
      </c>
      <c r="AY146" s="46">
        <v>41630</v>
      </c>
      <c r="AZ146" s="46">
        <v>42360</v>
      </c>
      <c r="BA146" s="46">
        <v>42490</v>
      </c>
      <c r="BB146" s="46">
        <v>42590</v>
      </c>
      <c r="BC146" s="46">
        <v>42680</v>
      </c>
      <c r="BD146" s="46">
        <v>42760</v>
      </c>
      <c r="BE146" s="46">
        <v>42830</v>
      </c>
      <c r="BF146" s="46">
        <v>42920</v>
      </c>
      <c r="BG146" s="46">
        <v>43030</v>
      </c>
      <c r="BH146" s="46">
        <v>43170</v>
      </c>
      <c r="BI146" s="46">
        <v>43350</v>
      </c>
    </row>
    <row r="147" spans="1:61" x14ac:dyDescent="0.25">
      <c r="A147" s="11">
        <f>$A$47</f>
        <v>32</v>
      </c>
      <c r="B147" s="29">
        <v>27080</v>
      </c>
      <c r="C147" s="29">
        <v>26350</v>
      </c>
      <c r="D147" s="29">
        <v>25550</v>
      </c>
      <c r="E147" s="29">
        <v>25630</v>
      </c>
      <c r="F147" s="29">
        <v>25140</v>
      </c>
      <c r="G147" s="29">
        <v>25470</v>
      </c>
      <c r="H147" s="29">
        <v>25610</v>
      </c>
      <c r="I147" s="29">
        <v>26030</v>
      </c>
      <c r="J147" s="29">
        <v>26910</v>
      </c>
      <c r="K147" s="29">
        <v>28440</v>
      </c>
      <c r="L147" s="29">
        <v>29910</v>
      </c>
      <c r="M147" s="46">
        <v>31030</v>
      </c>
      <c r="N147" s="46">
        <v>33060</v>
      </c>
      <c r="O147" s="46">
        <v>35140</v>
      </c>
      <c r="P147" s="46">
        <v>37340</v>
      </c>
      <c r="Q147" s="46">
        <v>37690</v>
      </c>
      <c r="R147" s="46">
        <v>38630</v>
      </c>
      <c r="S147" s="46">
        <v>41530</v>
      </c>
      <c r="T147" s="46">
        <v>41920</v>
      </c>
      <c r="U147" s="46">
        <v>40890</v>
      </c>
      <c r="V147" s="46">
        <v>39660</v>
      </c>
      <c r="W147" s="46">
        <v>39200</v>
      </c>
      <c r="X147" s="46">
        <v>38640</v>
      </c>
      <c r="Y147" s="46">
        <v>37150</v>
      </c>
      <c r="Z147" s="46">
        <v>36950</v>
      </c>
      <c r="AA147" s="46">
        <v>36250</v>
      </c>
      <c r="AB147" s="46">
        <v>37220</v>
      </c>
      <c r="AC147" s="46">
        <v>36840</v>
      </c>
      <c r="AD147" s="46">
        <v>36080</v>
      </c>
      <c r="AE147" s="46">
        <v>36790</v>
      </c>
      <c r="AF147" s="46">
        <v>37790</v>
      </c>
      <c r="AG147" s="46">
        <v>38180</v>
      </c>
      <c r="AH147" s="46">
        <v>39100</v>
      </c>
      <c r="AI147" s="46">
        <v>41900</v>
      </c>
      <c r="AJ147" s="46">
        <v>43670</v>
      </c>
      <c r="AK147" s="46">
        <v>43870</v>
      </c>
      <c r="AL147" s="46">
        <v>44480</v>
      </c>
      <c r="AM147" s="46">
        <v>44500</v>
      </c>
      <c r="AN147" s="46">
        <v>44490</v>
      </c>
      <c r="AO147" s="46">
        <v>44560</v>
      </c>
      <c r="AP147" s="46">
        <v>44330</v>
      </c>
      <c r="AQ147" s="46">
        <v>44490</v>
      </c>
      <c r="AR147" s="46">
        <v>44340</v>
      </c>
      <c r="AS147" s="46">
        <v>44150</v>
      </c>
      <c r="AT147" s="46">
        <v>43980</v>
      </c>
      <c r="AU147" s="46">
        <v>44360</v>
      </c>
      <c r="AV147" s="46">
        <v>43650</v>
      </c>
      <c r="AW147" s="46">
        <v>44360</v>
      </c>
      <c r="AX147" s="46">
        <v>43750</v>
      </c>
      <c r="AY147" s="46">
        <v>42260</v>
      </c>
      <c r="AZ147" s="46">
        <v>42170</v>
      </c>
      <c r="BA147" s="46">
        <v>42900</v>
      </c>
      <c r="BB147" s="46">
        <v>43030</v>
      </c>
      <c r="BC147" s="46">
        <v>43140</v>
      </c>
      <c r="BD147" s="46">
        <v>43230</v>
      </c>
      <c r="BE147" s="46">
        <v>43310</v>
      </c>
      <c r="BF147" s="46">
        <v>43390</v>
      </c>
      <c r="BG147" s="46">
        <v>43480</v>
      </c>
      <c r="BH147" s="46">
        <v>43590</v>
      </c>
      <c r="BI147" s="46">
        <v>43730</v>
      </c>
    </row>
    <row r="148" spans="1:61" x14ac:dyDescent="0.25">
      <c r="A148" s="11">
        <f>$A$48</f>
        <v>33</v>
      </c>
      <c r="B148" s="29">
        <v>28270</v>
      </c>
      <c r="C148" s="29">
        <v>27360</v>
      </c>
      <c r="D148" s="29">
        <v>26460</v>
      </c>
      <c r="E148" s="29">
        <v>25700</v>
      </c>
      <c r="F148" s="29">
        <v>25670</v>
      </c>
      <c r="G148" s="29">
        <v>25030</v>
      </c>
      <c r="H148" s="29">
        <v>25340</v>
      </c>
      <c r="I148" s="29">
        <v>25570</v>
      </c>
      <c r="J148" s="29">
        <v>26780</v>
      </c>
      <c r="K148" s="29">
        <v>27870</v>
      </c>
      <c r="L148" s="29">
        <v>29590</v>
      </c>
      <c r="M148" s="46">
        <v>31100</v>
      </c>
      <c r="N148" s="46">
        <v>32140</v>
      </c>
      <c r="O148" s="46">
        <v>33860</v>
      </c>
      <c r="P148" s="46">
        <v>36230</v>
      </c>
      <c r="Q148" s="46">
        <v>37180</v>
      </c>
      <c r="R148" s="46">
        <v>37370</v>
      </c>
      <c r="S148" s="46">
        <v>40990</v>
      </c>
      <c r="T148" s="46">
        <v>42440</v>
      </c>
      <c r="U148" s="46">
        <v>42270</v>
      </c>
      <c r="V148" s="46">
        <v>41290</v>
      </c>
      <c r="W148" s="46">
        <v>40090</v>
      </c>
      <c r="X148" s="46">
        <v>39640</v>
      </c>
      <c r="Y148" s="46">
        <v>39110</v>
      </c>
      <c r="Z148" s="46">
        <v>37630</v>
      </c>
      <c r="AA148" s="46">
        <v>37440</v>
      </c>
      <c r="AB148" s="46">
        <v>36730</v>
      </c>
      <c r="AC148" s="46">
        <v>37710</v>
      </c>
      <c r="AD148" s="46">
        <v>37330</v>
      </c>
      <c r="AE148" s="46">
        <v>36580</v>
      </c>
      <c r="AF148" s="46">
        <v>37290</v>
      </c>
      <c r="AG148" s="46">
        <v>38290</v>
      </c>
      <c r="AH148" s="46">
        <v>38680</v>
      </c>
      <c r="AI148" s="46">
        <v>39610</v>
      </c>
      <c r="AJ148" s="46">
        <v>42400</v>
      </c>
      <c r="AK148" s="46">
        <v>44180</v>
      </c>
      <c r="AL148" s="46">
        <v>44380</v>
      </c>
      <c r="AM148" s="46">
        <v>45000</v>
      </c>
      <c r="AN148" s="46">
        <v>45020</v>
      </c>
      <c r="AO148" s="46">
        <v>45010</v>
      </c>
      <c r="AP148" s="46">
        <v>45090</v>
      </c>
      <c r="AQ148" s="46">
        <v>44860</v>
      </c>
      <c r="AR148" s="46">
        <v>45020</v>
      </c>
      <c r="AS148" s="46">
        <v>44870</v>
      </c>
      <c r="AT148" s="46">
        <v>44680</v>
      </c>
      <c r="AU148" s="46">
        <v>44510</v>
      </c>
      <c r="AV148" s="46">
        <v>44900</v>
      </c>
      <c r="AW148" s="46">
        <v>44190</v>
      </c>
      <c r="AX148" s="46">
        <v>44910</v>
      </c>
      <c r="AY148" s="46">
        <v>44300</v>
      </c>
      <c r="AZ148" s="46">
        <v>42810</v>
      </c>
      <c r="BA148" s="46">
        <v>42720</v>
      </c>
      <c r="BB148" s="46">
        <v>43450</v>
      </c>
      <c r="BC148" s="46">
        <v>43590</v>
      </c>
      <c r="BD148" s="46">
        <v>43700</v>
      </c>
      <c r="BE148" s="46">
        <v>43790</v>
      </c>
      <c r="BF148" s="46">
        <v>43870</v>
      </c>
      <c r="BG148" s="46">
        <v>43960</v>
      </c>
      <c r="BH148" s="46">
        <v>44050</v>
      </c>
      <c r="BI148" s="46">
        <v>44170</v>
      </c>
    </row>
    <row r="149" spans="1:61" x14ac:dyDescent="0.25">
      <c r="A149" s="11">
        <f>$A$49</f>
        <v>34</v>
      </c>
      <c r="B149" s="29">
        <v>29670</v>
      </c>
      <c r="C149" s="29">
        <v>28570</v>
      </c>
      <c r="D149" s="29">
        <v>27580</v>
      </c>
      <c r="E149" s="29">
        <v>26650</v>
      </c>
      <c r="F149" s="29">
        <v>25770</v>
      </c>
      <c r="G149" s="29">
        <v>25700</v>
      </c>
      <c r="H149" s="29">
        <v>24980</v>
      </c>
      <c r="I149" s="29">
        <v>25320</v>
      </c>
      <c r="J149" s="29">
        <v>26290</v>
      </c>
      <c r="K149" s="29">
        <v>27700</v>
      </c>
      <c r="L149" s="29">
        <v>28960</v>
      </c>
      <c r="M149" s="46">
        <v>30720</v>
      </c>
      <c r="N149" s="46">
        <v>32190</v>
      </c>
      <c r="O149" s="46">
        <v>32930</v>
      </c>
      <c r="P149" s="46">
        <v>34780</v>
      </c>
      <c r="Q149" s="46">
        <v>36150</v>
      </c>
      <c r="R149" s="46">
        <v>37020</v>
      </c>
      <c r="S149" s="46">
        <v>39800</v>
      </c>
      <c r="T149" s="46">
        <v>42130</v>
      </c>
      <c r="U149" s="46">
        <v>42790</v>
      </c>
      <c r="V149" s="46">
        <v>42660</v>
      </c>
      <c r="W149" s="46">
        <v>41710</v>
      </c>
      <c r="X149" s="46">
        <v>40530</v>
      </c>
      <c r="Y149" s="46">
        <v>40110</v>
      </c>
      <c r="Z149" s="46">
        <v>39590</v>
      </c>
      <c r="AA149" s="46">
        <v>38110</v>
      </c>
      <c r="AB149" s="46">
        <v>37920</v>
      </c>
      <c r="AC149" s="46">
        <v>37220</v>
      </c>
      <c r="AD149" s="46">
        <v>38200</v>
      </c>
      <c r="AE149" s="46">
        <v>37820</v>
      </c>
      <c r="AF149" s="46">
        <v>37070</v>
      </c>
      <c r="AG149" s="46">
        <v>37790</v>
      </c>
      <c r="AH149" s="46">
        <v>38800</v>
      </c>
      <c r="AI149" s="46">
        <v>39190</v>
      </c>
      <c r="AJ149" s="46">
        <v>40110</v>
      </c>
      <c r="AK149" s="46">
        <v>42910</v>
      </c>
      <c r="AL149" s="46">
        <v>44690</v>
      </c>
      <c r="AM149" s="46">
        <v>44890</v>
      </c>
      <c r="AN149" s="46">
        <v>45510</v>
      </c>
      <c r="AO149" s="46">
        <v>45540</v>
      </c>
      <c r="AP149" s="46">
        <v>45530</v>
      </c>
      <c r="AQ149" s="46">
        <v>45610</v>
      </c>
      <c r="AR149" s="46">
        <v>45390</v>
      </c>
      <c r="AS149" s="46">
        <v>45550</v>
      </c>
      <c r="AT149" s="46">
        <v>45410</v>
      </c>
      <c r="AU149" s="46">
        <v>45220</v>
      </c>
      <c r="AV149" s="46">
        <v>45050</v>
      </c>
      <c r="AW149" s="46">
        <v>45450</v>
      </c>
      <c r="AX149" s="46">
        <v>44740</v>
      </c>
      <c r="AY149" s="46">
        <v>45460</v>
      </c>
      <c r="AZ149" s="46">
        <v>44850</v>
      </c>
      <c r="BA149" s="46">
        <v>43370</v>
      </c>
      <c r="BB149" s="46">
        <v>43280</v>
      </c>
      <c r="BC149" s="46">
        <v>44020</v>
      </c>
      <c r="BD149" s="46">
        <v>44160</v>
      </c>
      <c r="BE149" s="46">
        <v>44270</v>
      </c>
      <c r="BF149" s="46">
        <v>44360</v>
      </c>
      <c r="BG149" s="46">
        <v>44450</v>
      </c>
      <c r="BH149" s="46">
        <v>44530</v>
      </c>
      <c r="BI149" s="46">
        <v>44630</v>
      </c>
    </row>
    <row r="150" spans="1:61" x14ac:dyDescent="0.25">
      <c r="A150" s="11">
        <f>$A$50</f>
        <v>35</v>
      </c>
      <c r="B150" s="29">
        <v>30140</v>
      </c>
      <c r="C150" s="29">
        <v>29910</v>
      </c>
      <c r="D150" s="29">
        <v>28640</v>
      </c>
      <c r="E150" s="29">
        <v>27750</v>
      </c>
      <c r="F150" s="29">
        <v>26780</v>
      </c>
      <c r="G150" s="29">
        <v>25730</v>
      </c>
      <c r="H150" s="29">
        <v>25670</v>
      </c>
      <c r="I150" s="29">
        <v>24970</v>
      </c>
      <c r="J150" s="29">
        <v>25980</v>
      </c>
      <c r="K150" s="29">
        <v>27190</v>
      </c>
      <c r="L150" s="29">
        <v>28680</v>
      </c>
      <c r="M150" s="46">
        <v>30040</v>
      </c>
      <c r="N150" s="46">
        <v>31710</v>
      </c>
      <c r="O150" s="46">
        <v>32960</v>
      </c>
      <c r="P150" s="46">
        <v>34060</v>
      </c>
      <c r="Q150" s="46">
        <v>34860</v>
      </c>
      <c r="R150" s="46">
        <v>36130</v>
      </c>
      <c r="S150" s="46">
        <v>39320</v>
      </c>
      <c r="T150" s="46">
        <v>40830</v>
      </c>
      <c r="U150" s="46">
        <v>42480</v>
      </c>
      <c r="V150" s="46">
        <v>43190</v>
      </c>
      <c r="W150" s="46">
        <v>43100</v>
      </c>
      <c r="X150" s="46">
        <v>42170</v>
      </c>
      <c r="Y150" s="46">
        <v>41010</v>
      </c>
      <c r="Z150" s="46">
        <v>40600</v>
      </c>
      <c r="AA150" s="46">
        <v>40080</v>
      </c>
      <c r="AB150" s="46">
        <v>38610</v>
      </c>
      <c r="AC150" s="46">
        <v>38420</v>
      </c>
      <c r="AD150" s="46">
        <v>37730</v>
      </c>
      <c r="AE150" s="46">
        <v>38710</v>
      </c>
      <c r="AF150" s="46">
        <v>38330</v>
      </c>
      <c r="AG150" s="46">
        <v>37590</v>
      </c>
      <c r="AH150" s="46">
        <v>38310</v>
      </c>
      <c r="AI150" s="46">
        <v>39320</v>
      </c>
      <c r="AJ150" s="46">
        <v>39710</v>
      </c>
      <c r="AK150" s="46">
        <v>40640</v>
      </c>
      <c r="AL150" s="46">
        <v>43440</v>
      </c>
      <c r="AM150" s="46">
        <v>45220</v>
      </c>
      <c r="AN150" s="46">
        <v>45420</v>
      </c>
      <c r="AO150" s="46">
        <v>46050</v>
      </c>
      <c r="AP150" s="46">
        <v>46070</v>
      </c>
      <c r="AQ150" s="46">
        <v>46070</v>
      </c>
      <c r="AR150" s="46">
        <v>46150</v>
      </c>
      <c r="AS150" s="46">
        <v>45930</v>
      </c>
      <c r="AT150" s="46">
        <v>46100</v>
      </c>
      <c r="AU150" s="46">
        <v>45960</v>
      </c>
      <c r="AV150" s="46">
        <v>45780</v>
      </c>
      <c r="AW150" s="46">
        <v>45610</v>
      </c>
      <c r="AX150" s="46">
        <v>46010</v>
      </c>
      <c r="AY150" s="46">
        <v>45310</v>
      </c>
      <c r="AZ150" s="46">
        <v>46020</v>
      </c>
      <c r="BA150" s="46">
        <v>45420</v>
      </c>
      <c r="BB150" s="46">
        <v>43940</v>
      </c>
      <c r="BC150" s="46">
        <v>43860</v>
      </c>
      <c r="BD150" s="46">
        <v>44590</v>
      </c>
      <c r="BE150" s="46">
        <v>44740</v>
      </c>
      <c r="BF150" s="46">
        <v>44860</v>
      </c>
      <c r="BG150" s="46">
        <v>44950</v>
      </c>
      <c r="BH150" s="46">
        <v>45040</v>
      </c>
      <c r="BI150" s="46">
        <v>45130</v>
      </c>
    </row>
    <row r="151" spans="1:61" x14ac:dyDescent="0.25">
      <c r="A151" s="11">
        <f>$A$51</f>
        <v>36</v>
      </c>
      <c r="B151" s="29">
        <v>29680</v>
      </c>
      <c r="C151" s="29">
        <v>30320</v>
      </c>
      <c r="D151" s="29">
        <v>30070</v>
      </c>
      <c r="E151" s="29">
        <v>28790</v>
      </c>
      <c r="F151" s="29">
        <v>27890</v>
      </c>
      <c r="G151" s="29">
        <v>26800</v>
      </c>
      <c r="H151" s="29">
        <v>25710</v>
      </c>
      <c r="I151" s="29">
        <v>25740</v>
      </c>
      <c r="J151" s="29">
        <v>25570</v>
      </c>
      <c r="K151" s="29">
        <v>26830</v>
      </c>
      <c r="L151" s="29">
        <v>28100</v>
      </c>
      <c r="M151" s="46">
        <v>29670</v>
      </c>
      <c r="N151" s="46">
        <v>31090</v>
      </c>
      <c r="O151" s="46">
        <v>32550</v>
      </c>
      <c r="P151" s="46">
        <v>33910</v>
      </c>
      <c r="Q151" s="46">
        <v>34040</v>
      </c>
      <c r="R151" s="46">
        <v>34850</v>
      </c>
      <c r="S151" s="46">
        <v>38490</v>
      </c>
      <c r="T151" s="46">
        <v>40500</v>
      </c>
      <c r="U151" s="46">
        <v>41180</v>
      </c>
      <c r="V151" s="46">
        <v>42880</v>
      </c>
      <c r="W151" s="46">
        <v>43630</v>
      </c>
      <c r="X151" s="46">
        <v>43550</v>
      </c>
      <c r="Y151" s="46">
        <v>42650</v>
      </c>
      <c r="Z151" s="46">
        <v>41500</v>
      </c>
      <c r="AA151" s="46">
        <v>41090</v>
      </c>
      <c r="AB151" s="46">
        <v>40570</v>
      </c>
      <c r="AC151" s="46">
        <v>39110</v>
      </c>
      <c r="AD151" s="46">
        <v>38930</v>
      </c>
      <c r="AE151" s="46">
        <v>38240</v>
      </c>
      <c r="AF151" s="46">
        <v>39220</v>
      </c>
      <c r="AG151" s="46">
        <v>38850</v>
      </c>
      <c r="AH151" s="46">
        <v>38110</v>
      </c>
      <c r="AI151" s="46">
        <v>38830</v>
      </c>
      <c r="AJ151" s="46">
        <v>39840</v>
      </c>
      <c r="AK151" s="46">
        <v>40240</v>
      </c>
      <c r="AL151" s="46">
        <v>41170</v>
      </c>
      <c r="AM151" s="46">
        <v>43970</v>
      </c>
      <c r="AN151" s="46">
        <v>45750</v>
      </c>
      <c r="AO151" s="46">
        <v>45960</v>
      </c>
      <c r="AP151" s="46">
        <v>46580</v>
      </c>
      <c r="AQ151" s="46">
        <v>46620</v>
      </c>
      <c r="AR151" s="46">
        <v>46610</v>
      </c>
      <c r="AS151" s="46">
        <v>46700</v>
      </c>
      <c r="AT151" s="46">
        <v>46480</v>
      </c>
      <c r="AU151" s="46">
        <v>46650</v>
      </c>
      <c r="AV151" s="46">
        <v>46520</v>
      </c>
      <c r="AW151" s="46">
        <v>46340</v>
      </c>
      <c r="AX151" s="46">
        <v>46180</v>
      </c>
      <c r="AY151" s="46">
        <v>46570</v>
      </c>
      <c r="AZ151" s="46">
        <v>45880</v>
      </c>
      <c r="BA151" s="46">
        <v>46600</v>
      </c>
      <c r="BB151" s="46">
        <v>46000</v>
      </c>
      <c r="BC151" s="46">
        <v>44520</v>
      </c>
      <c r="BD151" s="46">
        <v>44440</v>
      </c>
      <c r="BE151" s="46">
        <v>45180</v>
      </c>
      <c r="BF151" s="46">
        <v>45330</v>
      </c>
      <c r="BG151" s="46">
        <v>45450</v>
      </c>
      <c r="BH151" s="46">
        <v>45550</v>
      </c>
      <c r="BI151" s="46">
        <v>45640</v>
      </c>
    </row>
    <row r="152" spans="1:61" x14ac:dyDescent="0.25">
      <c r="A152" s="11">
        <f>$A$52</f>
        <v>37</v>
      </c>
      <c r="B152" s="29">
        <v>30040</v>
      </c>
      <c r="C152" s="29">
        <v>29860</v>
      </c>
      <c r="D152" s="29">
        <v>30480</v>
      </c>
      <c r="E152" s="29">
        <v>30200</v>
      </c>
      <c r="F152" s="29">
        <v>28920</v>
      </c>
      <c r="G152" s="29">
        <v>27960</v>
      </c>
      <c r="H152" s="29">
        <v>26770</v>
      </c>
      <c r="I152" s="29">
        <v>25830</v>
      </c>
      <c r="J152" s="29">
        <v>26230</v>
      </c>
      <c r="K152" s="29">
        <v>26280</v>
      </c>
      <c r="L152" s="29">
        <v>27720</v>
      </c>
      <c r="M152" s="46">
        <v>29140</v>
      </c>
      <c r="N152" s="46">
        <v>30600</v>
      </c>
      <c r="O152" s="46">
        <v>31900</v>
      </c>
      <c r="P152" s="46">
        <v>33520</v>
      </c>
      <c r="Q152" s="46">
        <v>33930</v>
      </c>
      <c r="R152" s="46">
        <v>34010</v>
      </c>
      <c r="S152" s="46">
        <v>37020</v>
      </c>
      <c r="T152" s="46">
        <v>39680</v>
      </c>
      <c r="U152" s="46">
        <v>40830</v>
      </c>
      <c r="V152" s="46">
        <v>41560</v>
      </c>
      <c r="W152" s="46">
        <v>43290</v>
      </c>
      <c r="X152" s="46">
        <v>44060</v>
      </c>
      <c r="Y152" s="46">
        <v>44000</v>
      </c>
      <c r="Z152" s="46">
        <v>43110</v>
      </c>
      <c r="AA152" s="46">
        <v>41960</v>
      </c>
      <c r="AB152" s="46">
        <v>41560</v>
      </c>
      <c r="AC152" s="46">
        <v>41050</v>
      </c>
      <c r="AD152" s="46">
        <v>39590</v>
      </c>
      <c r="AE152" s="46">
        <v>39410</v>
      </c>
      <c r="AF152" s="46">
        <v>38720</v>
      </c>
      <c r="AG152" s="46">
        <v>39710</v>
      </c>
      <c r="AH152" s="46">
        <v>39340</v>
      </c>
      <c r="AI152" s="46">
        <v>38600</v>
      </c>
      <c r="AJ152" s="46">
        <v>39330</v>
      </c>
      <c r="AK152" s="46">
        <v>40340</v>
      </c>
      <c r="AL152" s="46">
        <v>40740</v>
      </c>
      <c r="AM152" s="46">
        <v>41670</v>
      </c>
      <c r="AN152" s="46">
        <v>44470</v>
      </c>
      <c r="AO152" s="46">
        <v>46260</v>
      </c>
      <c r="AP152" s="46">
        <v>46470</v>
      </c>
      <c r="AQ152" s="46">
        <v>47100</v>
      </c>
      <c r="AR152" s="46">
        <v>47130</v>
      </c>
      <c r="AS152" s="46">
        <v>47130</v>
      </c>
      <c r="AT152" s="46">
        <v>47220</v>
      </c>
      <c r="AU152" s="46">
        <v>47010</v>
      </c>
      <c r="AV152" s="46">
        <v>47180</v>
      </c>
      <c r="AW152" s="46">
        <v>47050</v>
      </c>
      <c r="AX152" s="46">
        <v>46870</v>
      </c>
      <c r="AY152" s="46">
        <v>46710</v>
      </c>
      <c r="AZ152" s="46">
        <v>47110</v>
      </c>
      <c r="BA152" s="46">
        <v>46420</v>
      </c>
      <c r="BB152" s="46">
        <v>47140</v>
      </c>
      <c r="BC152" s="46">
        <v>46550</v>
      </c>
      <c r="BD152" s="46">
        <v>45080</v>
      </c>
      <c r="BE152" s="46">
        <v>45000</v>
      </c>
      <c r="BF152" s="46">
        <v>45740</v>
      </c>
      <c r="BG152" s="46">
        <v>45890</v>
      </c>
      <c r="BH152" s="46">
        <v>46010</v>
      </c>
      <c r="BI152" s="46">
        <v>46120</v>
      </c>
    </row>
    <row r="153" spans="1:61" x14ac:dyDescent="0.25">
      <c r="A153" s="11">
        <f>$A$53</f>
        <v>38</v>
      </c>
      <c r="B153" s="29">
        <v>29710</v>
      </c>
      <c r="C153" s="29">
        <v>30220</v>
      </c>
      <c r="D153" s="29">
        <v>29910</v>
      </c>
      <c r="E153" s="29">
        <v>30610</v>
      </c>
      <c r="F153" s="29">
        <v>30300</v>
      </c>
      <c r="G153" s="29">
        <v>28910</v>
      </c>
      <c r="H153" s="29">
        <v>27940</v>
      </c>
      <c r="I153" s="29">
        <v>26840</v>
      </c>
      <c r="J153" s="29">
        <v>26360</v>
      </c>
      <c r="K153" s="29">
        <v>26880</v>
      </c>
      <c r="L153" s="29">
        <v>27080</v>
      </c>
      <c r="M153" s="46">
        <v>28640</v>
      </c>
      <c r="N153" s="46">
        <v>30040</v>
      </c>
      <c r="O153" s="46">
        <v>31220</v>
      </c>
      <c r="P153" s="46">
        <v>32640</v>
      </c>
      <c r="Q153" s="46">
        <v>33520</v>
      </c>
      <c r="R153" s="46">
        <v>33910</v>
      </c>
      <c r="S153" s="46">
        <v>36150</v>
      </c>
      <c r="T153" s="46">
        <v>37960</v>
      </c>
      <c r="U153" s="46">
        <v>39990</v>
      </c>
      <c r="V153" s="46">
        <v>41200</v>
      </c>
      <c r="W153" s="46">
        <v>41960</v>
      </c>
      <c r="X153" s="46">
        <v>43710</v>
      </c>
      <c r="Y153" s="46">
        <v>44490</v>
      </c>
      <c r="Z153" s="46">
        <v>44440</v>
      </c>
      <c r="AA153" s="46">
        <v>43550</v>
      </c>
      <c r="AB153" s="46">
        <v>42410</v>
      </c>
      <c r="AC153" s="46">
        <v>42020</v>
      </c>
      <c r="AD153" s="46">
        <v>41510</v>
      </c>
      <c r="AE153" s="46">
        <v>40050</v>
      </c>
      <c r="AF153" s="46">
        <v>39880</v>
      </c>
      <c r="AG153" s="46">
        <v>39190</v>
      </c>
      <c r="AH153" s="46">
        <v>40180</v>
      </c>
      <c r="AI153" s="46">
        <v>39810</v>
      </c>
      <c r="AJ153" s="46">
        <v>39080</v>
      </c>
      <c r="AK153" s="46">
        <v>39810</v>
      </c>
      <c r="AL153" s="46">
        <v>40820</v>
      </c>
      <c r="AM153" s="46">
        <v>41230</v>
      </c>
      <c r="AN153" s="46">
        <v>42160</v>
      </c>
      <c r="AO153" s="46">
        <v>44960</v>
      </c>
      <c r="AP153" s="46">
        <v>46750</v>
      </c>
      <c r="AQ153" s="46">
        <v>46970</v>
      </c>
      <c r="AR153" s="46">
        <v>47600</v>
      </c>
      <c r="AS153" s="46">
        <v>47640</v>
      </c>
      <c r="AT153" s="46">
        <v>47640</v>
      </c>
      <c r="AU153" s="46">
        <v>47730</v>
      </c>
      <c r="AV153" s="46">
        <v>47520</v>
      </c>
      <c r="AW153" s="46">
        <v>47700</v>
      </c>
      <c r="AX153" s="46">
        <v>47570</v>
      </c>
      <c r="AY153" s="46">
        <v>47400</v>
      </c>
      <c r="AZ153" s="46">
        <v>47240</v>
      </c>
      <c r="BA153" s="46">
        <v>47640</v>
      </c>
      <c r="BB153" s="46">
        <v>46950</v>
      </c>
      <c r="BC153" s="46">
        <v>47680</v>
      </c>
      <c r="BD153" s="46">
        <v>47080</v>
      </c>
      <c r="BE153" s="46">
        <v>45620</v>
      </c>
      <c r="BF153" s="46">
        <v>45550</v>
      </c>
      <c r="BG153" s="46">
        <v>46290</v>
      </c>
      <c r="BH153" s="46">
        <v>46440</v>
      </c>
      <c r="BI153" s="46">
        <v>46570</v>
      </c>
    </row>
    <row r="154" spans="1:61" x14ac:dyDescent="0.25">
      <c r="A154" s="11">
        <f>$A$54</f>
        <v>39</v>
      </c>
      <c r="B154" s="29">
        <v>29570</v>
      </c>
      <c r="C154" s="29">
        <v>29890</v>
      </c>
      <c r="D154" s="29">
        <v>30260</v>
      </c>
      <c r="E154" s="29">
        <v>30030</v>
      </c>
      <c r="F154" s="29">
        <v>30640</v>
      </c>
      <c r="G154" s="29">
        <v>30250</v>
      </c>
      <c r="H154" s="29">
        <v>28910</v>
      </c>
      <c r="I154" s="29">
        <v>28120</v>
      </c>
      <c r="J154" s="29">
        <v>27310</v>
      </c>
      <c r="K154" s="29">
        <v>27010</v>
      </c>
      <c r="L154" s="29">
        <v>27580</v>
      </c>
      <c r="M154" s="46">
        <v>27870</v>
      </c>
      <c r="N154" s="46">
        <v>29500</v>
      </c>
      <c r="O154" s="46">
        <v>30730</v>
      </c>
      <c r="P154" s="46">
        <v>32010</v>
      </c>
      <c r="Q154" s="46">
        <v>32580</v>
      </c>
      <c r="R154" s="46">
        <v>33360</v>
      </c>
      <c r="S154" s="46">
        <v>35930</v>
      </c>
      <c r="T154" s="46">
        <v>37120</v>
      </c>
      <c r="U154" s="46">
        <v>38240</v>
      </c>
      <c r="V154" s="46">
        <v>40330</v>
      </c>
      <c r="W154" s="46">
        <v>41560</v>
      </c>
      <c r="X154" s="46">
        <v>42340</v>
      </c>
      <c r="Y154" s="46">
        <v>44100</v>
      </c>
      <c r="Z154" s="46">
        <v>44890</v>
      </c>
      <c r="AA154" s="46">
        <v>44850</v>
      </c>
      <c r="AB154" s="46">
        <v>43970</v>
      </c>
      <c r="AC154" s="46">
        <v>42830</v>
      </c>
      <c r="AD154" s="46">
        <v>42440</v>
      </c>
      <c r="AE154" s="46">
        <v>41930</v>
      </c>
      <c r="AF154" s="46">
        <v>40490</v>
      </c>
      <c r="AG154" s="46">
        <v>40310</v>
      </c>
      <c r="AH154" s="46">
        <v>39630</v>
      </c>
      <c r="AI154" s="46">
        <v>40620</v>
      </c>
      <c r="AJ154" s="46">
        <v>40260</v>
      </c>
      <c r="AK154" s="46">
        <v>39530</v>
      </c>
      <c r="AL154" s="46">
        <v>40260</v>
      </c>
      <c r="AM154" s="46">
        <v>41280</v>
      </c>
      <c r="AN154" s="46">
        <v>41680</v>
      </c>
      <c r="AO154" s="46">
        <v>42620</v>
      </c>
      <c r="AP154" s="46">
        <v>45420</v>
      </c>
      <c r="AQ154" s="46">
        <v>47210</v>
      </c>
      <c r="AR154" s="46">
        <v>47430</v>
      </c>
      <c r="AS154" s="46">
        <v>48060</v>
      </c>
      <c r="AT154" s="46">
        <v>48100</v>
      </c>
      <c r="AU154" s="46">
        <v>48110</v>
      </c>
      <c r="AV154" s="46">
        <v>48210</v>
      </c>
      <c r="AW154" s="46">
        <v>48000</v>
      </c>
      <c r="AX154" s="46">
        <v>48180</v>
      </c>
      <c r="AY154" s="46">
        <v>48050</v>
      </c>
      <c r="AZ154" s="46">
        <v>47880</v>
      </c>
      <c r="BA154" s="46">
        <v>47730</v>
      </c>
      <c r="BB154" s="46">
        <v>48130</v>
      </c>
      <c r="BC154" s="46">
        <v>47450</v>
      </c>
      <c r="BD154" s="46">
        <v>48180</v>
      </c>
      <c r="BE154" s="46">
        <v>47590</v>
      </c>
      <c r="BF154" s="46">
        <v>46120</v>
      </c>
      <c r="BG154" s="46">
        <v>46060</v>
      </c>
      <c r="BH154" s="46">
        <v>46800</v>
      </c>
      <c r="BI154" s="46">
        <v>46960</v>
      </c>
    </row>
    <row r="155" spans="1:61" x14ac:dyDescent="0.25">
      <c r="A155" s="11">
        <f>$A$55</f>
        <v>40</v>
      </c>
      <c r="B155" s="29">
        <v>29920</v>
      </c>
      <c r="C155" s="29">
        <v>29750</v>
      </c>
      <c r="D155" s="29">
        <v>29950</v>
      </c>
      <c r="E155" s="29">
        <v>30360</v>
      </c>
      <c r="F155" s="29">
        <v>30050</v>
      </c>
      <c r="G155" s="29">
        <v>30610</v>
      </c>
      <c r="H155" s="29">
        <v>30210</v>
      </c>
      <c r="I155" s="29">
        <v>29000</v>
      </c>
      <c r="J155" s="29">
        <v>28540</v>
      </c>
      <c r="K155" s="29">
        <v>27880</v>
      </c>
      <c r="L155" s="29">
        <v>27730</v>
      </c>
      <c r="M155" s="46">
        <v>28340</v>
      </c>
      <c r="N155" s="46">
        <v>28670</v>
      </c>
      <c r="O155" s="46">
        <v>30090</v>
      </c>
      <c r="P155" s="46">
        <v>31440</v>
      </c>
      <c r="Q155" s="46">
        <v>32070</v>
      </c>
      <c r="R155" s="46">
        <v>32430</v>
      </c>
      <c r="S155" s="46">
        <v>35210</v>
      </c>
      <c r="T155" s="46">
        <v>36830</v>
      </c>
      <c r="U155" s="46">
        <v>37360</v>
      </c>
      <c r="V155" s="46">
        <v>38530</v>
      </c>
      <c r="W155" s="46">
        <v>40640</v>
      </c>
      <c r="X155" s="46">
        <v>41890</v>
      </c>
      <c r="Y155" s="46">
        <v>42680</v>
      </c>
      <c r="Z155" s="46">
        <v>44450</v>
      </c>
      <c r="AA155" s="46">
        <v>45250</v>
      </c>
      <c r="AB155" s="46">
        <v>45210</v>
      </c>
      <c r="AC155" s="46">
        <v>44330</v>
      </c>
      <c r="AD155" s="46">
        <v>43200</v>
      </c>
      <c r="AE155" s="46">
        <v>42810</v>
      </c>
      <c r="AF155" s="46">
        <v>42310</v>
      </c>
      <c r="AG155" s="46">
        <v>40860</v>
      </c>
      <c r="AH155" s="46">
        <v>40690</v>
      </c>
      <c r="AI155" s="46">
        <v>40010</v>
      </c>
      <c r="AJ155" s="46">
        <v>41010</v>
      </c>
      <c r="AK155" s="46">
        <v>40650</v>
      </c>
      <c r="AL155" s="46">
        <v>39920</v>
      </c>
      <c r="AM155" s="46">
        <v>40650</v>
      </c>
      <c r="AN155" s="46">
        <v>41670</v>
      </c>
      <c r="AO155" s="46">
        <v>42080</v>
      </c>
      <c r="AP155" s="46">
        <v>43020</v>
      </c>
      <c r="AQ155" s="46">
        <v>45820</v>
      </c>
      <c r="AR155" s="46">
        <v>47620</v>
      </c>
      <c r="AS155" s="46">
        <v>47840</v>
      </c>
      <c r="AT155" s="46">
        <v>48470</v>
      </c>
      <c r="AU155" s="46">
        <v>48520</v>
      </c>
      <c r="AV155" s="46">
        <v>48530</v>
      </c>
      <c r="AW155" s="46">
        <v>48630</v>
      </c>
      <c r="AX155" s="46">
        <v>48420</v>
      </c>
      <c r="AY155" s="46">
        <v>48600</v>
      </c>
      <c r="AZ155" s="46">
        <v>48480</v>
      </c>
      <c r="BA155" s="46">
        <v>48310</v>
      </c>
      <c r="BB155" s="46">
        <v>48160</v>
      </c>
      <c r="BC155" s="46">
        <v>48570</v>
      </c>
      <c r="BD155" s="46">
        <v>47890</v>
      </c>
      <c r="BE155" s="46">
        <v>48620</v>
      </c>
      <c r="BF155" s="46">
        <v>48030</v>
      </c>
      <c r="BG155" s="46">
        <v>46570</v>
      </c>
      <c r="BH155" s="46">
        <v>46510</v>
      </c>
      <c r="BI155" s="46">
        <v>47250</v>
      </c>
    </row>
    <row r="156" spans="1:61" x14ac:dyDescent="0.25">
      <c r="A156" s="11">
        <f>$A$56</f>
        <v>41</v>
      </c>
      <c r="B156" s="29">
        <v>30380</v>
      </c>
      <c r="C156" s="29">
        <v>30040</v>
      </c>
      <c r="D156" s="29">
        <v>29780</v>
      </c>
      <c r="E156" s="29">
        <v>30010</v>
      </c>
      <c r="F156" s="29">
        <v>30420</v>
      </c>
      <c r="G156" s="29">
        <v>30010</v>
      </c>
      <c r="H156" s="29">
        <v>30580</v>
      </c>
      <c r="I156" s="29">
        <v>30270</v>
      </c>
      <c r="J156" s="29">
        <v>29570</v>
      </c>
      <c r="K156" s="29">
        <v>29050</v>
      </c>
      <c r="L156" s="29">
        <v>28500</v>
      </c>
      <c r="M156" s="46">
        <v>28400</v>
      </c>
      <c r="N156" s="46">
        <v>29020</v>
      </c>
      <c r="O156" s="46">
        <v>29160</v>
      </c>
      <c r="P156" s="46">
        <v>30680</v>
      </c>
      <c r="Q156" s="46">
        <v>31450</v>
      </c>
      <c r="R156" s="46">
        <v>31950</v>
      </c>
      <c r="S156" s="46">
        <v>34140</v>
      </c>
      <c r="T156" s="46">
        <v>36090</v>
      </c>
      <c r="U156" s="46">
        <v>37050</v>
      </c>
      <c r="V156" s="46">
        <v>37620</v>
      </c>
      <c r="W156" s="46">
        <v>38810</v>
      </c>
      <c r="X156" s="46">
        <v>40940</v>
      </c>
      <c r="Y156" s="46">
        <v>42200</v>
      </c>
      <c r="Z156" s="46">
        <v>43000</v>
      </c>
      <c r="AA156" s="46">
        <v>44780</v>
      </c>
      <c r="AB156" s="46">
        <v>45570</v>
      </c>
      <c r="AC156" s="46">
        <v>45540</v>
      </c>
      <c r="AD156" s="46">
        <v>44670</v>
      </c>
      <c r="AE156" s="46">
        <v>43540</v>
      </c>
      <c r="AF156" s="46">
        <v>43150</v>
      </c>
      <c r="AG156" s="46">
        <v>42650</v>
      </c>
      <c r="AH156" s="46">
        <v>41210</v>
      </c>
      <c r="AI156" s="46">
        <v>41040</v>
      </c>
      <c r="AJ156" s="46">
        <v>40370</v>
      </c>
      <c r="AK156" s="46">
        <v>41360</v>
      </c>
      <c r="AL156" s="46">
        <v>41010</v>
      </c>
      <c r="AM156" s="46">
        <v>40290</v>
      </c>
      <c r="AN156" s="46">
        <v>41020</v>
      </c>
      <c r="AO156" s="46">
        <v>42040</v>
      </c>
      <c r="AP156" s="46">
        <v>42450</v>
      </c>
      <c r="AQ156" s="46">
        <v>43400</v>
      </c>
      <c r="AR156" s="46">
        <v>46200</v>
      </c>
      <c r="AS156" s="46">
        <v>47990</v>
      </c>
      <c r="AT156" s="46">
        <v>48220</v>
      </c>
      <c r="AU156" s="46">
        <v>48850</v>
      </c>
      <c r="AV156" s="46">
        <v>48900</v>
      </c>
      <c r="AW156" s="46">
        <v>48910</v>
      </c>
      <c r="AX156" s="46">
        <v>49020</v>
      </c>
      <c r="AY156" s="46">
        <v>48810</v>
      </c>
      <c r="AZ156" s="46">
        <v>49000</v>
      </c>
      <c r="BA156" s="46">
        <v>48880</v>
      </c>
      <c r="BB156" s="46">
        <v>48710</v>
      </c>
      <c r="BC156" s="46">
        <v>48570</v>
      </c>
      <c r="BD156" s="46">
        <v>48980</v>
      </c>
      <c r="BE156" s="46">
        <v>48300</v>
      </c>
      <c r="BF156" s="46">
        <v>49030</v>
      </c>
      <c r="BG156" s="46">
        <v>48450</v>
      </c>
      <c r="BH156" s="46">
        <v>46990</v>
      </c>
      <c r="BI156" s="46">
        <v>46930</v>
      </c>
    </row>
    <row r="157" spans="1:61" x14ac:dyDescent="0.25">
      <c r="A157" s="11">
        <f>$A$57</f>
        <v>42</v>
      </c>
      <c r="B157" s="29">
        <v>31600</v>
      </c>
      <c r="C157" s="29">
        <v>30480</v>
      </c>
      <c r="D157" s="29">
        <v>30040</v>
      </c>
      <c r="E157" s="29">
        <v>29810</v>
      </c>
      <c r="F157" s="29">
        <v>30060</v>
      </c>
      <c r="G157" s="29">
        <v>30400</v>
      </c>
      <c r="H157" s="29">
        <v>29940</v>
      </c>
      <c r="I157" s="29">
        <v>30650</v>
      </c>
      <c r="J157" s="29">
        <v>30730</v>
      </c>
      <c r="K157" s="29">
        <v>30140</v>
      </c>
      <c r="L157" s="29">
        <v>29640</v>
      </c>
      <c r="M157" s="46">
        <v>29160</v>
      </c>
      <c r="N157" s="46">
        <v>29050</v>
      </c>
      <c r="O157" s="46">
        <v>29590</v>
      </c>
      <c r="P157" s="46">
        <v>29730</v>
      </c>
      <c r="Q157" s="46">
        <v>30660</v>
      </c>
      <c r="R157" s="46">
        <v>31300</v>
      </c>
      <c r="S157" s="46">
        <v>33460</v>
      </c>
      <c r="T157" s="46">
        <v>34890</v>
      </c>
      <c r="U157" s="46">
        <v>36270</v>
      </c>
      <c r="V157" s="46">
        <v>37260</v>
      </c>
      <c r="W157" s="46">
        <v>37860</v>
      </c>
      <c r="X157" s="46">
        <v>39070</v>
      </c>
      <c r="Y157" s="46">
        <v>41200</v>
      </c>
      <c r="Z157" s="46">
        <v>42470</v>
      </c>
      <c r="AA157" s="46">
        <v>43280</v>
      </c>
      <c r="AB157" s="46">
        <v>45050</v>
      </c>
      <c r="AC157" s="46">
        <v>45850</v>
      </c>
      <c r="AD157" s="46">
        <v>45820</v>
      </c>
      <c r="AE157" s="46">
        <v>44950</v>
      </c>
      <c r="AF157" s="46">
        <v>43830</v>
      </c>
      <c r="AG157" s="46">
        <v>43440</v>
      </c>
      <c r="AH157" s="46">
        <v>42950</v>
      </c>
      <c r="AI157" s="46">
        <v>41510</v>
      </c>
      <c r="AJ157" s="46">
        <v>41350</v>
      </c>
      <c r="AK157" s="46">
        <v>40680</v>
      </c>
      <c r="AL157" s="46">
        <v>41670</v>
      </c>
      <c r="AM157" s="46">
        <v>41320</v>
      </c>
      <c r="AN157" s="46">
        <v>40600</v>
      </c>
      <c r="AO157" s="46">
        <v>41340</v>
      </c>
      <c r="AP157" s="46">
        <v>42360</v>
      </c>
      <c r="AQ157" s="46">
        <v>42780</v>
      </c>
      <c r="AR157" s="46">
        <v>43720</v>
      </c>
      <c r="AS157" s="46">
        <v>46520</v>
      </c>
      <c r="AT157" s="46">
        <v>48320</v>
      </c>
      <c r="AU157" s="46">
        <v>48540</v>
      </c>
      <c r="AV157" s="46">
        <v>49180</v>
      </c>
      <c r="AW157" s="46">
        <v>49230</v>
      </c>
      <c r="AX157" s="46">
        <v>49250</v>
      </c>
      <c r="AY157" s="46">
        <v>49350</v>
      </c>
      <c r="AZ157" s="46">
        <v>49150</v>
      </c>
      <c r="BA157" s="46">
        <v>49340</v>
      </c>
      <c r="BB157" s="46">
        <v>49220</v>
      </c>
      <c r="BC157" s="46">
        <v>49060</v>
      </c>
      <c r="BD157" s="46">
        <v>48920</v>
      </c>
      <c r="BE157" s="46">
        <v>49330</v>
      </c>
      <c r="BF157" s="46">
        <v>48660</v>
      </c>
      <c r="BG157" s="46">
        <v>49390</v>
      </c>
      <c r="BH157" s="46">
        <v>48810</v>
      </c>
      <c r="BI157" s="46">
        <v>47360</v>
      </c>
    </row>
    <row r="158" spans="1:61" x14ac:dyDescent="0.25">
      <c r="A158" s="11">
        <f>$A$58</f>
        <v>43</v>
      </c>
      <c r="B158" s="29">
        <v>31940</v>
      </c>
      <c r="C158" s="29">
        <v>31630</v>
      </c>
      <c r="D158" s="29">
        <v>30470</v>
      </c>
      <c r="E158" s="29">
        <v>30040</v>
      </c>
      <c r="F158" s="29">
        <v>29760</v>
      </c>
      <c r="G158" s="29">
        <v>30010</v>
      </c>
      <c r="H158" s="29">
        <v>30300</v>
      </c>
      <c r="I158" s="29">
        <v>29990</v>
      </c>
      <c r="J158" s="29">
        <v>31110</v>
      </c>
      <c r="K158" s="29">
        <v>31310</v>
      </c>
      <c r="L158" s="29">
        <v>30820</v>
      </c>
      <c r="M158" s="46">
        <v>30240</v>
      </c>
      <c r="N158" s="46">
        <v>29770</v>
      </c>
      <c r="O158" s="46">
        <v>29500</v>
      </c>
      <c r="P158" s="46">
        <v>30100</v>
      </c>
      <c r="Q158" s="46">
        <v>29670</v>
      </c>
      <c r="R158" s="46">
        <v>30480</v>
      </c>
      <c r="S158" s="46">
        <v>32720</v>
      </c>
      <c r="T158" s="46">
        <v>34120</v>
      </c>
      <c r="U158" s="46">
        <v>35030</v>
      </c>
      <c r="V158" s="46">
        <v>36440</v>
      </c>
      <c r="W158" s="46">
        <v>37460</v>
      </c>
      <c r="X158" s="46">
        <v>38070</v>
      </c>
      <c r="Y158" s="46">
        <v>39290</v>
      </c>
      <c r="Z158" s="46">
        <v>41430</v>
      </c>
      <c r="AA158" s="46">
        <v>42700</v>
      </c>
      <c r="AB158" s="46">
        <v>43510</v>
      </c>
      <c r="AC158" s="46">
        <v>45290</v>
      </c>
      <c r="AD158" s="46">
        <v>46090</v>
      </c>
      <c r="AE158" s="46">
        <v>46060</v>
      </c>
      <c r="AF158" s="46">
        <v>45190</v>
      </c>
      <c r="AG158" s="46">
        <v>44070</v>
      </c>
      <c r="AH158" s="46">
        <v>43690</v>
      </c>
      <c r="AI158" s="46">
        <v>43200</v>
      </c>
      <c r="AJ158" s="46">
        <v>41770</v>
      </c>
      <c r="AK158" s="46">
        <v>41600</v>
      </c>
      <c r="AL158" s="46">
        <v>40940</v>
      </c>
      <c r="AM158" s="46">
        <v>41940</v>
      </c>
      <c r="AN158" s="46">
        <v>41590</v>
      </c>
      <c r="AO158" s="46">
        <v>40870</v>
      </c>
      <c r="AP158" s="46">
        <v>41610</v>
      </c>
      <c r="AQ158" s="46">
        <v>42630</v>
      </c>
      <c r="AR158" s="46">
        <v>43050</v>
      </c>
      <c r="AS158" s="46">
        <v>43990</v>
      </c>
      <c r="AT158" s="46">
        <v>46800</v>
      </c>
      <c r="AU158" s="46">
        <v>48600</v>
      </c>
      <c r="AV158" s="46">
        <v>48820</v>
      </c>
      <c r="AW158" s="46">
        <v>49470</v>
      </c>
      <c r="AX158" s="46">
        <v>49520</v>
      </c>
      <c r="AY158" s="46">
        <v>49540</v>
      </c>
      <c r="AZ158" s="46">
        <v>49640</v>
      </c>
      <c r="BA158" s="46">
        <v>49440</v>
      </c>
      <c r="BB158" s="46">
        <v>49630</v>
      </c>
      <c r="BC158" s="46">
        <v>49520</v>
      </c>
      <c r="BD158" s="46">
        <v>49360</v>
      </c>
      <c r="BE158" s="46">
        <v>49220</v>
      </c>
      <c r="BF158" s="46">
        <v>49640</v>
      </c>
      <c r="BG158" s="46">
        <v>48960</v>
      </c>
      <c r="BH158" s="46">
        <v>49700</v>
      </c>
      <c r="BI158" s="46">
        <v>49120</v>
      </c>
    </row>
    <row r="159" spans="1:61" x14ac:dyDescent="0.25">
      <c r="A159" s="11">
        <f>$A$59</f>
        <v>44</v>
      </c>
      <c r="B159" s="29">
        <v>32110</v>
      </c>
      <c r="C159" s="29">
        <v>31970</v>
      </c>
      <c r="D159" s="29">
        <v>31540</v>
      </c>
      <c r="E159" s="29">
        <v>30420</v>
      </c>
      <c r="F159" s="29">
        <v>30060</v>
      </c>
      <c r="G159" s="29">
        <v>29670</v>
      </c>
      <c r="H159" s="29">
        <v>29920</v>
      </c>
      <c r="I159" s="29">
        <v>30260</v>
      </c>
      <c r="J159" s="29">
        <v>30470</v>
      </c>
      <c r="K159" s="29">
        <v>31570</v>
      </c>
      <c r="L159" s="29">
        <v>31930</v>
      </c>
      <c r="M159" s="46">
        <v>31430</v>
      </c>
      <c r="N159" s="46">
        <v>30790</v>
      </c>
      <c r="O159" s="46">
        <v>30130</v>
      </c>
      <c r="P159" s="46">
        <v>29960</v>
      </c>
      <c r="Q159" s="46">
        <v>30130</v>
      </c>
      <c r="R159" s="46">
        <v>29490</v>
      </c>
      <c r="S159" s="46">
        <v>31720</v>
      </c>
      <c r="T159" s="46">
        <v>33250</v>
      </c>
      <c r="U159" s="46">
        <v>34210</v>
      </c>
      <c r="V159" s="46">
        <v>35150</v>
      </c>
      <c r="W159" s="46">
        <v>36580</v>
      </c>
      <c r="X159" s="46">
        <v>37610</v>
      </c>
      <c r="Y159" s="46">
        <v>38230</v>
      </c>
      <c r="Z159" s="46">
        <v>39450</v>
      </c>
      <c r="AA159" s="46">
        <v>41600</v>
      </c>
      <c r="AB159" s="46">
        <v>42870</v>
      </c>
      <c r="AC159" s="46">
        <v>43680</v>
      </c>
      <c r="AD159" s="46">
        <v>45460</v>
      </c>
      <c r="AE159" s="46">
        <v>46260</v>
      </c>
      <c r="AF159" s="46">
        <v>46240</v>
      </c>
      <c r="AG159" s="46">
        <v>45370</v>
      </c>
      <c r="AH159" s="46">
        <v>44260</v>
      </c>
      <c r="AI159" s="46">
        <v>43880</v>
      </c>
      <c r="AJ159" s="46">
        <v>43390</v>
      </c>
      <c r="AK159" s="46">
        <v>41960</v>
      </c>
      <c r="AL159" s="46">
        <v>41800</v>
      </c>
      <c r="AM159" s="46">
        <v>41140</v>
      </c>
      <c r="AN159" s="46">
        <v>42140</v>
      </c>
      <c r="AO159" s="46">
        <v>41790</v>
      </c>
      <c r="AP159" s="46">
        <v>41080</v>
      </c>
      <c r="AQ159" s="46">
        <v>41820</v>
      </c>
      <c r="AR159" s="46">
        <v>42850</v>
      </c>
      <c r="AS159" s="46">
        <v>43260</v>
      </c>
      <c r="AT159" s="46">
        <v>44210</v>
      </c>
      <c r="AU159" s="46">
        <v>47010</v>
      </c>
      <c r="AV159" s="46">
        <v>48810</v>
      </c>
      <c r="AW159" s="46">
        <v>49040</v>
      </c>
      <c r="AX159" s="46">
        <v>49690</v>
      </c>
      <c r="AY159" s="46">
        <v>49740</v>
      </c>
      <c r="AZ159" s="46">
        <v>49760</v>
      </c>
      <c r="BA159" s="46">
        <v>49870</v>
      </c>
      <c r="BB159" s="46">
        <v>49670</v>
      </c>
      <c r="BC159" s="46">
        <v>49870</v>
      </c>
      <c r="BD159" s="46">
        <v>49750</v>
      </c>
      <c r="BE159" s="46">
        <v>49600</v>
      </c>
      <c r="BF159" s="46">
        <v>49460</v>
      </c>
      <c r="BG159" s="46">
        <v>49880</v>
      </c>
      <c r="BH159" s="46">
        <v>49210</v>
      </c>
      <c r="BI159" s="46">
        <v>49950</v>
      </c>
    </row>
    <row r="160" spans="1:61" x14ac:dyDescent="0.25">
      <c r="A160" s="11">
        <f>$A$60</f>
        <v>45</v>
      </c>
      <c r="B160" s="29">
        <v>31490</v>
      </c>
      <c r="C160" s="29">
        <v>32140</v>
      </c>
      <c r="D160" s="29">
        <v>31920</v>
      </c>
      <c r="E160" s="29">
        <v>31530</v>
      </c>
      <c r="F160" s="29">
        <v>30400</v>
      </c>
      <c r="G160" s="29">
        <v>29970</v>
      </c>
      <c r="H160" s="29">
        <v>29530</v>
      </c>
      <c r="I160" s="29">
        <v>29930</v>
      </c>
      <c r="J160" s="29">
        <v>30650</v>
      </c>
      <c r="K160" s="29">
        <v>30940</v>
      </c>
      <c r="L160" s="29">
        <v>32060</v>
      </c>
      <c r="M160" s="46">
        <v>32500</v>
      </c>
      <c r="N160" s="46">
        <v>32030</v>
      </c>
      <c r="O160" s="46">
        <v>31110</v>
      </c>
      <c r="P160" s="46">
        <v>30480</v>
      </c>
      <c r="Q160" s="46">
        <v>29940</v>
      </c>
      <c r="R160" s="46">
        <v>29970</v>
      </c>
      <c r="S160" s="46">
        <v>30510</v>
      </c>
      <c r="T160" s="46">
        <v>32190</v>
      </c>
      <c r="U160" s="46">
        <v>33300</v>
      </c>
      <c r="V160" s="46">
        <v>34290</v>
      </c>
      <c r="W160" s="46">
        <v>35240</v>
      </c>
      <c r="X160" s="46">
        <v>36690</v>
      </c>
      <c r="Y160" s="46">
        <v>37720</v>
      </c>
      <c r="Z160" s="46">
        <v>38350</v>
      </c>
      <c r="AA160" s="46">
        <v>39580</v>
      </c>
      <c r="AB160" s="46">
        <v>41720</v>
      </c>
      <c r="AC160" s="46">
        <v>42990</v>
      </c>
      <c r="AD160" s="46">
        <v>43810</v>
      </c>
      <c r="AE160" s="46">
        <v>45580</v>
      </c>
      <c r="AF160" s="46">
        <v>46390</v>
      </c>
      <c r="AG160" s="46">
        <v>46370</v>
      </c>
      <c r="AH160" s="46">
        <v>45500</v>
      </c>
      <c r="AI160" s="46">
        <v>44390</v>
      </c>
      <c r="AJ160" s="46">
        <v>44020</v>
      </c>
      <c r="AK160" s="46">
        <v>43530</v>
      </c>
      <c r="AL160" s="46">
        <v>42110</v>
      </c>
      <c r="AM160" s="46">
        <v>41950</v>
      </c>
      <c r="AN160" s="46">
        <v>41290</v>
      </c>
      <c r="AO160" s="46">
        <v>42290</v>
      </c>
      <c r="AP160" s="46">
        <v>41950</v>
      </c>
      <c r="AQ160" s="46">
        <v>41240</v>
      </c>
      <c r="AR160" s="46">
        <v>41980</v>
      </c>
      <c r="AS160" s="46">
        <v>43010</v>
      </c>
      <c r="AT160" s="46">
        <v>43430</v>
      </c>
      <c r="AU160" s="46">
        <v>44380</v>
      </c>
      <c r="AV160" s="46">
        <v>47180</v>
      </c>
      <c r="AW160" s="46">
        <v>48980</v>
      </c>
      <c r="AX160" s="46">
        <v>49210</v>
      </c>
      <c r="AY160" s="46">
        <v>49850</v>
      </c>
      <c r="AZ160" s="46">
        <v>49910</v>
      </c>
      <c r="BA160" s="46">
        <v>49930</v>
      </c>
      <c r="BB160" s="46">
        <v>50050</v>
      </c>
      <c r="BC160" s="46">
        <v>49850</v>
      </c>
      <c r="BD160" s="46">
        <v>50050</v>
      </c>
      <c r="BE160" s="46">
        <v>49940</v>
      </c>
      <c r="BF160" s="46">
        <v>49780</v>
      </c>
      <c r="BG160" s="46">
        <v>49650</v>
      </c>
      <c r="BH160" s="46">
        <v>50070</v>
      </c>
      <c r="BI160" s="46">
        <v>49400</v>
      </c>
    </row>
    <row r="161" spans="1:61" x14ac:dyDescent="0.25">
      <c r="A161" s="11">
        <f>$A$61</f>
        <v>46</v>
      </c>
      <c r="B161" s="29">
        <v>30540</v>
      </c>
      <c r="C161" s="29">
        <v>31420</v>
      </c>
      <c r="D161" s="29">
        <v>32070</v>
      </c>
      <c r="E161" s="29">
        <v>31870</v>
      </c>
      <c r="F161" s="29">
        <v>31460</v>
      </c>
      <c r="G161" s="29">
        <v>30290</v>
      </c>
      <c r="H161" s="29">
        <v>29820</v>
      </c>
      <c r="I161" s="29">
        <v>29520</v>
      </c>
      <c r="J161" s="29">
        <v>30230</v>
      </c>
      <c r="K161" s="29">
        <v>31090</v>
      </c>
      <c r="L161" s="29">
        <v>31460</v>
      </c>
      <c r="M161" s="46">
        <v>32560</v>
      </c>
      <c r="N161" s="46">
        <v>33000</v>
      </c>
      <c r="O161" s="46">
        <v>32250</v>
      </c>
      <c r="P161" s="46">
        <v>31470</v>
      </c>
      <c r="Q161" s="46">
        <v>30400</v>
      </c>
      <c r="R161" s="46">
        <v>29730</v>
      </c>
      <c r="S161" s="46">
        <v>30820</v>
      </c>
      <c r="T161" s="46">
        <v>30860</v>
      </c>
      <c r="U161" s="46">
        <v>32200</v>
      </c>
      <c r="V161" s="46">
        <v>33330</v>
      </c>
      <c r="W161" s="46">
        <v>34330</v>
      </c>
      <c r="X161" s="46">
        <v>35300</v>
      </c>
      <c r="Y161" s="46">
        <v>36750</v>
      </c>
      <c r="Z161" s="46">
        <v>37790</v>
      </c>
      <c r="AA161" s="46">
        <v>38420</v>
      </c>
      <c r="AB161" s="46">
        <v>39650</v>
      </c>
      <c r="AC161" s="46">
        <v>41790</v>
      </c>
      <c r="AD161" s="46">
        <v>43060</v>
      </c>
      <c r="AE161" s="46">
        <v>43880</v>
      </c>
      <c r="AF161" s="46">
        <v>45660</v>
      </c>
      <c r="AG161" s="46">
        <v>46460</v>
      </c>
      <c r="AH161" s="46">
        <v>46440</v>
      </c>
      <c r="AI161" s="46">
        <v>45580</v>
      </c>
      <c r="AJ161" s="46">
        <v>44480</v>
      </c>
      <c r="AK161" s="46">
        <v>44100</v>
      </c>
      <c r="AL161" s="46">
        <v>43620</v>
      </c>
      <c r="AM161" s="46">
        <v>42200</v>
      </c>
      <c r="AN161" s="46">
        <v>42050</v>
      </c>
      <c r="AO161" s="46">
        <v>41390</v>
      </c>
      <c r="AP161" s="46">
        <v>42390</v>
      </c>
      <c r="AQ161" s="46">
        <v>42050</v>
      </c>
      <c r="AR161" s="46">
        <v>41350</v>
      </c>
      <c r="AS161" s="46">
        <v>42090</v>
      </c>
      <c r="AT161" s="46">
        <v>43120</v>
      </c>
      <c r="AU161" s="46">
        <v>43540</v>
      </c>
      <c r="AV161" s="46">
        <v>44490</v>
      </c>
      <c r="AW161" s="46">
        <v>47290</v>
      </c>
      <c r="AX161" s="46">
        <v>49090</v>
      </c>
      <c r="AY161" s="46">
        <v>49320</v>
      </c>
      <c r="AZ161" s="46">
        <v>49970</v>
      </c>
      <c r="BA161" s="46">
        <v>50030</v>
      </c>
      <c r="BB161" s="46">
        <v>50050</v>
      </c>
      <c r="BC161" s="46">
        <v>50170</v>
      </c>
      <c r="BD161" s="46">
        <v>49980</v>
      </c>
      <c r="BE161" s="46">
        <v>50170</v>
      </c>
      <c r="BF161" s="46">
        <v>50070</v>
      </c>
      <c r="BG161" s="46">
        <v>49920</v>
      </c>
      <c r="BH161" s="46">
        <v>49780</v>
      </c>
      <c r="BI161" s="46">
        <v>50200</v>
      </c>
    </row>
    <row r="162" spans="1:61" x14ac:dyDescent="0.25">
      <c r="A162" s="11">
        <f>$A$62</f>
        <v>47</v>
      </c>
      <c r="B162" s="29">
        <v>30080</v>
      </c>
      <c r="C162" s="29">
        <v>30470</v>
      </c>
      <c r="D162" s="29">
        <v>31270</v>
      </c>
      <c r="E162" s="29">
        <v>31960</v>
      </c>
      <c r="F162" s="29">
        <v>31720</v>
      </c>
      <c r="G162" s="29">
        <v>31300</v>
      </c>
      <c r="H162" s="29">
        <v>30150</v>
      </c>
      <c r="I162" s="29">
        <v>29680</v>
      </c>
      <c r="J162" s="29">
        <v>29780</v>
      </c>
      <c r="K162" s="29">
        <v>30590</v>
      </c>
      <c r="L162" s="29">
        <v>31490</v>
      </c>
      <c r="M162" s="46">
        <v>31920</v>
      </c>
      <c r="N162" s="46">
        <v>33000</v>
      </c>
      <c r="O162" s="46">
        <v>33200</v>
      </c>
      <c r="P162" s="46">
        <v>32490</v>
      </c>
      <c r="Q162" s="46">
        <v>31370</v>
      </c>
      <c r="R162" s="46">
        <v>30170</v>
      </c>
      <c r="S162" s="46">
        <v>30450</v>
      </c>
      <c r="T162" s="46">
        <v>31110</v>
      </c>
      <c r="U162" s="46">
        <v>30830</v>
      </c>
      <c r="V162" s="46">
        <v>32200</v>
      </c>
      <c r="W162" s="46">
        <v>33340</v>
      </c>
      <c r="X162" s="46">
        <v>34350</v>
      </c>
      <c r="Y162" s="46">
        <v>35330</v>
      </c>
      <c r="Z162" s="46">
        <v>36780</v>
      </c>
      <c r="AA162" s="46">
        <v>37820</v>
      </c>
      <c r="AB162" s="46">
        <v>38450</v>
      </c>
      <c r="AC162" s="46">
        <v>39680</v>
      </c>
      <c r="AD162" s="46">
        <v>41820</v>
      </c>
      <c r="AE162" s="46">
        <v>43100</v>
      </c>
      <c r="AF162" s="46">
        <v>43910</v>
      </c>
      <c r="AG162" s="46">
        <v>45690</v>
      </c>
      <c r="AH162" s="46">
        <v>46500</v>
      </c>
      <c r="AI162" s="46">
        <v>46480</v>
      </c>
      <c r="AJ162" s="46">
        <v>45630</v>
      </c>
      <c r="AK162" s="46">
        <v>44520</v>
      </c>
      <c r="AL162" s="46">
        <v>44150</v>
      </c>
      <c r="AM162" s="46">
        <v>43680</v>
      </c>
      <c r="AN162" s="46">
        <v>42260</v>
      </c>
      <c r="AO162" s="46">
        <v>42110</v>
      </c>
      <c r="AP162" s="46">
        <v>41460</v>
      </c>
      <c r="AQ162" s="46">
        <v>42460</v>
      </c>
      <c r="AR162" s="46">
        <v>42120</v>
      </c>
      <c r="AS162" s="46">
        <v>41420</v>
      </c>
      <c r="AT162" s="46">
        <v>42160</v>
      </c>
      <c r="AU162" s="46">
        <v>43190</v>
      </c>
      <c r="AV162" s="46">
        <v>43610</v>
      </c>
      <c r="AW162" s="46">
        <v>44560</v>
      </c>
      <c r="AX162" s="46">
        <v>47360</v>
      </c>
      <c r="AY162" s="46">
        <v>49160</v>
      </c>
      <c r="AZ162" s="46">
        <v>49400</v>
      </c>
      <c r="BA162" s="46">
        <v>50050</v>
      </c>
      <c r="BB162" s="46">
        <v>50110</v>
      </c>
      <c r="BC162" s="46">
        <v>50140</v>
      </c>
      <c r="BD162" s="46">
        <v>50250</v>
      </c>
      <c r="BE162" s="46">
        <v>50060</v>
      </c>
      <c r="BF162" s="46">
        <v>50260</v>
      </c>
      <c r="BG162" s="46">
        <v>50160</v>
      </c>
      <c r="BH162" s="46">
        <v>50010</v>
      </c>
      <c r="BI162" s="46">
        <v>49880</v>
      </c>
    </row>
    <row r="163" spans="1:61" x14ac:dyDescent="0.25">
      <c r="A163" s="11">
        <f>$A$63</f>
        <v>48</v>
      </c>
      <c r="B163" s="29">
        <v>28610</v>
      </c>
      <c r="C163" s="29">
        <v>30010</v>
      </c>
      <c r="D163" s="29">
        <v>30340</v>
      </c>
      <c r="E163" s="29">
        <v>31240</v>
      </c>
      <c r="F163" s="29">
        <v>31890</v>
      </c>
      <c r="G163" s="29">
        <v>31530</v>
      </c>
      <c r="H163" s="29">
        <v>31110</v>
      </c>
      <c r="I163" s="29">
        <v>30000</v>
      </c>
      <c r="J163" s="29">
        <v>29900</v>
      </c>
      <c r="K163" s="29">
        <v>30080</v>
      </c>
      <c r="L163" s="29">
        <v>31030</v>
      </c>
      <c r="M163" s="46">
        <v>31900</v>
      </c>
      <c r="N163" s="46">
        <v>32290</v>
      </c>
      <c r="O163" s="46">
        <v>33190</v>
      </c>
      <c r="P163" s="46">
        <v>33360</v>
      </c>
      <c r="Q163" s="46">
        <v>32400</v>
      </c>
      <c r="R163" s="46">
        <v>31200</v>
      </c>
      <c r="S163" s="46">
        <v>30640</v>
      </c>
      <c r="T163" s="46">
        <v>30670</v>
      </c>
      <c r="U163" s="46">
        <v>31040</v>
      </c>
      <c r="V163" s="46">
        <v>30790</v>
      </c>
      <c r="W163" s="46">
        <v>32170</v>
      </c>
      <c r="X163" s="46">
        <v>33320</v>
      </c>
      <c r="Y163" s="46">
        <v>34340</v>
      </c>
      <c r="Z163" s="46">
        <v>35320</v>
      </c>
      <c r="AA163" s="46">
        <v>36770</v>
      </c>
      <c r="AB163" s="46">
        <v>37820</v>
      </c>
      <c r="AC163" s="46">
        <v>38450</v>
      </c>
      <c r="AD163" s="46">
        <v>39680</v>
      </c>
      <c r="AE163" s="46">
        <v>41810</v>
      </c>
      <c r="AF163" s="46">
        <v>43090</v>
      </c>
      <c r="AG163" s="46">
        <v>43910</v>
      </c>
      <c r="AH163" s="46">
        <v>45680</v>
      </c>
      <c r="AI163" s="46">
        <v>46490</v>
      </c>
      <c r="AJ163" s="46">
        <v>46480</v>
      </c>
      <c r="AK163" s="46">
        <v>45630</v>
      </c>
      <c r="AL163" s="46">
        <v>44530</v>
      </c>
      <c r="AM163" s="46">
        <v>44160</v>
      </c>
      <c r="AN163" s="46">
        <v>43690</v>
      </c>
      <c r="AO163" s="46">
        <v>42280</v>
      </c>
      <c r="AP163" s="46">
        <v>42130</v>
      </c>
      <c r="AQ163" s="46">
        <v>41480</v>
      </c>
      <c r="AR163" s="46">
        <v>42480</v>
      </c>
      <c r="AS163" s="46">
        <v>42140</v>
      </c>
      <c r="AT163" s="46">
        <v>41440</v>
      </c>
      <c r="AU163" s="46">
        <v>42190</v>
      </c>
      <c r="AV163" s="46">
        <v>43220</v>
      </c>
      <c r="AW163" s="46">
        <v>43650</v>
      </c>
      <c r="AX163" s="46">
        <v>44600</v>
      </c>
      <c r="AY163" s="46">
        <v>47400</v>
      </c>
      <c r="AZ163" s="46">
        <v>49200</v>
      </c>
      <c r="BA163" s="46">
        <v>49430</v>
      </c>
      <c r="BB163" s="46">
        <v>50080</v>
      </c>
      <c r="BC163" s="46">
        <v>50150</v>
      </c>
      <c r="BD163" s="46">
        <v>50180</v>
      </c>
      <c r="BE163" s="46">
        <v>50290</v>
      </c>
      <c r="BF163" s="46">
        <v>50110</v>
      </c>
      <c r="BG163" s="46">
        <v>50310</v>
      </c>
      <c r="BH163" s="46">
        <v>50210</v>
      </c>
      <c r="BI163" s="46">
        <v>50060</v>
      </c>
    </row>
    <row r="164" spans="1:61" x14ac:dyDescent="0.25">
      <c r="A164" s="11">
        <f>$A$64</f>
        <v>49</v>
      </c>
      <c r="B164" s="29">
        <v>28400</v>
      </c>
      <c r="C164" s="29">
        <v>28490</v>
      </c>
      <c r="D164" s="29">
        <v>29860</v>
      </c>
      <c r="E164" s="29">
        <v>30220</v>
      </c>
      <c r="F164" s="29">
        <v>31130</v>
      </c>
      <c r="G164" s="29">
        <v>31760</v>
      </c>
      <c r="H164" s="29">
        <v>31330</v>
      </c>
      <c r="I164" s="29">
        <v>30960</v>
      </c>
      <c r="J164" s="29">
        <v>30200</v>
      </c>
      <c r="K164" s="29">
        <v>30140</v>
      </c>
      <c r="L164" s="29">
        <v>30360</v>
      </c>
      <c r="M164" s="46">
        <v>31360</v>
      </c>
      <c r="N164" s="46">
        <v>32290</v>
      </c>
      <c r="O164" s="46">
        <v>32420</v>
      </c>
      <c r="P164" s="46">
        <v>33360</v>
      </c>
      <c r="Q164" s="46">
        <v>33200</v>
      </c>
      <c r="R164" s="46">
        <v>32130</v>
      </c>
      <c r="S164" s="46">
        <v>31570</v>
      </c>
      <c r="T164" s="46">
        <v>30730</v>
      </c>
      <c r="U164" s="46">
        <v>30570</v>
      </c>
      <c r="V164" s="46">
        <v>30970</v>
      </c>
      <c r="W164" s="46">
        <v>30730</v>
      </c>
      <c r="X164" s="46">
        <v>32110</v>
      </c>
      <c r="Y164" s="46">
        <v>33270</v>
      </c>
      <c r="Z164" s="46">
        <v>34300</v>
      </c>
      <c r="AA164" s="46">
        <v>35270</v>
      </c>
      <c r="AB164" s="46">
        <v>36730</v>
      </c>
      <c r="AC164" s="46">
        <v>37770</v>
      </c>
      <c r="AD164" s="46">
        <v>38400</v>
      </c>
      <c r="AE164" s="46">
        <v>39630</v>
      </c>
      <c r="AF164" s="46">
        <v>41770</v>
      </c>
      <c r="AG164" s="46">
        <v>43050</v>
      </c>
      <c r="AH164" s="46">
        <v>43860</v>
      </c>
      <c r="AI164" s="46">
        <v>45640</v>
      </c>
      <c r="AJ164" s="46">
        <v>46450</v>
      </c>
      <c r="AK164" s="46">
        <v>46440</v>
      </c>
      <c r="AL164" s="46">
        <v>45590</v>
      </c>
      <c r="AM164" s="46">
        <v>44500</v>
      </c>
      <c r="AN164" s="46">
        <v>44130</v>
      </c>
      <c r="AO164" s="46">
        <v>43660</v>
      </c>
      <c r="AP164" s="46">
        <v>42260</v>
      </c>
      <c r="AQ164" s="46">
        <v>42110</v>
      </c>
      <c r="AR164" s="46">
        <v>41460</v>
      </c>
      <c r="AS164" s="46">
        <v>42470</v>
      </c>
      <c r="AT164" s="46">
        <v>42130</v>
      </c>
      <c r="AU164" s="46">
        <v>41440</v>
      </c>
      <c r="AV164" s="46">
        <v>42180</v>
      </c>
      <c r="AW164" s="46">
        <v>43210</v>
      </c>
      <c r="AX164" s="46">
        <v>43640</v>
      </c>
      <c r="AY164" s="46">
        <v>44590</v>
      </c>
      <c r="AZ164" s="46">
        <v>47390</v>
      </c>
      <c r="BA164" s="46">
        <v>49190</v>
      </c>
      <c r="BB164" s="46">
        <v>49430</v>
      </c>
      <c r="BC164" s="46">
        <v>50080</v>
      </c>
      <c r="BD164" s="46">
        <v>50150</v>
      </c>
      <c r="BE164" s="46">
        <v>50180</v>
      </c>
      <c r="BF164" s="46">
        <v>50300</v>
      </c>
      <c r="BG164" s="46">
        <v>50120</v>
      </c>
      <c r="BH164" s="46">
        <v>50320</v>
      </c>
      <c r="BI164" s="46">
        <v>50220</v>
      </c>
    </row>
    <row r="165" spans="1:61" x14ac:dyDescent="0.25">
      <c r="A165" s="11">
        <f>$A$65</f>
        <v>50</v>
      </c>
      <c r="B165" s="29">
        <v>27750</v>
      </c>
      <c r="C165" s="29">
        <v>28300</v>
      </c>
      <c r="D165" s="29">
        <v>28330</v>
      </c>
      <c r="E165" s="29">
        <v>29730</v>
      </c>
      <c r="F165" s="29">
        <v>30080</v>
      </c>
      <c r="G165" s="29">
        <v>30940</v>
      </c>
      <c r="H165" s="29">
        <v>31520</v>
      </c>
      <c r="I165" s="29">
        <v>31200</v>
      </c>
      <c r="J165" s="29">
        <v>31150</v>
      </c>
      <c r="K165" s="29">
        <v>30470</v>
      </c>
      <c r="L165" s="29">
        <v>30440</v>
      </c>
      <c r="M165" s="46">
        <v>30640</v>
      </c>
      <c r="N165" s="46">
        <v>31660</v>
      </c>
      <c r="O165" s="46">
        <v>32300</v>
      </c>
      <c r="P165" s="46">
        <v>32540</v>
      </c>
      <c r="Q165" s="46">
        <v>33310</v>
      </c>
      <c r="R165" s="46">
        <v>32920</v>
      </c>
      <c r="S165" s="46">
        <v>32370</v>
      </c>
      <c r="T165" s="46">
        <v>31620</v>
      </c>
      <c r="U165" s="46">
        <v>30610</v>
      </c>
      <c r="V165" s="46">
        <v>30470</v>
      </c>
      <c r="W165" s="46">
        <v>30880</v>
      </c>
      <c r="X165" s="46">
        <v>30650</v>
      </c>
      <c r="Y165" s="46">
        <v>32040</v>
      </c>
      <c r="Z165" s="46">
        <v>33200</v>
      </c>
      <c r="AA165" s="46">
        <v>34230</v>
      </c>
      <c r="AB165" s="46">
        <v>35200</v>
      </c>
      <c r="AC165" s="46">
        <v>36660</v>
      </c>
      <c r="AD165" s="46">
        <v>37700</v>
      </c>
      <c r="AE165" s="46">
        <v>38340</v>
      </c>
      <c r="AF165" s="46">
        <v>39570</v>
      </c>
      <c r="AG165" s="46">
        <v>41700</v>
      </c>
      <c r="AH165" s="46">
        <v>42980</v>
      </c>
      <c r="AI165" s="46">
        <v>43800</v>
      </c>
      <c r="AJ165" s="46">
        <v>45570</v>
      </c>
      <c r="AK165" s="46">
        <v>46380</v>
      </c>
      <c r="AL165" s="46">
        <v>46370</v>
      </c>
      <c r="AM165" s="46">
        <v>45530</v>
      </c>
      <c r="AN165" s="46">
        <v>44440</v>
      </c>
      <c r="AO165" s="46">
        <v>44080</v>
      </c>
      <c r="AP165" s="46">
        <v>43610</v>
      </c>
      <c r="AQ165" s="46">
        <v>42210</v>
      </c>
      <c r="AR165" s="46">
        <v>42060</v>
      </c>
      <c r="AS165" s="46">
        <v>41420</v>
      </c>
      <c r="AT165" s="46">
        <v>42430</v>
      </c>
      <c r="AU165" s="46">
        <v>42100</v>
      </c>
      <c r="AV165" s="46">
        <v>41400</v>
      </c>
      <c r="AW165" s="46">
        <v>42150</v>
      </c>
      <c r="AX165" s="46">
        <v>43180</v>
      </c>
      <c r="AY165" s="46">
        <v>43610</v>
      </c>
      <c r="AZ165" s="46">
        <v>44560</v>
      </c>
      <c r="BA165" s="46">
        <v>47360</v>
      </c>
      <c r="BB165" s="46">
        <v>49160</v>
      </c>
      <c r="BC165" s="46">
        <v>49400</v>
      </c>
      <c r="BD165" s="46">
        <v>50050</v>
      </c>
      <c r="BE165" s="46">
        <v>50120</v>
      </c>
      <c r="BF165" s="46">
        <v>50150</v>
      </c>
      <c r="BG165" s="46">
        <v>50280</v>
      </c>
      <c r="BH165" s="46">
        <v>50090</v>
      </c>
      <c r="BI165" s="46">
        <v>50300</v>
      </c>
    </row>
    <row r="166" spans="1:61" x14ac:dyDescent="0.25">
      <c r="A166" s="11">
        <f>$A$66</f>
        <v>51</v>
      </c>
      <c r="B166" s="29">
        <v>26550</v>
      </c>
      <c r="C166" s="29">
        <v>27630</v>
      </c>
      <c r="D166" s="29">
        <v>28160</v>
      </c>
      <c r="E166" s="29">
        <v>28190</v>
      </c>
      <c r="F166" s="29">
        <v>29630</v>
      </c>
      <c r="G166" s="29">
        <v>29880</v>
      </c>
      <c r="H166" s="29">
        <v>30740</v>
      </c>
      <c r="I166" s="29">
        <v>31370</v>
      </c>
      <c r="J166" s="29">
        <v>31370</v>
      </c>
      <c r="K166" s="29">
        <v>31310</v>
      </c>
      <c r="L166" s="29">
        <v>30700</v>
      </c>
      <c r="M166" s="46">
        <v>30660</v>
      </c>
      <c r="N166" s="46">
        <v>30900</v>
      </c>
      <c r="O166" s="46">
        <v>31600</v>
      </c>
      <c r="P166" s="46">
        <v>32400</v>
      </c>
      <c r="Q166" s="46">
        <v>32350</v>
      </c>
      <c r="R166" s="46">
        <v>33040</v>
      </c>
      <c r="S166" s="46">
        <v>33030</v>
      </c>
      <c r="T166" s="46">
        <v>32270</v>
      </c>
      <c r="U166" s="46">
        <v>31480</v>
      </c>
      <c r="V166" s="46">
        <v>30490</v>
      </c>
      <c r="W166" s="46">
        <v>30360</v>
      </c>
      <c r="X166" s="46">
        <v>30780</v>
      </c>
      <c r="Y166" s="46">
        <v>30560</v>
      </c>
      <c r="Z166" s="46">
        <v>31950</v>
      </c>
      <c r="AA166" s="46">
        <v>33110</v>
      </c>
      <c r="AB166" s="46">
        <v>34140</v>
      </c>
      <c r="AC166" s="46">
        <v>35110</v>
      </c>
      <c r="AD166" s="46">
        <v>36570</v>
      </c>
      <c r="AE166" s="46">
        <v>37610</v>
      </c>
      <c r="AF166" s="46">
        <v>38250</v>
      </c>
      <c r="AG166" s="46">
        <v>39480</v>
      </c>
      <c r="AH166" s="46">
        <v>41610</v>
      </c>
      <c r="AI166" s="46">
        <v>42880</v>
      </c>
      <c r="AJ166" s="46">
        <v>43700</v>
      </c>
      <c r="AK166" s="46">
        <v>45480</v>
      </c>
      <c r="AL166" s="46">
        <v>46290</v>
      </c>
      <c r="AM166" s="46">
        <v>46280</v>
      </c>
      <c r="AN166" s="46">
        <v>45450</v>
      </c>
      <c r="AO166" s="46">
        <v>44360</v>
      </c>
      <c r="AP166" s="46">
        <v>44000</v>
      </c>
      <c r="AQ166" s="46">
        <v>43540</v>
      </c>
      <c r="AR166" s="46">
        <v>42140</v>
      </c>
      <c r="AS166" s="46">
        <v>42000</v>
      </c>
      <c r="AT166" s="46">
        <v>41360</v>
      </c>
      <c r="AU166" s="46">
        <v>42360</v>
      </c>
      <c r="AV166" s="46">
        <v>42040</v>
      </c>
      <c r="AW166" s="46">
        <v>41350</v>
      </c>
      <c r="AX166" s="46">
        <v>42100</v>
      </c>
      <c r="AY166" s="46">
        <v>43130</v>
      </c>
      <c r="AZ166" s="46">
        <v>43560</v>
      </c>
      <c r="BA166" s="46">
        <v>44510</v>
      </c>
      <c r="BB166" s="46">
        <v>47300</v>
      </c>
      <c r="BC166" s="46">
        <v>49100</v>
      </c>
      <c r="BD166" s="46">
        <v>49340</v>
      </c>
      <c r="BE166" s="46">
        <v>50000</v>
      </c>
      <c r="BF166" s="46">
        <v>50070</v>
      </c>
      <c r="BG166" s="46">
        <v>50110</v>
      </c>
      <c r="BH166" s="46">
        <v>50230</v>
      </c>
      <c r="BI166" s="46">
        <v>50050</v>
      </c>
    </row>
    <row r="167" spans="1:61" x14ac:dyDescent="0.25">
      <c r="A167" s="11">
        <f>$A$67</f>
        <v>52</v>
      </c>
      <c r="B167" s="29">
        <v>25810</v>
      </c>
      <c r="C167" s="29">
        <v>26450</v>
      </c>
      <c r="D167" s="29">
        <v>27420</v>
      </c>
      <c r="E167" s="29">
        <v>27980</v>
      </c>
      <c r="F167" s="29">
        <v>28050</v>
      </c>
      <c r="G167" s="29">
        <v>29430</v>
      </c>
      <c r="H167" s="29">
        <v>29630</v>
      </c>
      <c r="I167" s="29">
        <v>30570</v>
      </c>
      <c r="J167" s="29">
        <v>31440</v>
      </c>
      <c r="K167" s="29">
        <v>31620</v>
      </c>
      <c r="L167" s="29">
        <v>31560</v>
      </c>
      <c r="M167" s="46">
        <v>30960</v>
      </c>
      <c r="N167" s="46">
        <v>30800</v>
      </c>
      <c r="O167" s="46">
        <v>30820</v>
      </c>
      <c r="P167" s="46">
        <v>31600</v>
      </c>
      <c r="Q167" s="46">
        <v>32220</v>
      </c>
      <c r="R167" s="46">
        <v>32060</v>
      </c>
      <c r="S167" s="46">
        <v>33110</v>
      </c>
      <c r="T167" s="46">
        <v>32980</v>
      </c>
      <c r="U167" s="46">
        <v>32110</v>
      </c>
      <c r="V167" s="46">
        <v>31350</v>
      </c>
      <c r="W167" s="46">
        <v>30370</v>
      </c>
      <c r="X167" s="46">
        <v>30250</v>
      </c>
      <c r="Y167" s="46">
        <v>30680</v>
      </c>
      <c r="Z167" s="46">
        <v>30460</v>
      </c>
      <c r="AA167" s="46">
        <v>31850</v>
      </c>
      <c r="AB167" s="46">
        <v>33010</v>
      </c>
      <c r="AC167" s="46">
        <v>34030</v>
      </c>
      <c r="AD167" s="46">
        <v>35010</v>
      </c>
      <c r="AE167" s="46">
        <v>36470</v>
      </c>
      <c r="AF167" s="46">
        <v>37510</v>
      </c>
      <c r="AG167" s="46">
        <v>38140</v>
      </c>
      <c r="AH167" s="46">
        <v>39370</v>
      </c>
      <c r="AI167" s="46">
        <v>41500</v>
      </c>
      <c r="AJ167" s="46">
        <v>42780</v>
      </c>
      <c r="AK167" s="46">
        <v>43600</v>
      </c>
      <c r="AL167" s="46">
        <v>45370</v>
      </c>
      <c r="AM167" s="46">
        <v>46180</v>
      </c>
      <c r="AN167" s="46">
        <v>46180</v>
      </c>
      <c r="AO167" s="46">
        <v>45350</v>
      </c>
      <c r="AP167" s="46">
        <v>44270</v>
      </c>
      <c r="AQ167" s="46">
        <v>43910</v>
      </c>
      <c r="AR167" s="46">
        <v>43450</v>
      </c>
      <c r="AS167" s="46">
        <v>42060</v>
      </c>
      <c r="AT167" s="46">
        <v>41920</v>
      </c>
      <c r="AU167" s="46">
        <v>41280</v>
      </c>
      <c r="AV167" s="46">
        <v>42290</v>
      </c>
      <c r="AW167" s="46">
        <v>41960</v>
      </c>
      <c r="AX167" s="46">
        <v>41280</v>
      </c>
      <c r="AY167" s="46">
        <v>42030</v>
      </c>
      <c r="AZ167" s="46">
        <v>43060</v>
      </c>
      <c r="BA167" s="46">
        <v>43490</v>
      </c>
      <c r="BB167" s="46">
        <v>44440</v>
      </c>
      <c r="BC167" s="46">
        <v>47240</v>
      </c>
      <c r="BD167" s="46">
        <v>49030</v>
      </c>
      <c r="BE167" s="46">
        <v>49280</v>
      </c>
      <c r="BF167" s="46">
        <v>49930</v>
      </c>
      <c r="BG167" s="46">
        <v>50010</v>
      </c>
      <c r="BH167" s="46">
        <v>50040</v>
      </c>
      <c r="BI167" s="46">
        <v>50170</v>
      </c>
    </row>
    <row r="168" spans="1:61" x14ac:dyDescent="0.25">
      <c r="A168" s="11">
        <f>$A$68</f>
        <v>53</v>
      </c>
      <c r="B168" s="29">
        <v>25070</v>
      </c>
      <c r="C168" s="29">
        <v>25680</v>
      </c>
      <c r="D168" s="29">
        <v>26270</v>
      </c>
      <c r="E168" s="29">
        <v>27290</v>
      </c>
      <c r="F168" s="29">
        <v>27870</v>
      </c>
      <c r="G168" s="29">
        <v>27840</v>
      </c>
      <c r="H168" s="29">
        <v>29190</v>
      </c>
      <c r="I168" s="29">
        <v>29500</v>
      </c>
      <c r="J168" s="29">
        <v>30590</v>
      </c>
      <c r="K168" s="29">
        <v>31550</v>
      </c>
      <c r="L168" s="29">
        <v>31810</v>
      </c>
      <c r="M168" s="46">
        <v>31740</v>
      </c>
      <c r="N168" s="46">
        <v>31150</v>
      </c>
      <c r="O168" s="46">
        <v>30770</v>
      </c>
      <c r="P168" s="46">
        <v>30920</v>
      </c>
      <c r="Q168" s="46">
        <v>31440</v>
      </c>
      <c r="R168" s="46">
        <v>31950</v>
      </c>
      <c r="S168" s="46">
        <v>32010</v>
      </c>
      <c r="T168" s="46">
        <v>33070</v>
      </c>
      <c r="U168" s="46">
        <v>32820</v>
      </c>
      <c r="V168" s="46">
        <v>31970</v>
      </c>
      <c r="W168" s="46">
        <v>31220</v>
      </c>
      <c r="X168" s="46">
        <v>30260</v>
      </c>
      <c r="Y168" s="46">
        <v>30140</v>
      </c>
      <c r="Z168" s="46">
        <v>30570</v>
      </c>
      <c r="AA168" s="46">
        <v>30360</v>
      </c>
      <c r="AB168" s="46">
        <v>31740</v>
      </c>
      <c r="AC168" s="46">
        <v>32910</v>
      </c>
      <c r="AD168" s="46">
        <v>33930</v>
      </c>
      <c r="AE168" s="46">
        <v>34910</v>
      </c>
      <c r="AF168" s="46">
        <v>36360</v>
      </c>
      <c r="AG168" s="46">
        <v>37400</v>
      </c>
      <c r="AH168" s="46">
        <v>38040</v>
      </c>
      <c r="AI168" s="46">
        <v>39270</v>
      </c>
      <c r="AJ168" s="46">
        <v>41400</v>
      </c>
      <c r="AK168" s="46">
        <v>42670</v>
      </c>
      <c r="AL168" s="46">
        <v>43490</v>
      </c>
      <c r="AM168" s="46">
        <v>45260</v>
      </c>
      <c r="AN168" s="46">
        <v>46080</v>
      </c>
      <c r="AO168" s="46">
        <v>46080</v>
      </c>
      <c r="AP168" s="46">
        <v>45250</v>
      </c>
      <c r="AQ168" s="46">
        <v>44170</v>
      </c>
      <c r="AR168" s="46">
        <v>43820</v>
      </c>
      <c r="AS168" s="46">
        <v>43360</v>
      </c>
      <c r="AT168" s="46">
        <v>41980</v>
      </c>
      <c r="AU168" s="46">
        <v>41840</v>
      </c>
      <c r="AV168" s="46">
        <v>41210</v>
      </c>
      <c r="AW168" s="46">
        <v>42210</v>
      </c>
      <c r="AX168" s="46">
        <v>41890</v>
      </c>
      <c r="AY168" s="46">
        <v>41210</v>
      </c>
      <c r="AZ168" s="46">
        <v>41960</v>
      </c>
      <c r="BA168" s="46">
        <v>42990</v>
      </c>
      <c r="BB168" s="46">
        <v>43420</v>
      </c>
      <c r="BC168" s="46">
        <v>44380</v>
      </c>
      <c r="BD168" s="46">
        <v>47170</v>
      </c>
      <c r="BE168" s="46">
        <v>48960</v>
      </c>
      <c r="BF168" s="46">
        <v>49210</v>
      </c>
      <c r="BG168" s="46">
        <v>49870</v>
      </c>
      <c r="BH168" s="46">
        <v>49940</v>
      </c>
      <c r="BI168" s="46">
        <v>49980</v>
      </c>
    </row>
    <row r="169" spans="1:61" x14ac:dyDescent="0.25">
      <c r="A169" s="11">
        <f>$A$69</f>
        <v>54</v>
      </c>
      <c r="B169" s="29">
        <v>24750</v>
      </c>
      <c r="C169" s="29">
        <v>24910</v>
      </c>
      <c r="D169" s="29">
        <v>25610</v>
      </c>
      <c r="E169" s="29">
        <v>26170</v>
      </c>
      <c r="F169" s="29">
        <v>27170</v>
      </c>
      <c r="G169" s="29">
        <v>27700</v>
      </c>
      <c r="H169" s="29">
        <v>27670</v>
      </c>
      <c r="I169" s="29">
        <v>29030</v>
      </c>
      <c r="J169" s="29">
        <v>29500</v>
      </c>
      <c r="K169" s="29">
        <v>30660</v>
      </c>
      <c r="L169" s="29">
        <v>31700</v>
      </c>
      <c r="M169" s="46">
        <v>31980</v>
      </c>
      <c r="N169" s="46">
        <v>31840</v>
      </c>
      <c r="O169" s="46">
        <v>31080</v>
      </c>
      <c r="P169" s="46">
        <v>30850</v>
      </c>
      <c r="Q169" s="46">
        <v>30730</v>
      </c>
      <c r="R169" s="46">
        <v>31150</v>
      </c>
      <c r="S169" s="46">
        <v>31830</v>
      </c>
      <c r="T169" s="46">
        <v>31770</v>
      </c>
      <c r="U169" s="46">
        <v>32910</v>
      </c>
      <c r="V169" s="46">
        <v>32680</v>
      </c>
      <c r="W169" s="46">
        <v>31850</v>
      </c>
      <c r="X169" s="46">
        <v>31110</v>
      </c>
      <c r="Y169" s="46">
        <v>30150</v>
      </c>
      <c r="Z169" s="46">
        <v>30040</v>
      </c>
      <c r="AA169" s="46">
        <v>30470</v>
      </c>
      <c r="AB169" s="46">
        <v>30260</v>
      </c>
      <c r="AC169" s="46">
        <v>31650</v>
      </c>
      <c r="AD169" s="46">
        <v>32810</v>
      </c>
      <c r="AE169" s="46">
        <v>33830</v>
      </c>
      <c r="AF169" s="46">
        <v>34810</v>
      </c>
      <c r="AG169" s="46">
        <v>36260</v>
      </c>
      <c r="AH169" s="46">
        <v>37310</v>
      </c>
      <c r="AI169" s="46">
        <v>37940</v>
      </c>
      <c r="AJ169" s="46">
        <v>39170</v>
      </c>
      <c r="AK169" s="46">
        <v>41300</v>
      </c>
      <c r="AL169" s="46">
        <v>42570</v>
      </c>
      <c r="AM169" s="46">
        <v>43390</v>
      </c>
      <c r="AN169" s="46">
        <v>45160</v>
      </c>
      <c r="AO169" s="46">
        <v>45980</v>
      </c>
      <c r="AP169" s="46">
        <v>45980</v>
      </c>
      <c r="AQ169" s="46">
        <v>45160</v>
      </c>
      <c r="AR169" s="46">
        <v>44090</v>
      </c>
      <c r="AS169" s="46">
        <v>43740</v>
      </c>
      <c r="AT169" s="46">
        <v>43280</v>
      </c>
      <c r="AU169" s="46">
        <v>41900</v>
      </c>
      <c r="AV169" s="46">
        <v>41770</v>
      </c>
      <c r="AW169" s="46">
        <v>41140</v>
      </c>
      <c r="AX169" s="46">
        <v>42140</v>
      </c>
      <c r="AY169" s="46">
        <v>41830</v>
      </c>
      <c r="AZ169" s="46">
        <v>41150</v>
      </c>
      <c r="BA169" s="46">
        <v>41900</v>
      </c>
      <c r="BB169" s="46">
        <v>42930</v>
      </c>
      <c r="BC169" s="46">
        <v>43360</v>
      </c>
      <c r="BD169" s="46">
        <v>44320</v>
      </c>
      <c r="BE169" s="46">
        <v>47100</v>
      </c>
      <c r="BF169" s="46">
        <v>48900</v>
      </c>
      <c r="BG169" s="46">
        <v>49150</v>
      </c>
      <c r="BH169" s="46">
        <v>49810</v>
      </c>
      <c r="BI169" s="46">
        <v>49880</v>
      </c>
    </row>
    <row r="170" spans="1:61" x14ac:dyDescent="0.25">
      <c r="A170" s="11">
        <f>$A$70</f>
        <v>55</v>
      </c>
      <c r="B170" s="29">
        <v>24160</v>
      </c>
      <c r="C170" s="29">
        <v>24590</v>
      </c>
      <c r="D170" s="29">
        <v>24710</v>
      </c>
      <c r="E170" s="29">
        <v>25530</v>
      </c>
      <c r="F170" s="29">
        <v>26030</v>
      </c>
      <c r="G170" s="29">
        <v>26960</v>
      </c>
      <c r="H170" s="29">
        <v>27520</v>
      </c>
      <c r="I170" s="29">
        <v>27530</v>
      </c>
      <c r="J170" s="29">
        <v>29070</v>
      </c>
      <c r="K170" s="29">
        <v>29640</v>
      </c>
      <c r="L170" s="29">
        <v>30710</v>
      </c>
      <c r="M170" s="46">
        <v>31770</v>
      </c>
      <c r="N170" s="46">
        <v>32110</v>
      </c>
      <c r="O170" s="46">
        <v>31730</v>
      </c>
      <c r="P170" s="46">
        <v>31160</v>
      </c>
      <c r="Q170" s="46">
        <v>30680</v>
      </c>
      <c r="R170" s="46">
        <v>30450</v>
      </c>
      <c r="S170" s="46">
        <v>31030</v>
      </c>
      <c r="T170" s="46">
        <v>31630</v>
      </c>
      <c r="U170" s="46">
        <v>31630</v>
      </c>
      <c r="V170" s="46">
        <v>32780</v>
      </c>
      <c r="W170" s="46">
        <v>32560</v>
      </c>
      <c r="X170" s="46">
        <v>31740</v>
      </c>
      <c r="Y170" s="46">
        <v>31000</v>
      </c>
      <c r="Z170" s="46">
        <v>30060</v>
      </c>
      <c r="AA170" s="46">
        <v>29950</v>
      </c>
      <c r="AB170" s="46">
        <v>30390</v>
      </c>
      <c r="AC170" s="46">
        <v>30180</v>
      </c>
      <c r="AD170" s="46">
        <v>31560</v>
      </c>
      <c r="AE170" s="46">
        <v>32730</v>
      </c>
      <c r="AF170" s="46">
        <v>33750</v>
      </c>
      <c r="AG170" s="46">
        <v>34730</v>
      </c>
      <c r="AH170" s="46">
        <v>36180</v>
      </c>
      <c r="AI170" s="46">
        <v>37220</v>
      </c>
      <c r="AJ170" s="46">
        <v>37860</v>
      </c>
      <c r="AK170" s="46">
        <v>39080</v>
      </c>
      <c r="AL170" s="46">
        <v>41210</v>
      </c>
      <c r="AM170" s="46">
        <v>42480</v>
      </c>
      <c r="AN170" s="46">
        <v>43300</v>
      </c>
      <c r="AO170" s="46">
        <v>45070</v>
      </c>
      <c r="AP170" s="46">
        <v>45880</v>
      </c>
      <c r="AQ170" s="46">
        <v>45890</v>
      </c>
      <c r="AR170" s="46">
        <v>45070</v>
      </c>
      <c r="AS170" s="46">
        <v>44010</v>
      </c>
      <c r="AT170" s="46">
        <v>43660</v>
      </c>
      <c r="AU170" s="46">
        <v>43210</v>
      </c>
      <c r="AV170" s="46">
        <v>41840</v>
      </c>
      <c r="AW170" s="46">
        <v>41700</v>
      </c>
      <c r="AX170" s="46">
        <v>41080</v>
      </c>
      <c r="AY170" s="46">
        <v>42080</v>
      </c>
      <c r="AZ170" s="46">
        <v>41770</v>
      </c>
      <c r="BA170" s="46">
        <v>41090</v>
      </c>
      <c r="BB170" s="46">
        <v>41840</v>
      </c>
      <c r="BC170" s="46">
        <v>42880</v>
      </c>
      <c r="BD170" s="46">
        <v>43310</v>
      </c>
      <c r="BE170" s="46">
        <v>44270</v>
      </c>
      <c r="BF170" s="46">
        <v>47050</v>
      </c>
      <c r="BG170" s="46">
        <v>48850</v>
      </c>
      <c r="BH170" s="46">
        <v>49100</v>
      </c>
      <c r="BI170" s="46">
        <v>49760</v>
      </c>
    </row>
    <row r="171" spans="1:61" x14ac:dyDescent="0.25">
      <c r="A171" s="11">
        <f>$A$71</f>
        <v>56</v>
      </c>
      <c r="B171" s="29">
        <v>24180</v>
      </c>
      <c r="C171" s="29">
        <v>24100</v>
      </c>
      <c r="D171" s="29">
        <v>24450</v>
      </c>
      <c r="E171" s="29">
        <v>24570</v>
      </c>
      <c r="F171" s="29">
        <v>25410</v>
      </c>
      <c r="G171" s="29">
        <v>25870</v>
      </c>
      <c r="H171" s="29">
        <v>26760</v>
      </c>
      <c r="I171" s="29">
        <v>27380</v>
      </c>
      <c r="J171" s="29">
        <v>27590</v>
      </c>
      <c r="K171" s="29">
        <v>29150</v>
      </c>
      <c r="L171" s="29">
        <v>29730</v>
      </c>
      <c r="M171" s="46">
        <v>30730</v>
      </c>
      <c r="N171" s="46">
        <v>31810</v>
      </c>
      <c r="O171" s="46">
        <v>31970</v>
      </c>
      <c r="P171" s="46">
        <v>31770</v>
      </c>
      <c r="Q171" s="46">
        <v>30940</v>
      </c>
      <c r="R171" s="46">
        <v>30350</v>
      </c>
      <c r="S171" s="46">
        <v>30240</v>
      </c>
      <c r="T171" s="46">
        <v>30790</v>
      </c>
      <c r="U171" s="46">
        <v>31490</v>
      </c>
      <c r="V171" s="46">
        <v>31500</v>
      </c>
      <c r="W171" s="46">
        <v>32660</v>
      </c>
      <c r="X171" s="46">
        <v>32450</v>
      </c>
      <c r="Y171" s="46">
        <v>31640</v>
      </c>
      <c r="Z171" s="46">
        <v>30910</v>
      </c>
      <c r="AA171" s="46">
        <v>29970</v>
      </c>
      <c r="AB171" s="46">
        <v>29870</v>
      </c>
      <c r="AC171" s="46">
        <v>30310</v>
      </c>
      <c r="AD171" s="46">
        <v>30100</v>
      </c>
      <c r="AE171" s="46">
        <v>31480</v>
      </c>
      <c r="AF171" s="46">
        <v>32650</v>
      </c>
      <c r="AG171" s="46">
        <v>33670</v>
      </c>
      <c r="AH171" s="46">
        <v>34650</v>
      </c>
      <c r="AI171" s="46">
        <v>36090</v>
      </c>
      <c r="AJ171" s="46">
        <v>37130</v>
      </c>
      <c r="AK171" s="46">
        <v>37770</v>
      </c>
      <c r="AL171" s="46">
        <v>39000</v>
      </c>
      <c r="AM171" s="46">
        <v>41120</v>
      </c>
      <c r="AN171" s="46">
        <v>42390</v>
      </c>
      <c r="AO171" s="46">
        <v>43220</v>
      </c>
      <c r="AP171" s="46">
        <v>44980</v>
      </c>
      <c r="AQ171" s="46">
        <v>45800</v>
      </c>
      <c r="AR171" s="46">
        <v>45810</v>
      </c>
      <c r="AS171" s="46">
        <v>44990</v>
      </c>
      <c r="AT171" s="46">
        <v>43930</v>
      </c>
      <c r="AU171" s="46">
        <v>43590</v>
      </c>
      <c r="AV171" s="46">
        <v>43150</v>
      </c>
      <c r="AW171" s="46">
        <v>41780</v>
      </c>
      <c r="AX171" s="46">
        <v>41650</v>
      </c>
      <c r="AY171" s="46">
        <v>41030</v>
      </c>
      <c r="AZ171" s="46">
        <v>42030</v>
      </c>
      <c r="BA171" s="46">
        <v>41720</v>
      </c>
      <c r="BB171" s="46">
        <v>41050</v>
      </c>
      <c r="BC171" s="46">
        <v>41800</v>
      </c>
      <c r="BD171" s="46">
        <v>42830</v>
      </c>
      <c r="BE171" s="46">
        <v>43270</v>
      </c>
      <c r="BF171" s="46">
        <v>44220</v>
      </c>
      <c r="BG171" s="46">
        <v>47000</v>
      </c>
      <c r="BH171" s="46">
        <v>48800</v>
      </c>
      <c r="BI171" s="46">
        <v>49050</v>
      </c>
    </row>
    <row r="172" spans="1:61" x14ac:dyDescent="0.25">
      <c r="A172" s="11">
        <f>$A$72</f>
        <v>57</v>
      </c>
      <c r="B172" s="29">
        <v>23830</v>
      </c>
      <c r="C172" s="29">
        <v>24030</v>
      </c>
      <c r="D172" s="29">
        <v>23970</v>
      </c>
      <c r="E172" s="29">
        <v>24310</v>
      </c>
      <c r="F172" s="29">
        <v>24480</v>
      </c>
      <c r="G172" s="29">
        <v>25290</v>
      </c>
      <c r="H172" s="29">
        <v>25730</v>
      </c>
      <c r="I172" s="29">
        <v>26620</v>
      </c>
      <c r="J172" s="29">
        <v>27330</v>
      </c>
      <c r="K172" s="29">
        <v>27690</v>
      </c>
      <c r="L172" s="29">
        <v>29250</v>
      </c>
      <c r="M172" s="46">
        <v>29850</v>
      </c>
      <c r="N172" s="46">
        <v>30770</v>
      </c>
      <c r="O172" s="46">
        <v>31640</v>
      </c>
      <c r="P172" s="46">
        <v>32040</v>
      </c>
      <c r="Q172" s="46">
        <v>31570</v>
      </c>
      <c r="R172" s="46">
        <v>30630</v>
      </c>
      <c r="S172" s="46">
        <v>30150</v>
      </c>
      <c r="T172" s="46">
        <v>30020</v>
      </c>
      <c r="U172" s="46">
        <v>30660</v>
      </c>
      <c r="V172" s="46">
        <v>31370</v>
      </c>
      <c r="W172" s="46">
        <v>31390</v>
      </c>
      <c r="X172" s="46">
        <v>32550</v>
      </c>
      <c r="Y172" s="46">
        <v>32340</v>
      </c>
      <c r="Z172" s="46">
        <v>31540</v>
      </c>
      <c r="AA172" s="46">
        <v>30830</v>
      </c>
      <c r="AB172" s="46">
        <v>29890</v>
      </c>
      <c r="AC172" s="46">
        <v>29800</v>
      </c>
      <c r="AD172" s="46">
        <v>30230</v>
      </c>
      <c r="AE172" s="46">
        <v>30030</v>
      </c>
      <c r="AF172" s="46">
        <v>31410</v>
      </c>
      <c r="AG172" s="46">
        <v>32570</v>
      </c>
      <c r="AH172" s="46">
        <v>33590</v>
      </c>
      <c r="AI172" s="46">
        <v>34570</v>
      </c>
      <c r="AJ172" s="46">
        <v>36020</v>
      </c>
      <c r="AK172" s="46">
        <v>37060</v>
      </c>
      <c r="AL172" s="46">
        <v>37700</v>
      </c>
      <c r="AM172" s="46">
        <v>38930</v>
      </c>
      <c r="AN172" s="46">
        <v>41040</v>
      </c>
      <c r="AO172" s="46">
        <v>42310</v>
      </c>
      <c r="AP172" s="46">
        <v>43140</v>
      </c>
      <c r="AQ172" s="46">
        <v>44900</v>
      </c>
      <c r="AR172" s="46">
        <v>45720</v>
      </c>
      <c r="AS172" s="46">
        <v>45730</v>
      </c>
      <c r="AT172" s="46">
        <v>44920</v>
      </c>
      <c r="AU172" s="46">
        <v>43870</v>
      </c>
      <c r="AV172" s="46">
        <v>43530</v>
      </c>
      <c r="AW172" s="46">
        <v>43090</v>
      </c>
      <c r="AX172" s="46">
        <v>41720</v>
      </c>
      <c r="AY172" s="46">
        <v>41600</v>
      </c>
      <c r="AZ172" s="46">
        <v>40980</v>
      </c>
      <c r="BA172" s="46">
        <v>41990</v>
      </c>
      <c r="BB172" s="46">
        <v>41680</v>
      </c>
      <c r="BC172" s="46">
        <v>41010</v>
      </c>
      <c r="BD172" s="46">
        <v>41760</v>
      </c>
      <c r="BE172" s="46">
        <v>42790</v>
      </c>
      <c r="BF172" s="46">
        <v>43230</v>
      </c>
      <c r="BG172" s="46">
        <v>44190</v>
      </c>
      <c r="BH172" s="46">
        <v>46970</v>
      </c>
      <c r="BI172" s="46">
        <v>48760</v>
      </c>
    </row>
    <row r="173" spans="1:61" x14ac:dyDescent="0.25">
      <c r="A173" s="11">
        <f>$A$73</f>
        <v>58</v>
      </c>
      <c r="B173" s="29">
        <v>23890</v>
      </c>
      <c r="C173" s="29">
        <v>23710</v>
      </c>
      <c r="D173" s="29">
        <v>23900</v>
      </c>
      <c r="E173" s="29">
        <v>23870</v>
      </c>
      <c r="F173" s="29">
        <v>24240</v>
      </c>
      <c r="G173" s="29">
        <v>24350</v>
      </c>
      <c r="H173" s="29">
        <v>25160</v>
      </c>
      <c r="I173" s="29">
        <v>25610</v>
      </c>
      <c r="J173" s="29">
        <v>26590</v>
      </c>
      <c r="K173" s="29">
        <v>27240</v>
      </c>
      <c r="L173" s="29">
        <v>27750</v>
      </c>
      <c r="M173" s="46">
        <v>29280</v>
      </c>
      <c r="N173" s="46">
        <v>29880</v>
      </c>
      <c r="O173" s="46">
        <v>30660</v>
      </c>
      <c r="P173" s="46">
        <v>31700</v>
      </c>
      <c r="Q173" s="46">
        <v>31840</v>
      </c>
      <c r="R173" s="46">
        <v>31250</v>
      </c>
      <c r="S173" s="46">
        <v>30370</v>
      </c>
      <c r="T173" s="46">
        <v>29900</v>
      </c>
      <c r="U173" s="46">
        <v>29890</v>
      </c>
      <c r="V173" s="46">
        <v>30540</v>
      </c>
      <c r="W173" s="46">
        <v>31260</v>
      </c>
      <c r="X173" s="46">
        <v>31290</v>
      </c>
      <c r="Y173" s="46">
        <v>32450</v>
      </c>
      <c r="Z173" s="46">
        <v>32250</v>
      </c>
      <c r="AA173" s="46">
        <v>31460</v>
      </c>
      <c r="AB173" s="46">
        <v>30750</v>
      </c>
      <c r="AC173" s="46">
        <v>29820</v>
      </c>
      <c r="AD173" s="46">
        <v>29730</v>
      </c>
      <c r="AE173" s="46">
        <v>30160</v>
      </c>
      <c r="AF173" s="46">
        <v>29970</v>
      </c>
      <c r="AG173" s="46">
        <v>31350</v>
      </c>
      <c r="AH173" s="46">
        <v>32510</v>
      </c>
      <c r="AI173" s="46">
        <v>33530</v>
      </c>
      <c r="AJ173" s="46">
        <v>34500</v>
      </c>
      <c r="AK173" s="46">
        <v>35950</v>
      </c>
      <c r="AL173" s="46">
        <v>36990</v>
      </c>
      <c r="AM173" s="46">
        <v>37630</v>
      </c>
      <c r="AN173" s="46">
        <v>38860</v>
      </c>
      <c r="AO173" s="46">
        <v>40970</v>
      </c>
      <c r="AP173" s="46">
        <v>42240</v>
      </c>
      <c r="AQ173" s="46">
        <v>43070</v>
      </c>
      <c r="AR173" s="46">
        <v>44830</v>
      </c>
      <c r="AS173" s="46">
        <v>45640</v>
      </c>
      <c r="AT173" s="46">
        <v>45660</v>
      </c>
      <c r="AU173" s="46">
        <v>44860</v>
      </c>
      <c r="AV173" s="46">
        <v>43810</v>
      </c>
      <c r="AW173" s="46">
        <v>43470</v>
      </c>
      <c r="AX173" s="46">
        <v>43040</v>
      </c>
      <c r="AY173" s="46">
        <v>41680</v>
      </c>
      <c r="AZ173" s="46">
        <v>41560</v>
      </c>
      <c r="BA173" s="46">
        <v>40940</v>
      </c>
      <c r="BB173" s="46">
        <v>41950</v>
      </c>
      <c r="BC173" s="46">
        <v>41640</v>
      </c>
      <c r="BD173" s="46">
        <v>40980</v>
      </c>
      <c r="BE173" s="46">
        <v>41730</v>
      </c>
      <c r="BF173" s="46">
        <v>42760</v>
      </c>
      <c r="BG173" s="46">
        <v>43200</v>
      </c>
      <c r="BH173" s="46">
        <v>44160</v>
      </c>
      <c r="BI173" s="46">
        <v>46930</v>
      </c>
    </row>
    <row r="174" spans="1:61" x14ac:dyDescent="0.25">
      <c r="A174" s="11">
        <f>$A$74</f>
        <v>59</v>
      </c>
      <c r="B174" s="29">
        <v>24020</v>
      </c>
      <c r="C174" s="29">
        <v>23810</v>
      </c>
      <c r="D174" s="29">
        <v>23610</v>
      </c>
      <c r="E174" s="29">
        <v>23740</v>
      </c>
      <c r="F174" s="29">
        <v>23780</v>
      </c>
      <c r="G174" s="29">
        <v>24060</v>
      </c>
      <c r="H174" s="29">
        <v>24210</v>
      </c>
      <c r="I174" s="29">
        <v>25030</v>
      </c>
      <c r="J174" s="29">
        <v>25570</v>
      </c>
      <c r="K174" s="29">
        <v>26540</v>
      </c>
      <c r="L174" s="29">
        <v>27260</v>
      </c>
      <c r="M174" s="46">
        <v>27800</v>
      </c>
      <c r="N174" s="46">
        <v>29260</v>
      </c>
      <c r="O174" s="46">
        <v>29720</v>
      </c>
      <c r="P174" s="46">
        <v>30710</v>
      </c>
      <c r="Q174" s="46">
        <v>31470</v>
      </c>
      <c r="R174" s="46">
        <v>31510</v>
      </c>
      <c r="S174" s="46">
        <v>30970</v>
      </c>
      <c r="T174" s="46">
        <v>30130</v>
      </c>
      <c r="U174" s="46">
        <v>29780</v>
      </c>
      <c r="V174" s="46">
        <v>29780</v>
      </c>
      <c r="W174" s="46">
        <v>30440</v>
      </c>
      <c r="X174" s="46">
        <v>31160</v>
      </c>
      <c r="Y174" s="46">
        <v>31200</v>
      </c>
      <c r="Z174" s="46">
        <v>32360</v>
      </c>
      <c r="AA174" s="46">
        <v>32160</v>
      </c>
      <c r="AB174" s="46">
        <v>31380</v>
      </c>
      <c r="AC174" s="46">
        <v>30670</v>
      </c>
      <c r="AD174" s="46">
        <v>29760</v>
      </c>
      <c r="AE174" s="46">
        <v>29670</v>
      </c>
      <c r="AF174" s="46">
        <v>30110</v>
      </c>
      <c r="AG174" s="46">
        <v>29920</v>
      </c>
      <c r="AH174" s="46">
        <v>31290</v>
      </c>
      <c r="AI174" s="46">
        <v>32450</v>
      </c>
      <c r="AJ174" s="46">
        <v>33470</v>
      </c>
      <c r="AK174" s="46">
        <v>34450</v>
      </c>
      <c r="AL174" s="46">
        <v>35890</v>
      </c>
      <c r="AM174" s="46">
        <v>36930</v>
      </c>
      <c r="AN174" s="46">
        <v>37570</v>
      </c>
      <c r="AO174" s="46">
        <v>38800</v>
      </c>
      <c r="AP174" s="46">
        <v>40900</v>
      </c>
      <c r="AQ174" s="46">
        <v>42180</v>
      </c>
      <c r="AR174" s="46">
        <v>43000</v>
      </c>
      <c r="AS174" s="46">
        <v>44760</v>
      </c>
      <c r="AT174" s="46">
        <v>45580</v>
      </c>
      <c r="AU174" s="46">
        <v>45600</v>
      </c>
      <c r="AV174" s="46">
        <v>44800</v>
      </c>
      <c r="AW174" s="46">
        <v>43760</v>
      </c>
      <c r="AX174" s="46">
        <v>43430</v>
      </c>
      <c r="AY174" s="46">
        <v>42990</v>
      </c>
      <c r="AZ174" s="46">
        <v>41640</v>
      </c>
      <c r="BA174" s="46">
        <v>41520</v>
      </c>
      <c r="BB174" s="46">
        <v>40910</v>
      </c>
      <c r="BC174" s="46">
        <v>41920</v>
      </c>
      <c r="BD174" s="46">
        <v>41620</v>
      </c>
      <c r="BE174" s="46">
        <v>40960</v>
      </c>
      <c r="BF174" s="46">
        <v>41710</v>
      </c>
      <c r="BG174" s="46">
        <v>42740</v>
      </c>
      <c r="BH174" s="46">
        <v>43180</v>
      </c>
      <c r="BI174" s="46">
        <v>44140</v>
      </c>
    </row>
    <row r="175" spans="1:61" x14ac:dyDescent="0.25">
      <c r="A175" s="11">
        <f>$A$75</f>
        <v>60</v>
      </c>
      <c r="B175" s="29">
        <v>20160</v>
      </c>
      <c r="C175" s="29">
        <v>23860</v>
      </c>
      <c r="D175" s="29">
        <v>23690</v>
      </c>
      <c r="E175" s="29">
        <v>23510</v>
      </c>
      <c r="F175" s="29">
        <v>23680</v>
      </c>
      <c r="G175" s="29">
        <v>23700</v>
      </c>
      <c r="H175" s="29">
        <v>23950</v>
      </c>
      <c r="I175" s="29">
        <v>24120</v>
      </c>
      <c r="J175" s="29">
        <v>24970</v>
      </c>
      <c r="K175" s="29">
        <v>25620</v>
      </c>
      <c r="L175" s="29">
        <v>26540</v>
      </c>
      <c r="M175" s="46">
        <v>27210</v>
      </c>
      <c r="N175" s="46">
        <v>27840</v>
      </c>
      <c r="O175" s="46">
        <v>29140</v>
      </c>
      <c r="P175" s="46">
        <v>29740</v>
      </c>
      <c r="Q175" s="46">
        <v>30510</v>
      </c>
      <c r="R175" s="46">
        <v>31170</v>
      </c>
      <c r="S175" s="46">
        <v>31200</v>
      </c>
      <c r="T175" s="46">
        <v>30730</v>
      </c>
      <c r="U175" s="46">
        <v>30000</v>
      </c>
      <c r="V175" s="46">
        <v>29660</v>
      </c>
      <c r="W175" s="46">
        <v>29680</v>
      </c>
      <c r="X175" s="46">
        <v>30340</v>
      </c>
      <c r="Y175" s="46">
        <v>31070</v>
      </c>
      <c r="Z175" s="46">
        <v>31110</v>
      </c>
      <c r="AA175" s="46">
        <v>32270</v>
      </c>
      <c r="AB175" s="46">
        <v>32080</v>
      </c>
      <c r="AC175" s="46">
        <v>31300</v>
      </c>
      <c r="AD175" s="46">
        <v>30600</v>
      </c>
      <c r="AE175" s="46">
        <v>29690</v>
      </c>
      <c r="AF175" s="46">
        <v>29610</v>
      </c>
      <c r="AG175" s="46">
        <v>30050</v>
      </c>
      <c r="AH175" s="46">
        <v>29860</v>
      </c>
      <c r="AI175" s="46">
        <v>31240</v>
      </c>
      <c r="AJ175" s="46">
        <v>32390</v>
      </c>
      <c r="AK175" s="46">
        <v>33410</v>
      </c>
      <c r="AL175" s="46">
        <v>34390</v>
      </c>
      <c r="AM175" s="46">
        <v>35830</v>
      </c>
      <c r="AN175" s="46">
        <v>36870</v>
      </c>
      <c r="AO175" s="46">
        <v>37510</v>
      </c>
      <c r="AP175" s="46">
        <v>38740</v>
      </c>
      <c r="AQ175" s="46">
        <v>40840</v>
      </c>
      <c r="AR175" s="46">
        <v>42110</v>
      </c>
      <c r="AS175" s="46">
        <v>42940</v>
      </c>
      <c r="AT175" s="46">
        <v>44690</v>
      </c>
      <c r="AU175" s="46">
        <v>45510</v>
      </c>
      <c r="AV175" s="46">
        <v>45530</v>
      </c>
      <c r="AW175" s="46">
        <v>44740</v>
      </c>
      <c r="AX175" s="46">
        <v>43710</v>
      </c>
      <c r="AY175" s="46">
        <v>43380</v>
      </c>
      <c r="AZ175" s="46">
        <v>42950</v>
      </c>
      <c r="BA175" s="46">
        <v>41610</v>
      </c>
      <c r="BB175" s="46">
        <v>41490</v>
      </c>
      <c r="BC175" s="46">
        <v>40890</v>
      </c>
      <c r="BD175" s="46">
        <v>41890</v>
      </c>
      <c r="BE175" s="46">
        <v>41590</v>
      </c>
      <c r="BF175" s="46">
        <v>40940</v>
      </c>
      <c r="BG175" s="46">
        <v>41690</v>
      </c>
      <c r="BH175" s="46">
        <v>42730</v>
      </c>
      <c r="BI175" s="46">
        <v>43170</v>
      </c>
    </row>
    <row r="176" spans="1:61" x14ac:dyDescent="0.25">
      <c r="A176" s="11">
        <f>$A$76</f>
        <v>61</v>
      </c>
      <c r="B176" s="29">
        <v>19140</v>
      </c>
      <c r="C176" s="29">
        <v>20030</v>
      </c>
      <c r="D176" s="29">
        <v>23700</v>
      </c>
      <c r="E176" s="29">
        <v>23550</v>
      </c>
      <c r="F176" s="29">
        <v>23420</v>
      </c>
      <c r="G176" s="29">
        <v>23540</v>
      </c>
      <c r="H176" s="29">
        <v>23580</v>
      </c>
      <c r="I176" s="29">
        <v>23850</v>
      </c>
      <c r="J176" s="29">
        <v>24110</v>
      </c>
      <c r="K176" s="29">
        <v>24960</v>
      </c>
      <c r="L176" s="29">
        <v>25640</v>
      </c>
      <c r="M176" s="46">
        <v>26510</v>
      </c>
      <c r="N176" s="46">
        <v>27110</v>
      </c>
      <c r="O176" s="46">
        <v>27720</v>
      </c>
      <c r="P176" s="46">
        <v>29200</v>
      </c>
      <c r="Q176" s="46">
        <v>29490</v>
      </c>
      <c r="R176" s="46">
        <v>30290</v>
      </c>
      <c r="S176" s="46">
        <v>30880</v>
      </c>
      <c r="T176" s="46">
        <v>30950</v>
      </c>
      <c r="U176" s="46">
        <v>30590</v>
      </c>
      <c r="V176" s="46">
        <v>29880</v>
      </c>
      <c r="W176" s="46">
        <v>29560</v>
      </c>
      <c r="X176" s="46">
        <v>29580</v>
      </c>
      <c r="Y176" s="46">
        <v>30240</v>
      </c>
      <c r="Z176" s="46">
        <v>30970</v>
      </c>
      <c r="AA176" s="46">
        <v>31020</v>
      </c>
      <c r="AB176" s="46">
        <v>32180</v>
      </c>
      <c r="AC176" s="46">
        <v>31990</v>
      </c>
      <c r="AD176" s="46">
        <v>31230</v>
      </c>
      <c r="AE176" s="46">
        <v>30540</v>
      </c>
      <c r="AF176" s="46">
        <v>29640</v>
      </c>
      <c r="AG176" s="46">
        <v>29560</v>
      </c>
      <c r="AH176" s="46">
        <v>30000</v>
      </c>
      <c r="AI176" s="46">
        <v>29820</v>
      </c>
      <c r="AJ176" s="46">
        <v>31180</v>
      </c>
      <c r="AK176" s="46">
        <v>32340</v>
      </c>
      <c r="AL176" s="46">
        <v>33360</v>
      </c>
      <c r="AM176" s="46">
        <v>34330</v>
      </c>
      <c r="AN176" s="46">
        <v>35770</v>
      </c>
      <c r="AO176" s="46">
        <v>36810</v>
      </c>
      <c r="AP176" s="46">
        <v>37460</v>
      </c>
      <c r="AQ176" s="46">
        <v>38680</v>
      </c>
      <c r="AR176" s="46">
        <v>40780</v>
      </c>
      <c r="AS176" s="46">
        <v>42050</v>
      </c>
      <c r="AT176" s="46">
        <v>42870</v>
      </c>
      <c r="AU176" s="46">
        <v>44630</v>
      </c>
      <c r="AV176" s="46">
        <v>45450</v>
      </c>
      <c r="AW176" s="46">
        <v>45470</v>
      </c>
      <c r="AX176" s="46">
        <v>44690</v>
      </c>
      <c r="AY176" s="46">
        <v>43660</v>
      </c>
      <c r="AZ176" s="46">
        <v>43340</v>
      </c>
      <c r="BA176" s="46">
        <v>42910</v>
      </c>
      <c r="BB176" s="46">
        <v>41580</v>
      </c>
      <c r="BC176" s="46">
        <v>41460</v>
      </c>
      <c r="BD176" s="46">
        <v>40870</v>
      </c>
      <c r="BE176" s="46">
        <v>41870</v>
      </c>
      <c r="BF176" s="46">
        <v>41580</v>
      </c>
      <c r="BG176" s="46">
        <v>40920</v>
      </c>
      <c r="BH176" s="46">
        <v>41680</v>
      </c>
      <c r="BI176" s="46">
        <v>42710</v>
      </c>
    </row>
    <row r="177" spans="1:61" x14ac:dyDescent="0.25">
      <c r="A177" s="11">
        <f>$A$77</f>
        <v>62</v>
      </c>
      <c r="B177" s="29">
        <v>18400</v>
      </c>
      <c r="C177" s="29">
        <v>19020</v>
      </c>
      <c r="D177" s="29">
        <v>19890</v>
      </c>
      <c r="E177" s="29">
        <v>23560</v>
      </c>
      <c r="F177" s="29">
        <v>23450</v>
      </c>
      <c r="G177" s="29">
        <v>23330</v>
      </c>
      <c r="H177" s="29">
        <v>23410</v>
      </c>
      <c r="I177" s="29">
        <v>23520</v>
      </c>
      <c r="J177" s="29">
        <v>23840</v>
      </c>
      <c r="K177" s="29">
        <v>24130</v>
      </c>
      <c r="L177" s="29">
        <v>24930</v>
      </c>
      <c r="M177" s="46">
        <v>25610</v>
      </c>
      <c r="N177" s="46">
        <v>26400</v>
      </c>
      <c r="O177" s="46">
        <v>27010</v>
      </c>
      <c r="P177" s="46">
        <v>27840</v>
      </c>
      <c r="Q177" s="46">
        <v>28820</v>
      </c>
      <c r="R177" s="46">
        <v>29080</v>
      </c>
      <c r="S177" s="46">
        <v>30090</v>
      </c>
      <c r="T177" s="46">
        <v>30610</v>
      </c>
      <c r="U177" s="46">
        <v>30800</v>
      </c>
      <c r="V177" s="46">
        <v>30460</v>
      </c>
      <c r="W177" s="46">
        <v>29770</v>
      </c>
      <c r="X177" s="46">
        <v>29450</v>
      </c>
      <c r="Y177" s="46">
        <v>29480</v>
      </c>
      <c r="Z177" s="46">
        <v>30150</v>
      </c>
      <c r="AA177" s="46">
        <v>30880</v>
      </c>
      <c r="AB177" s="46">
        <v>30930</v>
      </c>
      <c r="AC177" s="46">
        <v>32090</v>
      </c>
      <c r="AD177" s="46">
        <v>31910</v>
      </c>
      <c r="AE177" s="46">
        <v>31150</v>
      </c>
      <c r="AF177" s="46">
        <v>30470</v>
      </c>
      <c r="AG177" s="46">
        <v>29580</v>
      </c>
      <c r="AH177" s="46">
        <v>29500</v>
      </c>
      <c r="AI177" s="46">
        <v>29940</v>
      </c>
      <c r="AJ177" s="46">
        <v>29770</v>
      </c>
      <c r="AK177" s="46">
        <v>31130</v>
      </c>
      <c r="AL177" s="46">
        <v>32290</v>
      </c>
      <c r="AM177" s="46">
        <v>33300</v>
      </c>
      <c r="AN177" s="46">
        <v>34280</v>
      </c>
      <c r="AO177" s="46">
        <v>35710</v>
      </c>
      <c r="AP177" s="46">
        <v>36750</v>
      </c>
      <c r="AQ177" s="46">
        <v>37400</v>
      </c>
      <c r="AR177" s="46">
        <v>38620</v>
      </c>
      <c r="AS177" s="46">
        <v>40720</v>
      </c>
      <c r="AT177" s="46">
        <v>41980</v>
      </c>
      <c r="AU177" s="46">
        <v>42810</v>
      </c>
      <c r="AV177" s="46">
        <v>44560</v>
      </c>
      <c r="AW177" s="46">
        <v>45380</v>
      </c>
      <c r="AX177" s="46">
        <v>45410</v>
      </c>
      <c r="AY177" s="46">
        <v>44640</v>
      </c>
      <c r="AZ177" s="46">
        <v>43610</v>
      </c>
      <c r="BA177" s="46">
        <v>43300</v>
      </c>
      <c r="BB177" s="46">
        <v>42880</v>
      </c>
      <c r="BC177" s="46">
        <v>41550</v>
      </c>
      <c r="BD177" s="46">
        <v>41440</v>
      </c>
      <c r="BE177" s="46">
        <v>40840</v>
      </c>
      <c r="BF177" s="46">
        <v>41850</v>
      </c>
      <c r="BG177" s="46">
        <v>41560</v>
      </c>
      <c r="BH177" s="46">
        <v>40910</v>
      </c>
      <c r="BI177" s="46">
        <v>41670</v>
      </c>
    </row>
    <row r="178" spans="1:61" x14ac:dyDescent="0.25">
      <c r="A178" s="11">
        <f>$A$78</f>
        <v>63</v>
      </c>
      <c r="B178" s="29">
        <v>16270</v>
      </c>
      <c r="C178" s="29">
        <v>18230</v>
      </c>
      <c r="D178" s="29">
        <v>18890</v>
      </c>
      <c r="E178" s="29">
        <v>19760</v>
      </c>
      <c r="F178" s="29">
        <v>23410</v>
      </c>
      <c r="G178" s="29">
        <v>23320</v>
      </c>
      <c r="H178" s="29">
        <v>23240</v>
      </c>
      <c r="I178" s="29">
        <v>23270</v>
      </c>
      <c r="J178" s="29">
        <v>23440</v>
      </c>
      <c r="K178" s="29">
        <v>23800</v>
      </c>
      <c r="L178" s="29">
        <v>24090</v>
      </c>
      <c r="M178" s="46">
        <v>24890</v>
      </c>
      <c r="N178" s="46">
        <v>25430</v>
      </c>
      <c r="O178" s="46">
        <v>26250</v>
      </c>
      <c r="P178" s="46">
        <v>27090</v>
      </c>
      <c r="Q178" s="46">
        <v>27570</v>
      </c>
      <c r="R178" s="46">
        <v>28500</v>
      </c>
      <c r="S178" s="46">
        <v>28780</v>
      </c>
      <c r="T178" s="46">
        <v>29840</v>
      </c>
      <c r="U178" s="46">
        <v>30450</v>
      </c>
      <c r="V178" s="46">
        <v>30660</v>
      </c>
      <c r="W178" s="46">
        <v>30330</v>
      </c>
      <c r="X178" s="46">
        <v>29650</v>
      </c>
      <c r="Y178" s="46">
        <v>29340</v>
      </c>
      <c r="Z178" s="46">
        <v>29380</v>
      </c>
      <c r="AA178" s="46">
        <v>30050</v>
      </c>
      <c r="AB178" s="46">
        <v>30780</v>
      </c>
      <c r="AC178" s="46">
        <v>30840</v>
      </c>
      <c r="AD178" s="46">
        <v>31990</v>
      </c>
      <c r="AE178" s="46">
        <v>31820</v>
      </c>
      <c r="AF178" s="46">
        <v>31070</v>
      </c>
      <c r="AG178" s="46">
        <v>30390</v>
      </c>
      <c r="AH178" s="46">
        <v>29510</v>
      </c>
      <c r="AI178" s="46">
        <v>29440</v>
      </c>
      <c r="AJ178" s="46">
        <v>29880</v>
      </c>
      <c r="AK178" s="46">
        <v>29710</v>
      </c>
      <c r="AL178" s="46">
        <v>31080</v>
      </c>
      <c r="AM178" s="46">
        <v>32230</v>
      </c>
      <c r="AN178" s="46">
        <v>33240</v>
      </c>
      <c r="AO178" s="46">
        <v>34220</v>
      </c>
      <c r="AP178" s="46">
        <v>35650</v>
      </c>
      <c r="AQ178" s="46">
        <v>36690</v>
      </c>
      <c r="AR178" s="46">
        <v>37340</v>
      </c>
      <c r="AS178" s="46">
        <v>38560</v>
      </c>
      <c r="AT178" s="46">
        <v>40650</v>
      </c>
      <c r="AU178" s="46">
        <v>41910</v>
      </c>
      <c r="AV178" s="46">
        <v>42740</v>
      </c>
      <c r="AW178" s="46">
        <v>44490</v>
      </c>
      <c r="AX178" s="46">
        <v>45310</v>
      </c>
      <c r="AY178" s="46">
        <v>45350</v>
      </c>
      <c r="AZ178" s="46">
        <v>44580</v>
      </c>
      <c r="BA178" s="46">
        <v>43560</v>
      </c>
      <c r="BB178" s="46">
        <v>43250</v>
      </c>
      <c r="BC178" s="46">
        <v>42830</v>
      </c>
      <c r="BD178" s="46">
        <v>41510</v>
      </c>
      <c r="BE178" s="46">
        <v>41410</v>
      </c>
      <c r="BF178" s="46">
        <v>40820</v>
      </c>
      <c r="BG178" s="46">
        <v>41820</v>
      </c>
      <c r="BH178" s="46">
        <v>41540</v>
      </c>
      <c r="BI178" s="46">
        <v>40900</v>
      </c>
    </row>
    <row r="179" spans="1:61" x14ac:dyDescent="0.25">
      <c r="A179" s="11">
        <f>$A$79</f>
        <v>64</v>
      </c>
      <c r="B179" s="29">
        <v>17930</v>
      </c>
      <c r="C179" s="29">
        <v>16110</v>
      </c>
      <c r="D179" s="29">
        <v>18080</v>
      </c>
      <c r="E179" s="29">
        <v>18740</v>
      </c>
      <c r="F179" s="29">
        <v>19670</v>
      </c>
      <c r="G179" s="29">
        <v>23280</v>
      </c>
      <c r="H179" s="29">
        <v>23190</v>
      </c>
      <c r="I179" s="29">
        <v>23140</v>
      </c>
      <c r="J179" s="29">
        <v>23170</v>
      </c>
      <c r="K179" s="29">
        <v>23360</v>
      </c>
      <c r="L179" s="29">
        <v>23780</v>
      </c>
      <c r="M179" s="46">
        <v>24050</v>
      </c>
      <c r="N179" s="46">
        <v>24810</v>
      </c>
      <c r="O179" s="46">
        <v>25410</v>
      </c>
      <c r="P179" s="46">
        <v>26340</v>
      </c>
      <c r="Q179" s="46">
        <v>26810</v>
      </c>
      <c r="R179" s="46">
        <v>27210</v>
      </c>
      <c r="S179" s="46">
        <v>28200</v>
      </c>
      <c r="T179" s="46">
        <v>28500</v>
      </c>
      <c r="U179" s="46">
        <v>29660</v>
      </c>
      <c r="V179" s="46">
        <v>30280</v>
      </c>
      <c r="W179" s="46">
        <v>30500</v>
      </c>
      <c r="X179" s="46">
        <v>30180</v>
      </c>
      <c r="Y179" s="46">
        <v>29520</v>
      </c>
      <c r="Z179" s="46">
        <v>29220</v>
      </c>
      <c r="AA179" s="46">
        <v>29260</v>
      </c>
      <c r="AB179" s="46">
        <v>29930</v>
      </c>
      <c r="AC179" s="46">
        <v>30670</v>
      </c>
      <c r="AD179" s="46">
        <v>30720</v>
      </c>
      <c r="AE179" s="46">
        <v>31880</v>
      </c>
      <c r="AF179" s="46">
        <v>31710</v>
      </c>
      <c r="AG179" s="46">
        <v>30970</v>
      </c>
      <c r="AH179" s="46">
        <v>30310</v>
      </c>
      <c r="AI179" s="46">
        <v>29430</v>
      </c>
      <c r="AJ179" s="46">
        <v>29370</v>
      </c>
      <c r="AK179" s="46">
        <v>29810</v>
      </c>
      <c r="AL179" s="46">
        <v>29640</v>
      </c>
      <c r="AM179" s="46">
        <v>31000</v>
      </c>
      <c r="AN179" s="46">
        <v>32150</v>
      </c>
      <c r="AO179" s="46">
        <v>33170</v>
      </c>
      <c r="AP179" s="46">
        <v>34140</v>
      </c>
      <c r="AQ179" s="46">
        <v>35570</v>
      </c>
      <c r="AR179" s="46">
        <v>36610</v>
      </c>
      <c r="AS179" s="46">
        <v>37260</v>
      </c>
      <c r="AT179" s="46">
        <v>38480</v>
      </c>
      <c r="AU179" s="46">
        <v>40560</v>
      </c>
      <c r="AV179" s="46">
        <v>41830</v>
      </c>
      <c r="AW179" s="46">
        <v>42660</v>
      </c>
      <c r="AX179" s="46">
        <v>44400</v>
      </c>
      <c r="AY179" s="46">
        <v>45230</v>
      </c>
      <c r="AZ179" s="46">
        <v>45260</v>
      </c>
      <c r="BA179" s="46">
        <v>44500</v>
      </c>
      <c r="BB179" s="46">
        <v>43490</v>
      </c>
      <c r="BC179" s="46">
        <v>43190</v>
      </c>
      <c r="BD179" s="46">
        <v>42780</v>
      </c>
      <c r="BE179" s="46">
        <v>41470</v>
      </c>
      <c r="BF179" s="46">
        <v>41360</v>
      </c>
      <c r="BG179" s="46">
        <v>40780</v>
      </c>
      <c r="BH179" s="46">
        <v>41780</v>
      </c>
      <c r="BI179" s="46">
        <v>41500</v>
      </c>
    </row>
    <row r="180" spans="1:61" x14ac:dyDescent="0.25">
      <c r="A180" s="11">
        <f>$A$80</f>
        <v>65</v>
      </c>
      <c r="B180" s="29">
        <v>17660</v>
      </c>
      <c r="C180" s="29">
        <v>17780</v>
      </c>
      <c r="D180" s="29">
        <v>15980</v>
      </c>
      <c r="E180" s="29">
        <v>17930</v>
      </c>
      <c r="F180" s="29">
        <v>18590</v>
      </c>
      <c r="G180" s="29">
        <v>19590</v>
      </c>
      <c r="H180" s="29">
        <v>23200</v>
      </c>
      <c r="I180" s="29">
        <v>23070</v>
      </c>
      <c r="J180" s="29">
        <v>23060</v>
      </c>
      <c r="K180" s="29">
        <v>23100</v>
      </c>
      <c r="L180" s="29">
        <v>23280</v>
      </c>
      <c r="M180" s="46">
        <v>23710</v>
      </c>
      <c r="N180" s="46">
        <v>24020</v>
      </c>
      <c r="O180" s="46">
        <v>24660</v>
      </c>
      <c r="P180" s="46">
        <v>25540</v>
      </c>
      <c r="Q180" s="46">
        <v>26000</v>
      </c>
      <c r="R180" s="46">
        <v>26450</v>
      </c>
      <c r="S180" s="46">
        <v>26960</v>
      </c>
      <c r="T180" s="46">
        <v>27950</v>
      </c>
      <c r="U180" s="46">
        <v>28310</v>
      </c>
      <c r="V180" s="46">
        <v>29480</v>
      </c>
      <c r="W180" s="46">
        <v>30110</v>
      </c>
      <c r="X180" s="46">
        <v>30330</v>
      </c>
      <c r="Y180" s="46">
        <v>30020</v>
      </c>
      <c r="Z180" s="46">
        <v>29370</v>
      </c>
      <c r="AA180" s="46">
        <v>29080</v>
      </c>
      <c r="AB180" s="46">
        <v>29130</v>
      </c>
      <c r="AC180" s="46">
        <v>29800</v>
      </c>
      <c r="AD180" s="46">
        <v>30530</v>
      </c>
      <c r="AE180" s="46">
        <v>30600</v>
      </c>
      <c r="AF180" s="46">
        <v>31750</v>
      </c>
      <c r="AG180" s="46">
        <v>31590</v>
      </c>
      <c r="AH180" s="46">
        <v>30860</v>
      </c>
      <c r="AI180" s="46">
        <v>30200</v>
      </c>
      <c r="AJ180" s="46">
        <v>29340</v>
      </c>
      <c r="AK180" s="46">
        <v>29270</v>
      </c>
      <c r="AL180" s="46">
        <v>29720</v>
      </c>
      <c r="AM180" s="46">
        <v>29560</v>
      </c>
      <c r="AN180" s="46">
        <v>30920</v>
      </c>
      <c r="AO180" s="46">
        <v>32060</v>
      </c>
      <c r="AP180" s="46">
        <v>33080</v>
      </c>
      <c r="AQ180" s="46">
        <v>34050</v>
      </c>
      <c r="AR180" s="46">
        <v>35480</v>
      </c>
      <c r="AS180" s="46">
        <v>36510</v>
      </c>
      <c r="AT180" s="46">
        <v>37160</v>
      </c>
      <c r="AU180" s="46">
        <v>38380</v>
      </c>
      <c r="AV180" s="46">
        <v>40460</v>
      </c>
      <c r="AW180" s="46">
        <v>41730</v>
      </c>
      <c r="AX180" s="46">
        <v>42560</v>
      </c>
      <c r="AY180" s="46">
        <v>44300</v>
      </c>
      <c r="AZ180" s="46">
        <v>45120</v>
      </c>
      <c r="BA180" s="46">
        <v>45160</v>
      </c>
      <c r="BB180" s="46">
        <v>44410</v>
      </c>
      <c r="BC180" s="46">
        <v>43410</v>
      </c>
      <c r="BD180" s="46">
        <v>43110</v>
      </c>
      <c r="BE180" s="46">
        <v>42700</v>
      </c>
      <c r="BF180" s="46">
        <v>41400</v>
      </c>
      <c r="BG180" s="46">
        <v>41300</v>
      </c>
      <c r="BH180" s="46">
        <v>40720</v>
      </c>
      <c r="BI180" s="46">
        <v>41730</v>
      </c>
    </row>
    <row r="181" spans="1:61" x14ac:dyDescent="0.25">
      <c r="A181" s="11">
        <f>$A$81</f>
        <v>66</v>
      </c>
      <c r="B181" s="29">
        <v>16280</v>
      </c>
      <c r="C181" s="29">
        <v>17430</v>
      </c>
      <c r="D181" s="29">
        <v>17580</v>
      </c>
      <c r="E181" s="29">
        <v>15830</v>
      </c>
      <c r="F181" s="29">
        <v>17790</v>
      </c>
      <c r="G181" s="29">
        <v>18420</v>
      </c>
      <c r="H181" s="29">
        <v>19390</v>
      </c>
      <c r="I181" s="29">
        <v>23050</v>
      </c>
      <c r="J181" s="29">
        <v>22850</v>
      </c>
      <c r="K181" s="29">
        <v>22840</v>
      </c>
      <c r="L181" s="29">
        <v>22960</v>
      </c>
      <c r="M181" s="46">
        <v>23100</v>
      </c>
      <c r="N181" s="46">
        <v>23520</v>
      </c>
      <c r="O181" s="46">
        <v>23790</v>
      </c>
      <c r="P181" s="46">
        <v>24690</v>
      </c>
      <c r="Q181" s="46">
        <v>25160</v>
      </c>
      <c r="R181" s="46">
        <v>25550</v>
      </c>
      <c r="S181" s="46">
        <v>26120</v>
      </c>
      <c r="T181" s="46">
        <v>26680</v>
      </c>
      <c r="U181" s="46">
        <v>27740</v>
      </c>
      <c r="V181" s="46">
        <v>28110</v>
      </c>
      <c r="W181" s="46">
        <v>29280</v>
      </c>
      <c r="X181" s="46">
        <v>29910</v>
      </c>
      <c r="Y181" s="46">
        <v>30140</v>
      </c>
      <c r="Z181" s="46">
        <v>29850</v>
      </c>
      <c r="AA181" s="46">
        <v>29200</v>
      </c>
      <c r="AB181" s="46">
        <v>28930</v>
      </c>
      <c r="AC181" s="46">
        <v>28980</v>
      </c>
      <c r="AD181" s="46">
        <v>29650</v>
      </c>
      <c r="AE181" s="46">
        <v>30380</v>
      </c>
      <c r="AF181" s="46">
        <v>30450</v>
      </c>
      <c r="AG181" s="46">
        <v>31600</v>
      </c>
      <c r="AH181" s="46">
        <v>31450</v>
      </c>
      <c r="AI181" s="46">
        <v>30720</v>
      </c>
      <c r="AJ181" s="46">
        <v>30080</v>
      </c>
      <c r="AK181" s="46">
        <v>29220</v>
      </c>
      <c r="AL181" s="46">
        <v>29170</v>
      </c>
      <c r="AM181" s="46">
        <v>29620</v>
      </c>
      <c r="AN181" s="46">
        <v>29460</v>
      </c>
      <c r="AO181" s="46">
        <v>30810</v>
      </c>
      <c r="AP181" s="46">
        <v>31960</v>
      </c>
      <c r="AQ181" s="46">
        <v>32970</v>
      </c>
      <c r="AR181" s="46">
        <v>33940</v>
      </c>
      <c r="AS181" s="46">
        <v>35370</v>
      </c>
      <c r="AT181" s="46">
        <v>36400</v>
      </c>
      <c r="AU181" s="46">
        <v>37050</v>
      </c>
      <c r="AV181" s="46">
        <v>38270</v>
      </c>
      <c r="AW181" s="46">
        <v>40340</v>
      </c>
      <c r="AX181" s="46">
        <v>41600</v>
      </c>
      <c r="AY181" s="46">
        <v>42440</v>
      </c>
      <c r="AZ181" s="46">
        <v>44170</v>
      </c>
      <c r="BA181" s="46">
        <v>45000</v>
      </c>
      <c r="BB181" s="46">
        <v>45050</v>
      </c>
      <c r="BC181" s="46">
        <v>44300</v>
      </c>
      <c r="BD181" s="46">
        <v>43310</v>
      </c>
      <c r="BE181" s="46">
        <v>43010</v>
      </c>
      <c r="BF181" s="46">
        <v>42610</v>
      </c>
      <c r="BG181" s="46">
        <v>41320</v>
      </c>
      <c r="BH181" s="46">
        <v>41230</v>
      </c>
      <c r="BI181" s="46">
        <v>40650</v>
      </c>
    </row>
    <row r="182" spans="1:61" x14ac:dyDescent="0.25">
      <c r="A182" s="11">
        <f>$A$82</f>
        <v>67</v>
      </c>
      <c r="B182" s="29">
        <v>14490</v>
      </c>
      <c r="C182" s="29">
        <v>16080</v>
      </c>
      <c r="D182" s="29">
        <v>17200</v>
      </c>
      <c r="E182" s="29">
        <v>17370</v>
      </c>
      <c r="F182" s="29">
        <v>15630</v>
      </c>
      <c r="G182" s="29">
        <v>17630</v>
      </c>
      <c r="H182" s="29">
        <v>18190</v>
      </c>
      <c r="I182" s="29">
        <v>19250</v>
      </c>
      <c r="J182" s="29">
        <v>22790</v>
      </c>
      <c r="K182" s="29">
        <v>22630</v>
      </c>
      <c r="L182" s="29">
        <v>22650</v>
      </c>
      <c r="M182" s="46">
        <v>22790</v>
      </c>
      <c r="N182" s="46">
        <v>22870</v>
      </c>
      <c r="O182" s="46">
        <v>23280</v>
      </c>
      <c r="P182" s="46">
        <v>23690</v>
      </c>
      <c r="Q182" s="46">
        <v>24320</v>
      </c>
      <c r="R182" s="46">
        <v>24630</v>
      </c>
      <c r="S182" s="46">
        <v>25230</v>
      </c>
      <c r="T182" s="46">
        <v>25770</v>
      </c>
      <c r="U182" s="46">
        <v>26450</v>
      </c>
      <c r="V182" s="46">
        <v>27520</v>
      </c>
      <c r="W182" s="46">
        <v>27890</v>
      </c>
      <c r="X182" s="46">
        <v>29060</v>
      </c>
      <c r="Y182" s="46">
        <v>29690</v>
      </c>
      <c r="Z182" s="46">
        <v>29930</v>
      </c>
      <c r="AA182" s="46">
        <v>29640</v>
      </c>
      <c r="AB182" s="46">
        <v>29010</v>
      </c>
      <c r="AC182" s="46">
        <v>28740</v>
      </c>
      <c r="AD182" s="46">
        <v>28800</v>
      </c>
      <c r="AE182" s="46">
        <v>29470</v>
      </c>
      <c r="AF182" s="46">
        <v>30200</v>
      </c>
      <c r="AG182" s="46">
        <v>30280</v>
      </c>
      <c r="AH182" s="46">
        <v>31420</v>
      </c>
      <c r="AI182" s="46">
        <v>31270</v>
      </c>
      <c r="AJ182" s="46">
        <v>30570</v>
      </c>
      <c r="AK182" s="46">
        <v>29930</v>
      </c>
      <c r="AL182" s="46">
        <v>29090</v>
      </c>
      <c r="AM182" s="46">
        <v>29030</v>
      </c>
      <c r="AN182" s="46">
        <v>29480</v>
      </c>
      <c r="AO182" s="46">
        <v>29330</v>
      </c>
      <c r="AP182" s="46">
        <v>30680</v>
      </c>
      <c r="AQ182" s="46">
        <v>31820</v>
      </c>
      <c r="AR182" s="46">
        <v>32840</v>
      </c>
      <c r="AS182" s="46">
        <v>33810</v>
      </c>
      <c r="AT182" s="46">
        <v>35230</v>
      </c>
      <c r="AU182" s="46">
        <v>36260</v>
      </c>
      <c r="AV182" s="46">
        <v>36910</v>
      </c>
      <c r="AW182" s="46">
        <v>38130</v>
      </c>
      <c r="AX182" s="46">
        <v>40190</v>
      </c>
      <c r="AY182" s="46">
        <v>41450</v>
      </c>
      <c r="AZ182" s="46">
        <v>42280</v>
      </c>
      <c r="BA182" s="46">
        <v>44020</v>
      </c>
      <c r="BB182" s="46">
        <v>44850</v>
      </c>
      <c r="BC182" s="46">
        <v>44900</v>
      </c>
      <c r="BD182" s="46">
        <v>44160</v>
      </c>
      <c r="BE182" s="46">
        <v>43180</v>
      </c>
      <c r="BF182" s="46">
        <v>42890</v>
      </c>
      <c r="BG182" s="46">
        <v>42490</v>
      </c>
      <c r="BH182" s="46">
        <v>41210</v>
      </c>
      <c r="BI182" s="46">
        <v>41120</v>
      </c>
    </row>
    <row r="183" spans="1:61" x14ac:dyDescent="0.25">
      <c r="A183" s="11">
        <f>$A$83</f>
        <v>68</v>
      </c>
      <c r="B183" s="29">
        <v>13990</v>
      </c>
      <c r="C183" s="29">
        <v>14260</v>
      </c>
      <c r="D183" s="29">
        <v>15840</v>
      </c>
      <c r="E183" s="29">
        <v>16980</v>
      </c>
      <c r="F183" s="29">
        <v>17180</v>
      </c>
      <c r="G183" s="29">
        <v>15460</v>
      </c>
      <c r="H183" s="29">
        <v>17420</v>
      </c>
      <c r="I183" s="29">
        <v>18010</v>
      </c>
      <c r="J183" s="29">
        <v>19040</v>
      </c>
      <c r="K183" s="29">
        <v>22450</v>
      </c>
      <c r="L183" s="29">
        <v>22440</v>
      </c>
      <c r="M183" s="46">
        <v>22410</v>
      </c>
      <c r="N183" s="46">
        <v>22540</v>
      </c>
      <c r="O183" s="46">
        <v>22590</v>
      </c>
      <c r="P183" s="46">
        <v>23180</v>
      </c>
      <c r="Q183" s="46">
        <v>23260</v>
      </c>
      <c r="R183" s="46">
        <v>23900</v>
      </c>
      <c r="S183" s="46">
        <v>24330</v>
      </c>
      <c r="T183" s="46">
        <v>24920</v>
      </c>
      <c r="U183" s="46">
        <v>25520</v>
      </c>
      <c r="V183" s="46">
        <v>26200</v>
      </c>
      <c r="W183" s="46">
        <v>27260</v>
      </c>
      <c r="X183" s="46">
        <v>27640</v>
      </c>
      <c r="Y183" s="46">
        <v>28800</v>
      </c>
      <c r="Z183" s="46">
        <v>29440</v>
      </c>
      <c r="AA183" s="46">
        <v>29680</v>
      </c>
      <c r="AB183" s="46">
        <v>29410</v>
      </c>
      <c r="AC183" s="46">
        <v>28790</v>
      </c>
      <c r="AD183" s="46">
        <v>28530</v>
      </c>
      <c r="AE183" s="46">
        <v>28590</v>
      </c>
      <c r="AF183" s="46">
        <v>29260</v>
      </c>
      <c r="AG183" s="46">
        <v>29990</v>
      </c>
      <c r="AH183" s="46">
        <v>30070</v>
      </c>
      <c r="AI183" s="46">
        <v>31220</v>
      </c>
      <c r="AJ183" s="46">
        <v>31070</v>
      </c>
      <c r="AK183" s="46">
        <v>30380</v>
      </c>
      <c r="AL183" s="46">
        <v>29750</v>
      </c>
      <c r="AM183" s="46">
        <v>28920</v>
      </c>
      <c r="AN183" s="46">
        <v>28870</v>
      </c>
      <c r="AO183" s="46">
        <v>29320</v>
      </c>
      <c r="AP183" s="46">
        <v>29180</v>
      </c>
      <c r="AQ183" s="46">
        <v>30520</v>
      </c>
      <c r="AR183" s="46">
        <v>31660</v>
      </c>
      <c r="AS183" s="46">
        <v>32670</v>
      </c>
      <c r="AT183" s="46">
        <v>33640</v>
      </c>
      <c r="AU183" s="46">
        <v>35060</v>
      </c>
      <c r="AV183" s="46">
        <v>36090</v>
      </c>
      <c r="AW183" s="46">
        <v>36740</v>
      </c>
      <c r="AX183" s="46">
        <v>37950</v>
      </c>
      <c r="AY183" s="46">
        <v>40010</v>
      </c>
      <c r="AZ183" s="46">
        <v>41270</v>
      </c>
      <c r="BA183" s="46">
        <v>42100</v>
      </c>
      <c r="BB183" s="46">
        <v>43830</v>
      </c>
      <c r="BC183" s="46">
        <v>44660</v>
      </c>
      <c r="BD183" s="46">
        <v>44720</v>
      </c>
      <c r="BE183" s="46">
        <v>43990</v>
      </c>
      <c r="BF183" s="46">
        <v>43020</v>
      </c>
      <c r="BG183" s="46">
        <v>42730</v>
      </c>
      <c r="BH183" s="46">
        <v>42350</v>
      </c>
      <c r="BI183" s="46">
        <v>41070</v>
      </c>
    </row>
    <row r="184" spans="1:61" x14ac:dyDescent="0.25">
      <c r="A184" s="11">
        <f>$A$84</f>
        <v>69</v>
      </c>
      <c r="B184" s="29">
        <v>13200</v>
      </c>
      <c r="C184" s="29">
        <v>13760</v>
      </c>
      <c r="D184" s="29">
        <v>14020</v>
      </c>
      <c r="E184" s="29">
        <v>15590</v>
      </c>
      <c r="F184" s="29">
        <v>16690</v>
      </c>
      <c r="G184" s="29">
        <v>16960</v>
      </c>
      <c r="H184" s="29">
        <v>15240</v>
      </c>
      <c r="I184" s="29">
        <v>17190</v>
      </c>
      <c r="J184" s="29">
        <v>17730</v>
      </c>
      <c r="K184" s="29">
        <v>18770</v>
      </c>
      <c r="L184" s="29">
        <v>22160</v>
      </c>
      <c r="M184" s="46">
        <v>22100</v>
      </c>
      <c r="N184" s="46">
        <v>22140</v>
      </c>
      <c r="O184" s="46">
        <v>22240</v>
      </c>
      <c r="P184" s="46">
        <v>22510</v>
      </c>
      <c r="Q184" s="46">
        <v>22710</v>
      </c>
      <c r="R184" s="46">
        <v>22730</v>
      </c>
      <c r="S184" s="46">
        <v>23480</v>
      </c>
      <c r="T184" s="46">
        <v>23950</v>
      </c>
      <c r="U184" s="46">
        <v>24640</v>
      </c>
      <c r="V184" s="46">
        <v>25240</v>
      </c>
      <c r="W184" s="46">
        <v>25930</v>
      </c>
      <c r="X184" s="46">
        <v>26980</v>
      </c>
      <c r="Y184" s="46">
        <v>27370</v>
      </c>
      <c r="Z184" s="46">
        <v>28520</v>
      </c>
      <c r="AA184" s="46">
        <v>29160</v>
      </c>
      <c r="AB184" s="46">
        <v>29410</v>
      </c>
      <c r="AC184" s="46">
        <v>29140</v>
      </c>
      <c r="AD184" s="46">
        <v>28540</v>
      </c>
      <c r="AE184" s="46">
        <v>28290</v>
      </c>
      <c r="AF184" s="46">
        <v>28360</v>
      </c>
      <c r="AG184" s="46">
        <v>29030</v>
      </c>
      <c r="AH184" s="46">
        <v>29760</v>
      </c>
      <c r="AI184" s="46">
        <v>29840</v>
      </c>
      <c r="AJ184" s="46">
        <v>30980</v>
      </c>
      <c r="AK184" s="46">
        <v>30850</v>
      </c>
      <c r="AL184" s="46">
        <v>30160</v>
      </c>
      <c r="AM184" s="46">
        <v>29540</v>
      </c>
      <c r="AN184" s="46">
        <v>28730</v>
      </c>
      <c r="AO184" s="46">
        <v>28690</v>
      </c>
      <c r="AP184" s="46">
        <v>29140</v>
      </c>
      <c r="AQ184" s="46">
        <v>29000</v>
      </c>
      <c r="AR184" s="46">
        <v>30340</v>
      </c>
      <c r="AS184" s="46">
        <v>31470</v>
      </c>
      <c r="AT184" s="46">
        <v>32480</v>
      </c>
      <c r="AU184" s="46">
        <v>33450</v>
      </c>
      <c r="AV184" s="46">
        <v>34860</v>
      </c>
      <c r="AW184" s="46">
        <v>35890</v>
      </c>
      <c r="AX184" s="46">
        <v>36540</v>
      </c>
      <c r="AY184" s="46">
        <v>37750</v>
      </c>
      <c r="AZ184" s="46">
        <v>39800</v>
      </c>
      <c r="BA184" s="46">
        <v>41060</v>
      </c>
      <c r="BB184" s="46">
        <v>41890</v>
      </c>
      <c r="BC184" s="46">
        <v>43620</v>
      </c>
      <c r="BD184" s="46">
        <v>44450</v>
      </c>
      <c r="BE184" s="46">
        <v>44510</v>
      </c>
      <c r="BF184" s="46">
        <v>43790</v>
      </c>
      <c r="BG184" s="46">
        <v>42830</v>
      </c>
      <c r="BH184" s="46">
        <v>42550</v>
      </c>
      <c r="BI184" s="46">
        <v>42170</v>
      </c>
    </row>
    <row r="185" spans="1:61" x14ac:dyDescent="0.25">
      <c r="A185" s="11">
        <f>$A$85</f>
        <v>70</v>
      </c>
      <c r="B185" s="29">
        <v>12400</v>
      </c>
      <c r="C185" s="29">
        <v>12920</v>
      </c>
      <c r="D185" s="29">
        <v>13480</v>
      </c>
      <c r="E185" s="29">
        <v>13750</v>
      </c>
      <c r="F185" s="29">
        <v>15340</v>
      </c>
      <c r="G185" s="29">
        <v>16390</v>
      </c>
      <c r="H185" s="29">
        <v>16680</v>
      </c>
      <c r="I185" s="29">
        <v>14990</v>
      </c>
      <c r="J185" s="29">
        <v>16930</v>
      </c>
      <c r="K185" s="29">
        <v>17460</v>
      </c>
      <c r="L185" s="29">
        <v>18500</v>
      </c>
      <c r="M185" s="46">
        <v>21800</v>
      </c>
      <c r="N185" s="46">
        <v>21730</v>
      </c>
      <c r="O185" s="46">
        <v>21730</v>
      </c>
      <c r="P185" s="46">
        <v>22090</v>
      </c>
      <c r="Q185" s="46">
        <v>22020</v>
      </c>
      <c r="R185" s="46">
        <v>22210</v>
      </c>
      <c r="S185" s="46">
        <v>22350</v>
      </c>
      <c r="T185" s="46">
        <v>23130</v>
      </c>
      <c r="U185" s="46">
        <v>23640</v>
      </c>
      <c r="V185" s="46">
        <v>24330</v>
      </c>
      <c r="W185" s="46">
        <v>24940</v>
      </c>
      <c r="X185" s="46">
        <v>25630</v>
      </c>
      <c r="Y185" s="46">
        <v>26680</v>
      </c>
      <c r="Z185" s="46">
        <v>27060</v>
      </c>
      <c r="AA185" s="46">
        <v>28210</v>
      </c>
      <c r="AB185" s="46">
        <v>28850</v>
      </c>
      <c r="AC185" s="46">
        <v>29100</v>
      </c>
      <c r="AD185" s="46">
        <v>28850</v>
      </c>
      <c r="AE185" s="46">
        <v>28260</v>
      </c>
      <c r="AF185" s="46">
        <v>28010</v>
      </c>
      <c r="AG185" s="46">
        <v>28090</v>
      </c>
      <c r="AH185" s="46">
        <v>28760</v>
      </c>
      <c r="AI185" s="46">
        <v>29490</v>
      </c>
      <c r="AJ185" s="46">
        <v>29580</v>
      </c>
      <c r="AK185" s="46">
        <v>30710</v>
      </c>
      <c r="AL185" s="46">
        <v>30590</v>
      </c>
      <c r="AM185" s="46">
        <v>29910</v>
      </c>
      <c r="AN185" s="46">
        <v>29310</v>
      </c>
      <c r="AO185" s="46">
        <v>28500</v>
      </c>
      <c r="AP185" s="46">
        <v>28470</v>
      </c>
      <c r="AQ185" s="46">
        <v>28920</v>
      </c>
      <c r="AR185" s="46">
        <v>28790</v>
      </c>
      <c r="AS185" s="46">
        <v>30130</v>
      </c>
      <c r="AT185" s="46">
        <v>31260</v>
      </c>
      <c r="AU185" s="46">
        <v>32260</v>
      </c>
      <c r="AV185" s="46">
        <v>33230</v>
      </c>
      <c r="AW185" s="46">
        <v>34630</v>
      </c>
      <c r="AX185" s="46">
        <v>35660</v>
      </c>
      <c r="AY185" s="46">
        <v>36320</v>
      </c>
      <c r="AZ185" s="46">
        <v>37520</v>
      </c>
      <c r="BA185" s="46">
        <v>39570</v>
      </c>
      <c r="BB185" s="46">
        <v>40820</v>
      </c>
      <c r="BC185" s="46">
        <v>41650</v>
      </c>
      <c r="BD185" s="46">
        <v>43370</v>
      </c>
      <c r="BE185" s="46">
        <v>44200</v>
      </c>
      <c r="BF185" s="46">
        <v>44270</v>
      </c>
      <c r="BG185" s="46">
        <v>43560</v>
      </c>
      <c r="BH185" s="46">
        <v>42610</v>
      </c>
      <c r="BI185" s="46">
        <v>42340</v>
      </c>
    </row>
    <row r="186" spans="1:61" x14ac:dyDescent="0.25">
      <c r="A186" s="11">
        <f>$A$86</f>
        <v>71</v>
      </c>
      <c r="B186" s="29">
        <v>11940</v>
      </c>
      <c r="C186" s="29">
        <v>12080</v>
      </c>
      <c r="D186" s="29">
        <v>12600</v>
      </c>
      <c r="E186" s="29">
        <v>13170</v>
      </c>
      <c r="F186" s="29">
        <v>13490</v>
      </c>
      <c r="G186" s="29">
        <v>15030</v>
      </c>
      <c r="H186" s="29">
        <v>16060</v>
      </c>
      <c r="I186" s="29">
        <v>16410</v>
      </c>
      <c r="J186" s="29">
        <v>14720</v>
      </c>
      <c r="K186" s="29">
        <v>16580</v>
      </c>
      <c r="L186" s="29">
        <v>17190</v>
      </c>
      <c r="M186" s="46">
        <v>18220</v>
      </c>
      <c r="N186" s="46">
        <v>21400</v>
      </c>
      <c r="O186" s="46">
        <v>21370</v>
      </c>
      <c r="P186" s="46">
        <v>21450</v>
      </c>
      <c r="Q186" s="46">
        <v>21630</v>
      </c>
      <c r="R186" s="46">
        <v>21490</v>
      </c>
      <c r="S186" s="46">
        <v>21700</v>
      </c>
      <c r="T186" s="46">
        <v>21970</v>
      </c>
      <c r="U186" s="46">
        <v>22780</v>
      </c>
      <c r="V186" s="46">
        <v>23300</v>
      </c>
      <c r="W186" s="46">
        <v>23990</v>
      </c>
      <c r="X186" s="46">
        <v>24600</v>
      </c>
      <c r="Y186" s="46">
        <v>25290</v>
      </c>
      <c r="Z186" s="46">
        <v>26330</v>
      </c>
      <c r="AA186" s="46">
        <v>26720</v>
      </c>
      <c r="AB186" s="46">
        <v>27860</v>
      </c>
      <c r="AC186" s="46">
        <v>28500</v>
      </c>
      <c r="AD186" s="46">
        <v>28760</v>
      </c>
      <c r="AE186" s="46">
        <v>28510</v>
      </c>
      <c r="AF186" s="46">
        <v>27940</v>
      </c>
      <c r="AG186" s="46">
        <v>27700</v>
      </c>
      <c r="AH186" s="46">
        <v>27790</v>
      </c>
      <c r="AI186" s="46">
        <v>28460</v>
      </c>
      <c r="AJ186" s="46">
        <v>29190</v>
      </c>
      <c r="AK186" s="46">
        <v>29280</v>
      </c>
      <c r="AL186" s="46">
        <v>30410</v>
      </c>
      <c r="AM186" s="46">
        <v>30290</v>
      </c>
      <c r="AN186" s="46">
        <v>29630</v>
      </c>
      <c r="AO186" s="46">
        <v>29040</v>
      </c>
      <c r="AP186" s="46">
        <v>28250</v>
      </c>
      <c r="AQ186" s="46">
        <v>28220</v>
      </c>
      <c r="AR186" s="46">
        <v>28680</v>
      </c>
      <c r="AS186" s="46">
        <v>28550</v>
      </c>
      <c r="AT186" s="46">
        <v>29880</v>
      </c>
      <c r="AU186" s="46">
        <v>31010</v>
      </c>
      <c r="AV186" s="46">
        <v>32010</v>
      </c>
      <c r="AW186" s="46">
        <v>32970</v>
      </c>
      <c r="AX186" s="46">
        <v>34370</v>
      </c>
      <c r="AY186" s="46">
        <v>35400</v>
      </c>
      <c r="AZ186" s="46">
        <v>36050</v>
      </c>
      <c r="BA186" s="46">
        <v>37260</v>
      </c>
      <c r="BB186" s="46">
        <v>39290</v>
      </c>
      <c r="BC186" s="46">
        <v>40540</v>
      </c>
      <c r="BD186" s="46">
        <v>41380</v>
      </c>
      <c r="BE186" s="46">
        <v>43090</v>
      </c>
      <c r="BF186" s="46">
        <v>43920</v>
      </c>
      <c r="BG186" s="46">
        <v>43990</v>
      </c>
      <c r="BH186" s="46">
        <v>43290</v>
      </c>
      <c r="BI186" s="46">
        <v>42360</v>
      </c>
    </row>
    <row r="187" spans="1:61" x14ac:dyDescent="0.25">
      <c r="A187" s="11">
        <f>$A$87</f>
        <v>72</v>
      </c>
      <c r="B187" s="29">
        <v>11370</v>
      </c>
      <c r="C187" s="29">
        <v>11660</v>
      </c>
      <c r="D187" s="29">
        <v>11800</v>
      </c>
      <c r="E187" s="29">
        <v>12290</v>
      </c>
      <c r="F187" s="29">
        <v>12880</v>
      </c>
      <c r="G187" s="29">
        <v>13170</v>
      </c>
      <c r="H187" s="29">
        <v>14710</v>
      </c>
      <c r="I187" s="29">
        <v>15750</v>
      </c>
      <c r="J187" s="29">
        <v>16070</v>
      </c>
      <c r="K187" s="29">
        <v>14420</v>
      </c>
      <c r="L187" s="29">
        <v>16260</v>
      </c>
      <c r="M187" s="46">
        <v>16840</v>
      </c>
      <c r="N187" s="46">
        <v>17870</v>
      </c>
      <c r="O187" s="46">
        <v>20970</v>
      </c>
      <c r="P187" s="46">
        <v>21130</v>
      </c>
      <c r="Q187" s="46">
        <v>20890</v>
      </c>
      <c r="R187" s="46">
        <v>21040</v>
      </c>
      <c r="S187" s="46">
        <v>21050</v>
      </c>
      <c r="T187" s="46">
        <v>21260</v>
      </c>
      <c r="U187" s="46">
        <v>21610</v>
      </c>
      <c r="V187" s="46">
        <v>22420</v>
      </c>
      <c r="W187" s="46">
        <v>22940</v>
      </c>
      <c r="X187" s="46">
        <v>23630</v>
      </c>
      <c r="Y187" s="46">
        <v>24230</v>
      </c>
      <c r="Z187" s="46">
        <v>24920</v>
      </c>
      <c r="AA187" s="46">
        <v>25950</v>
      </c>
      <c r="AB187" s="46">
        <v>26350</v>
      </c>
      <c r="AC187" s="46">
        <v>27480</v>
      </c>
      <c r="AD187" s="46">
        <v>28120</v>
      </c>
      <c r="AE187" s="46">
        <v>28380</v>
      </c>
      <c r="AF187" s="46">
        <v>28150</v>
      </c>
      <c r="AG187" s="46">
        <v>27590</v>
      </c>
      <c r="AH187" s="46">
        <v>27370</v>
      </c>
      <c r="AI187" s="46">
        <v>27460</v>
      </c>
      <c r="AJ187" s="46">
        <v>28120</v>
      </c>
      <c r="AK187" s="46">
        <v>28850</v>
      </c>
      <c r="AL187" s="46">
        <v>28960</v>
      </c>
      <c r="AM187" s="46">
        <v>30080</v>
      </c>
      <c r="AN187" s="46">
        <v>29970</v>
      </c>
      <c r="AO187" s="46">
        <v>29320</v>
      </c>
      <c r="AP187" s="46">
        <v>28750</v>
      </c>
      <c r="AQ187" s="46">
        <v>27970</v>
      </c>
      <c r="AR187" s="46">
        <v>27950</v>
      </c>
      <c r="AS187" s="46">
        <v>28400</v>
      </c>
      <c r="AT187" s="46">
        <v>28290</v>
      </c>
      <c r="AU187" s="46">
        <v>29610</v>
      </c>
      <c r="AV187" s="46">
        <v>30730</v>
      </c>
      <c r="AW187" s="46">
        <v>31730</v>
      </c>
      <c r="AX187" s="46">
        <v>32690</v>
      </c>
      <c r="AY187" s="46">
        <v>34080</v>
      </c>
      <c r="AZ187" s="46">
        <v>35110</v>
      </c>
      <c r="BA187" s="46">
        <v>35760</v>
      </c>
      <c r="BB187" s="46">
        <v>36960</v>
      </c>
      <c r="BC187" s="46">
        <v>38990</v>
      </c>
      <c r="BD187" s="46">
        <v>40230</v>
      </c>
      <c r="BE187" s="46">
        <v>41070</v>
      </c>
      <c r="BF187" s="46">
        <v>42780</v>
      </c>
      <c r="BG187" s="46">
        <v>43610</v>
      </c>
      <c r="BH187" s="46">
        <v>43690</v>
      </c>
      <c r="BI187" s="46">
        <v>43000</v>
      </c>
    </row>
    <row r="188" spans="1:61" x14ac:dyDescent="0.25">
      <c r="A188" s="11">
        <f>$A$88</f>
        <v>73</v>
      </c>
      <c r="B188" s="29">
        <v>10890</v>
      </c>
      <c r="C188" s="29">
        <v>11030</v>
      </c>
      <c r="D188" s="29">
        <v>11360</v>
      </c>
      <c r="E188" s="29">
        <v>11460</v>
      </c>
      <c r="F188" s="29">
        <v>11980</v>
      </c>
      <c r="G188" s="29">
        <v>12540</v>
      </c>
      <c r="H188" s="29">
        <v>12830</v>
      </c>
      <c r="I188" s="29">
        <v>14360</v>
      </c>
      <c r="J188" s="29">
        <v>15350</v>
      </c>
      <c r="K188" s="29">
        <v>15670</v>
      </c>
      <c r="L188" s="29">
        <v>14100</v>
      </c>
      <c r="M188" s="46">
        <v>15900</v>
      </c>
      <c r="N188" s="46">
        <v>16460</v>
      </c>
      <c r="O188" s="46">
        <v>17420</v>
      </c>
      <c r="P188" s="46">
        <v>20680</v>
      </c>
      <c r="Q188" s="46">
        <v>20600</v>
      </c>
      <c r="R188" s="46">
        <v>20280</v>
      </c>
      <c r="S188" s="46">
        <v>20570</v>
      </c>
      <c r="T188" s="46">
        <v>20560</v>
      </c>
      <c r="U188" s="46">
        <v>20860</v>
      </c>
      <c r="V188" s="46">
        <v>21220</v>
      </c>
      <c r="W188" s="46">
        <v>22020</v>
      </c>
      <c r="X188" s="46">
        <v>22540</v>
      </c>
      <c r="Y188" s="46">
        <v>23230</v>
      </c>
      <c r="Z188" s="46">
        <v>23830</v>
      </c>
      <c r="AA188" s="46">
        <v>24510</v>
      </c>
      <c r="AB188" s="46">
        <v>25540</v>
      </c>
      <c r="AC188" s="46">
        <v>25940</v>
      </c>
      <c r="AD188" s="46">
        <v>27070</v>
      </c>
      <c r="AE188" s="46">
        <v>27700</v>
      </c>
      <c r="AF188" s="46">
        <v>27970</v>
      </c>
      <c r="AG188" s="46">
        <v>27750</v>
      </c>
      <c r="AH188" s="46">
        <v>27200</v>
      </c>
      <c r="AI188" s="46">
        <v>26990</v>
      </c>
      <c r="AJ188" s="46">
        <v>27090</v>
      </c>
      <c r="AK188" s="46">
        <v>27760</v>
      </c>
      <c r="AL188" s="46">
        <v>28480</v>
      </c>
      <c r="AM188" s="46">
        <v>28590</v>
      </c>
      <c r="AN188" s="46">
        <v>29710</v>
      </c>
      <c r="AO188" s="46">
        <v>29610</v>
      </c>
      <c r="AP188" s="46">
        <v>28980</v>
      </c>
      <c r="AQ188" s="46">
        <v>28420</v>
      </c>
      <c r="AR188" s="46">
        <v>27660</v>
      </c>
      <c r="AS188" s="46">
        <v>27640</v>
      </c>
      <c r="AT188" s="46">
        <v>28100</v>
      </c>
      <c r="AU188" s="46">
        <v>27990</v>
      </c>
      <c r="AV188" s="46">
        <v>29300</v>
      </c>
      <c r="AW188" s="46">
        <v>30420</v>
      </c>
      <c r="AX188" s="46">
        <v>31420</v>
      </c>
      <c r="AY188" s="46">
        <v>32370</v>
      </c>
      <c r="AZ188" s="46">
        <v>33760</v>
      </c>
      <c r="BA188" s="46">
        <v>34780</v>
      </c>
      <c r="BB188" s="46">
        <v>35440</v>
      </c>
      <c r="BC188" s="46">
        <v>36630</v>
      </c>
      <c r="BD188" s="46">
        <v>38650</v>
      </c>
      <c r="BE188" s="46">
        <v>39890</v>
      </c>
      <c r="BF188" s="46">
        <v>40720</v>
      </c>
      <c r="BG188" s="46">
        <v>42430</v>
      </c>
      <c r="BH188" s="46">
        <v>43260</v>
      </c>
      <c r="BI188" s="46">
        <v>43340</v>
      </c>
    </row>
    <row r="189" spans="1:61" x14ac:dyDescent="0.25">
      <c r="A189" s="11">
        <f>$A$89</f>
        <v>74</v>
      </c>
      <c r="B189" s="29">
        <v>10790</v>
      </c>
      <c r="C189" s="29">
        <v>10530</v>
      </c>
      <c r="D189" s="29">
        <v>10700</v>
      </c>
      <c r="E189" s="29">
        <v>11010</v>
      </c>
      <c r="F189" s="29">
        <v>11130</v>
      </c>
      <c r="G189" s="29">
        <v>11670</v>
      </c>
      <c r="H189" s="29">
        <v>12190</v>
      </c>
      <c r="I189" s="29">
        <v>12520</v>
      </c>
      <c r="J189" s="29">
        <v>13970</v>
      </c>
      <c r="K189" s="29">
        <v>14970</v>
      </c>
      <c r="L189" s="29">
        <v>15210</v>
      </c>
      <c r="M189" s="46">
        <v>13760</v>
      </c>
      <c r="N189" s="46">
        <v>15520</v>
      </c>
      <c r="O189" s="46">
        <v>16040</v>
      </c>
      <c r="P189" s="46">
        <v>17100</v>
      </c>
      <c r="Q189" s="46">
        <v>20130</v>
      </c>
      <c r="R189" s="46">
        <v>19980</v>
      </c>
      <c r="S189" s="46">
        <v>19710</v>
      </c>
      <c r="T189" s="46">
        <v>20100</v>
      </c>
      <c r="U189" s="46">
        <v>20120</v>
      </c>
      <c r="V189" s="46">
        <v>20430</v>
      </c>
      <c r="W189" s="46">
        <v>20790</v>
      </c>
      <c r="X189" s="46">
        <v>21590</v>
      </c>
      <c r="Y189" s="46">
        <v>22110</v>
      </c>
      <c r="Z189" s="46">
        <v>22790</v>
      </c>
      <c r="AA189" s="46">
        <v>23390</v>
      </c>
      <c r="AB189" s="46">
        <v>24070</v>
      </c>
      <c r="AC189" s="46">
        <v>25090</v>
      </c>
      <c r="AD189" s="46">
        <v>25490</v>
      </c>
      <c r="AE189" s="46">
        <v>26610</v>
      </c>
      <c r="AF189" s="46">
        <v>27250</v>
      </c>
      <c r="AG189" s="46">
        <v>27520</v>
      </c>
      <c r="AH189" s="46">
        <v>27310</v>
      </c>
      <c r="AI189" s="46">
        <v>26780</v>
      </c>
      <c r="AJ189" s="46">
        <v>26590</v>
      </c>
      <c r="AK189" s="46">
        <v>26690</v>
      </c>
      <c r="AL189" s="46">
        <v>27350</v>
      </c>
      <c r="AM189" s="46">
        <v>28080</v>
      </c>
      <c r="AN189" s="46">
        <v>28200</v>
      </c>
      <c r="AO189" s="46">
        <v>29310</v>
      </c>
      <c r="AP189" s="46">
        <v>29220</v>
      </c>
      <c r="AQ189" s="46">
        <v>28600</v>
      </c>
      <c r="AR189" s="46">
        <v>28050</v>
      </c>
      <c r="AS189" s="46">
        <v>27310</v>
      </c>
      <c r="AT189" s="46">
        <v>27300</v>
      </c>
      <c r="AU189" s="46">
        <v>27760</v>
      </c>
      <c r="AV189" s="46">
        <v>27660</v>
      </c>
      <c r="AW189" s="46">
        <v>28970</v>
      </c>
      <c r="AX189" s="46">
        <v>30080</v>
      </c>
      <c r="AY189" s="46">
        <v>31070</v>
      </c>
      <c r="AZ189" s="46">
        <v>32020</v>
      </c>
      <c r="BA189" s="46">
        <v>33400</v>
      </c>
      <c r="BB189" s="46">
        <v>34420</v>
      </c>
      <c r="BC189" s="46">
        <v>35080</v>
      </c>
      <c r="BD189" s="46">
        <v>36270</v>
      </c>
      <c r="BE189" s="46">
        <v>38270</v>
      </c>
      <c r="BF189" s="46">
        <v>39510</v>
      </c>
      <c r="BG189" s="46">
        <v>40340</v>
      </c>
      <c r="BH189" s="46">
        <v>42030</v>
      </c>
      <c r="BI189" s="46">
        <v>42860</v>
      </c>
    </row>
    <row r="190" spans="1:61" x14ac:dyDescent="0.25">
      <c r="A190" s="11">
        <f>$A$90</f>
        <v>75</v>
      </c>
      <c r="B190" s="29">
        <v>10770</v>
      </c>
      <c r="C190" s="29">
        <v>10450</v>
      </c>
      <c r="D190" s="29">
        <v>10190</v>
      </c>
      <c r="E190" s="29">
        <v>10350</v>
      </c>
      <c r="F190" s="29">
        <v>10640</v>
      </c>
      <c r="G190" s="29">
        <v>10790</v>
      </c>
      <c r="H190" s="29">
        <v>11310</v>
      </c>
      <c r="I190" s="29">
        <v>11820</v>
      </c>
      <c r="J190" s="29">
        <v>12190</v>
      </c>
      <c r="K190" s="29">
        <v>13560</v>
      </c>
      <c r="L190" s="29">
        <v>14520</v>
      </c>
      <c r="M190" s="46">
        <v>14800</v>
      </c>
      <c r="N190" s="46">
        <v>13350</v>
      </c>
      <c r="O190" s="46">
        <v>15090</v>
      </c>
      <c r="P190" s="46">
        <v>15680</v>
      </c>
      <c r="Q190" s="46">
        <v>16570</v>
      </c>
      <c r="R190" s="46">
        <v>19500</v>
      </c>
      <c r="S190" s="46">
        <v>19350</v>
      </c>
      <c r="T190" s="46">
        <v>19160</v>
      </c>
      <c r="U190" s="46">
        <v>19620</v>
      </c>
      <c r="V190" s="46">
        <v>19660</v>
      </c>
      <c r="W190" s="46">
        <v>19970</v>
      </c>
      <c r="X190" s="46">
        <v>20330</v>
      </c>
      <c r="Y190" s="46">
        <v>21120</v>
      </c>
      <c r="Z190" s="46">
        <v>21640</v>
      </c>
      <c r="AA190" s="46">
        <v>22320</v>
      </c>
      <c r="AB190" s="46">
        <v>22920</v>
      </c>
      <c r="AC190" s="46">
        <v>23590</v>
      </c>
      <c r="AD190" s="46">
        <v>24610</v>
      </c>
      <c r="AE190" s="46">
        <v>25010</v>
      </c>
      <c r="AF190" s="46">
        <v>26110</v>
      </c>
      <c r="AG190" s="46">
        <v>26750</v>
      </c>
      <c r="AH190" s="46">
        <v>27030</v>
      </c>
      <c r="AI190" s="46">
        <v>26830</v>
      </c>
      <c r="AJ190" s="46">
        <v>26320</v>
      </c>
      <c r="AK190" s="46">
        <v>26140</v>
      </c>
      <c r="AL190" s="46">
        <v>26250</v>
      </c>
      <c r="AM190" s="46">
        <v>26910</v>
      </c>
      <c r="AN190" s="46">
        <v>27630</v>
      </c>
      <c r="AO190" s="46">
        <v>27760</v>
      </c>
      <c r="AP190" s="46">
        <v>28860</v>
      </c>
      <c r="AQ190" s="46">
        <v>28780</v>
      </c>
      <c r="AR190" s="46">
        <v>28180</v>
      </c>
      <c r="AS190" s="46">
        <v>27650</v>
      </c>
      <c r="AT190" s="46">
        <v>26930</v>
      </c>
      <c r="AU190" s="46">
        <v>26930</v>
      </c>
      <c r="AV190" s="46">
        <v>27390</v>
      </c>
      <c r="AW190" s="46">
        <v>27300</v>
      </c>
      <c r="AX190" s="46">
        <v>28590</v>
      </c>
      <c r="AY190" s="46">
        <v>29700</v>
      </c>
      <c r="AZ190" s="46">
        <v>30680</v>
      </c>
      <c r="BA190" s="46">
        <v>31630</v>
      </c>
      <c r="BB190" s="46">
        <v>33000</v>
      </c>
      <c r="BC190" s="46">
        <v>34020</v>
      </c>
      <c r="BD190" s="46">
        <v>34680</v>
      </c>
      <c r="BE190" s="46">
        <v>35860</v>
      </c>
      <c r="BF190" s="46">
        <v>37850</v>
      </c>
      <c r="BG190" s="46">
        <v>39080</v>
      </c>
      <c r="BH190" s="46">
        <v>39910</v>
      </c>
      <c r="BI190" s="46">
        <v>41600</v>
      </c>
    </row>
    <row r="191" spans="1:61" x14ac:dyDescent="0.25">
      <c r="A191" s="11">
        <f>$A$91</f>
        <v>76</v>
      </c>
      <c r="B191" s="29">
        <v>10040</v>
      </c>
      <c r="C191" s="29">
        <v>10380</v>
      </c>
      <c r="D191" s="29">
        <v>10070</v>
      </c>
      <c r="E191" s="29">
        <v>9830</v>
      </c>
      <c r="F191" s="29">
        <v>9980</v>
      </c>
      <c r="G191" s="29">
        <v>10290</v>
      </c>
      <c r="H191" s="29">
        <v>10410</v>
      </c>
      <c r="I191" s="29">
        <v>10910</v>
      </c>
      <c r="J191" s="29">
        <v>11440</v>
      </c>
      <c r="K191" s="29">
        <v>11770</v>
      </c>
      <c r="L191" s="29">
        <v>13120</v>
      </c>
      <c r="M191" s="46">
        <v>14050</v>
      </c>
      <c r="N191" s="46">
        <v>14300</v>
      </c>
      <c r="O191" s="46">
        <v>12880</v>
      </c>
      <c r="P191" s="46">
        <v>14700</v>
      </c>
      <c r="Q191" s="46">
        <v>15190</v>
      </c>
      <c r="R191" s="46">
        <v>15920</v>
      </c>
      <c r="S191" s="46">
        <v>18860</v>
      </c>
      <c r="T191" s="46">
        <v>18790</v>
      </c>
      <c r="U191" s="46">
        <v>18650</v>
      </c>
      <c r="V191" s="46">
        <v>19110</v>
      </c>
      <c r="W191" s="46">
        <v>19160</v>
      </c>
      <c r="X191" s="46">
        <v>19470</v>
      </c>
      <c r="Y191" s="46">
        <v>19830</v>
      </c>
      <c r="Z191" s="46">
        <v>20620</v>
      </c>
      <c r="AA191" s="46">
        <v>21130</v>
      </c>
      <c r="AB191" s="46">
        <v>21810</v>
      </c>
      <c r="AC191" s="46">
        <v>22400</v>
      </c>
      <c r="AD191" s="46">
        <v>23080</v>
      </c>
      <c r="AE191" s="46">
        <v>24070</v>
      </c>
      <c r="AF191" s="46">
        <v>24480</v>
      </c>
      <c r="AG191" s="46">
        <v>25570</v>
      </c>
      <c r="AH191" s="46">
        <v>26200</v>
      </c>
      <c r="AI191" s="46">
        <v>26490</v>
      </c>
      <c r="AJ191" s="46">
        <v>26310</v>
      </c>
      <c r="AK191" s="46">
        <v>25820</v>
      </c>
      <c r="AL191" s="46">
        <v>25650</v>
      </c>
      <c r="AM191" s="46">
        <v>25770</v>
      </c>
      <c r="AN191" s="46">
        <v>26430</v>
      </c>
      <c r="AO191" s="46">
        <v>27150</v>
      </c>
      <c r="AP191" s="46">
        <v>27280</v>
      </c>
      <c r="AQ191" s="46">
        <v>28370</v>
      </c>
      <c r="AR191" s="46">
        <v>28300</v>
      </c>
      <c r="AS191" s="46">
        <v>27730</v>
      </c>
      <c r="AT191" s="46">
        <v>27210</v>
      </c>
      <c r="AU191" s="46">
        <v>26510</v>
      </c>
      <c r="AV191" s="46">
        <v>26520</v>
      </c>
      <c r="AW191" s="46">
        <v>26980</v>
      </c>
      <c r="AX191" s="46">
        <v>26900</v>
      </c>
      <c r="AY191" s="46">
        <v>28180</v>
      </c>
      <c r="AZ191" s="46">
        <v>29280</v>
      </c>
      <c r="BA191" s="46">
        <v>30260</v>
      </c>
      <c r="BB191" s="46">
        <v>31200</v>
      </c>
      <c r="BC191" s="46">
        <v>32560</v>
      </c>
      <c r="BD191" s="46">
        <v>33570</v>
      </c>
      <c r="BE191" s="46">
        <v>34230</v>
      </c>
      <c r="BF191" s="46">
        <v>35410</v>
      </c>
      <c r="BG191" s="46">
        <v>37380</v>
      </c>
      <c r="BH191" s="46">
        <v>38610</v>
      </c>
      <c r="BI191" s="46">
        <v>39440</v>
      </c>
    </row>
    <row r="192" spans="1:61" x14ac:dyDescent="0.25">
      <c r="A192" s="11">
        <f>$A$92</f>
        <v>77</v>
      </c>
      <c r="B192" s="29">
        <v>9480</v>
      </c>
      <c r="C192" s="29">
        <v>9590</v>
      </c>
      <c r="D192" s="29">
        <v>9950</v>
      </c>
      <c r="E192" s="29">
        <v>9670</v>
      </c>
      <c r="F192" s="29">
        <v>9460</v>
      </c>
      <c r="G192" s="29">
        <v>9610</v>
      </c>
      <c r="H192" s="29">
        <v>9880</v>
      </c>
      <c r="I192" s="29">
        <v>10020</v>
      </c>
      <c r="J192" s="29">
        <v>10540</v>
      </c>
      <c r="K192" s="29">
        <v>11040</v>
      </c>
      <c r="L192" s="29">
        <v>11370</v>
      </c>
      <c r="M192" s="46">
        <v>12630</v>
      </c>
      <c r="N192" s="46">
        <v>13550</v>
      </c>
      <c r="O192" s="46">
        <v>13830</v>
      </c>
      <c r="P192" s="46">
        <v>12480</v>
      </c>
      <c r="Q192" s="46">
        <v>14180</v>
      </c>
      <c r="R192" s="46">
        <v>14580</v>
      </c>
      <c r="S192" s="46">
        <v>15290</v>
      </c>
      <c r="T192" s="46">
        <v>18280</v>
      </c>
      <c r="U192" s="46">
        <v>18230</v>
      </c>
      <c r="V192" s="46">
        <v>18100</v>
      </c>
      <c r="W192" s="46">
        <v>18560</v>
      </c>
      <c r="X192" s="46">
        <v>18610</v>
      </c>
      <c r="Y192" s="46">
        <v>18930</v>
      </c>
      <c r="Z192" s="46">
        <v>19300</v>
      </c>
      <c r="AA192" s="46">
        <v>20070</v>
      </c>
      <c r="AB192" s="46">
        <v>20580</v>
      </c>
      <c r="AC192" s="46">
        <v>21250</v>
      </c>
      <c r="AD192" s="46">
        <v>21840</v>
      </c>
      <c r="AE192" s="46">
        <v>22510</v>
      </c>
      <c r="AF192" s="46">
        <v>23490</v>
      </c>
      <c r="AG192" s="46">
        <v>23900</v>
      </c>
      <c r="AH192" s="46">
        <v>24980</v>
      </c>
      <c r="AI192" s="46">
        <v>25610</v>
      </c>
      <c r="AJ192" s="46">
        <v>25900</v>
      </c>
      <c r="AK192" s="46">
        <v>25730</v>
      </c>
      <c r="AL192" s="46">
        <v>25270</v>
      </c>
      <c r="AM192" s="46">
        <v>25110</v>
      </c>
      <c r="AN192" s="46">
        <v>25240</v>
      </c>
      <c r="AO192" s="46">
        <v>25890</v>
      </c>
      <c r="AP192" s="46">
        <v>26610</v>
      </c>
      <c r="AQ192" s="46">
        <v>26750</v>
      </c>
      <c r="AR192" s="46">
        <v>27830</v>
      </c>
      <c r="AS192" s="46">
        <v>27770</v>
      </c>
      <c r="AT192" s="46">
        <v>27220</v>
      </c>
      <c r="AU192" s="46">
        <v>26720</v>
      </c>
      <c r="AV192" s="46">
        <v>26040</v>
      </c>
      <c r="AW192" s="46">
        <v>26060</v>
      </c>
      <c r="AX192" s="46">
        <v>26520</v>
      </c>
      <c r="AY192" s="46">
        <v>26450</v>
      </c>
      <c r="AZ192" s="46">
        <v>27720</v>
      </c>
      <c r="BA192" s="46">
        <v>28810</v>
      </c>
      <c r="BB192" s="46">
        <v>29780</v>
      </c>
      <c r="BC192" s="46">
        <v>30720</v>
      </c>
      <c r="BD192" s="46">
        <v>32070</v>
      </c>
      <c r="BE192" s="46">
        <v>33070</v>
      </c>
      <c r="BF192" s="46">
        <v>33730</v>
      </c>
      <c r="BG192" s="46">
        <v>34900</v>
      </c>
      <c r="BH192" s="46">
        <v>36850</v>
      </c>
      <c r="BI192" s="46">
        <v>38070</v>
      </c>
    </row>
    <row r="193" spans="1:61" x14ac:dyDescent="0.25">
      <c r="A193" s="11">
        <f>$A$93</f>
        <v>78</v>
      </c>
      <c r="B193" s="29">
        <v>9060</v>
      </c>
      <c r="C193" s="29">
        <v>9040</v>
      </c>
      <c r="D193" s="29">
        <v>9120</v>
      </c>
      <c r="E193" s="29">
        <v>9480</v>
      </c>
      <c r="F193" s="29">
        <v>9290</v>
      </c>
      <c r="G193" s="29">
        <v>8990</v>
      </c>
      <c r="H193" s="29">
        <v>9200</v>
      </c>
      <c r="I193" s="29">
        <v>9480</v>
      </c>
      <c r="J193" s="29">
        <v>9600</v>
      </c>
      <c r="K193" s="29">
        <v>10100</v>
      </c>
      <c r="L193" s="29">
        <v>10560</v>
      </c>
      <c r="M193" s="46">
        <v>10970</v>
      </c>
      <c r="N193" s="46">
        <v>12090</v>
      </c>
      <c r="O193" s="46">
        <v>13030</v>
      </c>
      <c r="P193" s="46">
        <v>13360</v>
      </c>
      <c r="Q193" s="46">
        <v>11920</v>
      </c>
      <c r="R193" s="46">
        <v>13570</v>
      </c>
      <c r="S193" s="46">
        <v>13960</v>
      </c>
      <c r="T193" s="46">
        <v>14750</v>
      </c>
      <c r="U193" s="46">
        <v>17650</v>
      </c>
      <c r="V193" s="46">
        <v>17620</v>
      </c>
      <c r="W193" s="46">
        <v>17510</v>
      </c>
      <c r="X193" s="46">
        <v>17960</v>
      </c>
      <c r="Y193" s="46">
        <v>18030</v>
      </c>
      <c r="Z193" s="46">
        <v>18350</v>
      </c>
      <c r="AA193" s="46">
        <v>18710</v>
      </c>
      <c r="AB193" s="46">
        <v>19470</v>
      </c>
      <c r="AC193" s="46">
        <v>19990</v>
      </c>
      <c r="AD193" s="46">
        <v>20640</v>
      </c>
      <c r="AE193" s="46">
        <v>21230</v>
      </c>
      <c r="AF193" s="46">
        <v>21890</v>
      </c>
      <c r="AG193" s="46">
        <v>22860</v>
      </c>
      <c r="AH193" s="46">
        <v>23270</v>
      </c>
      <c r="AI193" s="46">
        <v>24330</v>
      </c>
      <c r="AJ193" s="46">
        <v>24960</v>
      </c>
      <c r="AK193" s="46">
        <v>25250</v>
      </c>
      <c r="AL193" s="46">
        <v>25100</v>
      </c>
      <c r="AM193" s="46">
        <v>24660</v>
      </c>
      <c r="AN193" s="46">
        <v>24520</v>
      </c>
      <c r="AO193" s="46">
        <v>24650</v>
      </c>
      <c r="AP193" s="46">
        <v>25300</v>
      </c>
      <c r="AQ193" s="46">
        <v>26010</v>
      </c>
      <c r="AR193" s="46">
        <v>26160</v>
      </c>
      <c r="AS193" s="46">
        <v>27230</v>
      </c>
      <c r="AT193" s="46">
        <v>27180</v>
      </c>
      <c r="AU193" s="46">
        <v>26650</v>
      </c>
      <c r="AV193" s="46">
        <v>26180</v>
      </c>
      <c r="AW193" s="46">
        <v>25520</v>
      </c>
      <c r="AX193" s="46">
        <v>25540</v>
      </c>
      <c r="AY193" s="46">
        <v>26010</v>
      </c>
      <c r="AZ193" s="46">
        <v>25950</v>
      </c>
      <c r="BA193" s="46">
        <v>27200</v>
      </c>
      <c r="BB193" s="46">
        <v>28280</v>
      </c>
      <c r="BC193" s="46">
        <v>29240</v>
      </c>
      <c r="BD193" s="46">
        <v>30180</v>
      </c>
      <c r="BE193" s="46">
        <v>31510</v>
      </c>
      <c r="BF193" s="46">
        <v>32510</v>
      </c>
      <c r="BG193" s="46">
        <v>33170</v>
      </c>
      <c r="BH193" s="46">
        <v>34330</v>
      </c>
      <c r="BI193" s="46">
        <v>36260</v>
      </c>
    </row>
    <row r="194" spans="1:61" x14ac:dyDescent="0.25">
      <c r="A194" s="11">
        <f>$A$94</f>
        <v>79</v>
      </c>
      <c r="B194" s="29">
        <v>8220</v>
      </c>
      <c r="C194" s="29">
        <v>8550</v>
      </c>
      <c r="D194" s="29">
        <v>8580</v>
      </c>
      <c r="E194" s="29">
        <v>8610</v>
      </c>
      <c r="F194" s="29">
        <v>9030</v>
      </c>
      <c r="G194" s="29">
        <v>8850</v>
      </c>
      <c r="H194" s="29">
        <v>8550</v>
      </c>
      <c r="I194" s="29">
        <v>8780</v>
      </c>
      <c r="J194" s="29">
        <v>9020</v>
      </c>
      <c r="K194" s="29">
        <v>9180</v>
      </c>
      <c r="L194" s="29">
        <v>9650</v>
      </c>
      <c r="M194" s="46">
        <v>10060</v>
      </c>
      <c r="N194" s="46">
        <v>10510</v>
      </c>
      <c r="O194" s="46">
        <v>11550</v>
      </c>
      <c r="P194" s="46">
        <v>12530</v>
      </c>
      <c r="Q194" s="46">
        <v>12790</v>
      </c>
      <c r="R194" s="46">
        <v>11310</v>
      </c>
      <c r="S194" s="46">
        <v>12960</v>
      </c>
      <c r="T194" s="46">
        <v>13390</v>
      </c>
      <c r="U194" s="46">
        <v>14180</v>
      </c>
      <c r="V194" s="46">
        <v>16990</v>
      </c>
      <c r="W194" s="46">
        <v>16970</v>
      </c>
      <c r="X194" s="46">
        <v>16870</v>
      </c>
      <c r="Y194" s="46">
        <v>17320</v>
      </c>
      <c r="Z194" s="46">
        <v>17400</v>
      </c>
      <c r="AA194" s="46">
        <v>17720</v>
      </c>
      <c r="AB194" s="46">
        <v>18080</v>
      </c>
      <c r="AC194" s="46">
        <v>18830</v>
      </c>
      <c r="AD194" s="46">
        <v>19340</v>
      </c>
      <c r="AE194" s="46">
        <v>19990</v>
      </c>
      <c r="AF194" s="46">
        <v>20570</v>
      </c>
      <c r="AG194" s="46">
        <v>21220</v>
      </c>
      <c r="AH194" s="46">
        <v>22170</v>
      </c>
      <c r="AI194" s="46">
        <v>22580</v>
      </c>
      <c r="AJ194" s="46">
        <v>23620</v>
      </c>
      <c r="AK194" s="46">
        <v>24240</v>
      </c>
      <c r="AL194" s="46">
        <v>24540</v>
      </c>
      <c r="AM194" s="46">
        <v>24410</v>
      </c>
      <c r="AN194" s="46">
        <v>23990</v>
      </c>
      <c r="AO194" s="46">
        <v>23860</v>
      </c>
      <c r="AP194" s="46">
        <v>24010</v>
      </c>
      <c r="AQ194" s="46">
        <v>24650</v>
      </c>
      <c r="AR194" s="46">
        <v>25360</v>
      </c>
      <c r="AS194" s="46">
        <v>25510</v>
      </c>
      <c r="AT194" s="46">
        <v>26560</v>
      </c>
      <c r="AU194" s="46">
        <v>26530</v>
      </c>
      <c r="AV194" s="46">
        <v>26020</v>
      </c>
      <c r="AW194" s="46">
        <v>25570</v>
      </c>
      <c r="AX194" s="46">
        <v>24940</v>
      </c>
      <c r="AY194" s="46">
        <v>24970</v>
      </c>
      <c r="AZ194" s="46">
        <v>25440</v>
      </c>
      <c r="BA194" s="46">
        <v>25390</v>
      </c>
      <c r="BB194" s="46">
        <v>26630</v>
      </c>
      <c r="BC194" s="46">
        <v>27690</v>
      </c>
      <c r="BD194" s="46">
        <v>28650</v>
      </c>
      <c r="BE194" s="46">
        <v>29570</v>
      </c>
      <c r="BF194" s="46">
        <v>30890</v>
      </c>
      <c r="BG194" s="46">
        <v>31880</v>
      </c>
      <c r="BH194" s="46">
        <v>32530</v>
      </c>
      <c r="BI194" s="46">
        <v>33680</v>
      </c>
    </row>
    <row r="195" spans="1:61" x14ac:dyDescent="0.25">
      <c r="A195" s="11">
        <f>$A$95</f>
        <v>80</v>
      </c>
      <c r="B195" s="29">
        <v>7520</v>
      </c>
      <c r="C195" s="29">
        <v>7750</v>
      </c>
      <c r="D195" s="29">
        <v>8010</v>
      </c>
      <c r="E195" s="29">
        <v>8070</v>
      </c>
      <c r="F195" s="29">
        <v>8120</v>
      </c>
      <c r="G195" s="29">
        <v>8560</v>
      </c>
      <c r="H195" s="29">
        <v>8390</v>
      </c>
      <c r="I195" s="29">
        <v>8100</v>
      </c>
      <c r="J195" s="29">
        <v>8340</v>
      </c>
      <c r="K195" s="29">
        <v>8550</v>
      </c>
      <c r="L195" s="29">
        <v>8730</v>
      </c>
      <c r="M195" s="46">
        <v>9160</v>
      </c>
      <c r="N195" s="46">
        <v>9570</v>
      </c>
      <c r="O195" s="46">
        <v>9990</v>
      </c>
      <c r="P195" s="46">
        <v>11060</v>
      </c>
      <c r="Q195" s="46">
        <v>11940</v>
      </c>
      <c r="R195" s="46">
        <v>12170</v>
      </c>
      <c r="S195" s="46">
        <v>10700</v>
      </c>
      <c r="T195" s="46">
        <v>12380</v>
      </c>
      <c r="U195" s="46">
        <v>12810</v>
      </c>
      <c r="V195" s="46">
        <v>13580</v>
      </c>
      <c r="W195" s="46">
        <v>16280</v>
      </c>
      <c r="X195" s="46">
        <v>16270</v>
      </c>
      <c r="Y195" s="46">
        <v>16190</v>
      </c>
      <c r="Z195" s="46">
        <v>16630</v>
      </c>
      <c r="AA195" s="46">
        <v>16720</v>
      </c>
      <c r="AB195" s="46">
        <v>17040</v>
      </c>
      <c r="AC195" s="46">
        <v>17400</v>
      </c>
      <c r="AD195" s="46">
        <v>18130</v>
      </c>
      <c r="AE195" s="46">
        <v>18630</v>
      </c>
      <c r="AF195" s="46">
        <v>19270</v>
      </c>
      <c r="AG195" s="46">
        <v>19850</v>
      </c>
      <c r="AH195" s="46">
        <v>20490</v>
      </c>
      <c r="AI195" s="46">
        <v>21420</v>
      </c>
      <c r="AJ195" s="46">
        <v>21830</v>
      </c>
      <c r="AK195" s="46">
        <v>22850</v>
      </c>
      <c r="AL195" s="46">
        <v>23460</v>
      </c>
      <c r="AM195" s="46">
        <v>23760</v>
      </c>
      <c r="AN195" s="46">
        <v>23650</v>
      </c>
      <c r="AO195" s="46">
        <v>23260</v>
      </c>
      <c r="AP195" s="46">
        <v>23140</v>
      </c>
      <c r="AQ195" s="46">
        <v>23290</v>
      </c>
      <c r="AR195" s="46">
        <v>23940</v>
      </c>
      <c r="AS195" s="46">
        <v>24630</v>
      </c>
      <c r="AT195" s="46">
        <v>24790</v>
      </c>
      <c r="AU195" s="46">
        <v>25830</v>
      </c>
      <c r="AV195" s="46">
        <v>25810</v>
      </c>
      <c r="AW195" s="46">
        <v>25330</v>
      </c>
      <c r="AX195" s="46">
        <v>24900</v>
      </c>
      <c r="AY195" s="46">
        <v>24290</v>
      </c>
      <c r="AZ195" s="46">
        <v>24340</v>
      </c>
      <c r="BA195" s="46">
        <v>24800</v>
      </c>
      <c r="BB195" s="46">
        <v>24760</v>
      </c>
      <c r="BC195" s="46">
        <v>25980</v>
      </c>
      <c r="BD195" s="46">
        <v>27030</v>
      </c>
      <c r="BE195" s="46">
        <v>27970</v>
      </c>
      <c r="BF195" s="46">
        <v>28890</v>
      </c>
      <c r="BG195" s="46">
        <v>30190</v>
      </c>
      <c r="BH195" s="46">
        <v>31160</v>
      </c>
      <c r="BI195" s="46">
        <v>31820</v>
      </c>
    </row>
    <row r="196" spans="1:61" x14ac:dyDescent="0.25">
      <c r="A196" s="11">
        <f>$A$96</f>
        <v>81</v>
      </c>
      <c r="B196" s="29">
        <v>6900</v>
      </c>
      <c r="C196" s="29">
        <v>6990</v>
      </c>
      <c r="D196" s="29">
        <v>7210</v>
      </c>
      <c r="E196" s="29">
        <v>7500</v>
      </c>
      <c r="F196" s="29">
        <v>7560</v>
      </c>
      <c r="G196" s="29">
        <v>7650</v>
      </c>
      <c r="H196" s="29">
        <v>8040</v>
      </c>
      <c r="I196" s="29">
        <v>7900</v>
      </c>
      <c r="J196" s="29">
        <v>7640</v>
      </c>
      <c r="K196" s="29">
        <v>7870</v>
      </c>
      <c r="L196" s="29">
        <v>8080</v>
      </c>
      <c r="M196" s="46">
        <v>8180</v>
      </c>
      <c r="N196" s="46">
        <v>8610</v>
      </c>
      <c r="O196" s="46">
        <v>9020</v>
      </c>
      <c r="P196" s="46">
        <v>9460</v>
      </c>
      <c r="Q196" s="46">
        <v>10460</v>
      </c>
      <c r="R196" s="46">
        <v>11270</v>
      </c>
      <c r="S196" s="46">
        <v>11490</v>
      </c>
      <c r="T196" s="46">
        <v>10170</v>
      </c>
      <c r="U196" s="46">
        <v>11770</v>
      </c>
      <c r="V196" s="46">
        <v>12190</v>
      </c>
      <c r="W196" s="46">
        <v>12930</v>
      </c>
      <c r="X196" s="46">
        <v>15520</v>
      </c>
      <c r="Y196" s="46">
        <v>15520</v>
      </c>
      <c r="Z196" s="46">
        <v>15460</v>
      </c>
      <c r="AA196" s="46">
        <v>15900</v>
      </c>
      <c r="AB196" s="46">
        <v>15990</v>
      </c>
      <c r="AC196" s="46">
        <v>16310</v>
      </c>
      <c r="AD196" s="46">
        <v>16670</v>
      </c>
      <c r="AE196" s="46">
        <v>17380</v>
      </c>
      <c r="AF196" s="46">
        <v>17870</v>
      </c>
      <c r="AG196" s="46">
        <v>18500</v>
      </c>
      <c r="AH196" s="46">
        <v>19060</v>
      </c>
      <c r="AI196" s="46">
        <v>19690</v>
      </c>
      <c r="AJ196" s="46">
        <v>20600</v>
      </c>
      <c r="AK196" s="46">
        <v>21000</v>
      </c>
      <c r="AL196" s="46">
        <v>22000</v>
      </c>
      <c r="AM196" s="46">
        <v>22600</v>
      </c>
      <c r="AN196" s="46">
        <v>22910</v>
      </c>
      <c r="AO196" s="46">
        <v>22810</v>
      </c>
      <c r="AP196" s="46">
        <v>22450</v>
      </c>
      <c r="AQ196" s="46">
        <v>22350</v>
      </c>
      <c r="AR196" s="46">
        <v>22510</v>
      </c>
      <c r="AS196" s="46">
        <v>23140</v>
      </c>
      <c r="AT196" s="46">
        <v>23830</v>
      </c>
      <c r="AU196" s="46">
        <v>24000</v>
      </c>
      <c r="AV196" s="46">
        <v>25010</v>
      </c>
      <c r="AW196" s="46">
        <v>25010</v>
      </c>
      <c r="AX196" s="46">
        <v>24550</v>
      </c>
      <c r="AY196" s="46">
        <v>24150</v>
      </c>
      <c r="AZ196" s="46">
        <v>23570</v>
      </c>
      <c r="BA196" s="46">
        <v>23630</v>
      </c>
      <c r="BB196" s="46">
        <v>24090</v>
      </c>
      <c r="BC196" s="46">
        <v>24060</v>
      </c>
      <c r="BD196" s="46">
        <v>25260</v>
      </c>
      <c r="BE196" s="46">
        <v>26290</v>
      </c>
      <c r="BF196" s="46">
        <v>27220</v>
      </c>
      <c r="BG196" s="46">
        <v>28120</v>
      </c>
      <c r="BH196" s="46">
        <v>29400</v>
      </c>
      <c r="BI196" s="46">
        <v>30360</v>
      </c>
    </row>
    <row r="197" spans="1:61" x14ac:dyDescent="0.25">
      <c r="A197" s="11">
        <f>$A$97</f>
        <v>82</v>
      </c>
      <c r="B197" s="29">
        <v>5900</v>
      </c>
      <c r="C197" s="29">
        <v>6400</v>
      </c>
      <c r="D197" s="29">
        <v>6460</v>
      </c>
      <c r="E197" s="29">
        <v>6720</v>
      </c>
      <c r="F197" s="29">
        <v>6960</v>
      </c>
      <c r="G197" s="29">
        <v>7040</v>
      </c>
      <c r="H197" s="29">
        <v>7130</v>
      </c>
      <c r="I197" s="29">
        <v>7540</v>
      </c>
      <c r="J197" s="29">
        <v>7360</v>
      </c>
      <c r="K197" s="29">
        <v>7100</v>
      </c>
      <c r="L197" s="29">
        <v>7370</v>
      </c>
      <c r="M197" s="46">
        <v>7560</v>
      </c>
      <c r="N197" s="46">
        <v>7630</v>
      </c>
      <c r="O197" s="46">
        <v>8060</v>
      </c>
      <c r="P197" s="46">
        <v>8490</v>
      </c>
      <c r="Q197" s="46">
        <v>8900</v>
      </c>
      <c r="R197" s="46">
        <v>9790</v>
      </c>
      <c r="S197" s="46">
        <v>10590</v>
      </c>
      <c r="T197" s="46">
        <v>10780</v>
      </c>
      <c r="U197" s="46">
        <v>9600</v>
      </c>
      <c r="V197" s="46">
        <v>11120</v>
      </c>
      <c r="W197" s="46">
        <v>11530</v>
      </c>
      <c r="X197" s="46">
        <v>12250</v>
      </c>
      <c r="Y197" s="46">
        <v>14700</v>
      </c>
      <c r="Z197" s="46">
        <v>14720</v>
      </c>
      <c r="AA197" s="46">
        <v>14680</v>
      </c>
      <c r="AB197" s="46">
        <v>15100</v>
      </c>
      <c r="AC197" s="46">
        <v>15210</v>
      </c>
      <c r="AD197" s="46">
        <v>15520</v>
      </c>
      <c r="AE197" s="46">
        <v>15880</v>
      </c>
      <c r="AF197" s="46">
        <v>16570</v>
      </c>
      <c r="AG197" s="46">
        <v>17050</v>
      </c>
      <c r="AH197" s="46">
        <v>17660</v>
      </c>
      <c r="AI197" s="46">
        <v>18210</v>
      </c>
      <c r="AJ197" s="46">
        <v>18820</v>
      </c>
      <c r="AK197" s="46">
        <v>19710</v>
      </c>
      <c r="AL197" s="46">
        <v>20100</v>
      </c>
      <c r="AM197" s="46">
        <v>21070</v>
      </c>
      <c r="AN197" s="46">
        <v>21670</v>
      </c>
      <c r="AO197" s="46">
        <v>21970</v>
      </c>
      <c r="AP197" s="46">
        <v>21890</v>
      </c>
      <c r="AQ197" s="46">
        <v>21560</v>
      </c>
      <c r="AR197" s="46">
        <v>21480</v>
      </c>
      <c r="AS197" s="46">
        <v>21640</v>
      </c>
      <c r="AT197" s="46">
        <v>22260</v>
      </c>
      <c r="AU197" s="46">
        <v>22940</v>
      </c>
      <c r="AV197" s="46">
        <v>23110</v>
      </c>
      <c r="AW197" s="46">
        <v>24110</v>
      </c>
      <c r="AX197" s="46">
        <v>24110</v>
      </c>
      <c r="AY197" s="46">
        <v>23690</v>
      </c>
      <c r="AZ197" s="46">
        <v>23310</v>
      </c>
      <c r="BA197" s="46">
        <v>22770</v>
      </c>
      <c r="BB197" s="46">
        <v>22830</v>
      </c>
      <c r="BC197" s="46">
        <v>23290</v>
      </c>
      <c r="BD197" s="46">
        <v>23280</v>
      </c>
      <c r="BE197" s="46">
        <v>24440</v>
      </c>
      <c r="BF197" s="46">
        <v>25460</v>
      </c>
      <c r="BG197" s="46">
        <v>26370</v>
      </c>
      <c r="BH197" s="46">
        <v>27260</v>
      </c>
      <c r="BI197" s="46">
        <v>28510</v>
      </c>
    </row>
    <row r="198" spans="1:61" x14ac:dyDescent="0.25">
      <c r="A198" s="11">
        <f>$A$98</f>
        <v>83</v>
      </c>
      <c r="B198" s="29">
        <v>5210</v>
      </c>
      <c r="C198" s="29">
        <v>5440</v>
      </c>
      <c r="D198" s="29">
        <v>5830</v>
      </c>
      <c r="E198" s="29">
        <v>5940</v>
      </c>
      <c r="F198" s="29">
        <v>6210</v>
      </c>
      <c r="G198" s="29">
        <v>6400</v>
      </c>
      <c r="H198" s="29">
        <v>6540</v>
      </c>
      <c r="I198" s="29">
        <v>6570</v>
      </c>
      <c r="J198" s="29">
        <v>7000</v>
      </c>
      <c r="K198" s="29">
        <v>6820</v>
      </c>
      <c r="L198" s="29">
        <v>6610</v>
      </c>
      <c r="M198" s="46">
        <v>6860</v>
      </c>
      <c r="N198" s="46">
        <v>7010</v>
      </c>
      <c r="O198" s="46">
        <v>7060</v>
      </c>
      <c r="P198" s="46">
        <v>7550</v>
      </c>
      <c r="Q198" s="46">
        <v>7900</v>
      </c>
      <c r="R198" s="46">
        <v>8260</v>
      </c>
      <c r="S198" s="46">
        <v>9110</v>
      </c>
      <c r="T198" s="46">
        <v>9850</v>
      </c>
      <c r="U198" s="46">
        <v>10100</v>
      </c>
      <c r="V198" s="46">
        <v>9000</v>
      </c>
      <c r="W198" s="46">
        <v>10440</v>
      </c>
      <c r="X198" s="46">
        <v>10830</v>
      </c>
      <c r="Y198" s="46">
        <v>11520</v>
      </c>
      <c r="Z198" s="46">
        <v>13840</v>
      </c>
      <c r="AA198" s="46">
        <v>13870</v>
      </c>
      <c r="AB198" s="46">
        <v>13840</v>
      </c>
      <c r="AC198" s="46">
        <v>14250</v>
      </c>
      <c r="AD198" s="46">
        <v>14360</v>
      </c>
      <c r="AE198" s="46">
        <v>14670</v>
      </c>
      <c r="AF198" s="46">
        <v>15020</v>
      </c>
      <c r="AG198" s="46">
        <v>15690</v>
      </c>
      <c r="AH198" s="46">
        <v>16160</v>
      </c>
      <c r="AI198" s="46">
        <v>16750</v>
      </c>
      <c r="AJ198" s="46">
        <v>17280</v>
      </c>
      <c r="AK198" s="46">
        <v>17880</v>
      </c>
      <c r="AL198" s="46">
        <v>18730</v>
      </c>
      <c r="AM198" s="46">
        <v>19130</v>
      </c>
      <c r="AN198" s="46">
        <v>20060</v>
      </c>
      <c r="AO198" s="46">
        <v>20640</v>
      </c>
      <c r="AP198" s="46">
        <v>20950</v>
      </c>
      <c r="AQ198" s="46">
        <v>20880</v>
      </c>
      <c r="AR198" s="46">
        <v>20580</v>
      </c>
      <c r="AS198" s="46">
        <v>20520</v>
      </c>
      <c r="AT198" s="46">
        <v>20690</v>
      </c>
      <c r="AU198" s="46">
        <v>21300</v>
      </c>
      <c r="AV198" s="46">
        <v>21950</v>
      </c>
      <c r="AW198" s="46">
        <v>22140</v>
      </c>
      <c r="AX198" s="46">
        <v>23100</v>
      </c>
      <c r="AY198" s="46">
        <v>23120</v>
      </c>
      <c r="AZ198" s="46">
        <v>22730</v>
      </c>
      <c r="BA198" s="46">
        <v>22380</v>
      </c>
      <c r="BB198" s="46">
        <v>21870</v>
      </c>
      <c r="BC198" s="46">
        <v>21940</v>
      </c>
      <c r="BD198" s="46">
        <v>22400</v>
      </c>
      <c r="BE198" s="46">
        <v>22400</v>
      </c>
      <c r="BF198" s="46">
        <v>23530</v>
      </c>
      <c r="BG198" s="46">
        <v>24520</v>
      </c>
      <c r="BH198" s="46">
        <v>25410</v>
      </c>
      <c r="BI198" s="46">
        <v>26280</v>
      </c>
    </row>
    <row r="199" spans="1:61" x14ac:dyDescent="0.25">
      <c r="A199" s="11">
        <f>$A$99</f>
        <v>84</v>
      </c>
      <c r="B199" s="29">
        <v>4650</v>
      </c>
      <c r="C199" s="29">
        <v>4730</v>
      </c>
      <c r="D199" s="29">
        <v>4950</v>
      </c>
      <c r="E199" s="29">
        <v>5290</v>
      </c>
      <c r="F199" s="29">
        <v>5380</v>
      </c>
      <c r="G199" s="29">
        <v>5700</v>
      </c>
      <c r="H199" s="29">
        <v>5860</v>
      </c>
      <c r="I199" s="29">
        <v>6000</v>
      </c>
      <c r="J199" s="29">
        <v>5990</v>
      </c>
      <c r="K199" s="29">
        <v>6480</v>
      </c>
      <c r="L199" s="29">
        <v>6250</v>
      </c>
      <c r="M199" s="46">
        <v>6040</v>
      </c>
      <c r="N199" s="46">
        <v>6300</v>
      </c>
      <c r="O199" s="46">
        <v>6460</v>
      </c>
      <c r="P199" s="46">
        <v>6570</v>
      </c>
      <c r="Q199" s="46">
        <v>6950</v>
      </c>
      <c r="R199" s="46">
        <v>7290</v>
      </c>
      <c r="S199" s="46">
        <v>7560</v>
      </c>
      <c r="T199" s="46">
        <v>8410</v>
      </c>
      <c r="U199" s="46">
        <v>9140</v>
      </c>
      <c r="V199" s="46">
        <v>9380</v>
      </c>
      <c r="W199" s="46">
        <v>8370</v>
      </c>
      <c r="X199" s="46">
        <v>9720</v>
      </c>
      <c r="Y199" s="46">
        <v>10100</v>
      </c>
      <c r="Z199" s="46">
        <v>10740</v>
      </c>
      <c r="AA199" s="46">
        <v>12920</v>
      </c>
      <c r="AB199" s="46">
        <v>12960</v>
      </c>
      <c r="AC199" s="46">
        <v>12950</v>
      </c>
      <c r="AD199" s="46">
        <v>13350</v>
      </c>
      <c r="AE199" s="46">
        <v>13460</v>
      </c>
      <c r="AF199" s="46">
        <v>13760</v>
      </c>
      <c r="AG199" s="46">
        <v>14100</v>
      </c>
      <c r="AH199" s="46">
        <v>14740</v>
      </c>
      <c r="AI199" s="46">
        <v>15200</v>
      </c>
      <c r="AJ199" s="46">
        <v>15760</v>
      </c>
      <c r="AK199" s="46">
        <v>16280</v>
      </c>
      <c r="AL199" s="46">
        <v>16860</v>
      </c>
      <c r="AM199" s="46">
        <v>17680</v>
      </c>
      <c r="AN199" s="46">
        <v>18060</v>
      </c>
      <c r="AO199" s="46">
        <v>18960</v>
      </c>
      <c r="AP199" s="46">
        <v>19520</v>
      </c>
      <c r="AQ199" s="46">
        <v>19830</v>
      </c>
      <c r="AR199" s="46">
        <v>19780</v>
      </c>
      <c r="AS199" s="46">
        <v>19510</v>
      </c>
      <c r="AT199" s="46">
        <v>19460</v>
      </c>
      <c r="AU199" s="46">
        <v>19640</v>
      </c>
      <c r="AV199" s="46">
        <v>20230</v>
      </c>
      <c r="AW199" s="46">
        <v>20870</v>
      </c>
      <c r="AX199" s="46">
        <v>21060</v>
      </c>
      <c r="AY199" s="46">
        <v>21990</v>
      </c>
      <c r="AZ199" s="46">
        <v>22020</v>
      </c>
      <c r="BA199" s="46">
        <v>21660</v>
      </c>
      <c r="BB199" s="46">
        <v>21340</v>
      </c>
      <c r="BC199" s="46">
        <v>20870</v>
      </c>
      <c r="BD199" s="46">
        <v>20950</v>
      </c>
      <c r="BE199" s="46">
        <v>21400</v>
      </c>
      <c r="BF199" s="46">
        <v>21410</v>
      </c>
      <c r="BG199" s="46">
        <v>22510</v>
      </c>
      <c r="BH199" s="46">
        <v>23470</v>
      </c>
      <c r="BI199" s="46">
        <v>24340</v>
      </c>
    </row>
    <row r="200" spans="1:61" x14ac:dyDescent="0.25">
      <c r="A200" s="11">
        <f>$A$100</f>
        <v>85</v>
      </c>
      <c r="B200" s="29">
        <v>3850</v>
      </c>
      <c r="C200" s="29">
        <v>4140</v>
      </c>
      <c r="D200" s="29">
        <v>4250</v>
      </c>
      <c r="E200" s="29">
        <v>4440</v>
      </c>
      <c r="F200" s="29">
        <v>4760</v>
      </c>
      <c r="G200" s="29">
        <v>4830</v>
      </c>
      <c r="H200" s="29">
        <v>5160</v>
      </c>
      <c r="I200" s="29">
        <v>5280</v>
      </c>
      <c r="J200" s="29">
        <v>5440</v>
      </c>
      <c r="K200" s="29">
        <v>5450</v>
      </c>
      <c r="L200" s="29">
        <v>5910</v>
      </c>
      <c r="M200" s="46">
        <v>5620</v>
      </c>
      <c r="N200" s="46">
        <v>5480</v>
      </c>
      <c r="O200" s="46">
        <v>5760</v>
      </c>
      <c r="P200" s="46">
        <v>5930</v>
      </c>
      <c r="Q200" s="46">
        <v>6020</v>
      </c>
      <c r="R200" s="46">
        <v>6270</v>
      </c>
      <c r="S200" s="46">
        <v>6620</v>
      </c>
      <c r="T200" s="46">
        <v>6930</v>
      </c>
      <c r="U200" s="46">
        <v>7720</v>
      </c>
      <c r="V200" s="46">
        <v>8400</v>
      </c>
      <c r="W200" s="46">
        <v>8630</v>
      </c>
      <c r="X200" s="46">
        <v>7710</v>
      </c>
      <c r="Y200" s="46">
        <v>8960</v>
      </c>
      <c r="Z200" s="46">
        <v>9320</v>
      </c>
      <c r="AA200" s="46">
        <v>9930</v>
      </c>
      <c r="AB200" s="46">
        <v>11960</v>
      </c>
      <c r="AC200" s="46">
        <v>12010</v>
      </c>
      <c r="AD200" s="46">
        <v>12000</v>
      </c>
      <c r="AE200" s="46">
        <v>12380</v>
      </c>
      <c r="AF200" s="46">
        <v>12500</v>
      </c>
      <c r="AG200" s="46">
        <v>12800</v>
      </c>
      <c r="AH200" s="46">
        <v>13120</v>
      </c>
      <c r="AI200" s="46">
        <v>13730</v>
      </c>
      <c r="AJ200" s="46">
        <v>14160</v>
      </c>
      <c r="AK200" s="46">
        <v>14710</v>
      </c>
      <c r="AL200" s="46">
        <v>15200</v>
      </c>
      <c r="AM200" s="46">
        <v>15750</v>
      </c>
      <c r="AN200" s="46">
        <v>16530</v>
      </c>
      <c r="AO200" s="46">
        <v>16910</v>
      </c>
      <c r="AP200" s="46">
        <v>17770</v>
      </c>
      <c r="AQ200" s="46">
        <v>18310</v>
      </c>
      <c r="AR200" s="46">
        <v>18610</v>
      </c>
      <c r="AS200" s="46">
        <v>18580</v>
      </c>
      <c r="AT200" s="46">
        <v>18340</v>
      </c>
      <c r="AU200" s="46">
        <v>18310</v>
      </c>
      <c r="AV200" s="46">
        <v>18490</v>
      </c>
      <c r="AW200" s="46">
        <v>19060</v>
      </c>
      <c r="AX200" s="46">
        <v>19670</v>
      </c>
      <c r="AY200" s="46">
        <v>19870</v>
      </c>
      <c r="AZ200" s="46">
        <v>20760</v>
      </c>
      <c r="BA200" s="46">
        <v>20810</v>
      </c>
      <c r="BB200" s="46">
        <v>20480</v>
      </c>
      <c r="BC200" s="46">
        <v>20190</v>
      </c>
      <c r="BD200" s="46">
        <v>19760</v>
      </c>
      <c r="BE200" s="46">
        <v>19850</v>
      </c>
      <c r="BF200" s="46">
        <v>20290</v>
      </c>
      <c r="BG200" s="46">
        <v>20310</v>
      </c>
      <c r="BH200" s="46">
        <v>21370</v>
      </c>
      <c r="BI200" s="46">
        <v>22300</v>
      </c>
    </row>
    <row r="201" spans="1:61" x14ac:dyDescent="0.25">
      <c r="A201" s="11">
        <f>$A$101</f>
        <v>86</v>
      </c>
      <c r="B201" s="29">
        <v>3290</v>
      </c>
      <c r="C201" s="29">
        <v>3420</v>
      </c>
      <c r="D201" s="29">
        <v>3640</v>
      </c>
      <c r="E201" s="29">
        <v>3790</v>
      </c>
      <c r="F201" s="29">
        <v>3970</v>
      </c>
      <c r="G201" s="29">
        <v>4250</v>
      </c>
      <c r="H201" s="29">
        <v>4310</v>
      </c>
      <c r="I201" s="29">
        <v>4610</v>
      </c>
      <c r="J201" s="29">
        <v>4730</v>
      </c>
      <c r="K201" s="29">
        <v>4860</v>
      </c>
      <c r="L201" s="29">
        <v>4890</v>
      </c>
      <c r="M201" s="46">
        <v>5290</v>
      </c>
      <c r="N201" s="46">
        <v>5020</v>
      </c>
      <c r="O201" s="46">
        <v>4960</v>
      </c>
      <c r="P201" s="46">
        <v>5220</v>
      </c>
      <c r="Q201" s="46">
        <v>5380</v>
      </c>
      <c r="R201" s="46">
        <v>5420</v>
      </c>
      <c r="S201" s="46">
        <v>5640</v>
      </c>
      <c r="T201" s="46">
        <v>6010</v>
      </c>
      <c r="U201" s="46">
        <v>6280</v>
      </c>
      <c r="V201" s="46">
        <v>7010</v>
      </c>
      <c r="W201" s="46">
        <v>7630</v>
      </c>
      <c r="X201" s="46">
        <v>7860</v>
      </c>
      <c r="Y201" s="46">
        <v>7030</v>
      </c>
      <c r="Z201" s="46">
        <v>8180</v>
      </c>
      <c r="AA201" s="46">
        <v>8510</v>
      </c>
      <c r="AB201" s="46">
        <v>9080</v>
      </c>
      <c r="AC201" s="46">
        <v>10940</v>
      </c>
      <c r="AD201" s="46">
        <v>11000</v>
      </c>
      <c r="AE201" s="46">
        <v>11010</v>
      </c>
      <c r="AF201" s="46">
        <v>11370</v>
      </c>
      <c r="AG201" s="46">
        <v>11490</v>
      </c>
      <c r="AH201" s="46">
        <v>11770</v>
      </c>
      <c r="AI201" s="46">
        <v>12080</v>
      </c>
      <c r="AJ201" s="46">
        <v>12660</v>
      </c>
      <c r="AK201" s="46">
        <v>13070</v>
      </c>
      <c r="AL201" s="46">
        <v>13580</v>
      </c>
      <c r="AM201" s="46">
        <v>14050</v>
      </c>
      <c r="AN201" s="46">
        <v>14580</v>
      </c>
      <c r="AO201" s="46">
        <v>15310</v>
      </c>
      <c r="AP201" s="46">
        <v>15670</v>
      </c>
      <c r="AQ201" s="46">
        <v>16480</v>
      </c>
      <c r="AR201" s="46">
        <v>17000</v>
      </c>
      <c r="AS201" s="46">
        <v>17290</v>
      </c>
      <c r="AT201" s="46">
        <v>17280</v>
      </c>
      <c r="AU201" s="46">
        <v>17070</v>
      </c>
      <c r="AV201" s="46">
        <v>17060</v>
      </c>
      <c r="AW201" s="46">
        <v>17240</v>
      </c>
      <c r="AX201" s="46">
        <v>17780</v>
      </c>
      <c r="AY201" s="46">
        <v>18370</v>
      </c>
      <c r="AZ201" s="46">
        <v>18570</v>
      </c>
      <c r="BA201" s="46">
        <v>19420</v>
      </c>
      <c r="BB201" s="46">
        <v>19480</v>
      </c>
      <c r="BC201" s="46">
        <v>19180</v>
      </c>
      <c r="BD201" s="46">
        <v>18930</v>
      </c>
      <c r="BE201" s="46">
        <v>18540</v>
      </c>
      <c r="BF201" s="46">
        <v>18640</v>
      </c>
      <c r="BG201" s="46">
        <v>19060</v>
      </c>
      <c r="BH201" s="46">
        <v>19100</v>
      </c>
      <c r="BI201" s="46">
        <v>20110</v>
      </c>
    </row>
    <row r="202" spans="1:61" x14ac:dyDescent="0.25">
      <c r="A202" s="11">
        <f>$A$102</f>
        <v>87</v>
      </c>
      <c r="B202" s="29">
        <v>2380</v>
      </c>
      <c r="C202" s="29">
        <v>2850</v>
      </c>
      <c r="D202" s="29">
        <v>2980</v>
      </c>
      <c r="E202" s="29">
        <v>3200</v>
      </c>
      <c r="F202" s="29">
        <v>3330</v>
      </c>
      <c r="G202" s="29">
        <v>3480</v>
      </c>
      <c r="H202" s="29">
        <v>3760</v>
      </c>
      <c r="I202" s="29">
        <v>3760</v>
      </c>
      <c r="J202" s="29">
        <v>4060</v>
      </c>
      <c r="K202" s="29">
        <v>4120</v>
      </c>
      <c r="L202" s="29">
        <v>4320</v>
      </c>
      <c r="M202" s="46">
        <v>4350</v>
      </c>
      <c r="N202" s="46">
        <v>4640</v>
      </c>
      <c r="O202" s="46">
        <v>4500</v>
      </c>
      <c r="P202" s="46">
        <v>4410</v>
      </c>
      <c r="Q202" s="46">
        <v>4690</v>
      </c>
      <c r="R202" s="46">
        <v>4810</v>
      </c>
      <c r="S202" s="46">
        <v>4810</v>
      </c>
      <c r="T202" s="46">
        <v>5030</v>
      </c>
      <c r="U202" s="46">
        <v>5370</v>
      </c>
      <c r="V202" s="46">
        <v>5630</v>
      </c>
      <c r="W202" s="46">
        <v>6290</v>
      </c>
      <c r="X202" s="46">
        <v>6850</v>
      </c>
      <c r="Y202" s="46">
        <v>7060</v>
      </c>
      <c r="Z202" s="46">
        <v>6320</v>
      </c>
      <c r="AA202" s="46">
        <v>7370</v>
      </c>
      <c r="AB202" s="46">
        <v>7680</v>
      </c>
      <c r="AC202" s="46">
        <v>8200</v>
      </c>
      <c r="AD202" s="46">
        <v>9890</v>
      </c>
      <c r="AE202" s="46">
        <v>9950</v>
      </c>
      <c r="AF202" s="46">
        <v>9970</v>
      </c>
      <c r="AG202" s="46">
        <v>10310</v>
      </c>
      <c r="AH202" s="46">
        <v>10430</v>
      </c>
      <c r="AI202" s="46">
        <v>10700</v>
      </c>
      <c r="AJ202" s="46">
        <v>10990</v>
      </c>
      <c r="AK202" s="46">
        <v>11520</v>
      </c>
      <c r="AL202" s="46">
        <v>11910</v>
      </c>
      <c r="AM202" s="46">
        <v>12390</v>
      </c>
      <c r="AN202" s="46">
        <v>12830</v>
      </c>
      <c r="AO202" s="46">
        <v>13320</v>
      </c>
      <c r="AP202" s="46">
        <v>14010</v>
      </c>
      <c r="AQ202" s="46">
        <v>14350</v>
      </c>
      <c r="AR202" s="46">
        <v>15110</v>
      </c>
      <c r="AS202" s="46">
        <v>15590</v>
      </c>
      <c r="AT202" s="46">
        <v>15880</v>
      </c>
      <c r="AU202" s="46">
        <v>15880</v>
      </c>
      <c r="AV202" s="46">
        <v>15700</v>
      </c>
      <c r="AW202" s="46">
        <v>15700</v>
      </c>
      <c r="AX202" s="46">
        <v>15890</v>
      </c>
      <c r="AY202" s="46">
        <v>16400</v>
      </c>
      <c r="AZ202" s="46">
        <v>16960</v>
      </c>
      <c r="BA202" s="46">
        <v>17150</v>
      </c>
      <c r="BB202" s="46">
        <v>17950</v>
      </c>
      <c r="BC202" s="46">
        <v>18020</v>
      </c>
      <c r="BD202" s="46">
        <v>17770</v>
      </c>
      <c r="BE202" s="46">
        <v>17550</v>
      </c>
      <c r="BF202" s="46">
        <v>17200</v>
      </c>
      <c r="BG202" s="46">
        <v>17310</v>
      </c>
      <c r="BH202" s="46">
        <v>17710</v>
      </c>
      <c r="BI202" s="46">
        <v>17760</v>
      </c>
    </row>
    <row r="203" spans="1:61" x14ac:dyDescent="0.25">
      <c r="A203" s="11">
        <f>$A$103</f>
        <v>88</v>
      </c>
      <c r="B203" s="29">
        <v>1930</v>
      </c>
      <c r="C203" s="29">
        <v>2020</v>
      </c>
      <c r="D203" s="29">
        <v>2480</v>
      </c>
      <c r="E203" s="29">
        <v>2590</v>
      </c>
      <c r="F203" s="29">
        <v>2790</v>
      </c>
      <c r="G203" s="29">
        <v>2920</v>
      </c>
      <c r="H203" s="29">
        <v>2990</v>
      </c>
      <c r="I203" s="29">
        <v>3210</v>
      </c>
      <c r="J203" s="29">
        <v>3300</v>
      </c>
      <c r="K203" s="29">
        <v>3500</v>
      </c>
      <c r="L203" s="29">
        <v>3610</v>
      </c>
      <c r="M203" s="46">
        <v>3770</v>
      </c>
      <c r="N203" s="46">
        <v>3780</v>
      </c>
      <c r="O203" s="46">
        <v>4040</v>
      </c>
      <c r="P203" s="46">
        <v>3950</v>
      </c>
      <c r="Q203" s="46">
        <v>3880</v>
      </c>
      <c r="R203" s="46">
        <v>4110</v>
      </c>
      <c r="S203" s="46">
        <v>4170</v>
      </c>
      <c r="T203" s="46">
        <v>4220</v>
      </c>
      <c r="U203" s="46">
        <v>4420</v>
      </c>
      <c r="V203" s="46">
        <v>4730</v>
      </c>
      <c r="W203" s="46">
        <v>4960</v>
      </c>
      <c r="X203" s="46">
        <v>5550</v>
      </c>
      <c r="Y203" s="46">
        <v>6060</v>
      </c>
      <c r="Z203" s="46">
        <v>6250</v>
      </c>
      <c r="AA203" s="46">
        <v>5610</v>
      </c>
      <c r="AB203" s="46">
        <v>6540</v>
      </c>
      <c r="AC203" s="46">
        <v>6820</v>
      </c>
      <c r="AD203" s="46">
        <v>7290</v>
      </c>
      <c r="AE203" s="46">
        <v>8810</v>
      </c>
      <c r="AF203" s="46">
        <v>8880</v>
      </c>
      <c r="AG203" s="46">
        <v>8900</v>
      </c>
      <c r="AH203" s="46">
        <v>9220</v>
      </c>
      <c r="AI203" s="46">
        <v>9330</v>
      </c>
      <c r="AJ203" s="46">
        <v>9580</v>
      </c>
      <c r="AK203" s="46">
        <v>9860</v>
      </c>
      <c r="AL203" s="46">
        <v>10340</v>
      </c>
      <c r="AM203" s="46">
        <v>10700</v>
      </c>
      <c r="AN203" s="46">
        <v>11150</v>
      </c>
      <c r="AO203" s="46">
        <v>11560</v>
      </c>
      <c r="AP203" s="46">
        <v>12010</v>
      </c>
      <c r="AQ203" s="46">
        <v>12640</v>
      </c>
      <c r="AR203" s="46">
        <v>12960</v>
      </c>
      <c r="AS203" s="46">
        <v>13660</v>
      </c>
      <c r="AT203" s="46">
        <v>14110</v>
      </c>
      <c r="AU203" s="46">
        <v>14380</v>
      </c>
      <c r="AV203" s="46">
        <v>14400</v>
      </c>
      <c r="AW203" s="46">
        <v>14250</v>
      </c>
      <c r="AX203" s="46">
        <v>14270</v>
      </c>
      <c r="AY203" s="46">
        <v>14440</v>
      </c>
      <c r="AZ203" s="46">
        <v>14930</v>
      </c>
      <c r="BA203" s="46">
        <v>15450</v>
      </c>
      <c r="BB203" s="46">
        <v>15640</v>
      </c>
      <c r="BC203" s="46">
        <v>16380</v>
      </c>
      <c r="BD203" s="46">
        <v>16460</v>
      </c>
      <c r="BE203" s="46">
        <v>16240</v>
      </c>
      <c r="BF203" s="46">
        <v>16050</v>
      </c>
      <c r="BG203" s="46">
        <v>15750</v>
      </c>
      <c r="BH203" s="46">
        <v>15860</v>
      </c>
      <c r="BI203" s="46">
        <v>16240</v>
      </c>
    </row>
    <row r="204" spans="1:61" x14ac:dyDescent="0.25">
      <c r="A204" s="11">
        <f>$A$104</f>
        <v>89</v>
      </c>
      <c r="B204" s="29">
        <v>1720</v>
      </c>
      <c r="C204" s="29">
        <v>1620</v>
      </c>
      <c r="D204" s="29">
        <v>1720</v>
      </c>
      <c r="E204" s="29">
        <v>2130</v>
      </c>
      <c r="F204" s="29">
        <v>2190</v>
      </c>
      <c r="G204" s="29">
        <v>2360</v>
      </c>
      <c r="H204" s="29">
        <v>2460</v>
      </c>
      <c r="I204" s="29">
        <v>2470</v>
      </c>
      <c r="J204" s="29">
        <v>2760</v>
      </c>
      <c r="K204" s="29">
        <v>2810</v>
      </c>
      <c r="L204" s="29">
        <v>3010</v>
      </c>
      <c r="M204" s="46">
        <v>3100</v>
      </c>
      <c r="N204" s="46">
        <v>3260</v>
      </c>
      <c r="O204" s="46">
        <v>3240</v>
      </c>
      <c r="P204" s="46">
        <v>3460</v>
      </c>
      <c r="Q204" s="46">
        <v>3410</v>
      </c>
      <c r="R204" s="46">
        <v>3310</v>
      </c>
      <c r="S204" s="46">
        <v>3520</v>
      </c>
      <c r="T204" s="46">
        <v>3530</v>
      </c>
      <c r="U204" s="46">
        <v>3650</v>
      </c>
      <c r="V204" s="46">
        <v>3830</v>
      </c>
      <c r="W204" s="46">
        <v>4100</v>
      </c>
      <c r="X204" s="46">
        <v>4300</v>
      </c>
      <c r="Y204" s="46">
        <v>4820</v>
      </c>
      <c r="Z204" s="46">
        <v>5270</v>
      </c>
      <c r="AA204" s="46">
        <v>5440</v>
      </c>
      <c r="AB204" s="46">
        <v>4890</v>
      </c>
      <c r="AC204" s="46">
        <v>5710</v>
      </c>
      <c r="AD204" s="46">
        <v>5970</v>
      </c>
      <c r="AE204" s="46">
        <v>6380</v>
      </c>
      <c r="AF204" s="46">
        <v>7720</v>
      </c>
      <c r="AG204" s="46">
        <v>7790</v>
      </c>
      <c r="AH204" s="46">
        <v>7820</v>
      </c>
      <c r="AI204" s="46">
        <v>8100</v>
      </c>
      <c r="AJ204" s="46">
        <v>8220</v>
      </c>
      <c r="AK204" s="46">
        <v>8440</v>
      </c>
      <c r="AL204" s="46">
        <v>8700</v>
      </c>
      <c r="AM204" s="46">
        <v>9140</v>
      </c>
      <c r="AN204" s="46">
        <v>9460</v>
      </c>
      <c r="AO204" s="46">
        <v>9870</v>
      </c>
      <c r="AP204" s="46">
        <v>10240</v>
      </c>
      <c r="AQ204" s="46">
        <v>10650</v>
      </c>
      <c r="AR204" s="46">
        <v>11220</v>
      </c>
      <c r="AS204" s="46">
        <v>11520</v>
      </c>
      <c r="AT204" s="46">
        <v>12150</v>
      </c>
      <c r="AU204" s="46">
        <v>12570</v>
      </c>
      <c r="AV204" s="46">
        <v>12820</v>
      </c>
      <c r="AW204" s="46">
        <v>12850</v>
      </c>
      <c r="AX204" s="46">
        <v>12730</v>
      </c>
      <c r="AY204" s="46">
        <v>12760</v>
      </c>
      <c r="AZ204" s="46">
        <v>12930</v>
      </c>
      <c r="BA204" s="46">
        <v>13370</v>
      </c>
      <c r="BB204" s="46">
        <v>13850</v>
      </c>
      <c r="BC204" s="46">
        <v>14040</v>
      </c>
      <c r="BD204" s="46">
        <v>14720</v>
      </c>
      <c r="BE204" s="46">
        <v>14800</v>
      </c>
      <c r="BF204" s="46">
        <v>14620</v>
      </c>
      <c r="BG204" s="46">
        <v>14460</v>
      </c>
      <c r="BH204" s="46">
        <v>14200</v>
      </c>
      <c r="BI204" s="46">
        <v>14310</v>
      </c>
    </row>
    <row r="205" spans="1:61" x14ac:dyDescent="0.25">
      <c r="A205" s="11">
        <f>$A$105</f>
        <v>90</v>
      </c>
      <c r="B205" s="29">
        <v>1380</v>
      </c>
      <c r="C205" s="29">
        <v>1400</v>
      </c>
      <c r="D205" s="29">
        <v>1320</v>
      </c>
      <c r="E205" s="29">
        <v>1430</v>
      </c>
      <c r="F205" s="29">
        <v>1770</v>
      </c>
      <c r="G205" s="29">
        <v>1830</v>
      </c>
      <c r="H205" s="29">
        <v>1960</v>
      </c>
      <c r="I205" s="29">
        <v>2060</v>
      </c>
      <c r="J205" s="29">
        <v>2110</v>
      </c>
      <c r="K205" s="29">
        <v>2330</v>
      </c>
      <c r="L205" s="29">
        <v>2340</v>
      </c>
      <c r="M205" s="46">
        <v>2540</v>
      </c>
      <c r="N205" s="46">
        <v>2560</v>
      </c>
      <c r="O205" s="46">
        <v>2750</v>
      </c>
      <c r="P205" s="46">
        <v>2790</v>
      </c>
      <c r="Q205" s="46">
        <v>2970</v>
      </c>
      <c r="R205" s="46">
        <v>2830</v>
      </c>
      <c r="S205" s="46">
        <v>2790</v>
      </c>
      <c r="T205" s="46">
        <v>2960</v>
      </c>
      <c r="U205" s="46">
        <v>2990</v>
      </c>
      <c r="V205" s="46">
        <v>3090</v>
      </c>
      <c r="W205" s="46">
        <v>3250</v>
      </c>
      <c r="X205" s="46">
        <v>3480</v>
      </c>
      <c r="Y205" s="46">
        <v>3660</v>
      </c>
      <c r="Z205" s="46">
        <v>4110</v>
      </c>
      <c r="AA205" s="46">
        <v>4500</v>
      </c>
      <c r="AB205" s="46">
        <v>4650</v>
      </c>
      <c r="AC205" s="46">
        <v>4180</v>
      </c>
      <c r="AD205" s="46">
        <v>4890</v>
      </c>
      <c r="AE205" s="46">
        <v>5120</v>
      </c>
      <c r="AF205" s="46">
        <v>5480</v>
      </c>
      <c r="AG205" s="46">
        <v>6640</v>
      </c>
      <c r="AH205" s="46">
        <v>6710</v>
      </c>
      <c r="AI205" s="46">
        <v>6740</v>
      </c>
      <c r="AJ205" s="46">
        <v>7000</v>
      </c>
      <c r="AK205" s="46">
        <v>7100</v>
      </c>
      <c r="AL205" s="46">
        <v>7310</v>
      </c>
      <c r="AM205" s="46">
        <v>7530</v>
      </c>
      <c r="AN205" s="46">
        <v>7920</v>
      </c>
      <c r="AO205" s="46">
        <v>8220</v>
      </c>
      <c r="AP205" s="46">
        <v>8580</v>
      </c>
      <c r="AQ205" s="46">
        <v>8910</v>
      </c>
      <c r="AR205" s="46">
        <v>9280</v>
      </c>
      <c r="AS205" s="46">
        <v>9790</v>
      </c>
      <c r="AT205" s="46">
        <v>10060</v>
      </c>
      <c r="AU205" s="46">
        <v>10620</v>
      </c>
      <c r="AV205" s="46">
        <v>10990</v>
      </c>
      <c r="AW205" s="46">
        <v>11230</v>
      </c>
      <c r="AX205" s="46">
        <v>11270</v>
      </c>
      <c r="AY205" s="46">
        <v>11170</v>
      </c>
      <c r="AZ205" s="46">
        <v>11200</v>
      </c>
      <c r="BA205" s="46">
        <v>11370</v>
      </c>
      <c r="BB205" s="46">
        <v>11770</v>
      </c>
      <c r="BC205" s="46">
        <v>12200</v>
      </c>
      <c r="BD205" s="46">
        <v>12380</v>
      </c>
      <c r="BE205" s="46">
        <v>12990</v>
      </c>
      <c r="BF205" s="46">
        <v>13080</v>
      </c>
      <c r="BG205" s="46">
        <v>12930</v>
      </c>
      <c r="BH205" s="46">
        <v>12800</v>
      </c>
      <c r="BI205" s="46">
        <v>12580</v>
      </c>
    </row>
    <row r="206" spans="1:61" x14ac:dyDescent="0.25">
      <c r="A206" s="11">
        <f>$A$106</f>
        <v>91</v>
      </c>
      <c r="B206" s="29">
        <v>1020</v>
      </c>
      <c r="C206" s="29">
        <v>1130</v>
      </c>
      <c r="D206" s="29">
        <v>1150</v>
      </c>
      <c r="E206" s="29">
        <v>1080</v>
      </c>
      <c r="F206" s="29">
        <v>1150</v>
      </c>
      <c r="G206" s="29">
        <v>1440</v>
      </c>
      <c r="H206" s="29">
        <v>1480</v>
      </c>
      <c r="I206" s="29">
        <v>1590</v>
      </c>
      <c r="J206" s="29">
        <v>1710</v>
      </c>
      <c r="K206" s="29">
        <v>1720</v>
      </c>
      <c r="L206" s="29">
        <v>1920</v>
      </c>
      <c r="M206" s="46">
        <v>1920</v>
      </c>
      <c r="N206" s="46">
        <v>2070</v>
      </c>
      <c r="O206" s="46">
        <v>2100</v>
      </c>
      <c r="P206" s="46">
        <v>2280</v>
      </c>
      <c r="Q206" s="46">
        <v>2360</v>
      </c>
      <c r="R206" s="46">
        <v>2450</v>
      </c>
      <c r="S206" s="46">
        <v>2350</v>
      </c>
      <c r="T206" s="46">
        <v>2290</v>
      </c>
      <c r="U206" s="46">
        <v>2440</v>
      </c>
      <c r="V206" s="46">
        <v>2470</v>
      </c>
      <c r="W206" s="46">
        <v>2560</v>
      </c>
      <c r="X206" s="46">
        <v>2700</v>
      </c>
      <c r="Y206" s="46">
        <v>2900</v>
      </c>
      <c r="Z206" s="46">
        <v>3050</v>
      </c>
      <c r="AA206" s="46">
        <v>3430</v>
      </c>
      <c r="AB206" s="46">
        <v>3760</v>
      </c>
      <c r="AC206" s="46">
        <v>3900</v>
      </c>
      <c r="AD206" s="46">
        <v>3510</v>
      </c>
      <c r="AE206" s="46">
        <v>4110</v>
      </c>
      <c r="AF206" s="46">
        <v>4300</v>
      </c>
      <c r="AG206" s="46">
        <v>4620</v>
      </c>
      <c r="AH206" s="46">
        <v>5600</v>
      </c>
      <c r="AI206" s="46">
        <v>5660</v>
      </c>
      <c r="AJ206" s="46">
        <v>5700</v>
      </c>
      <c r="AK206" s="46">
        <v>5920</v>
      </c>
      <c r="AL206" s="46">
        <v>6010</v>
      </c>
      <c r="AM206" s="46">
        <v>6200</v>
      </c>
      <c r="AN206" s="46">
        <v>6390</v>
      </c>
      <c r="AO206" s="46">
        <v>6730</v>
      </c>
      <c r="AP206" s="46">
        <v>6990</v>
      </c>
      <c r="AQ206" s="46">
        <v>7300</v>
      </c>
      <c r="AR206" s="46">
        <v>7600</v>
      </c>
      <c r="AS206" s="46">
        <v>7920</v>
      </c>
      <c r="AT206" s="46">
        <v>8360</v>
      </c>
      <c r="AU206" s="46">
        <v>8600</v>
      </c>
      <c r="AV206" s="46">
        <v>9090</v>
      </c>
      <c r="AW206" s="46">
        <v>9430</v>
      </c>
      <c r="AX206" s="46">
        <v>9640</v>
      </c>
      <c r="AY206" s="46">
        <v>9680</v>
      </c>
      <c r="AZ206" s="46">
        <v>9600</v>
      </c>
      <c r="BA206" s="46">
        <v>9640</v>
      </c>
      <c r="BB206" s="46">
        <v>9790</v>
      </c>
      <c r="BC206" s="46">
        <v>10150</v>
      </c>
      <c r="BD206" s="46">
        <v>10540</v>
      </c>
      <c r="BE206" s="46">
        <v>10700</v>
      </c>
      <c r="BF206" s="46">
        <v>11240</v>
      </c>
      <c r="BG206" s="46">
        <v>11330</v>
      </c>
      <c r="BH206" s="46">
        <v>11210</v>
      </c>
      <c r="BI206" s="46">
        <v>11110</v>
      </c>
    </row>
    <row r="207" spans="1:61" x14ac:dyDescent="0.25">
      <c r="A207" s="11">
        <f>$A$107</f>
        <v>92</v>
      </c>
      <c r="B207" s="29">
        <v>790</v>
      </c>
      <c r="C207" s="29">
        <v>810</v>
      </c>
      <c r="D207" s="29">
        <v>890</v>
      </c>
      <c r="E207" s="29">
        <v>920</v>
      </c>
      <c r="F207" s="29">
        <v>860</v>
      </c>
      <c r="G207" s="29">
        <v>930</v>
      </c>
      <c r="H207" s="29">
        <v>1140</v>
      </c>
      <c r="I207" s="29">
        <v>1180</v>
      </c>
      <c r="J207" s="29">
        <v>1290</v>
      </c>
      <c r="K207" s="29">
        <v>1350</v>
      </c>
      <c r="L207" s="29">
        <v>1400</v>
      </c>
      <c r="M207" s="46">
        <v>1550</v>
      </c>
      <c r="N207" s="46">
        <v>1550</v>
      </c>
      <c r="O207" s="46">
        <v>1670</v>
      </c>
      <c r="P207" s="46">
        <v>1700</v>
      </c>
      <c r="Q207" s="46">
        <v>1870</v>
      </c>
      <c r="R207" s="46">
        <v>1880</v>
      </c>
      <c r="S207" s="46">
        <v>1930</v>
      </c>
      <c r="T207" s="46">
        <v>1870</v>
      </c>
      <c r="U207" s="46">
        <v>1850</v>
      </c>
      <c r="V207" s="46">
        <v>1980</v>
      </c>
      <c r="W207" s="46">
        <v>2000</v>
      </c>
      <c r="X207" s="46">
        <v>2080</v>
      </c>
      <c r="Y207" s="46">
        <v>2190</v>
      </c>
      <c r="Z207" s="46">
        <v>2360</v>
      </c>
      <c r="AA207" s="46">
        <v>2490</v>
      </c>
      <c r="AB207" s="46">
        <v>2800</v>
      </c>
      <c r="AC207" s="46">
        <v>3080</v>
      </c>
      <c r="AD207" s="46">
        <v>3190</v>
      </c>
      <c r="AE207" s="46">
        <v>2880</v>
      </c>
      <c r="AF207" s="46">
        <v>3370</v>
      </c>
      <c r="AG207" s="46">
        <v>3540</v>
      </c>
      <c r="AH207" s="46">
        <v>3800</v>
      </c>
      <c r="AI207" s="46">
        <v>4610</v>
      </c>
      <c r="AJ207" s="46">
        <v>4670</v>
      </c>
      <c r="AK207" s="46">
        <v>4710</v>
      </c>
      <c r="AL207" s="46">
        <v>4900</v>
      </c>
      <c r="AM207" s="46">
        <v>4980</v>
      </c>
      <c r="AN207" s="46">
        <v>5140</v>
      </c>
      <c r="AO207" s="46">
        <v>5310</v>
      </c>
      <c r="AP207" s="46">
        <v>5600</v>
      </c>
      <c r="AQ207" s="46">
        <v>5820</v>
      </c>
      <c r="AR207" s="46">
        <v>6090</v>
      </c>
      <c r="AS207" s="46">
        <v>6340</v>
      </c>
      <c r="AT207" s="46">
        <v>6610</v>
      </c>
      <c r="AU207" s="46">
        <v>6990</v>
      </c>
      <c r="AV207" s="46">
        <v>7200</v>
      </c>
      <c r="AW207" s="46">
        <v>7620</v>
      </c>
      <c r="AX207" s="46">
        <v>7900</v>
      </c>
      <c r="AY207" s="46">
        <v>8090</v>
      </c>
      <c r="AZ207" s="46">
        <v>8130</v>
      </c>
      <c r="BA207" s="46">
        <v>8080</v>
      </c>
      <c r="BB207" s="46">
        <v>8120</v>
      </c>
      <c r="BC207" s="46">
        <v>8260</v>
      </c>
      <c r="BD207" s="46">
        <v>8570</v>
      </c>
      <c r="BE207" s="46">
        <v>8900</v>
      </c>
      <c r="BF207" s="46">
        <v>9050</v>
      </c>
      <c r="BG207" s="46">
        <v>9510</v>
      </c>
      <c r="BH207" s="46">
        <v>9600</v>
      </c>
      <c r="BI207" s="46">
        <v>9500</v>
      </c>
    </row>
    <row r="208" spans="1:61" x14ac:dyDescent="0.25">
      <c r="A208" s="11">
        <f>$A$108</f>
        <v>93</v>
      </c>
      <c r="B208" s="29">
        <v>580</v>
      </c>
      <c r="C208" s="29">
        <v>600</v>
      </c>
      <c r="D208" s="29">
        <v>670</v>
      </c>
      <c r="E208" s="29">
        <v>690</v>
      </c>
      <c r="F208" s="29">
        <v>720</v>
      </c>
      <c r="G208" s="29">
        <v>670</v>
      </c>
      <c r="H208" s="29">
        <v>730</v>
      </c>
      <c r="I208" s="29">
        <v>910</v>
      </c>
      <c r="J208" s="29">
        <v>970</v>
      </c>
      <c r="K208" s="29">
        <v>1040</v>
      </c>
      <c r="L208" s="29">
        <v>1080</v>
      </c>
      <c r="M208" s="46">
        <v>1100</v>
      </c>
      <c r="N208" s="46">
        <v>1210</v>
      </c>
      <c r="O208" s="46">
        <v>1190</v>
      </c>
      <c r="P208" s="46">
        <v>1330</v>
      </c>
      <c r="Q208" s="46">
        <v>1350</v>
      </c>
      <c r="R208" s="46">
        <v>1480</v>
      </c>
      <c r="S208" s="46">
        <v>1490</v>
      </c>
      <c r="T208" s="46">
        <v>1540</v>
      </c>
      <c r="U208" s="46">
        <v>1470</v>
      </c>
      <c r="V208" s="46">
        <v>1460</v>
      </c>
      <c r="W208" s="46">
        <v>1560</v>
      </c>
      <c r="X208" s="46">
        <v>1590</v>
      </c>
      <c r="Y208" s="46">
        <v>1650</v>
      </c>
      <c r="Z208" s="46">
        <v>1740</v>
      </c>
      <c r="AA208" s="46">
        <v>1880</v>
      </c>
      <c r="AB208" s="46">
        <v>1980</v>
      </c>
      <c r="AC208" s="46">
        <v>2240</v>
      </c>
      <c r="AD208" s="46">
        <v>2460</v>
      </c>
      <c r="AE208" s="46">
        <v>2550</v>
      </c>
      <c r="AF208" s="46">
        <v>2310</v>
      </c>
      <c r="AG208" s="46">
        <v>2710</v>
      </c>
      <c r="AH208" s="46">
        <v>2840</v>
      </c>
      <c r="AI208" s="46">
        <v>3060</v>
      </c>
      <c r="AJ208" s="46">
        <v>3720</v>
      </c>
      <c r="AK208" s="46">
        <v>3770</v>
      </c>
      <c r="AL208" s="46">
        <v>3800</v>
      </c>
      <c r="AM208" s="46">
        <v>3960</v>
      </c>
      <c r="AN208" s="46">
        <v>4030</v>
      </c>
      <c r="AO208" s="46">
        <v>4160</v>
      </c>
      <c r="AP208" s="46">
        <v>4310</v>
      </c>
      <c r="AQ208" s="46">
        <v>4540</v>
      </c>
      <c r="AR208" s="46">
        <v>4730</v>
      </c>
      <c r="AS208" s="46">
        <v>4950</v>
      </c>
      <c r="AT208" s="46">
        <v>5160</v>
      </c>
      <c r="AU208" s="46">
        <v>5390</v>
      </c>
      <c r="AV208" s="46">
        <v>5710</v>
      </c>
      <c r="AW208" s="46">
        <v>5890</v>
      </c>
      <c r="AX208" s="46">
        <v>6230</v>
      </c>
      <c r="AY208" s="46">
        <v>6470</v>
      </c>
      <c r="AZ208" s="46">
        <v>6630</v>
      </c>
      <c r="BA208" s="46">
        <v>6680</v>
      </c>
      <c r="BB208" s="46">
        <v>6640</v>
      </c>
      <c r="BC208" s="46">
        <v>6680</v>
      </c>
      <c r="BD208" s="46">
        <v>6800</v>
      </c>
      <c r="BE208" s="46">
        <v>7060</v>
      </c>
      <c r="BF208" s="46">
        <v>7350</v>
      </c>
      <c r="BG208" s="46">
        <v>7470</v>
      </c>
      <c r="BH208" s="46">
        <v>7870</v>
      </c>
      <c r="BI208" s="46">
        <v>7940</v>
      </c>
    </row>
    <row r="209" spans="1:61" x14ac:dyDescent="0.25">
      <c r="A209" s="11">
        <f>$A$109</f>
        <v>94</v>
      </c>
      <c r="B209" s="29">
        <v>400</v>
      </c>
      <c r="C209" s="29">
        <v>460</v>
      </c>
      <c r="D209" s="29">
        <v>450</v>
      </c>
      <c r="E209" s="29">
        <v>510</v>
      </c>
      <c r="F209" s="29">
        <v>530</v>
      </c>
      <c r="G209" s="29">
        <v>550</v>
      </c>
      <c r="H209" s="29">
        <v>520</v>
      </c>
      <c r="I209" s="29">
        <v>560</v>
      </c>
      <c r="J209" s="29">
        <v>730</v>
      </c>
      <c r="K209" s="29">
        <v>750</v>
      </c>
      <c r="L209" s="29">
        <v>800</v>
      </c>
      <c r="M209" s="46">
        <v>820</v>
      </c>
      <c r="N209" s="46">
        <v>840</v>
      </c>
      <c r="O209" s="46">
        <v>930</v>
      </c>
      <c r="P209" s="46">
        <v>910</v>
      </c>
      <c r="Q209" s="46">
        <v>1010</v>
      </c>
      <c r="R209" s="46">
        <v>1030</v>
      </c>
      <c r="S209" s="46">
        <v>1110</v>
      </c>
      <c r="T209" s="46">
        <v>1110</v>
      </c>
      <c r="U209" s="46">
        <v>1190</v>
      </c>
      <c r="V209" s="46">
        <v>1130</v>
      </c>
      <c r="W209" s="46">
        <v>1120</v>
      </c>
      <c r="X209" s="46">
        <v>1210</v>
      </c>
      <c r="Y209" s="46">
        <v>1230</v>
      </c>
      <c r="Z209" s="46">
        <v>1280</v>
      </c>
      <c r="AA209" s="46">
        <v>1350</v>
      </c>
      <c r="AB209" s="46">
        <v>1460</v>
      </c>
      <c r="AC209" s="46">
        <v>1540</v>
      </c>
      <c r="AD209" s="46">
        <v>1740</v>
      </c>
      <c r="AE209" s="46">
        <v>1920</v>
      </c>
      <c r="AF209" s="46">
        <v>1990</v>
      </c>
      <c r="AG209" s="46">
        <v>1800</v>
      </c>
      <c r="AH209" s="46">
        <v>2120</v>
      </c>
      <c r="AI209" s="46">
        <v>2230</v>
      </c>
      <c r="AJ209" s="46">
        <v>2400</v>
      </c>
      <c r="AK209" s="46">
        <v>2920</v>
      </c>
      <c r="AL209" s="46">
        <v>2960</v>
      </c>
      <c r="AM209" s="46">
        <v>2990</v>
      </c>
      <c r="AN209" s="46">
        <v>3120</v>
      </c>
      <c r="AO209" s="46">
        <v>3180</v>
      </c>
      <c r="AP209" s="46">
        <v>3290</v>
      </c>
      <c r="AQ209" s="46">
        <v>3410</v>
      </c>
      <c r="AR209" s="46">
        <v>3600</v>
      </c>
      <c r="AS209" s="46">
        <v>3750</v>
      </c>
      <c r="AT209" s="46">
        <v>3930</v>
      </c>
      <c r="AU209" s="46">
        <v>4100</v>
      </c>
      <c r="AV209" s="46">
        <v>4290</v>
      </c>
      <c r="AW209" s="46">
        <v>4550</v>
      </c>
      <c r="AX209" s="46">
        <v>4690</v>
      </c>
      <c r="AY209" s="46">
        <v>4980</v>
      </c>
      <c r="AZ209" s="46">
        <v>5180</v>
      </c>
      <c r="BA209" s="46">
        <v>5310</v>
      </c>
      <c r="BB209" s="46">
        <v>5350</v>
      </c>
      <c r="BC209" s="46">
        <v>5330</v>
      </c>
      <c r="BD209" s="46">
        <v>5370</v>
      </c>
      <c r="BE209" s="46">
        <v>5470</v>
      </c>
      <c r="BF209" s="46">
        <v>5680</v>
      </c>
      <c r="BG209" s="46">
        <v>5920</v>
      </c>
      <c r="BH209" s="46">
        <v>6030</v>
      </c>
      <c r="BI209" s="46">
        <v>6350</v>
      </c>
    </row>
    <row r="210" spans="1:61" x14ac:dyDescent="0.25">
      <c r="A210" s="11" t="str">
        <f>$A$110</f>
        <v>95 &amp; over</v>
      </c>
      <c r="B210" s="29">
        <v>850</v>
      </c>
      <c r="C210" s="29">
        <v>880</v>
      </c>
      <c r="D210" s="29">
        <v>980</v>
      </c>
      <c r="E210" s="29">
        <v>1020</v>
      </c>
      <c r="F210" s="29">
        <v>1060</v>
      </c>
      <c r="G210" s="29">
        <v>1120</v>
      </c>
      <c r="H210" s="29">
        <v>1190</v>
      </c>
      <c r="I210" s="29">
        <v>1200</v>
      </c>
      <c r="J210" s="29">
        <v>1250</v>
      </c>
      <c r="K210" s="29">
        <v>1370</v>
      </c>
      <c r="L210" s="29">
        <v>1510</v>
      </c>
      <c r="M210" s="46">
        <v>1690</v>
      </c>
      <c r="N210" s="46">
        <v>1780</v>
      </c>
      <c r="O210" s="46">
        <v>1900</v>
      </c>
      <c r="P210" s="46">
        <v>2060</v>
      </c>
      <c r="Q210" s="46">
        <v>2160</v>
      </c>
      <c r="R210" s="46">
        <v>2160</v>
      </c>
      <c r="S210" s="46">
        <v>2140</v>
      </c>
      <c r="T210" s="46">
        <v>2300</v>
      </c>
      <c r="U210" s="46">
        <v>2480</v>
      </c>
      <c r="V210" s="46">
        <v>2650</v>
      </c>
      <c r="W210" s="46">
        <v>2740</v>
      </c>
      <c r="X210" s="46">
        <v>2790</v>
      </c>
      <c r="Y210" s="46">
        <v>2890</v>
      </c>
      <c r="Z210" s="46">
        <v>2970</v>
      </c>
      <c r="AA210" s="46">
        <v>3070</v>
      </c>
      <c r="AB210" s="46">
        <v>3200</v>
      </c>
      <c r="AC210" s="46">
        <v>3370</v>
      </c>
      <c r="AD210" s="46">
        <v>3570</v>
      </c>
      <c r="AE210" s="46">
        <v>3860</v>
      </c>
      <c r="AF210" s="46">
        <v>4210</v>
      </c>
      <c r="AG210" s="46">
        <v>4520</v>
      </c>
      <c r="AH210" s="46">
        <v>4600</v>
      </c>
      <c r="AI210" s="46">
        <v>4900</v>
      </c>
      <c r="AJ210" s="46">
        <v>5200</v>
      </c>
      <c r="AK210" s="46">
        <v>5560</v>
      </c>
      <c r="AL210" s="46">
        <v>6220</v>
      </c>
      <c r="AM210" s="46">
        <v>6740</v>
      </c>
      <c r="AN210" s="46">
        <v>7140</v>
      </c>
      <c r="AO210" s="46">
        <v>7530</v>
      </c>
      <c r="AP210" s="46">
        <v>7870</v>
      </c>
      <c r="AQ210" s="46">
        <v>8190</v>
      </c>
      <c r="AR210" s="46">
        <v>8520</v>
      </c>
      <c r="AS210" s="46">
        <v>8920</v>
      </c>
      <c r="AT210" s="46">
        <v>9330</v>
      </c>
      <c r="AU210" s="46">
        <v>9770</v>
      </c>
      <c r="AV210" s="46">
        <v>10240</v>
      </c>
      <c r="AW210" s="46">
        <v>10740</v>
      </c>
      <c r="AX210" s="46">
        <v>11310</v>
      </c>
      <c r="AY210" s="46">
        <v>11850</v>
      </c>
      <c r="AZ210" s="46">
        <v>12470</v>
      </c>
      <c r="BA210" s="46">
        <v>13100</v>
      </c>
      <c r="BB210" s="46">
        <v>13670</v>
      </c>
      <c r="BC210" s="46">
        <v>14130</v>
      </c>
      <c r="BD210" s="46">
        <v>14460</v>
      </c>
      <c r="BE210" s="46">
        <v>14740</v>
      </c>
      <c r="BF210" s="46">
        <v>15020</v>
      </c>
      <c r="BG210" s="46">
        <v>15420</v>
      </c>
      <c r="BH210" s="46">
        <v>15910</v>
      </c>
      <c r="BI210" s="46">
        <v>16370</v>
      </c>
    </row>
    <row r="211" spans="1:61" x14ac:dyDescent="0.25">
      <c r="A211" s="9" t="s">
        <v>11</v>
      </c>
      <c r="B211" s="6">
        <f>SUM(B$115:B$210)</f>
        <v>2048380</v>
      </c>
      <c r="C211" s="6">
        <f t="shared" ref="C211:AI211" si="88">SUM(C$115:C$210)</f>
        <v>2066480</v>
      </c>
      <c r="D211" s="6">
        <f t="shared" si="88"/>
        <v>2083420</v>
      </c>
      <c r="E211" s="6">
        <f t="shared" si="88"/>
        <v>2104660</v>
      </c>
      <c r="F211" s="6">
        <f t="shared" si="88"/>
        <v>2127740</v>
      </c>
      <c r="G211" s="6">
        <f t="shared" si="88"/>
        <v>2143550</v>
      </c>
      <c r="H211" s="6">
        <f t="shared" si="88"/>
        <v>2154990</v>
      </c>
      <c r="I211" s="6">
        <f t="shared" si="88"/>
        <v>2172160</v>
      </c>
      <c r="J211" s="6">
        <f t="shared" si="88"/>
        <v>2215730</v>
      </c>
      <c r="K211" s="6">
        <f t="shared" si="88"/>
        <v>2270080</v>
      </c>
      <c r="L211" s="6">
        <f t="shared" si="88"/>
        <v>2328540</v>
      </c>
      <c r="M211" s="80">
        <f t="shared" si="88"/>
        <v>2382600</v>
      </c>
      <c r="N211" s="80">
        <f t="shared" si="88"/>
        <v>2430160</v>
      </c>
      <c r="O211" s="80">
        <f t="shared" si="88"/>
        <v>2467030</v>
      </c>
      <c r="P211" s="80">
        <f t="shared" si="88"/>
        <v>2518980</v>
      </c>
      <c r="Q211" s="80">
        <f t="shared" si="88"/>
        <v>2524740</v>
      </c>
      <c r="R211" s="80">
        <f t="shared" si="88"/>
        <v>2523110</v>
      </c>
      <c r="S211" s="80">
        <f t="shared" si="88"/>
        <v>2590070</v>
      </c>
      <c r="T211" s="80">
        <f t="shared" si="88"/>
        <v>2634240</v>
      </c>
      <c r="U211" s="80">
        <f t="shared" si="88"/>
        <v>2657510</v>
      </c>
      <c r="V211" s="80">
        <f t="shared" si="88"/>
        <v>2683040</v>
      </c>
      <c r="W211" s="80">
        <f t="shared" si="88"/>
        <v>2709600</v>
      </c>
      <c r="X211" s="80">
        <f t="shared" si="88"/>
        <v>2736820</v>
      </c>
      <c r="Y211" s="80">
        <f t="shared" si="88"/>
        <v>2764430</v>
      </c>
      <c r="Z211" s="80">
        <f t="shared" si="88"/>
        <v>2792180</v>
      </c>
      <c r="AA211" s="80">
        <f t="shared" si="88"/>
        <v>2819730</v>
      </c>
      <c r="AB211" s="80">
        <f t="shared" si="88"/>
        <v>2847050</v>
      </c>
      <c r="AC211" s="80">
        <f t="shared" si="88"/>
        <v>2874140</v>
      </c>
      <c r="AD211" s="80">
        <f t="shared" si="88"/>
        <v>2901050</v>
      </c>
      <c r="AE211" s="80">
        <f t="shared" si="88"/>
        <v>2927660</v>
      </c>
      <c r="AF211" s="80">
        <f t="shared" si="88"/>
        <v>2954210</v>
      </c>
      <c r="AG211" s="80">
        <f t="shared" si="88"/>
        <v>2980620</v>
      </c>
      <c r="AH211" s="80">
        <f t="shared" si="88"/>
        <v>3006970</v>
      </c>
      <c r="AI211" s="80">
        <f t="shared" si="88"/>
        <v>3033170</v>
      </c>
      <c r="AJ211" s="80"/>
      <c r="AK211" s="80"/>
      <c r="AL211" s="80"/>
      <c r="AM211" s="80"/>
      <c r="AN211" s="80"/>
      <c r="AO211" s="80"/>
      <c r="AP211" s="80"/>
      <c r="AQ211" s="80"/>
      <c r="AR211" s="80"/>
      <c r="AS211" s="80"/>
      <c r="AT211" s="80"/>
      <c r="AU211" s="80"/>
      <c r="AV211" s="80"/>
      <c r="AW211" s="80"/>
      <c r="AX211" s="80"/>
      <c r="AY211" s="80"/>
      <c r="AZ211" s="80"/>
      <c r="BA211" s="80"/>
      <c r="BB211" s="80"/>
      <c r="BC211" s="80"/>
      <c r="BD211" s="80"/>
      <c r="BE211" s="80"/>
      <c r="BF211" s="80"/>
      <c r="BG211" s="80"/>
      <c r="BH211" s="80"/>
      <c r="BI211" s="80"/>
    </row>
    <row r="212" spans="1:61" x14ac:dyDescent="0.25">
      <c r="A212" s="9"/>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row>
    <row r="213" spans="1:61" x14ac:dyDescent="0.25">
      <c r="A213" s="9"/>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row>
    <row r="214" spans="1:61" x14ac:dyDescent="0.25">
      <c r="A214" s="9" t="s">
        <v>12</v>
      </c>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row>
    <row r="215" spans="1:61" x14ac:dyDescent="0.25">
      <c r="A215" s="11">
        <f>$A$30</f>
        <v>15</v>
      </c>
      <c r="M215" s="11"/>
      <c r="N215" s="11"/>
      <c r="O215" s="11"/>
      <c r="P215" s="11"/>
      <c r="Q215" s="11"/>
      <c r="R215" s="11"/>
      <c r="S215" s="11"/>
      <c r="T215" s="46">
        <v>8740</v>
      </c>
      <c r="U215" s="46">
        <v>8990</v>
      </c>
      <c r="V215" s="46">
        <v>8990</v>
      </c>
      <c r="W215" s="46">
        <v>9010</v>
      </c>
      <c r="X215" s="46">
        <v>9020</v>
      </c>
      <c r="Y215" s="46">
        <v>8800</v>
      </c>
      <c r="Z215" s="46">
        <v>8830</v>
      </c>
      <c r="AA215" s="46">
        <v>8720</v>
      </c>
      <c r="AB215" s="46">
        <v>8850</v>
      </c>
      <c r="AC215" s="46">
        <v>8710</v>
      </c>
      <c r="AD215" s="46">
        <v>8720</v>
      </c>
      <c r="AE215" s="46">
        <v>8650</v>
      </c>
      <c r="AF215" s="46">
        <v>8690</v>
      </c>
      <c r="AG215" s="46">
        <v>8780</v>
      </c>
      <c r="AH215" s="46">
        <v>8120</v>
      </c>
      <c r="AI215" s="46">
        <v>8170</v>
      </c>
      <c r="AJ215" s="46">
        <v>8310</v>
      </c>
      <c r="AK215" s="46">
        <v>8330</v>
      </c>
      <c r="AL215" s="46">
        <v>8340</v>
      </c>
      <c r="AM215" s="46">
        <v>8350</v>
      </c>
      <c r="AN215" s="46">
        <v>8350</v>
      </c>
      <c r="AO215" s="46">
        <v>8360</v>
      </c>
      <c r="AP215" s="46">
        <v>8370</v>
      </c>
      <c r="AQ215" s="46">
        <v>8380</v>
      </c>
      <c r="AR215" s="46">
        <v>8400</v>
      </c>
      <c r="AS215" s="46">
        <v>8430</v>
      </c>
      <c r="AT215" s="46">
        <v>8470</v>
      </c>
      <c r="AU215" s="46">
        <v>8520</v>
      </c>
      <c r="AV215" s="46">
        <v>8570</v>
      </c>
      <c r="AW215" s="46">
        <v>8630</v>
      </c>
      <c r="AX215" s="46">
        <v>8690</v>
      </c>
      <c r="AY215" s="46">
        <v>8760</v>
      </c>
      <c r="AZ215" s="46">
        <v>8820</v>
      </c>
      <c r="BA215" s="46">
        <v>8880</v>
      </c>
      <c r="BB215" s="46">
        <v>8930</v>
      </c>
      <c r="BC215" s="46">
        <v>8970</v>
      </c>
      <c r="BD215" s="46">
        <v>9000</v>
      </c>
      <c r="BE215" s="46">
        <v>9020</v>
      </c>
      <c r="BF215" s="46">
        <v>9030</v>
      </c>
      <c r="BG215" s="46">
        <v>9040</v>
      </c>
      <c r="BH215" s="46">
        <v>9040</v>
      </c>
      <c r="BI215" s="46">
        <v>9040</v>
      </c>
    </row>
    <row r="216" spans="1:61" x14ac:dyDescent="0.25">
      <c r="A216" s="11">
        <f>$A$31</f>
        <v>16</v>
      </c>
      <c r="M216" s="11"/>
      <c r="N216" s="11"/>
      <c r="O216" s="11"/>
      <c r="P216" s="11"/>
      <c r="Q216" s="11"/>
      <c r="R216" s="11"/>
      <c r="S216" s="11"/>
      <c r="T216" s="46">
        <v>15400</v>
      </c>
      <c r="U216" s="46">
        <v>15120</v>
      </c>
      <c r="V216" s="46">
        <v>15550</v>
      </c>
      <c r="W216" s="46">
        <v>15560</v>
      </c>
      <c r="X216" s="46">
        <v>15600</v>
      </c>
      <c r="Y216" s="46">
        <v>15610</v>
      </c>
      <c r="Z216" s="46">
        <v>15250</v>
      </c>
      <c r="AA216" s="46">
        <v>15290</v>
      </c>
      <c r="AB216" s="46">
        <v>15110</v>
      </c>
      <c r="AC216" s="46">
        <v>15340</v>
      </c>
      <c r="AD216" s="46">
        <v>15080</v>
      </c>
      <c r="AE216" s="46">
        <v>15110</v>
      </c>
      <c r="AF216" s="46">
        <v>14980</v>
      </c>
      <c r="AG216" s="46">
        <v>15060</v>
      </c>
      <c r="AH216" s="46">
        <v>15210</v>
      </c>
      <c r="AI216" s="46">
        <v>14090</v>
      </c>
      <c r="AJ216" s="46">
        <v>14170</v>
      </c>
      <c r="AK216" s="46">
        <v>14410</v>
      </c>
      <c r="AL216" s="46">
        <v>14450</v>
      </c>
      <c r="AM216" s="46">
        <v>14470</v>
      </c>
      <c r="AN216" s="46">
        <v>14480</v>
      </c>
      <c r="AO216" s="46">
        <v>14490</v>
      </c>
      <c r="AP216" s="46">
        <v>14500</v>
      </c>
      <c r="AQ216" s="46">
        <v>14510</v>
      </c>
      <c r="AR216" s="46">
        <v>14540</v>
      </c>
      <c r="AS216" s="46">
        <v>14570</v>
      </c>
      <c r="AT216" s="46">
        <v>14620</v>
      </c>
      <c r="AU216" s="46">
        <v>14690</v>
      </c>
      <c r="AV216" s="46">
        <v>14770</v>
      </c>
      <c r="AW216" s="46">
        <v>14860</v>
      </c>
      <c r="AX216" s="46">
        <v>14970</v>
      </c>
      <c r="AY216" s="46">
        <v>15080</v>
      </c>
      <c r="AZ216" s="46">
        <v>15190</v>
      </c>
      <c r="BA216" s="46">
        <v>15300</v>
      </c>
      <c r="BB216" s="46">
        <v>15390</v>
      </c>
      <c r="BC216" s="46">
        <v>15480</v>
      </c>
      <c r="BD216" s="46">
        <v>15550</v>
      </c>
      <c r="BE216" s="46">
        <v>15600</v>
      </c>
      <c r="BF216" s="46">
        <v>15640</v>
      </c>
      <c r="BG216" s="46">
        <v>15670</v>
      </c>
      <c r="BH216" s="46">
        <v>15680</v>
      </c>
      <c r="BI216" s="46">
        <v>15680</v>
      </c>
    </row>
    <row r="217" spans="1:61" x14ac:dyDescent="0.25">
      <c r="A217" s="11">
        <f>$A$32</f>
        <v>17</v>
      </c>
      <c r="M217" s="11"/>
      <c r="N217" s="11"/>
      <c r="O217" s="11"/>
      <c r="P217" s="11"/>
      <c r="Q217" s="11"/>
      <c r="R217" s="11"/>
      <c r="S217" s="11"/>
      <c r="T217" s="46">
        <v>20160</v>
      </c>
      <c r="U217" s="46">
        <v>20770</v>
      </c>
      <c r="V217" s="46">
        <v>20410</v>
      </c>
      <c r="W217" s="46">
        <v>20990</v>
      </c>
      <c r="X217" s="46">
        <v>21010</v>
      </c>
      <c r="Y217" s="46">
        <v>21080</v>
      </c>
      <c r="Z217" s="46">
        <v>21090</v>
      </c>
      <c r="AA217" s="46">
        <v>20610</v>
      </c>
      <c r="AB217" s="46">
        <v>20670</v>
      </c>
      <c r="AC217" s="46">
        <v>20440</v>
      </c>
      <c r="AD217" s="46">
        <v>20740</v>
      </c>
      <c r="AE217" s="46">
        <v>20400</v>
      </c>
      <c r="AF217" s="46">
        <v>20440</v>
      </c>
      <c r="AG217" s="46">
        <v>20270</v>
      </c>
      <c r="AH217" s="46">
        <v>20380</v>
      </c>
      <c r="AI217" s="46">
        <v>20570</v>
      </c>
      <c r="AJ217" s="46">
        <v>19070</v>
      </c>
      <c r="AK217" s="46">
        <v>19180</v>
      </c>
      <c r="AL217" s="46">
        <v>19510</v>
      </c>
      <c r="AM217" s="46">
        <v>19550</v>
      </c>
      <c r="AN217" s="46">
        <v>19580</v>
      </c>
      <c r="AO217" s="46">
        <v>19600</v>
      </c>
      <c r="AP217" s="46">
        <v>19620</v>
      </c>
      <c r="AQ217" s="46">
        <v>19630</v>
      </c>
      <c r="AR217" s="46">
        <v>19650</v>
      </c>
      <c r="AS217" s="46">
        <v>19680</v>
      </c>
      <c r="AT217" s="46">
        <v>19730</v>
      </c>
      <c r="AU217" s="46">
        <v>19800</v>
      </c>
      <c r="AV217" s="46">
        <v>19890</v>
      </c>
      <c r="AW217" s="46">
        <v>20000</v>
      </c>
      <c r="AX217" s="46">
        <v>20120</v>
      </c>
      <c r="AY217" s="46">
        <v>20260</v>
      </c>
      <c r="AZ217" s="46">
        <v>20410</v>
      </c>
      <c r="BA217" s="46">
        <v>20560</v>
      </c>
      <c r="BB217" s="46">
        <v>20710</v>
      </c>
      <c r="BC217" s="46">
        <v>20840</v>
      </c>
      <c r="BD217" s="46">
        <v>20950</v>
      </c>
      <c r="BE217" s="46">
        <v>21040</v>
      </c>
      <c r="BF217" s="46">
        <v>21120</v>
      </c>
      <c r="BG217" s="46">
        <v>21170</v>
      </c>
      <c r="BH217" s="46">
        <v>21210</v>
      </c>
      <c r="BI217" s="46">
        <v>21230</v>
      </c>
    </row>
    <row r="218" spans="1:61" x14ac:dyDescent="0.25">
      <c r="A218" s="11">
        <f>$A$33</f>
        <v>18</v>
      </c>
      <c r="M218" s="11"/>
      <c r="N218" s="11"/>
      <c r="O218" s="11"/>
      <c r="P218" s="11"/>
      <c r="Q218" s="11"/>
      <c r="R218" s="11"/>
      <c r="S218" s="11"/>
      <c r="T218" s="46">
        <v>22030</v>
      </c>
      <c r="U218" s="46">
        <v>23440</v>
      </c>
      <c r="V218" s="46">
        <v>24160</v>
      </c>
      <c r="W218" s="46">
        <v>23750</v>
      </c>
      <c r="X218" s="46">
        <v>24440</v>
      </c>
      <c r="Y218" s="46">
        <v>24470</v>
      </c>
      <c r="Z218" s="46">
        <v>24550</v>
      </c>
      <c r="AA218" s="46">
        <v>24570</v>
      </c>
      <c r="AB218" s="46">
        <v>24010</v>
      </c>
      <c r="AC218" s="46">
        <v>24080</v>
      </c>
      <c r="AD218" s="46">
        <v>23810</v>
      </c>
      <c r="AE218" s="46">
        <v>24160</v>
      </c>
      <c r="AF218" s="46">
        <v>23770</v>
      </c>
      <c r="AG218" s="46">
        <v>23820</v>
      </c>
      <c r="AH218" s="46">
        <v>23620</v>
      </c>
      <c r="AI218" s="46">
        <v>23750</v>
      </c>
      <c r="AJ218" s="46">
        <v>23980</v>
      </c>
      <c r="AK218" s="46">
        <v>22240</v>
      </c>
      <c r="AL218" s="46">
        <v>22370</v>
      </c>
      <c r="AM218" s="46">
        <v>22750</v>
      </c>
      <c r="AN218" s="46">
        <v>22800</v>
      </c>
      <c r="AO218" s="46">
        <v>22840</v>
      </c>
      <c r="AP218" s="46">
        <v>22860</v>
      </c>
      <c r="AQ218" s="46">
        <v>22880</v>
      </c>
      <c r="AR218" s="46">
        <v>22890</v>
      </c>
      <c r="AS218" s="46">
        <v>22920</v>
      </c>
      <c r="AT218" s="46">
        <v>22960</v>
      </c>
      <c r="AU218" s="46">
        <v>23010</v>
      </c>
      <c r="AV218" s="46">
        <v>23090</v>
      </c>
      <c r="AW218" s="46">
        <v>23200</v>
      </c>
      <c r="AX218" s="46">
        <v>23330</v>
      </c>
      <c r="AY218" s="46">
        <v>23470</v>
      </c>
      <c r="AZ218" s="46">
        <v>23640</v>
      </c>
      <c r="BA218" s="46">
        <v>23810</v>
      </c>
      <c r="BB218" s="46">
        <v>23990</v>
      </c>
      <c r="BC218" s="46">
        <v>24150</v>
      </c>
      <c r="BD218" s="46">
        <v>24300</v>
      </c>
      <c r="BE218" s="46">
        <v>24440</v>
      </c>
      <c r="BF218" s="46">
        <v>24550</v>
      </c>
      <c r="BG218" s="46">
        <v>24630</v>
      </c>
      <c r="BH218" s="46">
        <v>24700</v>
      </c>
      <c r="BI218" s="46">
        <v>24740</v>
      </c>
    </row>
    <row r="219" spans="1:61" x14ac:dyDescent="0.25">
      <c r="A219" s="11">
        <f>$A$34</f>
        <v>19</v>
      </c>
      <c r="M219" s="11"/>
      <c r="N219" s="11"/>
      <c r="O219" s="11"/>
      <c r="P219" s="11"/>
      <c r="Q219" s="11"/>
      <c r="R219" s="11"/>
      <c r="S219" s="11"/>
      <c r="T219" s="46">
        <v>23340</v>
      </c>
      <c r="U219" s="46">
        <v>23780</v>
      </c>
      <c r="V219" s="46">
        <v>25300</v>
      </c>
      <c r="W219" s="46">
        <v>26100</v>
      </c>
      <c r="X219" s="46">
        <v>25670</v>
      </c>
      <c r="Y219" s="46">
        <v>26410</v>
      </c>
      <c r="Z219" s="46">
        <v>26450</v>
      </c>
      <c r="AA219" s="46">
        <v>26530</v>
      </c>
      <c r="AB219" s="46">
        <v>26560</v>
      </c>
      <c r="AC219" s="46">
        <v>25960</v>
      </c>
      <c r="AD219" s="46">
        <v>26040</v>
      </c>
      <c r="AE219" s="46">
        <v>25750</v>
      </c>
      <c r="AF219" s="46">
        <v>26120</v>
      </c>
      <c r="AG219" s="46">
        <v>25700</v>
      </c>
      <c r="AH219" s="46">
        <v>25760</v>
      </c>
      <c r="AI219" s="46">
        <v>25550</v>
      </c>
      <c r="AJ219" s="46">
        <v>25680</v>
      </c>
      <c r="AK219" s="46">
        <v>25930</v>
      </c>
      <c r="AL219" s="46">
        <v>24070</v>
      </c>
      <c r="AM219" s="46">
        <v>24200</v>
      </c>
      <c r="AN219" s="46">
        <v>24620</v>
      </c>
      <c r="AO219" s="46">
        <v>24670</v>
      </c>
      <c r="AP219" s="46">
        <v>24710</v>
      </c>
      <c r="AQ219" s="46">
        <v>24740</v>
      </c>
      <c r="AR219" s="46">
        <v>24760</v>
      </c>
      <c r="AS219" s="46">
        <v>24780</v>
      </c>
      <c r="AT219" s="46">
        <v>24800</v>
      </c>
      <c r="AU219" s="46">
        <v>24850</v>
      </c>
      <c r="AV219" s="46">
        <v>24910</v>
      </c>
      <c r="AW219" s="46">
        <v>25000</v>
      </c>
      <c r="AX219" s="46">
        <v>25110</v>
      </c>
      <c r="AY219" s="46">
        <v>25250</v>
      </c>
      <c r="AZ219" s="46">
        <v>25410</v>
      </c>
      <c r="BA219" s="46">
        <v>25580</v>
      </c>
      <c r="BB219" s="46">
        <v>25770</v>
      </c>
      <c r="BC219" s="46">
        <v>25960</v>
      </c>
      <c r="BD219" s="46">
        <v>26140</v>
      </c>
      <c r="BE219" s="46">
        <v>26310</v>
      </c>
      <c r="BF219" s="46">
        <v>26450</v>
      </c>
      <c r="BG219" s="46">
        <v>26570</v>
      </c>
      <c r="BH219" s="46">
        <v>26660</v>
      </c>
      <c r="BI219" s="46">
        <v>26730</v>
      </c>
    </row>
    <row r="220" spans="1:61" x14ac:dyDescent="0.25">
      <c r="A220" s="11">
        <f>$A$35</f>
        <v>20</v>
      </c>
      <c r="M220" s="11"/>
      <c r="N220" s="11"/>
      <c r="O220" s="11"/>
      <c r="P220" s="11"/>
      <c r="Q220" s="11"/>
      <c r="R220" s="11"/>
      <c r="S220" s="11"/>
      <c r="T220" s="46">
        <v>23930</v>
      </c>
      <c r="U220" s="46">
        <v>23930</v>
      </c>
      <c r="V220" s="46">
        <v>24420</v>
      </c>
      <c r="W220" s="46">
        <v>26010</v>
      </c>
      <c r="X220" s="46">
        <v>26840</v>
      </c>
      <c r="Y220" s="46">
        <v>26430</v>
      </c>
      <c r="Z220" s="46">
        <v>27210</v>
      </c>
      <c r="AA220" s="46">
        <v>27260</v>
      </c>
      <c r="AB220" s="46">
        <v>27370</v>
      </c>
      <c r="AC220" s="46">
        <v>27400</v>
      </c>
      <c r="AD220" s="46">
        <v>26800</v>
      </c>
      <c r="AE220" s="46">
        <v>26890</v>
      </c>
      <c r="AF220" s="46">
        <v>26600</v>
      </c>
      <c r="AG220" s="46">
        <v>27000</v>
      </c>
      <c r="AH220" s="46">
        <v>26580</v>
      </c>
      <c r="AI220" s="46">
        <v>26640</v>
      </c>
      <c r="AJ220" s="46">
        <v>26430</v>
      </c>
      <c r="AK220" s="46">
        <v>26580</v>
      </c>
      <c r="AL220" s="46">
        <v>26850</v>
      </c>
      <c r="AM220" s="46">
        <v>24930</v>
      </c>
      <c r="AN220" s="46">
        <v>25080</v>
      </c>
      <c r="AO220" s="46">
        <v>25510</v>
      </c>
      <c r="AP220" s="46">
        <v>25570</v>
      </c>
      <c r="AQ220" s="46">
        <v>25620</v>
      </c>
      <c r="AR220" s="46">
        <v>25650</v>
      </c>
      <c r="AS220" s="46">
        <v>25670</v>
      </c>
      <c r="AT220" s="46">
        <v>25700</v>
      </c>
      <c r="AU220" s="46">
        <v>25730</v>
      </c>
      <c r="AV220" s="46">
        <v>25780</v>
      </c>
      <c r="AW220" s="46">
        <v>25850</v>
      </c>
      <c r="AX220" s="46">
        <v>25940</v>
      </c>
      <c r="AY220" s="46">
        <v>26060</v>
      </c>
      <c r="AZ220" s="46">
        <v>26200</v>
      </c>
      <c r="BA220" s="46">
        <v>26370</v>
      </c>
      <c r="BB220" s="46">
        <v>26560</v>
      </c>
      <c r="BC220" s="46">
        <v>26750</v>
      </c>
      <c r="BD220" s="46">
        <v>26950</v>
      </c>
      <c r="BE220" s="46">
        <v>27140</v>
      </c>
      <c r="BF220" s="46">
        <v>27310</v>
      </c>
      <c r="BG220" s="46">
        <v>27460</v>
      </c>
      <c r="BH220" s="46">
        <v>27580</v>
      </c>
      <c r="BI220" s="46">
        <v>27680</v>
      </c>
    </row>
    <row r="221" spans="1:61" x14ac:dyDescent="0.25">
      <c r="A221" s="11">
        <f>$A$36</f>
        <v>21</v>
      </c>
      <c r="M221" s="11"/>
      <c r="N221" s="11"/>
      <c r="O221" s="11"/>
      <c r="P221" s="11"/>
      <c r="Q221" s="11"/>
      <c r="R221" s="11"/>
      <c r="S221" s="11"/>
      <c r="T221" s="46">
        <v>24130</v>
      </c>
      <c r="U221" s="46">
        <v>24740</v>
      </c>
      <c r="V221" s="46">
        <v>24780</v>
      </c>
      <c r="W221" s="46">
        <v>25310</v>
      </c>
      <c r="X221" s="46">
        <v>26990</v>
      </c>
      <c r="Y221" s="46">
        <v>27870</v>
      </c>
      <c r="Z221" s="46">
        <v>27460</v>
      </c>
      <c r="AA221" s="46">
        <v>28280</v>
      </c>
      <c r="AB221" s="46">
        <v>28350</v>
      </c>
      <c r="AC221" s="46">
        <v>28460</v>
      </c>
      <c r="AD221" s="46">
        <v>28510</v>
      </c>
      <c r="AE221" s="46">
        <v>27890</v>
      </c>
      <c r="AF221" s="46">
        <v>28000</v>
      </c>
      <c r="AG221" s="46">
        <v>27700</v>
      </c>
      <c r="AH221" s="46">
        <v>28120</v>
      </c>
      <c r="AI221" s="46">
        <v>27690</v>
      </c>
      <c r="AJ221" s="46">
        <v>27760</v>
      </c>
      <c r="AK221" s="46">
        <v>27550</v>
      </c>
      <c r="AL221" s="46">
        <v>27710</v>
      </c>
      <c r="AM221" s="46">
        <v>27990</v>
      </c>
      <c r="AN221" s="46">
        <v>26000</v>
      </c>
      <c r="AO221" s="46">
        <v>26160</v>
      </c>
      <c r="AP221" s="46">
        <v>26610</v>
      </c>
      <c r="AQ221" s="46">
        <v>26690</v>
      </c>
      <c r="AR221" s="46">
        <v>26740</v>
      </c>
      <c r="AS221" s="46">
        <v>26770</v>
      </c>
      <c r="AT221" s="46">
        <v>26800</v>
      </c>
      <c r="AU221" s="46">
        <v>26830</v>
      </c>
      <c r="AV221" s="46">
        <v>26870</v>
      </c>
      <c r="AW221" s="46">
        <v>26920</v>
      </c>
      <c r="AX221" s="46">
        <v>26990</v>
      </c>
      <c r="AY221" s="46">
        <v>27090</v>
      </c>
      <c r="AZ221" s="46">
        <v>27220</v>
      </c>
      <c r="BA221" s="46">
        <v>27370</v>
      </c>
      <c r="BB221" s="46">
        <v>27550</v>
      </c>
      <c r="BC221" s="46">
        <v>27740</v>
      </c>
      <c r="BD221" s="46">
        <v>27950</v>
      </c>
      <c r="BE221" s="46">
        <v>28160</v>
      </c>
      <c r="BF221" s="46">
        <v>28360</v>
      </c>
      <c r="BG221" s="46">
        <v>28540</v>
      </c>
      <c r="BH221" s="46">
        <v>28690</v>
      </c>
      <c r="BI221" s="46">
        <v>28830</v>
      </c>
    </row>
    <row r="222" spans="1:61" x14ac:dyDescent="0.25">
      <c r="A222" s="11">
        <f>$A$37</f>
        <v>22</v>
      </c>
      <c r="M222" s="11"/>
      <c r="N222" s="11"/>
      <c r="O222" s="11"/>
      <c r="P222" s="11"/>
      <c r="Q222" s="11"/>
      <c r="R222" s="11"/>
      <c r="S222" s="11"/>
      <c r="T222" s="46">
        <v>25110</v>
      </c>
      <c r="U222" s="46">
        <v>24970</v>
      </c>
      <c r="V222" s="46">
        <v>25650</v>
      </c>
      <c r="W222" s="46">
        <v>25710</v>
      </c>
      <c r="X222" s="46">
        <v>26290</v>
      </c>
      <c r="Y222" s="46">
        <v>28040</v>
      </c>
      <c r="Z222" s="46">
        <v>28970</v>
      </c>
      <c r="AA222" s="46">
        <v>28540</v>
      </c>
      <c r="AB222" s="46">
        <v>29400</v>
      </c>
      <c r="AC222" s="46">
        <v>29470</v>
      </c>
      <c r="AD222" s="46">
        <v>29590</v>
      </c>
      <c r="AE222" s="46">
        <v>29640</v>
      </c>
      <c r="AF222" s="46">
        <v>29000</v>
      </c>
      <c r="AG222" s="46">
        <v>29120</v>
      </c>
      <c r="AH222" s="46">
        <v>28810</v>
      </c>
      <c r="AI222" s="46">
        <v>29250</v>
      </c>
      <c r="AJ222" s="46">
        <v>28810</v>
      </c>
      <c r="AK222" s="46">
        <v>28880</v>
      </c>
      <c r="AL222" s="46">
        <v>28670</v>
      </c>
      <c r="AM222" s="46">
        <v>28840</v>
      </c>
      <c r="AN222" s="46">
        <v>29130</v>
      </c>
      <c r="AO222" s="46">
        <v>27070</v>
      </c>
      <c r="AP222" s="46">
        <v>27230</v>
      </c>
      <c r="AQ222" s="46">
        <v>27700</v>
      </c>
      <c r="AR222" s="46">
        <v>27780</v>
      </c>
      <c r="AS222" s="46">
        <v>27840</v>
      </c>
      <c r="AT222" s="46">
        <v>27880</v>
      </c>
      <c r="AU222" s="46">
        <v>27910</v>
      </c>
      <c r="AV222" s="46">
        <v>27940</v>
      </c>
      <c r="AW222" s="46">
        <v>27980</v>
      </c>
      <c r="AX222" s="46">
        <v>28040</v>
      </c>
      <c r="AY222" s="46">
        <v>28110</v>
      </c>
      <c r="AZ222" s="46">
        <v>28220</v>
      </c>
      <c r="BA222" s="46">
        <v>28350</v>
      </c>
      <c r="BB222" s="46">
        <v>28520</v>
      </c>
      <c r="BC222" s="46">
        <v>28700</v>
      </c>
      <c r="BD222" s="46">
        <v>28900</v>
      </c>
      <c r="BE222" s="46">
        <v>29120</v>
      </c>
      <c r="BF222" s="46">
        <v>29340</v>
      </c>
      <c r="BG222" s="46">
        <v>29550</v>
      </c>
      <c r="BH222" s="46">
        <v>29740</v>
      </c>
      <c r="BI222" s="46">
        <v>29900</v>
      </c>
    </row>
    <row r="223" spans="1:61" x14ac:dyDescent="0.25">
      <c r="A223" s="11">
        <f>$A$38</f>
        <v>23</v>
      </c>
      <c r="M223" s="11"/>
      <c r="N223" s="11"/>
      <c r="O223" s="11"/>
      <c r="P223" s="11"/>
      <c r="Q223" s="11"/>
      <c r="R223" s="11"/>
      <c r="S223" s="11"/>
      <c r="T223" s="46">
        <v>26240</v>
      </c>
      <c r="U223" s="46">
        <v>25590</v>
      </c>
      <c r="V223" s="46">
        <v>25520</v>
      </c>
      <c r="W223" s="46">
        <v>26260</v>
      </c>
      <c r="X223" s="46">
        <v>26360</v>
      </c>
      <c r="Y223" s="46">
        <v>26970</v>
      </c>
      <c r="Z223" s="46">
        <v>28790</v>
      </c>
      <c r="AA223" s="46">
        <v>29760</v>
      </c>
      <c r="AB223" s="46">
        <v>29340</v>
      </c>
      <c r="AC223" s="46">
        <v>30240</v>
      </c>
      <c r="AD223" s="46">
        <v>30330</v>
      </c>
      <c r="AE223" s="46">
        <v>30470</v>
      </c>
      <c r="AF223" s="46">
        <v>30530</v>
      </c>
      <c r="AG223" s="46">
        <v>29890</v>
      </c>
      <c r="AH223" s="46">
        <v>30020</v>
      </c>
      <c r="AI223" s="46">
        <v>29720</v>
      </c>
      <c r="AJ223" s="46">
        <v>30180</v>
      </c>
      <c r="AK223" s="46">
        <v>29730</v>
      </c>
      <c r="AL223" s="46">
        <v>29820</v>
      </c>
      <c r="AM223" s="46">
        <v>29610</v>
      </c>
      <c r="AN223" s="46">
        <v>29790</v>
      </c>
      <c r="AO223" s="46">
        <v>30100</v>
      </c>
      <c r="AP223" s="46">
        <v>27990</v>
      </c>
      <c r="AQ223" s="46">
        <v>28160</v>
      </c>
      <c r="AR223" s="46">
        <v>28650</v>
      </c>
      <c r="AS223" s="46">
        <v>28740</v>
      </c>
      <c r="AT223" s="46">
        <v>28800</v>
      </c>
      <c r="AU223" s="46">
        <v>28850</v>
      </c>
      <c r="AV223" s="46">
        <v>28890</v>
      </c>
      <c r="AW223" s="46">
        <v>28920</v>
      </c>
      <c r="AX223" s="46">
        <v>28970</v>
      </c>
      <c r="AY223" s="46">
        <v>29030</v>
      </c>
      <c r="AZ223" s="46">
        <v>29120</v>
      </c>
      <c r="BA223" s="46">
        <v>29230</v>
      </c>
      <c r="BB223" s="46">
        <v>29370</v>
      </c>
      <c r="BC223" s="46">
        <v>29540</v>
      </c>
      <c r="BD223" s="46">
        <v>29730</v>
      </c>
      <c r="BE223" s="46">
        <v>29950</v>
      </c>
      <c r="BF223" s="46">
        <v>30170</v>
      </c>
      <c r="BG223" s="46">
        <v>30400</v>
      </c>
      <c r="BH223" s="46">
        <v>30620</v>
      </c>
      <c r="BI223" s="46">
        <v>30820</v>
      </c>
    </row>
    <row r="224" spans="1:61" x14ac:dyDescent="0.25">
      <c r="A224" s="11">
        <f>$A$39</f>
        <v>24</v>
      </c>
      <c r="M224" s="11"/>
      <c r="N224" s="11"/>
      <c r="O224" s="11"/>
      <c r="P224" s="11"/>
      <c r="Q224" s="11"/>
      <c r="R224" s="11"/>
      <c r="S224" s="11"/>
      <c r="T224" s="46">
        <v>26890</v>
      </c>
      <c r="U224" s="46">
        <v>26550</v>
      </c>
      <c r="V224" s="46">
        <v>25980</v>
      </c>
      <c r="W224" s="46">
        <v>25970</v>
      </c>
      <c r="X224" s="46">
        <v>26760</v>
      </c>
      <c r="Y224" s="46">
        <v>26910</v>
      </c>
      <c r="Z224" s="46">
        <v>27570</v>
      </c>
      <c r="AA224" s="46">
        <v>29440</v>
      </c>
      <c r="AB224" s="46">
        <v>30450</v>
      </c>
      <c r="AC224" s="46">
        <v>30050</v>
      </c>
      <c r="AD224" s="46">
        <v>30980</v>
      </c>
      <c r="AE224" s="46">
        <v>31090</v>
      </c>
      <c r="AF224" s="46">
        <v>31260</v>
      </c>
      <c r="AG224" s="46">
        <v>31340</v>
      </c>
      <c r="AH224" s="46">
        <v>30710</v>
      </c>
      <c r="AI224" s="46">
        <v>30850</v>
      </c>
      <c r="AJ224" s="46">
        <v>30560</v>
      </c>
      <c r="AK224" s="46">
        <v>31050</v>
      </c>
      <c r="AL224" s="46">
        <v>30610</v>
      </c>
      <c r="AM224" s="46">
        <v>30710</v>
      </c>
      <c r="AN224" s="46">
        <v>30500</v>
      </c>
      <c r="AO224" s="46">
        <v>30700</v>
      </c>
      <c r="AP224" s="46">
        <v>31030</v>
      </c>
      <c r="AQ224" s="46">
        <v>28880</v>
      </c>
      <c r="AR224" s="46">
        <v>29070</v>
      </c>
      <c r="AS224" s="46">
        <v>29580</v>
      </c>
      <c r="AT224" s="46">
        <v>29670</v>
      </c>
      <c r="AU224" s="46">
        <v>29750</v>
      </c>
      <c r="AV224" s="46">
        <v>29800</v>
      </c>
      <c r="AW224" s="46">
        <v>29840</v>
      </c>
      <c r="AX224" s="46">
        <v>29890</v>
      </c>
      <c r="AY224" s="46">
        <v>29940</v>
      </c>
      <c r="AZ224" s="46">
        <v>30010</v>
      </c>
      <c r="BA224" s="46">
        <v>30100</v>
      </c>
      <c r="BB224" s="46">
        <v>30220</v>
      </c>
      <c r="BC224" s="46">
        <v>30370</v>
      </c>
      <c r="BD224" s="46">
        <v>30550</v>
      </c>
      <c r="BE224" s="46">
        <v>30750</v>
      </c>
      <c r="BF224" s="46">
        <v>30970</v>
      </c>
      <c r="BG224" s="46">
        <v>31210</v>
      </c>
      <c r="BH224" s="46">
        <v>31440</v>
      </c>
      <c r="BI224" s="46">
        <v>31670</v>
      </c>
    </row>
    <row r="225" spans="1:61" x14ac:dyDescent="0.25">
      <c r="A225" s="11">
        <f>$A$40</f>
        <v>25</v>
      </c>
      <c r="M225" s="11"/>
      <c r="N225" s="11"/>
      <c r="O225" s="11"/>
      <c r="P225" s="11"/>
      <c r="Q225" s="11"/>
      <c r="R225" s="11"/>
      <c r="S225" s="11"/>
      <c r="T225" s="46">
        <v>26180</v>
      </c>
      <c r="U225" s="46">
        <v>27430</v>
      </c>
      <c r="V225" s="46">
        <v>27160</v>
      </c>
      <c r="W225" s="46">
        <v>26620</v>
      </c>
      <c r="X225" s="46">
        <v>26640</v>
      </c>
      <c r="Y225" s="46">
        <v>27480</v>
      </c>
      <c r="Z225" s="46">
        <v>27650</v>
      </c>
      <c r="AA225" s="46">
        <v>28330</v>
      </c>
      <c r="AB225" s="46">
        <v>30240</v>
      </c>
      <c r="AC225" s="46">
        <v>31280</v>
      </c>
      <c r="AD225" s="46">
        <v>30890</v>
      </c>
      <c r="AE225" s="46">
        <v>31850</v>
      </c>
      <c r="AF225" s="46">
        <v>31970</v>
      </c>
      <c r="AG225" s="46">
        <v>32150</v>
      </c>
      <c r="AH225" s="46">
        <v>32240</v>
      </c>
      <c r="AI225" s="46">
        <v>31610</v>
      </c>
      <c r="AJ225" s="46">
        <v>31770</v>
      </c>
      <c r="AK225" s="46">
        <v>31480</v>
      </c>
      <c r="AL225" s="46">
        <v>31980</v>
      </c>
      <c r="AM225" s="46">
        <v>31540</v>
      </c>
      <c r="AN225" s="46">
        <v>31650</v>
      </c>
      <c r="AO225" s="46">
        <v>31450</v>
      </c>
      <c r="AP225" s="46">
        <v>31650</v>
      </c>
      <c r="AQ225" s="46">
        <v>31990</v>
      </c>
      <c r="AR225" s="46">
        <v>29810</v>
      </c>
      <c r="AS225" s="46">
        <v>30010</v>
      </c>
      <c r="AT225" s="46">
        <v>30530</v>
      </c>
      <c r="AU225" s="46">
        <v>30630</v>
      </c>
      <c r="AV225" s="46">
        <v>30710</v>
      </c>
      <c r="AW225" s="46">
        <v>30770</v>
      </c>
      <c r="AX225" s="46">
        <v>30820</v>
      </c>
      <c r="AY225" s="46">
        <v>30870</v>
      </c>
      <c r="AZ225" s="46">
        <v>30930</v>
      </c>
      <c r="BA225" s="46">
        <v>31000</v>
      </c>
      <c r="BB225" s="46">
        <v>31100</v>
      </c>
      <c r="BC225" s="46">
        <v>31220</v>
      </c>
      <c r="BD225" s="46">
        <v>31380</v>
      </c>
      <c r="BE225" s="46">
        <v>31560</v>
      </c>
      <c r="BF225" s="46">
        <v>31770</v>
      </c>
      <c r="BG225" s="46">
        <v>32000</v>
      </c>
      <c r="BH225" s="46">
        <v>32240</v>
      </c>
      <c r="BI225" s="46">
        <v>32480</v>
      </c>
    </row>
    <row r="226" spans="1:61" x14ac:dyDescent="0.25">
      <c r="A226" s="11">
        <f>$A$41</f>
        <v>26</v>
      </c>
      <c r="M226" s="11"/>
      <c r="N226" s="11"/>
      <c r="O226" s="11"/>
      <c r="P226" s="11"/>
      <c r="Q226" s="11"/>
      <c r="R226" s="11"/>
      <c r="S226" s="11"/>
      <c r="T226" s="46">
        <v>27420</v>
      </c>
      <c r="U226" s="46">
        <v>26510</v>
      </c>
      <c r="V226" s="46">
        <v>27830</v>
      </c>
      <c r="W226" s="46">
        <v>27600</v>
      </c>
      <c r="X226" s="46">
        <v>27090</v>
      </c>
      <c r="Y226" s="46">
        <v>27140</v>
      </c>
      <c r="Z226" s="46">
        <v>28000</v>
      </c>
      <c r="AA226" s="46">
        <v>28180</v>
      </c>
      <c r="AB226" s="46">
        <v>28880</v>
      </c>
      <c r="AC226" s="46">
        <v>30800</v>
      </c>
      <c r="AD226" s="46">
        <v>31850</v>
      </c>
      <c r="AE226" s="46">
        <v>31470</v>
      </c>
      <c r="AF226" s="46">
        <v>32440</v>
      </c>
      <c r="AG226" s="46">
        <v>32570</v>
      </c>
      <c r="AH226" s="46">
        <v>32760</v>
      </c>
      <c r="AI226" s="46">
        <v>32860</v>
      </c>
      <c r="AJ226" s="46">
        <v>32230</v>
      </c>
      <c r="AK226" s="46">
        <v>32400</v>
      </c>
      <c r="AL226" s="46">
        <v>32120</v>
      </c>
      <c r="AM226" s="46">
        <v>32620</v>
      </c>
      <c r="AN226" s="46">
        <v>32190</v>
      </c>
      <c r="AO226" s="46">
        <v>32300</v>
      </c>
      <c r="AP226" s="46">
        <v>32100</v>
      </c>
      <c r="AQ226" s="46">
        <v>32320</v>
      </c>
      <c r="AR226" s="46">
        <v>32660</v>
      </c>
      <c r="AS226" s="46">
        <v>30480</v>
      </c>
      <c r="AT226" s="46">
        <v>30680</v>
      </c>
      <c r="AU226" s="46">
        <v>31210</v>
      </c>
      <c r="AV226" s="46">
        <v>31320</v>
      </c>
      <c r="AW226" s="46">
        <v>31400</v>
      </c>
      <c r="AX226" s="46">
        <v>31460</v>
      </c>
      <c r="AY226" s="46">
        <v>31510</v>
      </c>
      <c r="AZ226" s="46">
        <v>31570</v>
      </c>
      <c r="BA226" s="46">
        <v>31630</v>
      </c>
      <c r="BB226" s="46">
        <v>31700</v>
      </c>
      <c r="BC226" s="46">
        <v>31800</v>
      </c>
      <c r="BD226" s="46">
        <v>31930</v>
      </c>
      <c r="BE226" s="46">
        <v>32090</v>
      </c>
      <c r="BF226" s="46">
        <v>32280</v>
      </c>
      <c r="BG226" s="46">
        <v>32490</v>
      </c>
      <c r="BH226" s="46">
        <v>32720</v>
      </c>
      <c r="BI226" s="46">
        <v>32970</v>
      </c>
    </row>
    <row r="227" spans="1:61" x14ac:dyDescent="0.25">
      <c r="A227" s="11">
        <f>$A$42</f>
        <v>27</v>
      </c>
      <c r="M227" s="11"/>
      <c r="N227" s="11"/>
      <c r="O227" s="11"/>
      <c r="P227" s="11"/>
      <c r="Q227" s="11"/>
      <c r="R227" s="11"/>
      <c r="S227" s="11"/>
      <c r="T227" s="46">
        <v>28150</v>
      </c>
      <c r="U227" s="46">
        <v>27890</v>
      </c>
      <c r="V227" s="46">
        <v>27040</v>
      </c>
      <c r="W227" s="46">
        <v>28390</v>
      </c>
      <c r="X227" s="46">
        <v>28190</v>
      </c>
      <c r="Y227" s="46">
        <v>27700</v>
      </c>
      <c r="Z227" s="46">
        <v>27760</v>
      </c>
      <c r="AA227" s="46">
        <v>28630</v>
      </c>
      <c r="AB227" s="46">
        <v>28820</v>
      </c>
      <c r="AC227" s="46">
        <v>29520</v>
      </c>
      <c r="AD227" s="46">
        <v>31450</v>
      </c>
      <c r="AE227" s="46">
        <v>32510</v>
      </c>
      <c r="AF227" s="46">
        <v>32130</v>
      </c>
      <c r="AG227" s="46">
        <v>33100</v>
      </c>
      <c r="AH227" s="46">
        <v>33240</v>
      </c>
      <c r="AI227" s="46">
        <v>33430</v>
      </c>
      <c r="AJ227" s="46">
        <v>33540</v>
      </c>
      <c r="AK227" s="46">
        <v>32910</v>
      </c>
      <c r="AL227" s="46">
        <v>33080</v>
      </c>
      <c r="AM227" s="46">
        <v>32800</v>
      </c>
      <c r="AN227" s="46">
        <v>33310</v>
      </c>
      <c r="AO227" s="46">
        <v>32880</v>
      </c>
      <c r="AP227" s="46">
        <v>32990</v>
      </c>
      <c r="AQ227" s="46">
        <v>32800</v>
      </c>
      <c r="AR227" s="46">
        <v>33010</v>
      </c>
      <c r="AS227" s="46">
        <v>33360</v>
      </c>
      <c r="AT227" s="46">
        <v>31180</v>
      </c>
      <c r="AU227" s="46">
        <v>31390</v>
      </c>
      <c r="AV227" s="46">
        <v>31920</v>
      </c>
      <c r="AW227" s="46">
        <v>32030</v>
      </c>
      <c r="AX227" s="46">
        <v>32110</v>
      </c>
      <c r="AY227" s="46">
        <v>32180</v>
      </c>
      <c r="AZ227" s="46">
        <v>32230</v>
      </c>
      <c r="BA227" s="46">
        <v>32290</v>
      </c>
      <c r="BB227" s="46">
        <v>32350</v>
      </c>
      <c r="BC227" s="46">
        <v>32430</v>
      </c>
      <c r="BD227" s="46">
        <v>32530</v>
      </c>
      <c r="BE227" s="46">
        <v>32660</v>
      </c>
      <c r="BF227" s="46">
        <v>32820</v>
      </c>
      <c r="BG227" s="46">
        <v>33020</v>
      </c>
      <c r="BH227" s="46">
        <v>33230</v>
      </c>
      <c r="BI227" s="46">
        <v>33470</v>
      </c>
    </row>
    <row r="228" spans="1:61" x14ac:dyDescent="0.25">
      <c r="A228" s="11">
        <f>$A$43</f>
        <v>28</v>
      </c>
      <c r="M228" s="11"/>
      <c r="N228" s="11"/>
      <c r="O228" s="11"/>
      <c r="P228" s="11"/>
      <c r="Q228" s="11"/>
      <c r="R228" s="11"/>
      <c r="S228" s="11"/>
      <c r="T228" s="46">
        <v>28810</v>
      </c>
      <c r="U228" s="46">
        <v>28700</v>
      </c>
      <c r="V228" s="46">
        <v>28490</v>
      </c>
      <c r="W228" s="46">
        <v>27670</v>
      </c>
      <c r="X228" s="46">
        <v>29040</v>
      </c>
      <c r="Y228" s="46">
        <v>28850</v>
      </c>
      <c r="Z228" s="46">
        <v>28370</v>
      </c>
      <c r="AA228" s="46">
        <v>28440</v>
      </c>
      <c r="AB228" s="46">
        <v>29310</v>
      </c>
      <c r="AC228" s="46">
        <v>29500</v>
      </c>
      <c r="AD228" s="46">
        <v>30210</v>
      </c>
      <c r="AE228" s="46">
        <v>32140</v>
      </c>
      <c r="AF228" s="46">
        <v>33200</v>
      </c>
      <c r="AG228" s="46">
        <v>32820</v>
      </c>
      <c r="AH228" s="46">
        <v>33800</v>
      </c>
      <c r="AI228" s="46">
        <v>33930</v>
      </c>
      <c r="AJ228" s="46">
        <v>34120</v>
      </c>
      <c r="AK228" s="46">
        <v>34230</v>
      </c>
      <c r="AL228" s="46">
        <v>33610</v>
      </c>
      <c r="AM228" s="46">
        <v>33780</v>
      </c>
      <c r="AN228" s="46">
        <v>33500</v>
      </c>
      <c r="AO228" s="46">
        <v>34010</v>
      </c>
      <c r="AP228" s="46">
        <v>33580</v>
      </c>
      <c r="AQ228" s="46">
        <v>33700</v>
      </c>
      <c r="AR228" s="46">
        <v>33510</v>
      </c>
      <c r="AS228" s="46">
        <v>33720</v>
      </c>
      <c r="AT228" s="46">
        <v>34070</v>
      </c>
      <c r="AU228" s="46">
        <v>31890</v>
      </c>
      <c r="AV228" s="46">
        <v>32100</v>
      </c>
      <c r="AW228" s="46">
        <v>32630</v>
      </c>
      <c r="AX228" s="46">
        <v>32740</v>
      </c>
      <c r="AY228" s="46">
        <v>32830</v>
      </c>
      <c r="AZ228" s="46">
        <v>32900</v>
      </c>
      <c r="BA228" s="46">
        <v>32950</v>
      </c>
      <c r="BB228" s="46">
        <v>33010</v>
      </c>
      <c r="BC228" s="46">
        <v>33080</v>
      </c>
      <c r="BD228" s="46">
        <v>33160</v>
      </c>
      <c r="BE228" s="46">
        <v>33260</v>
      </c>
      <c r="BF228" s="46">
        <v>33390</v>
      </c>
      <c r="BG228" s="46">
        <v>33560</v>
      </c>
      <c r="BH228" s="46">
        <v>33750</v>
      </c>
      <c r="BI228" s="46">
        <v>33970</v>
      </c>
    </row>
    <row r="229" spans="1:61" x14ac:dyDescent="0.25">
      <c r="A229" s="11">
        <f>$A$44</f>
        <v>29</v>
      </c>
      <c r="M229" s="11"/>
      <c r="N229" s="11"/>
      <c r="O229" s="11"/>
      <c r="P229" s="11"/>
      <c r="Q229" s="11"/>
      <c r="R229" s="11"/>
      <c r="S229" s="11"/>
      <c r="T229" s="46">
        <v>30220</v>
      </c>
      <c r="U229" s="46">
        <v>29410</v>
      </c>
      <c r="V229" s="46">
        <v>29340</v>
      </c>
      <c r="W229" s="46">
        <v>29150</v>
      </c>
      <c r="X229" s="46">
        <v>28350</v>
      </c>
      <c r="Y229" s="46">
        <v>29730</v>
      </c>
      <c r="Z229" s="46">
        <v>29550</v>
      </c>
      <c r="AA229" s="46">
        <v>29070</v>
      </c>
      <c r="AB229" s="46">
        <v>29140</v>
      </c>
      <c r="AC229" s="46">
        <v>30020</v>
      </c>
      <c r="AD229" s="46">
        <v>30200</v>
      </c>
      <c r="AE229" s="46">
        <v>30910</v>
      </c>
      <c r="AF229" s="46">
        <v>32850</v>
      </c>
      <c r="AG229" s="46">
        <v>33910</v>
      </c>
      <c r="AH229" s="46">
        <v>33530</v>
      </c>
      <c r="AI229" s="46">
        <v>34510</v>
      </c>
      <c r="AJ229" s="46">
        <v>34640</v>
      </c>
      <c r="AK229" s="46">
        <v>34830</v>
      </c>
      <c r="AL229" s="46">
        <v>34950</v>
      </c>
      <c r="AM229" s="46">
        <v>34320</v>
      </c>
      <c r="AN229" s="46">
        <v>34490</v>
      </c>
      <c r="AO229" s="46">
        <v>34210</v>
      </c>
      <c r="AP229" s="46">
        <v>34730</v>
      </c>
      <c r="AQ229" s="46">
        <v>34290</v>
      </c>
      <c r="AR229" s="46">
        <v>34410</v>
      </c>
      <c r="AS229" s="46">
        <v>34220</v>
      </c>
      <c r="AT229" s="46">
        <v>34440</v>
      </c>
      <c r="AU229" s="46">
        <v>34780</v>
      </c>
      <c r="AV229" s="46">
        <v>32610</v>
      </c>
      <c r="AW229" s="46">
        <v>32810</v>
      </c>
      <c r="AX229" s="46">
        <v>33350</v>
      </c>
      <c r="AY229" s="46">
        <v>33460</v>
      </c>
      <c r="AZ229" s="46">
        <v>33550</v>
      </c>
      <c r="BA229" s="46">
        <v>33620</v>
      </c>
      <c r="BB229" s="46">
        <v>33680</v>
      </c>
      <c r="BC229" s="46">
        <v>33740</v>
      </c>
      <c r="BD229" s="46">
        <v>33800</v>
      </c>
      <c r="BE229" s="46">
        <v>33890</v>
      </c>
      <c r="BF229" s="46">
        <v>33990</v>
      </c>
      <c r="BG229" s="46">
        <v>34130</v>
      </c>
      <c r="BH229" s="46">
        <v>34290</v>
      </c>
      <c r="BI229" s="46">
        <v>34490</v>
      </c>
    </row>
    <row r="230" spans="1:61" x14ac:dyDescent="0.25">
      <c r="A230" s="11">
        <f>$A$45</f>
        <v>30</v>
      </c>
      <c r="M230" s="11"/>
      <c r="N230" s="11"/>
      <c r="O230" s="11"/>
      <c r="P230" s="11"/>
      <c r="Q230" s="11"/>
      <c r="R230" s="11"/>
      <c r="S230" s="11"/>
      <c r="T230" s="46">
        <v>31050</v>
      </c>
      <c r="U230" s="46">
        <v>30870</v>
      </c>
      <c r="V230" s="46">
        <v>30080</v>
      </c>
      <c r="W230" s="46">
        <v>30030</v>
      </c>
      <c r="X230" s="46">
        <v>29860</v>
      </c>
      <c r="Y230" s="46">
        <v>29050</v>
      </c>
      <c r="Z230" s="46">
        <v>30450</v>
      </c>
      <c r="AA230" s="46">
        <v>30270</v>
      </c>
      <c r="AB230" s="46">
        <v>29790</v>
      </c>
      <c r="AC230" s="46">
        <v>29850</v>
      </c>
      <c r="AD230" s="46">
        <v>30730</v>
      </c>
      <c r="AE230" s="46">
        <v>30910</v>
      </c>
      <c r="AF230" s="46">
        <v>31620</v>
      </c>
      <c r="AG230" s="46">
        <v>33560</v>
      </c>
      <c r="AH230" s="46">
        <v>34620</v>
      </c>
      <c r="AI230" s="46">
        <v>34240</v>
      </c>
      <c r="AJ230" s="46">
        <v>35220</v>
      </c>
      <c r="AK230" s="46">
        <v>35350</v>
      </c>
      <c r="AL230" s="46">
        <v>35540</v>
      </c>
      <c r="AM230" s="46">
        <v>35650</v>
      </c>
      <c r="AN230" s="46">
        <v>35020</v>
      </c>
      <c r="AO230" s="46">
        <v>35190</v>
      </c>
      <c r="AP230" s="46">
        <v>34920</v>
      </c>
      <c r="AQ230" s="46">
        <v>35430</v>
      </c>
      <c r="AR230" s="46">
        <v>35000</v>
      </c>
      <c r="AS230" s="46">
        <v>35120</v>
      </c>
      <c r="AT230" s="46">
        <v>34920</v>
      </c>
      <c r="AU230" s="46">
        <v>35140</v>
      </c>
      <c r="AV230" s="46">
        <v>35490</v>
      </c>
      <c r="AW230" s="46">
        <v>33310</v>
      </c>
      <c r="AX230" s="46">
        <v>33520</v>
      </c>
      <c r="AY230" s="46">
        <v>34060</v>
      </c>
      <c r="AZ230" s="46">
        <v>34170</v>
      </c>
      <c r="BA230" s="46">
        <v>34260</v>
      </c>
      <c r="BB230" s="46">
        <v>34330</v>
      </c>
      <c r="BC230" s="46">
        <v>34390</v>
      </c>
      <c r="BD230" s="46">
        <v>34450</v>
      </c>
      <c r="BE230" s="46">
        <v>34520</v>
      </c>
      <c r="BF230" s="46">
        <v>34600</v>
      </c>
      <c r="BG230" s="46">
        <v>34710</v>
      </c>
      <c r="BH230" s="46">
        <v>34850</v>
      </c>
      <c r="BI230" s="46">
        <v>35020</v>
      </c>
    </row>
    <row r="231" spans="1:61" x14ac:dyDescent="0.25">
      <c r="A231" s="11">
        <f>$A$46</f>
        <v>31</v>
      </c>
      <c r="M231" s="11"/>
      <c r="N231" s="11"/>
      <c r="O231" s="11"/>
      <c r="P231" s="11"/>
      <c r="Q231" s="11"/>
      <c r="R231" s="11"/>
      <c r="S231" s="11"/>
      <c r="T231" s="46">
        <v>32720</v>
      </c>
      <c r="U231" s="46">
        <v>31740</v>
      </c>
      <c r="V231" s="46">
        <v>31590</v>
      </c>
      <c r="W231" s="46">
        <v>30820</v>
      </c>
      <c r="X231" s="46">
        <v>30780</v>
      </c>
      <c r="Y231" s="46">
        <v>30610</v>
      </c>
      <c r="Z231" s="46">
        <v>29810</v>
      </c>
      <c r="AA231" s="46">
        <v>31210</v>
      </c>
      <c r="AB231" s="46">
        <v>31020</v>
      </c>
      <c r="AC231" s="46">
        <v>30540</v>
      </c>
      <c r="AD231" s="46">
        <v>30600</v>
      </c>
      <c r="AE231" s="46">
        <v>31480</v>
      </c>
      <c r="AF231" s="46">
        <v>31660</v>
      </c>
      <c r="AG231" s="46">
        <v>32370</v>
      </c>
      <c r="AH231" s="46">
        <v>34320</v>
      </c>
      <c r="AI231" s="46">
        <v>35390</v>
      </c>
      <c r="AJ231" s="46">
        <v>35000</v>
      </c>
      <c r="AK231" s="46">
        <v>35980</v>
      </c>
      <c r="AL231" s="46">
        <v>36120</v>
      </c>
      <c r="AM231" s="46">
        <v>36310</v>
      </c>
      <c r="AN231" s="46">
        <v>36420</v>
      </c>
      <c r="AO231" s="46">
        <v>35780</v>
      </c>
      <c r="AP231" s="46">
        <v>35950</v>
      </c>
      <c r="AQ231" s="46">
        <v>35670</v>
      </c>
      <c r="AR231" s="46">
        <v>36190</v>
      </c>
      <c r="AS231" s="46">
        <v>35750</v>
      </c>
      <c r="AT231" s="46">
        <v>35870</v>
      </c>
      <c r="AU231" s="46">
        <v>35680</v>
      </c>
      <c r="AV231" s="46">
        <v>35900</v>
      </c>
      <c r="AW231" s="46">
        <v>36250</v>
      </c>
      <c r="AX231" s="46">
        <v>34060</v>
      </c>
      <c r="AY231" s="46">
        <v>34270</v>
      </c>
      <c r="AZ231" s="46">
        <v>34810</v>
      </c>
      <c r="BA231" s="46">
        <v>34930</v>
      </c>
      <c r="BB231" s="46">
        <v>35020</v>
      </c>
      <c r="BC231" s="46">
        <v>35090</v>
      </c>
      <c r="BD231" s="46">
        <v>35150</v>
      </c>
      <c r="BE231" s="46">
        <v>35210</v>
      </c>
      <c r="BF231" s="46">
        <v>35280</v>
      </c>
      <c r="BG231" s="46">
        <v>35370</v>
      </c>
      <c r="BH231" s="46">
        <v>35480</v>
      </c>
      <c r="BI231" s="46">
        <v>35620</v>
      </c>
    </row>
    <row r="232" spans="1:61" x14ac:dyDescent="0.25">
      <c r="A232" s="11">
        <f>$A$47</f>
        <v>32</v>
      </c>
      <c r="M232" s="11"/>
      <c r="N232" s="11"/>
      <c r="O232" s="11"/>
      <c r="P232" s="11"/>
      <c r="Q232" s="11"/>
      <c r="R232" s="11"/>
      <c r="S232" s="11"/>
      <c r="T232" s="46">
        <v>33720</v>
      </c>
      <c r="U232" s="46">
        <v>33450</v>
      </c>
      <c r="V232" s="46">
        <v>32490</v>
      </c>
      <c r="W232" s="46">
        <v>32360</v>
      </c>
      <c r="X232" s="46">
        <v>31590</v>
      </c>
      <c r="Y232" s="46">
        <v>31560</v>
      </c>
      <c r="Z232" s="46">
        <v>31390</v>
      </c>
      <c r="AA232" s="46">
        <v>30580</v>
      </c>
      <c r="AB232" s="46">
        <v>31990</v>
      </c>
      <c r="AC232" s="46">
        <v>31800</v>
      </c>
      <c r="AD232" s="46">
        <v>31310</v>
      </c>
      <c r="AE232" s="46">
        <v>31370</v>
      </c>
      <c r="AF232" s="46">
        <v>32250</v>
      </c>
      <c r="AG232" s="46">
        <v>32440</v>
      </c>
      <c r="AH232" s="46">
        <v>33150</v>
      </c>
      <c r="AI232" s="46">
        <v>35110</v>
      </c>
      <c r="AJ232" s="46">
        <v>36180</v>
      </c>
      <c r="AK232" s="46">
        <v>35780</v>
      </c>
      <c r="AL232" s="46">
        <v>36770</v>
      </c>
      <c r="AM232" s="46">
        <v>36900</v>
      </c>
      <c r="AN232" s="46">
        <v>37090</v>
      </c>
      <c r="AO232" s="46">
        <v>37200</v>
      </c>
      <c r="AP232" s="46">
        <v>36560</v>
      </c>
      <c r="AQ232" s="46">
        <v>36730</v>
      </c>
      <c r="AR232" s="46">
        <v>36450</v>
      </c>
      <c r="AS232" s="46">
        <v>36970</v>
      </c>
      <c r="AT232" s="46">
        <v>36530</v>
      </c>
      <c r="AU232" s="46">
        <v>36650</v>
      </c>
      <c r="AV232" s="46">
        <v>36460</v>
      </c>
      <c r="AW232" s="46">
        <v>36680</v>
      </c>
      <c r="AX232" s="46">
        <v>37030</v>
      </c>
      <c r="AY232" s="46">
        <v>34840</v>
      </c>
      <c r="AZ232" s="46">
        <v>35050</v>
      </c>
      <c r="BA232" s="46">
        <v>35590</v>
      </c>
      <c r="BB232" s="46">
        <v>35710</v>
      </c>
      <c r="BC232" s="46">
        <v>35800</v>
      </c>
      <c r="BD232" s="46">
        <v>35870</v>
      </c>
      <c r="BE232" s="46">
        <v>35940</v>
      </c>
      <c r="BF232" s="46">
        <v>36000</v>
      </c>
      <c r="BG232" s="46">
        <v>36070</v>
      </c>
      <c r="BH232" s="46">
        <v>36160</v>
      </c>
      <c r="BI232" s="46">
        <v>36280</v>
      </c>
    </row>
    <row r="233" spans="1:61" x14ac:dyDescent="0.25">
      <c r="A233" s="11">
        <f>$A$48</f>
        <v>33</v>
      </c>
      <c r="M233" s="11"/>
      <c r="N233" s="11"/>
      <c r="O233" s="11"/>
      <c r="P233" s="11"/>
      <c r="Q233" s="11"/>
      <c r="R233" s="11"/>
      <c r="S233" s="11"/>
      <c r="T233" s="46">
        <v>34800</v>
      </c>
      <c r="U233" s="46">
        <v>34530</v>
      </c>
      <c r="V233" s="46">
        <v>34280</v>
      </c>
      <c r="W233" s="46">
        <v>33320</v>
      </c>
      <c r="X233" s="46">
        <v>33200</v>
      </c>
      <c r="Y233" s="46">
        <v>32430</v>
      </c>
      <c r="Z233" s="46">
        <v>32400</v>
      </c>
      <c r="AA233" s="46">
        <v>32220</v>
      </c>
      <c r="AB233" s="46">
        <v>31400</v>
      </c>
      <c r="AC233" s="46">
        <v>32820</v>
      </c>
      <c r="AD233" s="46">
        <v>32620</v>
      </c>
      <c r="AE233" s="46">
        <v>32120</v>
      </c>
      <c r="AF233" s="46">
        <v>32180</v>
      </c>
      <c r="AG233" s="46">
        <v>33060</v>
      </c>
      <c r="AH233" s="46">
        <v>33240</v>
      </c>
      <c r="AI233" s="46">
        <v>33950</v>
      </c>
      <c r="AJ233" s="46">
        <v>35920</v>
      </c>
      <c r="AK233" s="46">
        <v>36990</v>
      </c>
      <c r="AL233" s="46">
        <v>36600</v>
      </c>
      <c r="AM233" s="46">
        <v>37580</v>
      </c>
      <c r="AN233" s="46">
        <v>37720</v>
      </c>
      <c r="AO233" s="46">
        <v>37900</v>
      </c>
      <c r="AP233" s="46">
        <v>38010</v>
      </c>
      <c r="AQ233" s="46">
        <v>37370</v>
      </c>
      <c r="AR233" s="46">
        <v>37540</v>
      </c>
      <c r="AS233" s="46">
        <v>37260</v>
      </c>
      <c r="AT233" s="46">
        <v>37780</v>
      </c>
      <c r="AU233" s="46">
        <v>37340</v>
      </c>
      <c r="AV233" s="46">
        <v>37460</v>
      </c>
      <c r="AW233" s="46">
        <v>37260</v>
      </c>
      <c r="AX233" s="46">
        <v>37480</v>
      </c>
      <c r="AY233" s="46">
        <v>37840</v>
      </c>
      <c r="AZ233" s="46">
        <v>35630</v>
      </c>
      <c r="BA233" s="46">
        <v>35850</v>
      </c>
      <c r="BB233" s="46">
        <v>36390</v>
      </c>
      <c r="BC233" s="46">
        <v>36510</v>
      </c>
      <c r="BD233" s="46">
        <v>36600</v>
      </c>
      <c r="BE233" s="46">
        <v>36680</v>
      </c>
      <c r="BF233" s="46">
        <v>36740</v>
      </c>
      <c r="BG233" s="46">
        <v>36810</v>
      </c>
      <c r="BH233" s="46">
        <v>36880</v>
      </c>
      <c r="BI233" s="46">
        <v>36980</v>
      </c>
    </row>
    <row r="234" spans="1:61" x14ac:dyDescent="0.25">
      <c r="A234" s="11">
        <f>$A$49</f>
        <v>34</v>
      </c>
      <c r="M234" s="11"/>
      <c r="N234" s="11"/>
      <c r="O234" s="11"/>
      <c r="P234" s="11"/>
      <c r="Q234" s="11"/>
      <c r="R234" s="11"/>
      <c r="S234" s="11"/>
      <c r="T234" s="46">
        <v>34880</v>
      </c>
      <c r="U234" s="46">
        <v>35610</v>
      </c>
      <c r="V234" s="46">
        <v>35370</v>
      </c>
      <c r="W234" s="46">
        <v>35130</v>
      </c>
      <c r="X234" s="46">
        <v>34170</v>
      </c>
      <c r="Y234" s="46">
        <v>34050</v>
      </c>
      <c r="Z234" s="46">
        <v>33270</v>
      </c>
      <c r="AA234" s="46">
        <v>33240</v>
      </c>
      <c r="AB234" s="46">
        <v>33060</v>
      </c>
      <c r="AC234" s="46">
        <v>32220</v>
      </c>
      <c r="AD234" s="46">
        <v>33640</v>
      </c>
      <c r="AE234" s="46">
        <v>33440</v>
      </c>
      <c r="AF234" s="46">
        <v>32930</v>
      </c>
      <c r="AG234" s="46">
        <v>32990</v>
      </c>
      <c r="AH234" s="46">
        <v>33870</v>
      </c>
      <c r="AI234" s="46">
        <v>34050</v>
      </c>
      <c r="AJ234" s="46">
        <v>34770</v>
      </c>
      <c r="AK234" s="46">
        <v>36750</v>
      </c>
      <c r="AL234" s="46">
        <v>37830</v>
      </c>
      <c r="AM234" s="46">
        <v>37420</v>
      </c>
      <c r="AN234" s="46">
        <v>38420</v>
      </c>
      <c r="AO234" s="46">
        <v>38550</v>
      </c>
      <c r="AP234" s="46">
        <v>38730</v>
      </c>
      <c r="AQ234" s="46">
        <v>38840</v>
      </c>
      <c r="AR234" s="46">
        <v>38200</v>
      </c>
      <c r="AS234" s="46">
        <v>38360</v>
      </c>
      <c r="AT234" s="46">
        <v>38080</v>
      </c>
      <c r="AU234" s="46">
        <v>38600</v>
      </c>
      <c r="AV234" s="46">
        <v>38160</v>
      </c>
      <c r="AW234" s="46">
        <v>38280</v>
      </c>
      <c r="AX234" s="46">
        <v>38080</v>
      </c>
      <c r="AY234" s="46">
        <v>38310</v>
      </c>
      <c r="AZ234" s="46">
        <v>38660</v>
      </c>
      <c r="BA234" s="46">
        <v>36450</v>
      </c>
      <c r="BB234" s="46">
        <v>36670</v>
      </c>
      <c r="BC234" s="46">
        <v>37220</v>
      </c>
      <c r="BD234" s="46">
        <v>37330</v>
      </c>
      <c r="BE234" s="46">
        <v>37430</v>
      </c>
      <c r="BF234" s="46">
        <v>37510</v>
      </c>
      <c r="BG234" s="46">
        <v>37570</v>
      </c>
      <c r="BH234" s="46">
        <v>37640</v>
      </c>
      <c r="BI234" s="46">
        <v>37720</v>
      </c>
    </row>
    <row r="235" spans="1:61" x14ac:dyDescent="0.25">
      <c r="A235" s="11">
        <f>$A$50</f>
        <v>35</v>
      </c>
      <c r="M235" s="11"/>
      <c r="N235" s="11"/>
      <c r="O235" s="11"/>
      <c r="P235" s="11"/>
      <c r="Q235" s="11"/>
      <c r="R235" s="11"/>
      <c r="S235" s="11"/>
      <c r="T235" s="46">
        <v>34090</v>
      </c>
      <c r="U235" s="46">
        <v>35600</v>
      </c>
      <c r="V235" s="46">
        <v>36380</v>
      </c>
      <c r="W235" s="46">
        <v>36150</v>
      </c>
      <c r="X235" s="46">
        <v>35920</v>
      </c>
      <c r="Y235" s="46">
        <v>34960</v>
      </c>
      <c r="Z235" s="46">
        <v>34840</v>
      </c>
      <c r="AA235" s="46">
        <v>34060</v>
      </c>
      <c r="AB235" s="46">
        <v>34020</v>
      </c>
      <c r="AC235" s="46">
        <v>33830</v>
      </c>
      <c r="AD235" s="46">
        <v>32990</v>
      </c>
      <c r="AE235" s="46">
        <v>34420</v>
      </c>
      <c r="AF235" s="46">
        <v>34210</v>
      </c>
      <c r="AG235" s="46">
        <v>33700</v>
      </c>
      <c r="AH235" s="46">
        <v>33750</v>
      </c>
      <c r="AI235" s="46">
        <v>34640</v>
      </c>
      <c r="AJ235" s="46">
        <v>34820</v>
      </c>
      <c r="AK235" s="46">
        <v>35540</v>
      </c>
      <c r="AL235" s="46">
        <v>37530</v>
      </c>
      <c r="AM235" s="46">
        <v>38610</v>
      </c>
      <c r="AN235" s="46">
        <v>38210</v>
      </c>
      <c r="AO235" s="46">
        <v>39200</v>
      </c>
      <c r="AP235" s="46">
        <v>39330</v>
      </c>
      <c r="AQ235" s="46">
        <v>39520</v>
      </c>
      <c r="AR235" s="46">
        <v>39630</v>
      </c>
      <c r="AS235" s="46">
        <v>38980</v>
      </c>
      <c r="AT235" s="46">
        <v>39150</v>
      </c>
      <c r="AU235" s="46">
        <v>38860</v>
      </c>
      <c r="AV235" s="46">
        <v>39390</v>
      </c>
      <c r="AW235" s="46">
        <v>38940</v>
      </c>
      <c r="AX235" s="46">
        <v>39070</v>
      </c>
      <c r="AY235" s="46">
        <v>38870</v>
      </c>
      <c r="AZ235" s="46">
        <v>39100</v>
      </c>
      <c r="BA235" s="46">
        <v>39450</v>
      </c>
      <c r="BB235" s="46">
        <v>37230</v>
      </c>
      <c r="BC235" s="46">
        <v>37450</v>
      </c>
      <c r="BD235" s="46">
        <v>38010</v>
      </c>
      <c r="BE235" s="46">
        <v>38130</v>
      </c>
      <c r="BF235" s="46">
        <v>38220</v>
      </c>
      <c r="BG235" s="46">
        <v>38300</v>
      </c>
      <c r="BH235" s="46">
        <v>38370</v>
      </c>
      <c r="BI235" s="46">
        <v>38440</v>
      </c>
    </row>
    <row r="236" spans="1:61" x14ac:dyDescent="0.25">
      <c r="A236" s="11">
        <f>$A$51</f>
        <v>36</v>
      </c>
      <c r="M236" s="11"/>
      <c r="N236" s="11"/>
      <c r="O236" s="11"/>
      <c r="P236" s="11"/>
      <c r="Q236" s="11"/>
      <c r="R236" s="11"/>
      <c r="S236" s="11"/>
      <c r="T236" s="46">
        <v>33850</v>
      </c>
      <c r="U236" s="46">
        <v>34760</v>
      </c>
      <c r="V236" s="46">
        <v>36320</v>
      </c>
      <c r="W236" s="46">
        <v>37120</v>
      </c>
      <c r="X236" s="46">
        <v>36900</v>
      </c>
      <c r="Y236" s="46">
        <v>36670</v>
      </c>
      <c r="Z236" s="46">
        <v>35710</v>
      </c>
      <c r="AA236" s="46">
        <v>35580</v>
      </c>
      <c r="AB236" s="46">
        <v>34790</v>
      </c>
      <c r="AC236" s="46">
        <v>34740</v>
      </c>
      <c r="AD236" s="46">
        <v>34550</v>
      </c>
      <c r="AE236" s="46">
        <v>33700</v>
      </c>
      <c r="AF236" s="46">
        <v>35130</v>
      </c>
      <c r="AG236" s="46">
        <v>34920</v>
      </c>
      <c r="AH236" s="46">
        <v>34400</v>
      </c>
      <c r="AI236" s="46">
        <v>34450</v>
      </c>
      <c r="AJ236" s="46">
        <v>35340</v>
      </c>
      <c r="AK236" s="46">
        <v>35520</v>
      </c>
      <c r="AL236" s="46">
        <v>36240</v>
      </c>
      <c r="AM236" s="46">
        <v>38230</v>
      </c>
      <c r="AN236" s="46">
        <v>39320</v>
      </c>
      <c r="AO236" s="46">
        <v>38910</v>
      </c>
      <c r="AP236" s="46">
        <v>39910</v>
      </c>
      <c r="AQ236" s="46">
        <v>40040</v>
      </c>
      <c r="AR236" s="46">
        <v>40220</v>
      </c>
      <c r="AS236" s="46">
        <v>40330</v>
      </c>
      <c r="AT236" s="46">
        <v>39680</v>
      </c>
      <c r="AU236" s="46">
        <v>39850</v>
      </c>
      <c r="AV236" s="46">
        <v>39560</v>
      </c>
      <c r="AW236" s="46">
        <v>40090</v>
      </c>
      <c r="AX236" s="46">
        <v>39640</v>
      </c>
      <c r="AY236" s="46">
        <v>39770</v>
      </c>
      <c r="AZ236" s="46">
        <v>39570</v>
      </c>
      <c r="BA236" s="46">
        <v>39800</v>
      </c>
      <c r="BB236" s="46">
        <v>40160</v>
      </c>
      <c r="BC236" s="46">
        <v>37930</v>
      </c>
      <c r="BD236" s="46">
        <v>38150</v>
      </c>
      <c r="BE236" s="46">
        <v>38710</v>
      </c>
      <c r="BF236" s="46">
        <v>38830</v>
      </c>
      <c r="BG236" s="46">
        <v>38930</v>
      </c>
      <c r="BH236" s="46">
        <v>39010</v>
      </c>
      <c r="BI236" s="46">
        <v>39080</v>
      </c>
    </row>
    <row r="237" spans="1:61" x14ac:dyDescent="0.25">
      <c r="A237" s="11">
        <f>$A$52</f>
        <v>37</v>
      </c>
      <c r="M237" s="11"/>
      <c r="N237" s="11"/>
      <c r="O237" s="11"/>
      <c r="P237" s="11"/>
      <c r="Q237" s="11"/>
      <c r="R237" s="11"/>
      <c r="S237" s="11"/>
      <c r="T237" s="46">
        <v>32480</v>
      </c>
      <c r="U237" s="46">
        <v>34480</v>
      </c>
      <c r="V237" s="46">
        <v>35430</v>
      </c>
      <c r="W237" s="46">
        <v>37010</v>
      </c>
      <c r="X237" s="46">
        <v>37820</v>
      </c>
      <c r="Y237" s="46">
        <v>37600</v>
      </c>
      <c r="Z237" s="46">
        <v>37360</v>
      </c>
      <c r="AA237" s="46">
        <v>36380</v>
      </c>
      <c r="AB237" s="46">
        <v>36250</v>
      </c>
      <c r="AC237" s="46">
        <v>35440</v>
      </c>
      <c r="AD237" s="46">
        <v>35390</v>
      </c>
      <c r="AE237" s="46">
        <v>35190</v>
      </c>
      <c r="AF237" s="46">
        <v>34330</v>
      </c>
      <c r="AG237" s="46">
        <v>35770</v>
      </c>
      <c r="AH237" s="46">
        <v>35550</v>
      </c>
      <c r="AI237" s="46">
        <v>35020</v>
      </c>
      <c r="AJ237" s="46">
        <v>35070</v>
      </c>
      <c r="AK237" s="46">
        <v>35960</v>
      </c>
      <c r="AL237" s="46">
        <v>36140</v>
      </c>
      <c r="AM237" s="46">
        <v>36850</v>
      </c>
      <c r="AN237" s="46">
        <v>38850</v>
      </c>
      <c r="AO237" s="46">
        <v>39930</v>
      </c>
      <c r="AP237" s="46">
        <v>39520</v>
      </c>
      <c r="AQ237" s="46">
        <v>40520</v>
      </c>
      <c r="AR237" s="46">
        <v>40650</v>
      </c>
      <c r="AS237" s="46">
        <v>40830</v>
      </c>
      <c r="AT237" s="46">
        <v>40940</v>
      </c>
      <c r="AU237" s="46">
        <v>40290</v>
      </c>
      <c r="AV237" s="46">
        <v>40450</v>
      </c>
      <c r="AW237" s="46">
        <v>40170</v>
      </c>
      <c r="AX237" s="46">
        <v>40690</v>
      </c>
      <c r="AY237" s="46">
        <v>40250</v>
      </c>
      <c r="AZ237" s="46">
        <v>40370</v>
      </c>
      <c r="BA237" s="46">
        <v>40180</v>
      </c>
      <c r="BB237" s="46">
        <v>40400</v>
      </c>
      <c r="BC237" s="46">
        <v>40770</v>
      </c>
      <c r="BD237" s="46">
        <v>38540</v>
      </c>
      <c r="BE237" s="46">
        <v>38760</v>
      </c>
      <c r="BF237" s="46">
        <v>39320</v>
      </c>
      <c r="BG237" s="46">
        <v>39440</v>
      </c>
      <c r="BH237" s="46">
        <v>39550</v>
      </c>
      <c r="BI237" s="46">
        <v>39630</v>
      </c>
    </row>
    <row r="238" spans="1:61" x14ac:dyDescent="0.25">
      <c r="A238" s="11">
        <f>$A$53</f>
        <v>38</v>
      </c>
      <c r="M238" s="11"/>
      <c r="N238" s="11"/>
      <c r="O238" s="11"/>
      <c r="P238" s="11"/>
      <c r="Q238" s="11"/>
      <c r="R238" s="11"/>
      <c r="S238" s="11"/>
      <c r="T238" s="46">
        <v>31540</v>
      </c>
      <c r="U238" s="46">
        <v>33010</v>
      </c>
      <c r="V238" s="46">
        <v>35050</v>
      </c>
      <c r="W238" s="46">
        <v>36020</v>
      </c>
      <c r="X238" s="46">
        <v>37620</v>
      </c>
      <c r="Y238" s="46">
        <v>38440</v>
      </c>
      <c r="Z238" s="46">
        <v>38220</v>
      </c>
      <c r="AA238" s="46">
        <v>37980</v>
      </c>
      <c r="AB238" s="46">
        <v>36990</v>
      </c>
      <c r="AC238" s="46">
        <v>36860</v>
      </c>
      <c r="AD238" s="46">
        <v>36040</v>
      </c>
      <c r="AE238" s="46">
        <v>35980</v>
      </c>
      <c r="AF238" s="46">
        <v>35780</v>
      </c>
      <c r="AG238" s="46">
        <v>34910</v>
      </c>
      <c r="AH238" s="46">
        <v>36350</v>
      </c>
      <c r="AI238" s="46">
        <v>36130</v>
      </c>
      <c r="AJ238" s="46">
        <v>35600</v>
      </c>
      <c r="AK238" s="46">
        <v>35640</v>
      </c>
      <c r="AL238" s="46">
        <v>36530</v>
      </c>
      <c r="AM238" s="46">
        <v>36710</v>
      </c>
      <c r="AN238" s="46">
        <v>37430</v>
      </c>
      <c r="AO238" s="46">
        <v>39430</v>
      </c>
      <c r="AP238" s="46">
        <v>40510</v>
      </c>
      <c r="AQ238" s="46">
        <v>40100</v>
      </c>
      <c r="AR238" s="46">
        <v>41100</v>
      </c>
      <c r="AS238" s="46">
        <v>41230</v>
      </c>
      <c r="AT238" s="46">
        <v>41410</v>
      </c>
      <c r="AU238" s="46">
        <v>41520</v>
      </c>
      <c r="AV238" s="46">
        <v>40860</v>
      </c>
      <c r="AW238" s="46">
        <v>41030</v>
      </c>
      <c r="AX238" s="46">
        <v>40740</v>
      </c>
      <c r="AY238" s="46">
        <v>41270</v>
      </c>
      <c r="AZ238" s="46">
        <v>40830</v>
      </c>
      <c r="BA238" s="46">
        <v>40950</v>
      </c>
      <c r="BB238" s="46">
        <v>40760</v>
      </c>
      <c r="BC238" s="46">
        <v>40990</v>
      </c>
      <c r="BD238" s="46">
        <v>41350</v>
      </c>
      <c r="BE238" s="46">
        <v>39120</v>
      </c>
      <c r="BF238" s="46">
        <v>39350</v>
      </c>
      <c r="BG238" s="46">
        <v>39910</v>
      </c>
      <c r="BH238" s="46">
        <v>40030</v>
      </c>
      <c r="BI238" s="46">
        <v>40140</v>
      </c>
    </row>
    <row r="239" spans="1:61" x14ac:dyDescent="0.25">
      <c r="A239" s="11">
        <f>$A$54</f>
        <v>39</v>
      </c>
      <c r="M239" s="11"/>
      <c r="N239" s="11"/>
      <c r="O239" s="11"/>
      <c r="P239" s="11"/>
      <c r="Q239" s="11"/>
      <c r="R239" s="11"/>
      <c r="S239" s="11"/>
      <c r="T239" s="46">
        <v>31370</v>
      </c>
      <c r="U239" s="46">
        <v>32020</v>
      </c>
      <c r="V239" s="46">
        <v>33530</v>
      </c>
      <c r="W239" s="46">
        <v>35590</v>
      </c>
      <c r="X239" s="46">
        <v>36580</v>
      </c>
      <c r="Y239" s="46">
        <v>38190</v>
      </c>
      <c r="Z239" s="46">
        <v>39010</v>
      </c>
      <c r="AA239" s="46">
        <v>38790</v>
      </c>
      <c r="AB239" s="46">
        <v>38540</v>
      </c>
      <c r="AC239" s="46">
        <v>37550</v>
      </c>
      <c r="AD239" s="46">
        <v>37410</v>
      </c>
      <c r="AE239" s="46">
        <v>36580</v>
      </c>
      <c r="AF239" s="46">
        <v>36520</v>
      </c>
      <c r="AG239" s="46">
        <v>36320</v>
      </c>
      <c r="AH239" s="46">
        <v>35440</v>
      </c>
      <c r="AI239" s="46">
        <v>36880</v>
      </c>
      <c r="AJ239" s="46">
        <v>36660</v>
      </c>
      <c r="AK239" s="46">
        <v>36130</v>
      </c>
      <c r="AL239" s="46">
        <v>36170</v>
      </c>
      <c r="AM239" s="46">
        <v>37060</v>
      </c>
      <c r="AN239" s="46">
        <v>37240</v>
      </c>
      <c r="AO239" s="46">
        <v>37950</v>
      </c>
      <c r="AP239" s="46">
        <v>39960</v>
      </c>
      <c r="AQ239" s="46">
        <v>41050</v>
      </c>
      <c r="AR239" s="46">
        <v>40630</v>
      </c>
      <c r="AS239" s="46">
        <v>41630</v>
      </c>
      <c r="AT239" s="46">
        <v>41760</v>
      </c>
      <c r="AU239" s="46">
        <v>41950</v>
      </c>
      <c r="AV239" s="46">
        <v>42050</v>
      </c>
      <c r="AW239" s="46">
        <v>41390</v>
      </c>
      <c r="AX239" s="46">
        <v>41560</v>
      </c>
      <c r="AY239" s="46">
        <v>41280</v>
      </c>
      <c r="AZ239" s="46">
        <v>41810</v>
      </c>
      <c r="BA239" s="46">
        <v>41360</v>
      </c>
      <c r="BB239" s="46">
        <v>41490</v>
      </c>
      <c r="BC239" s="46">
        <v>41290</v>
      </c>
      <c r="BD239" s="46">
        <v>41520</v>
      </c>
      <c r="BE239" s="46">
        <v>41890</v>
      </c>
      <c r="BF239" s="46">
        <v>39660</v>
      </c>
      <c r="BG239" s="46">
        <v>39880</v>
      </c>
      <c r="BH239" s="46">
        <v>40450</v>
      </c>
      <c r="BI239" s="46">
        <v>40580</v>
      </c>
    </row>
    <row r="240" spans="1:61" x14ac:dyDescent="0.25">
      <c r="A240" s="11">
        <f>$A$55</f>
        <v>40</v>
      </c>
      <c r="M240" s="11"/>
      <c r="N240" s="11"/>
      <c r="O240" s="11"/>
      <c r="P240" s="11"/>
      <c r="Q240" s="11"/>
      <c r="R240" s="11"/>
      <c r="S240" s="11"/>
      <c r="T240" s="46">
        <v>30610</v>
      </c>
      <c r="U240" s="46">
        <v>31850</v>
      </c>
      <c r="V240" s="46">
        <v>32520</v>
      </c>
      <c r="W240" s="46">
        <v>34050</v>
      </c>
      <c r="X240" s="46">
        <v>36140</v>
      </c>
      <c r="Y240" s="46">
        <v>37130</v>
      </c>
      <c r="Z240" s="46">
        <v>38740</v>
      </c>
      <c r="AA240" s="46">
        <v>39560</v>
      </c>
      <c r="AB240" s="46">
        <v>39330</v>
      </c>
      <c r="AC240" s="46">
        <v>39080</v>
      </c>
      <c r="AD240" s="46">
        <v>38070</v>
      </c>
      <c r="AE240" s="46">
        <v>37920</v>
      </c>
      <c r="AF240" s="46">
        <v>37090</v>
      </c>
      <c r="AG240" s="46">
        <v>37030</v>
      </c>
      <c r="AH240" s="46">
        <v>36820</v>
      </c>
      <c r="AI240" s="46">
        <v>35930</v>
      </c>
      <c r="AJ240" s="46">
        <v>37380</v>
      </c>
      <c r="AK240" s="46">
        <v>37150</v>
      </c>
      <c r="AL240" s="46">
        <v>36610</v>
      </c>
      <c r="AM240" s="46">
        <v>36650</v>
      </c>
      <c r="AN240" s="46">
        <v>37540</v>
      </c>
      <c r="AO240" s="46">
        <v>37720</v>
      </c>
      <c r="AP240" s="46">
        <v>38430</v>
      </c>
      <c r="AQ240" s="46">
        <v>40440</v>
      </c>
      <c r="AR240" s="46">
        <v>41530</v>
      </c>
      <c r="AS240" s="46">
        <v>41110</v>
      </c>
      <c r="AT240" s="46">
        <v>42110</v>
      </c>
      <c r="AU240" s="46">
        <v>42240</v>
      </c>
      <c r="AV240" s="46">
        <v>42420</v>
      </c>
      <c r="AW240" s="46">
        <v>42530</v>
      </c>
      <c r="AX240" s="46">
        <v>41870</v>
      </c>
      <c r="AY240" s="46">
        <v>42040</v>
      </c>
      <c r="AZ240" s="46">
        <v>41750</v>
      </c>
      <c r="BA240" s="46">
        <v>42280</v>
      </c>
      <c r="BB240" s="46">
        <v>41840</v>
      </c>
      <c r="BC240" s="46">
        <v>41970</v>
      </c>
      <c r="BD240" s="46">
        <v>41770</v>
      </c>
      <c r="BE240" s="46">
        <v>42000</v>
      </c>
      <c r="BF240" s="46">
        <v>42370</v>
      </c>
      <c r="BG240" s="46">
        <v>40140</v>
      </c>
      <c r="BH240" s="46">
        <v>40370</v>
      </c>
      <c r="BI240" s="46">
        <v>40930</v>
      </c>
    </row>
    <row r="241" spans="1:61" x14ac:dyDescent="0.25">
      <c r="A241" s="11">
        <f>$A$56</f>
        <v>41</v>
      </c>
      <c r="M241" s="11"/>
      <c r="N241" s="11"/>
      <c r="O241" s="11"/>
      <c r="P241" s="11"/>
      <c r="Q241" s="11"/>
      <c r="R241" s="11"/>
      <c r="S241" s="11"/>
      <c r="T241" s="46">
        <v>30390</v>
      </c>
      <c r="U241" s="46">
        <v>31080</v>
      </c>
      <c r="V241" s="46">
        <v>32340</v>
      </c>
      <c r="W241" s="46">
        <v>33030</v>
      </c>
      <c r="X241" s="46">
        <v>34570</v>
      </c>
      <c r="Y241" s="46">
        <v>36670</v>
      </c>
      <c r="Z241" s="46">
        <v>37660</v>
      </c>
      <c r="AA241" s="46">
        <v>39280</v>
      </c>
      <c r="AB241" s="46">
        <v>40090</v>
      </c>
      <c r="AC241" s="46">
        <v>39850</v>
      </c>
      <c r="AD241" s="46">
        <v>39590</v>
      </c>
      <c r="AE241" s="46">
        <v>38560</v>
      </c>
      <c r="AF241" s="46">
        <v>38410</v>
      </c>
      <c r="AG241" s="46">
        <v>37570</v>
      </c>
      <c r="AH241" s="46">
        <v>37500</v>
      </c>
      <c r="AI241" s="46">
        <v>37280</v>
      </c>
      <c r="AJ241" s="46">
        <v>36390</v>
      </c>
      <c r="AK241" s="46">
        <v>37830</v>
      </c>
      <c r="AL241" s="46">
        <v>37600</v>
      </c>
      <c r="AM241" s="46">
        <v>37060</v>
      </c>
      <c r="AN241" s="46">
        <v>37100</v>
      </c>
      <c r="AO241" s="46">
        <v>37980</v>
      </c>
      <c r="AP241" s="46">
        <v>38160</v>
      </c>
      <c r="AQ241" s="46">
        <v>38870</v>
      </c>
      <c r="AR241" s="46">
        <v>40880</v>
      </c>
      <c r="AS241" s="46">
        <v>41970</v>
      </c>
      <c r="AT241" s="46">
        <v>41550</v>
      </c>
      <c r="AU241" s="46">
        <v>42550</v>
      </c>
      <c r="AV241" s="46">
        <v>42670</v>
      </c>
      <c r="AW241" s="46">
        <v>42860</v>
      </c>
      <c r="AX241" s="46">
        <v>42960</v>
      </c>
      <c r="AY241" s="46">
        <v>42310</v>
      </c>
      <c r="AZ241" s="46">
        <v>42480</v>
      </c>
      <c r="BA241" s="46">
        <v>42190</v>
      </c>
      <c r="BB241" s="46">
        <v>42720</v>
      </c>
      <c r="BC241" s="46">
        <v>42270</v>
      </c>
      <c r="BD241" s="46">
        <v>42400</v>
      </c>
      <c r="BE241" s="46">
        <v>42210</v>
      </c>
      <c r="BF241" s="46">
        <v>42440</v>
      </c>
      <c r="BG241" s="46">
        <v>42810</v>
      </c>
      <c r="BH241" s="46">
        <v>40580</v>
      </c>
      <c r="BI241" s="46">
        <v>40810</v>
      </c>
    </row>
    <row r="242" spans="1:61" x14ac:dyDescent="0.25">
      <c r="A242" s="11">
        <f>$A$57</f>
        <v>42</v>
      </c>
      <c r="M242" s="11"/>
      <c r="N242" s="11"/>
      <c r="O242" s="11"/>
      <c r="P242" s="11"/>
      <c r="Q242" s="11"/>
      <c r="R242" s="11"/>
      <c r="S242" s="11"/>
      <c r="T242" s="46">
        <v>29790</v>
      </c>
      <c r="U242" s="46">
        <v>30820</v>
      </c>
      <c r="V242" s="46">
        <v>31550</v>
      </c>
      <c r="W242" s="46">
        <v>32820</v>
      </c>
      <c r="X242" s="46">
        <v>33520</v>
      </c>
      <c r="Y242" s="46">
        <v>35070</v>
      </c>
      <c r="Z242" s="46">
        <v>37170</v>
      </c>
      <c r="AA242" s="46">
        <v>38160</v>
      </c>
      <c r="AB242" s="46">
        <v>39770</v>
      </c>
      <c r="AC242" s="46">
        <v>40580</v>
      </c>
      <c r="AD242" s="46">
        <v>40330</v>
      </c>
      <c r="AE242" s="46">
        <v>40060</v>
      </c>
      <c r="AF242" s="46">
        <v>39020</v>
      </c>
      <c r="AG242" s="46">
        <v>38860</v>
      </c>
      <c r="AH242" s="46">
        <v>38010</v>
      </c>
      <c r="AI242" s="46">
        <v>37930</v>
      </c>
      <c r="AJ242" s="46">
        <v>37710</v>
      </c>
      <c r="AK242" s="46">
        <v>36820</v>
      </c>
      <c r="AL242" s="46">
        <v>38260</v>
      </c>
      <c r="AM242" s="46">
        <v>38020</v>
      </c>
      <c r="AN242" s="46">
        <v>37470</v>
      </c>
      <c r="AO242" s="46">
        <v>37510</v>
      </c>
      <c r="AP242" s="46">
        <v>38400</v>
      </c>
      <c r="AQ242" s="46">
        <v>38570</v>
      </c>
      <c r="AR242" s="46">
        <v>39280</v>
      </c>
      <c r="AS242" s="46">
        <v>41290</v>
      </c>
      <c r="AT242" s="46">
        <v>42380</v>
      </c>
      <c r="AU242" s="46">
        <v>41960</v>
      </c>
      <c r="AV242" s="46">
        <v>42960</v>
      </c>
      <c r="AW242" s="46">
        <v>43080</v>
      </c>
      <c r="AX242" s="46">
        <v>43270</v>
      </c>
      <c r="AY242" s="46">
        <v>43370</v>
      </c>
      <c r="AZ242" s="46">
        <v>42710</v>
      </c>
      <c r="BA242" s="46">
        <v>42880</v>
      </c>
      <c r="BB242" s="46">
        <v>42600</v>
      </c>
      <c r="BC242" s="46">
        <v>43130</v>
      </c>
      <c r="BD242" s="46">
        <v>42680</v>
      </c>
      <c r="BE242" s="46">
        <v>42810</v>
      </c>
      <c r="BF242" s="46">
        <v>42620</v>
      </c>
      <c r="BG242" s="46">
        <v>42850</v>
      </c>
      <c r="BH242" s="46">
        <v>43230</v>
      </c>
      <c r="BI242" s="46">
        <v>40990</v>
      </c>
    </row>
    <row r="243" spans="1:61" x14ac:dyDescent="0.25">
      <c r="A243" s="11">
        <f>$A$58</f>
        <v>43</v>
      </c>
      <c r="M243" s="11"/>
      <c r="N243" s="11"/>
      <c r="O243" s="11"/>
      <c r="P243" s="11"/>
      <c r="Q243" s="11"/>
      <c r="R243" s="11"/>
      <c r="S243" s="11"/>
      <c r="T243" s="46">
        <v>29020</v>
      </c>
      <c r="U243" s="46">
        <v>30210</v>
      </c>
      <c r="V243" s="46">
        <v>31270</v>
      </c>
      <c r="W243" s="46">
        <v>32000</v>
      </c>
      <c r="X243" s="46">
        <v>33290</v>
      </c>
      <c r="Y243" s="46">
        <v>33990</v>
      </c>
      <c r="Z243" s="46">
        <v>35540</v>
      </c>
      <c r="AA243" s="46">
        <v>37650</v>
      </c>
      <c r="AB243" s="46">
        <v>38640</v>
      </c>
      <c r="AC243" s="46">
        <v>40250</v>
      </c>
      <c r="AD243" s="46">
        <v>41060</v>
      </c>
      <c r="AE243" s="46">
        <v>40790</v>
      </c>
      <c r="AF243" s="46">
        <v>40510</v>
      </c>
      <c r="AG243" s="46">
        <v>39470</v>
      </c>
      <c r="AH243" s="46">
        <v>39300</v>
      </c>
      <c r="AI243" s="46">
        <v>38440</v>
      </c>
      <c r="AJ243" s="46">
        <v>38360</v>
      </c>
      <c r="AK243" s="46">
        <v>38130</v>
      </c>
      <c r="AL243" s="46">
        <v>37230</v>
      </c>
      <c r="AM243" s="46">
        <v>38670</v>
      </c>
      <c r="AN243" s="46">
        <v>38430</v>
      </c>
      <c r="AO243" s="46">
        <v>37870</v>
      </c>
      <c r="AP243" s="46">
        <v>37910</v>
      </c>
      <c r="AQ243" s="46">
        <v>38800</v>
      </c>
      <c r="AR243" s="46">
        <v>38970</v>
      </c>
      <c r="AS243" s="46">
        <v>39680</v>
      </c>
      <c r="AT243" s="46">
        <v>41700</v>
      </c>
      <c r="AU243" s="46">
        <v>42780</v>
      </c>
      <c r="AV243" s="46">
        <v>42360</v>
      </c>
      <c r="AW243" s="46">
        <v>43360</v>
      </c>
      <c r="AX243" s="46">
        <v>43490</v>
      </c>
      <c r="AY243" s="46">
        <v>43670</v>
      </c>
      <c r="AZ243" s="46">
        <v>43780</v>
      </c>
      <c r="BA243" s="46">
        <v>43120</v>
      </c>
      <c r="BB243" s="46">
        <v>43290</v>
      </c>
      <c r="BC243" s="46">
        <v>43000</v>
      </c>
      <c r="BD243" s="46">
        <v>43530</v>
      </c>
      <c r="BE243" s="46">
        <v>43090</v>
      </c>
      <c r="BF243" s="46">
        <v>43220</v>
      </c>
      <c r="BG243" s="46">
        <v>43030</v>
      </c>
      <c r="BH243" s="46">
        <v>43260</v>
      </c>
      <c r="BI243" s="46">
        <v>43630</v>
      </c>
    </row>
    <row r="244" spans="1:61" x14ac:dyDescent="0.25">
      <c r="A244" s="11">
        <f>$A$59</f>
        <v>44</v>
      </c>
      <c r="M244" s="11"/>
      <c r="N244" s="11"/>
      <c r="O244" s="11"/>
      <c r="P244" s="11"/>
      <c r="Q244" s="11"/>
      <c r="R244" s="11"/>
      <c r="S244" s="11"/>
      <c r="T244" s="46">
        <v>28680</v>
      </c>
      <c r="U244" s="46">
        <v>29410</v>
      </c>
      <c r="V244" s="46">
        <v>30630</v>
      </c>
      <c r="W244" s="46">
        <v>31710</v>
      </c>
      <c r="X244" s="46">
        <v>32440</v>
      </c>
      <c r="Y244" s="46">
        <v>33740</v>
      </c>
      <c r="Z244" s="46">
        <v>34440</v>
      </c>
      <c r="AA244" s="46">
        <v>36000</v>
      </c>
      <c r="AB244" s="46">
        <v>38110</v>
      </c>
      <c r="AC244" s="46">
        <v>39090</v>
      </c>
      <c r="AD244" s="46">
        <v>40710</v>
      </c>
      <c r="AE244" s="46">
        <v>41510</v>
      </c>
      <c r="AF244" s="46">
        <v>41240</v>
      </c>
      <c r="AG244" s="46">
        <v>40950</v>
      </c>
      <c r="AH244" s="46">
        <v>39890</v>
      </c>
      <c r="AI244" s="46">
        <v>39720</v>
      </c>
      <c r="AJ244" s="46">
        <v>38850</v>
      </c>
      <c r="AK244" s="46">
        <v>38760</v>
      </c>
      <c r="AL244" s="46">
        <v>38530</v>
      </c>
      <c r="AM244" s="46">
        <v>37620</v>
      </c>
      <c r="AN244" s="46">
        <v>39060</v>
      </c>
      <c r="AO244" s="46">
        <v>38820</v>
      </c>
      <c r="AP244" s="46">
        <v>38260</v>
      </c>
      <c r="AQ244" s="46">
        <v>38290</v>
      </c>
      <c r="AR244" s="46">
        <v>39180</v>
      </c>
      <c r="AS244" s="46">
        <v>39350</v>
      </c>
      <c r="AT244" s="46">
        <v>40070</v>
      </c>
      <c r="AU244" s="46">
        <v>42090</v>
      </c>
      <c r="AV244" s="46">
        <v>43180</v>
      </c>
      <c r="AW244" s="46">
        <v>42750</v>
      </c>
      <c r="AX244" s="46">
        <v>43760</v>
      </c>
      <c r="AY244" s="46">
        <v>43880</v>
      </c>
      <c r="AZ244" s="46">
        <v>44070</v>
      </c>
      <c r="BA244" s="46">
        <v>44170</v>
      </c>
      <c r="BB244" s="46">
        <v>43510</v>
      </c>
      <c r="BC244" s="46">
        <v>43680</v>
      </c>
      <c r="BD244" s="46">
        <v>43390</v>
      </c>
      <c r="BE244" s="46">
        <v>43930</v>
      </c>
      <c r="BF244" s="46">
        <v>43480</v>
      </c>
      <c r="BG244" s="46">
        <v>43610</v>
      </c>
      <c r="BH244" s="46">
        <v>43420</v>
      </c>
      <c r="BI244" s="46">
        <v>43660</v>
      </c>
    </row>
    <row r="245" spans="1:61" x14ac:dyDescent="0.25">
      <c r="A245" s="11">
        <f>$A$60</f>
        <v>45</v>
      </c>
      <c r="M245" s="11"/>
      <c r="N245" s="11"/>
      <c r="O245" s="11"/>
      <c r="P245" s="11"/>
      <c r="Q245" s="11"/>
      <c r="R245" s="11"/>
      <c r="S245" s="11"/>
      <c r="T245" s="46">
        <v>28380</v>
      </c>
      <c r="U245" s="46">
        <v>29040</v>
      </c>
      <c r="V245" s="46">
        <v>29800</v>
      </c>
      <c r="W245" s="46">
        <v>31040</v>
      </c>
      <c r="X245" s="46">
        <v>32120</v>
      </c>
      <c r="Y245" s="46">
        <v>32860</v>
      </c>
      <c r="Z245" s="46">
        <v>34170</v>
      </c>
      <c r="AA245" s="46">
        <v>34860</v>
      </c>
      <c r="AB245" s="46">
        <v>36420</v>
      </c>
      <c r="AC245" s="46">
        <v>38540</v>
      </c>
      <c r="AD245" s="46">
        <v>39530</v>
      </c>
      <c r="AE245" s="46">
        <v>41150</v>
      </c>
      <c r="AF245" s="46">
        <v>41950</v>
      </c>
      <c r="AG245" s="46">
        <v>41670</v>
      </c>
      <c r="AH245" s="46">
        <v>41370</v>
      </c>
      <c r="AI245" s="46">
        <v>40300</v>
      </c>
      <c r="AJ245" s="46">
        <v>40120</v>
      </c>
      <c r="AK245" s="46">
        <v>39240</v>
      </c>
      <c r="AL245" s="46">
        <v>39150</v>
      </c>
      <c r="AM245" s="46">
        <v>38920</v>
      </c>
      <c r="AN245" s="46">
        <v>38000</v>
      </c>
      <c r="AO245" s="46">
        <v>39450</v>
      </c>
      <c r="AP245" s="46">
        <v>39200</v>
      </c>
      <c r="AQ245" s="46">
        <v>38640</v>
      </c>
      <c r="AR245" s="46">
        <v>38670</v>
      </c>
      <c r="AS245" s="46">
        <v>39560</v>
      </c>
      <c r="AT245" s="46">
        <v>39730</v>
      </c>
      <c r="AU245" s="46">
        <v>40450</v>
      </c>
      <c r="AV245" s="46">
        <v>42470</v>
      </c>
      <c r="AW245" s="46">
        <v>43570</v>
      </c>
      <c r="AX245" s="46">
        <v>43140</v>
      </c>
      <c r="AY245" s="46">
        <v>44150</v>
      </c>
      <c r="AZ245" s="46">
        <v>44270</v>
      </c>
      <c r="BA245" s="46">
        <v>44460</v>
      </c>
      <c r="BB245" s="46">
        <v>44570</v>
      </c>
      <c r="BC245" s="46">
        <v>43900</v>
      </c>
      <c r="BD245" s="46">
        <v>44070</v>
      </c>
      <c r="BE245" s="46">
        <v>43780</v>
      </c>
      <c r="BF245" s="46">
        <v>44320</v>
      </c>
      <c r="BG245" s="46">
        <v>43870</v>
      </c>
      <c r="BH245" s="46">
        <v>44010</v>
      </c>
      <c r="BI245" s="46">
        <v>43820</v>
      </c>
    </row>
    <row r="246" spans="1:61" x14ac:dyDescent="0.25">
      <c r="A246" s="11">
        <f>$A$61</f>
        <v>46</v>
      </c>
      <c r="M246" s="11"/>
      <c r="N246" s="11"/>
      <c r="O246" s="11"/>
      <c r="P246" s="11"/>
      <c r="Q246" s="11"/>
      <c r="R246" s="11"/>
      <c r="S246" s="11"/>
      <c r="T246" s="46">
        <v>27440</v>
      </c>
      <c r="U246" s="46">
        <v>28580</v>
      </c>
      <c r="V246" s="46">
        <v>29260</v>
      </c>
      <c r="W246" s="46">
        <v>30030</v>
      </c>
      <c r="X246" s="46">
        <v>31280</v>
      </c>
      <c r="Y246" s="46">
        <v>32360</v>
      </c>
      <c r="Z246" s="46">
        <v>33110</v>
      </c>
      <c r="AA246" s="46">
        <v>34410</v>
      </c>
      <c r="AB246" s="46">
        <v>35110</v>
      </c>
      <c r="AC246" s="46">
        <v>36670</v>
      </c>
      <c r="AD246" s="46">
        <v>38800</v>
      </c>
      <c r="AE246" s="46">
        <v>39780</v>
      </c>
      <c r="AF246" s="46">
        <v>41400</v>
      </c>
      <c r="AG246" s="46">
        <v>42200</v>
      </c>
      <c r="AH246" s="46">
        <v>41910</v>
      </c>
      <c r="AI246" s="46">
        <v>41610</v>
      </c>
      <c r="AJ246" s="46">
        <v>40540</v>
      </c>
      <c r="AK246" s="46">
        <v>40360</v>
      </c>
      <c r="AL246" s="46">
        <v>39470</v>
      </c>
      <c r="AM246" s="46">
        <v>39380</v>
      </c>
      <c r="AN246" s="46">
        <v>39140</v>
      </c>
      <c r="AO246" s="46">
        <v>38220</v>
      </c>
      <c r="AP246" s="46">
        <v>39670</v>
      </c>
      <c r="AQ246" s="46">
        <v>39420</v>
      </c>
      <c r="AR246" s="46">
        <v>38860</v>
      </c>
      <c r="AS246" s="46">
        <v>38890</v>
      </c>
      <c r="AT246" s="46">
        <v>39780</v>
      </c>
      <c r="AU246" s="46">
        <v>39950</v>
      </c>
      <c r="AV246" s="46">
        <v>40670</v>
      </c>
      <c r="AW246" s="46">
        <v>42700</v>
      </c>
      <c r="AX246" s="46">
        <v>43790</v>
      </c>
      <c r="AY246" s="46">
        <v>43360</v>
      </c>
      <c r="AZ246" s="46">
        <v>44380</v>
      </c>
      <c r="BA246" s="46">
        <v>44500</v>
      </c>
      <c r="BB246" s="46">
        <v>44690</v>
      </c>
      <c r="BC246" s="46">
        <v>44800</v>
      </c>
      <c r="BD246" s="46">
        <v>44130</v>
      </c>
      <c r="BE246" s="46">
        <v>44300</v>
      </c>
      <c r="BF246" s="46">
        <v>44010</v>
      </c>
      <c r="BG246" s="46">
        <v>44560</v>
      </c>
      <c r="BH246" s="46">
        <v>44110</v>
      </c>
      <c r="BI246" s="46">
        <v>44240</v>
      </c>
    </row>
    <row r="247" spans="1:61" x14ac:dyDescent="0.25">
      <c r="A247" s="11">
        <f>$A$62</f>
        <v>47</v>
      </c>
      <c r="M247" s="11"/>
      <c r="N247" s="11"/>
      <c r="O247" s="11"/>
      <c r="P247" s="11"/>
      <c r="Q247" s="11"/>
      <c r="R247" s="11"/>
      <c r="S247" s="11"/>
      <c r="T247" s="46">
        <v>27480</v>
      </c>
      <c r="U247" s="46">
        <v>27550</v>
      </c>
      <c r="V247" s="46">
        <v>28700</v>
      </c>
      <c r="W247" s="46">
        <v>29400</v>
      </c>
      <c r="X247" s="46">
        <v>30170</v>
      </c>
      <c r="Y247" s="46">
        <v>31430</v>
      </c>
      <c r="Z247" s="46">
        <v>32520</v>
      </c>
      <c r="AA247" s="46">
        <v>33260</v>
      </c>
      <c r="AB247" s="46">
        <v>34570</v>
      </c>
      <c r="AC247" s="46">
        <v>35260</v>
      </c>
      <c r="AD247" s="46">
        <v>36830</v>
      </c>
      <c r="AE247" s="46">
        <v>38950</v>
      </c>
      <c r="AF247" s="46">
        <v>39930</v>
      </c>
      <c r="AG247" s="46">
        <v>41560</v>
      </c>
      <c r="AH247" s="46">
        <v>42350</v>
      </c>
      <c r="AI247" s="46">
        <v>42060</v>
      </c>
      <c r="AJ247" s="46">
        <v>41760</v>
      </c>
      <c r="AK247" s="46">
        <v>40690</v>
      </c>
      <c r="AL247" s="46">
        <v>40500</v>
      </c>
      <c r="AM247" s="46">
        <v>39620</v>
      </c>
      <c r="AN247" s="46">
        <v>39520</v>
      </c>
      <c r="AO247" s="46">
        <v>39280</v>
      </c>
      <c r="AP247" s="46">
        <v>38360</v>
      </c>
      <c r="AQ247" s="46">
        <v>39810</v>
      </c>
      <c r="AR247" s="46">
        <v>39560</v>
      </c>
      <c r="AS247" s="46">
        <v>38990</v>
      </c>
      <c r="AT247" s="46">
        <v>39020</v>
      </c>
      <c r="AU247" s="46">
        <v>39920</v>
      </c>
      <c r="AV247" s="46">
        <v>40080</v>
      </c>
      <c r="AW247" s="46">
        <v>40810</v>
      </c>
      <c r="AX247" s="46">
        <v>42840</v>
      </c>
      <c r="AY247" s="46">
        <v>43940</v>
      </c>
      <c r="AZ247" s="46">
        <v>43510</v>
      </c>
      <c r="BA247" s="46">
        <v>44520</v>
      </c>
      <c r="BB247" s="46">
        <v>44650</v>
      </c>
      <c r="BC247" s="46">
        <v>44830</v>
      </c>
      <c r="BD247" s="46">
        <v>44940</v>
      </c>
      <c r="BE247" s="46">
        <v>44280</v>
      </c>
      <c r="BF247" s="46">
        <v>44450</v>
      </c>
      <c r="BG247" s="46">
        <v>44160</v>
      </c>
      <c r="BH247" s="46">
        <v>44710</v>
      </c>
      <c r="BI247" s="46">
        <v>44260</v>
      </c>
    </row>
    <row r="248" spans="1:61" x14ac:dyDescent="0.25">
      <c r="A248" s="11">
        <f>$A$63</f>
        <v>48</v>
      </c>
      <c r="M248" s="11"/>
      <c r="N248" s="11"/>
      <c r="O248" s="11"/>
      <c r="P248" s="11"/>
      <c r="Q248" s="11"/>
      <c r="R248" s="11"/>
      <c r="S248" s="11"/>
      <c r="T248" s="46">
        <v>27040</v>
      </c>
      <c r="U248" s="46">
        <v>27470</v>
      </c>
      <c r="V248" s="46">
        <v>27560</v>
      </c>
      <c r="W248" s="46">
        <v>28720</v>
      </c>
      <c r="X248" s="46">
        <v>29420</v>
      </c>
      <c r="Y248" s="46">
        <v>30190</v>
      </c>
      <c r="Z248" s="46">
        <v>31440</v>
      </c>
      <c r="AA248" s="46">
        <v>32530</v>
      </c>
      <c r="AB248" s="46">
        <v>33270</v>
      </c>
      <c r="AC248" s="46">
        <v>34570</v>
      </c>
      <c r="AD248" s="46">
        <v>35260</v>
      </c>
      <c r="AE248" s="46">
        <v>36820</v>
      </c>
      <c r="AF248" s="46">
        <v>38940</v>
      </c>
      <c r="AG248" s="46">
        <v>39920</v>
      </c>
      <c r="AH248" s="46">
        <v>41540</v>
      </c>
      <c r="AI248" s="46">
        <v>42330</v>
      </c>
      <c r="AJ248" s="46">
        <v>42040</v>
      </c>
      <c r="AK248" s="46">
        <v>41740</v>
      </c>
      <c r="AL248" s="46">
        <v>40660</v>
      </c>
      <c r="AM248" s="46">
        <v>40480</v>
      </c>
      <c r="AN248" s="46">
        <v>39590</v>
      </c>
      <c r="AO248" s="46">
        <v>39500</v>
      </c>
      <c r="AP248" s="46">
        <v>39250</v>
      </c>
      <c r="AQ248" s="46">
        <v>38330</v>
      </c>
      <c r="AR248" s="46">
        <v>39780</v>
      </c>
      <c r="AS248" s="46">
        <v>39530</v>
      </c>
      <c r="AT248" s="46">
        <v>38960</v>
      </c>
      <c r="AU248" s="46">
        <v>38990</v>
      </c>
      <c r="AV248" s="46">
        <v>39890</v>
      </c>
      <c r="AW248" s="46">
        <v>40050</v>
      </c>
      <c r="AX248" s="46">
        <v>40770</v>
      </c>
      <c r="AY248" s="46">
        <v>42800</v>
      </c>
      <c r="AZ248" s="46">
        <v>43900</v>
      </c>
      <c r="BA248" s="46">
        <v>43470</v>
      </c>
      <c r="BB248" s="46">
        <v>44480</v>
      </c>
      <c r="BC248" s="46">
        <v>44610</v>
      </c>
      <c r="BD248" s="46">
        <v>44790</v>
      </c>
      <c r="BE248" s="46">
        <v>44900</v>
      </c>
      <c r="BF248" s="46">
        <v>44240</v>
      </c>
      <c r="BG248" s="46">
        <v>44410</v>
      </c>
      <c r="BH248" s="46">
        <v>44130</v>
      </c>
      <c r="BI248" s="46">
        <v>44670</v>
      </c>
    </row>
    <row r="249" spans="1:61" x14ac:dyDescent="0.25">
      <c r="A249" s="11">
        <f>$A$64</f>
        <v>49</v>
      </c>
      <c r="M249" s="11"/>
      <c r="N249" s="11"/>
      <c r="O249" s="11"/>
      <c r="P249" s="11"/>
      <c r="Q249" s="11"/>
      <c r="R249" s="11"/>
      <c r="S249" s="11"/>
      <c r="T249" s="46">
        <v>27900</v>
      </c>
      <c r="U249" s="46">
        <v>26990</v>
      </c>
      <c r="V249" s="46">
        <v>27430</v>
      </c>
      <c r="W249" s="46">
        <v>27520</v>
      </c>
      <c r="X249" s="46">
        <v>28680</v>
      </c>
      <c r="Y249" s="46">
        <v>29380</v>
      </c>
      <c r="Z249" s="46">
        <v>30150</v>
      </c>
      <c r="AA249" s="46">
        <v>31400</v>
      </c>
      <c r="AB249" s="46">
        <v>32480</v>
      </c>
      <c r="AC249" s="46">
        <v>33220</v>
      </c>
      <c r="AD249" s="46">
        <v>34510</v>
      </c>
      <c r="AE249" s="46">
        <v>35200</v>
      </c>
      <c r="AF249" s="46">
        <v>36750</v>
      </c>
      <c r="AG249" s="46">
        <v>38860</v>
      </c>
      <c r="AH249" s="46">
        <v>39840</v>
      </c>
      <c r="AI249" s="46">
        <v>41450</v>
      </c>
      <c r="AJ249" s="46">
        <v>42240</v>
      </c>
      <c r="AK249" s="46">
        <v>41950</v>
      </c>
      <c r="AL249" s="46">
        <v>41640</v>
      </c>
      <c r="AM249" s="46">
        <v>40570</v>
      </c>
      <c r="AN249" s="46">
        <v>40380</v>
      </c>
      <c r="AO249" s="46">
        <v>39490</v>
      </c>
      <c r="AP249" s="46">
        <v>39400</v>
      </c>
      <c r="AQ249" s="46">
        <v>39150</v>
      </c>
      <c r="AR249" s="46">
        <v>38230</v>
      </c>
      <c r="AS249" s="46">
        <v>39680</v>
      </c>
      <c r="AT249" s="46">
        <v>39430</v>
      </c>
      <c r="AU249" s="46">
        <v>38860</v>
      </c>
      <c r="AV249" s="46">
        <v>38890</v>
      </c>
      <c r="AW249" s="46">
        <v>39780</v>
      </c>
      <c r="AX249" s="46">
        <v>39950</v>
      </c>
      <c r="AY249" s="46">
        <v>40660</v>
      </c>
      <c r="AZ249" s="46">
        <v>42690</v>
      </c>
      <c r="BA249" s="46">
        <v>43780</v>
      </c>
      <c r="BB249" s="46">
        <v>43350</v>
      </c>
      <c r="BC249" s="46">
        <v>44360</v>
      </c>
      <c r="BD249" s="46">
        <v>44490</v>
      </c>
      <c r="BE249" s="46">
        <v>44680</v>
      </c>
      <c r="BF249" s="46">
        <v>44780</v>
      </c>
      <c r="BG249" s="46">
        <v>44120</v>
      </c>
      <c r="BH249" s="46">
        <v>44300</v>
      </c>
      <c r="BI249" s="46">
        <v>44010</v>
      </c>
    </row>
    <row r="250" spans="1:61" x14ac:dyDescent="0.25">
      <c r="A250" s="11">
        <f>$A$65</f>
        <v>50</v>
      </c>
      <c r="M250" s="11"/>
      <c r="N250" s="11"/>
      <c r="O250" s="11"/>
      <c r="P250" s="11"/>
      <c r="Q250" s="11"/>
      <c r="R250" s="11"/>
      <c r="S250" s="11"/>
      <c r="T250" s="46">
        <v>28640</v>
      </c>
      <c r="U250" s="46">
        <v>27800</v>
      </c>
      <c r="V250" s="46">
        <v>26900</v>
      </c>
      <c r="W250" s="46">
        <v>27340</v>
      </c>
      <c r="X250" s="46">
        <v>27430</v>
      </c>
      <c r="Y250" s="46">
        <v>28590</v>
      </c>
      <c r="Z250" s="46">
        <v>29280</v>
      </c>
      <c r="AA250" s="46">
        <v>30050</v>
      </c>
      <c r="AB250" s="46">
        <v>31290</v>
      </c>
      <c r="AC250" s="46">
        <v>32360</v>
      </c>
      <c r="AD250" s="46">
        <v>33100</v>
      </c>
      <c r="AE250" s="46">
        <v>34380</v>
      </c>
      <c r="AF250" s="46">
        <v>35060</v>
      </c>
      <c r="AG250" s="46">
        <v>36610</v>
      </c>
      <c r="AH250" s="46">
        <v>38710</v>
      </c>
      <c r="AI250" s="46">
        <v>39680</v>
      </c>
      <c r="AJ250" s="46">
        <v>41280</v>
      </c>
      <c r="AK250" s="46">
        <v>42060</v>
      </c>
      <c r="AL250" s="46">
        <v>41770</v>
      </c>
      <c r="AM250" s="46">
        <v>41460</v>
      </c>
      <c r="AN250" s="46">
        <v>40390</v>
      </c>
      <c r="AO250" s="46">
        <v>40200</v>
      </c>
      <c r="AP250" s="46">
        <v>39320</v>
      </c>
      <c r="AQ250" s="46">
        <v>39220</v>
      </c>
      <c r="AR250" s="46">
        <v>38980</v>
      </c>
      <c r="AS250" s="46">
        <v>38060</v>
      </c>
      <c r="AT250" s="46">
        <v>39500</v>
      </c>
      <c r="AU250" s="46">
        <v>39250</v>
      </c>
      <c r="AV250" s="46">
        <v>38690</v>
      </c>
      <c r="AW250" s="46">
        <v>38720</v>
      </c>
      <c r="AX250" s="46">
        <v>39600</v>
      </c>
      <c r="AY250" s="46">
        <v>39770</v>
      </c>
      <c r="AZ250" s="46">
        <v>40480</v>
      </c>
      <c r="BA250" s="46">
        <v>42490</v>
      </c>
      <c r="BB250" s="46">
        <v>43580</v>
      </c>
      <c r="BC250" s="46">
        <v>43160</v>
      </c>
      <c r="BD250" s="46">
        <v>44160</v>
      </c>
      <c r="BE250" s="46">
        <v>44290</v>
      </c>
      <c r="BF250" s="46">
        <v>44480</v>
      </c>
      <c r="BG250" s="46">
        <v>44580</v>
      </c>
      <c r="BH250" s="46">
        <v>43930</v>
      </c>
      <c r="BI250" s="46">
        <v>44100</v>
      </c>
    </row>
    <row r="251" spans="1:61" x14ac:dyDescent="0.25">
      <c r="A251" s="11">
        <f>$A$66</f>
        <v>51</v>
      </c>
      <c r="M251" s="11"/>
      <c r="N251" s="11"/>
      <c r="O251" s="11"/>
      <c r="P251" s="11"/>
      <c r="Q251" s="11"/>
      <c r="R251" s="11"/>
      <c r="S251" s="11"/>
      <c r="T251" s="46">
        <v>29170</v>
      </c>
      <c r="U251" s="46">
        <v>28500</v>
      </c>
      <c r="V251" s="46">
        <v>27670</v>
      </c>
      <c r="W251" s="46">
        <v>26770</v>
      </c>
      <c r="X251" s="46">
        <v>27210</v>
      </c>
      <c r="Y251" s="46">
        <v>27300</v>
      </c>
      <c r="Z251" s="46">
        <v>28450</v>
      </c>
      <c r="AA251" s="46">
        <v>29140</v>
      </c>
      <c r="AB251" s="46">
        <v>29900</v>
      </c>
      <c r="AC251" s="46">
        <v>31130</v>
      </c>
      <c r="AD251" s="46">
        <v>32200</v>
      </c>
      <c r="AE251" s="46">
        <v>32920</v>
      </c>
      <c r="AF251" s="46">
        <v>34200</v>
      </c>
      <c r="AG251" s="46">
        <v>34870</v>
      </c>
      <c r="AH251" s="46">
        <v>36410</v>
      </c>
      <c r="AI251" s="46">
        <v>38500</v>
      </c>
      <c r="AJ251" s="46">
        <v>39460</v>
      </c>
      <c r="AK251" s="46">
        <v>41050</v>
      </c>
      <c r="AL251" s="46">
        <v>41830</v>
      </c>
      <c r="AM251" s="46">
        <v>41530</v>
      </c>
      <c r="AN251" s="46">
        <v>41230</v>
      </c>
      <c r="AO251" s="46">
        <v>40160</v>
      </c>
      <c r="AP251" s="46">
        <v>39970</v>
      </c>
      <c r="AQ251" s="46">
        <v>39090</v>
      </c>
      <c r="AR251" s="46">
        <v>38990</v>
      </c>
      <c r="AS251" s="46">
        <v>38750</v>
      </c>
      <c r="AT251" s="46">
        <v>37840</v>
      </c>
      <c r="AU251" s="46">
        <v>39270</v>
      </c>
      <c r="AV251" s="46">
        <v>39020</v>
      </c>
      <c r="AW251" s="46">
        <v>38460</v>
      </c>
      <c r="AX251" s="46">
        <v>38490</v>
      </c>
      <c r="AY251" s="46">
        <v>39370</v>
      </c>
      <c r="AZ251" s="46">
        <v>39530</v>
      </c>
      <c r="BA251" s="46">
        <v>40240</v>
      </c>
      <c r="BB251" s="46">
        <v>42240</v>
      </c>
      <c r="BC251" s="46">
        <v>43330</v>
      </c>
      <c r="BD251" s="46">
        <v>42900</v>
      </c>
      <c r="BE251" s="46">
        <v>43900</v>
      </c>
      <c r="BF251" s="46">
        <v>44030</v>
      </c>
      <c r="BG251" s="46">
        <v>44220</v>
      </c>
      <c r="BH251" s="46">
        <v>44320</v>
      </c>
      <c r="BI251" s="46">
        <v>43670</v>
      </c>
    </row>
    <row r="252" spans="1:61" x14ac:dyDescent="0.25">
      <c r="A252" s="11">
        <f>$A$67</f>
        <v>52</v>
      </c>
      <c r="M252" s="11"/>
      <c r="N252" s="11"/>
      <c r="O252" s="11"/>
      <c r="P252" s="11"/>
      <c r="Q252" s="11"/>
      <c r="R252" s="11"/>
      <c r="S252" s="11"/>
      <c r="T252" s="46">
        <v>29630</v>
      </c>
      <c r="U252" s="46">
        <v>28980</v>
      </c>
      <c r="V252" s="46">
        <v>28320</v>
      </c>
      <c r="W252" s="46">
        <v>27500</v>
      </c>
      <c r="X252" s="46">
        <v>26610</v>
      </c>
      <c r="Y252" s="46">
        <v>27050</v>
      </c>
      <c r="Z252" s="46">
        <v>27130</v>
      </c>
      <c r="AA252" s="46">
        <v>28280</v>
      </c>
      <c r="AB252" s="46">
        <v>28960</v>
      </c>
      <c r="AC252" s="46">
        <v>29710</v>
      </c>
      <c r="AD252" s="46">
        <v>30940</v>
      </c>
      <c r="AE252" s="46">
        <v>32000</v>
      </c>
      <c r="AF252" s="46">
        <v>32720</v>
      </c>
      <c r="AG252" s="46">
        <v>33990</v>
      </c>
      <c r="AH252" s="46">
        <v>34660</v>
      </c>
      <c r="AI252" s="46">
        <v>36180</v>
      </c>
      <c r="AJ252" s="46">
        <v>38260</v>
      </c>
      <c r="AK252" s="46">
        <v>39210</v>
      </c>
      <c r="AL252" s="46">
        <v>40790</v>
      </c>
      <c r="AM252" s="46">
        <v>41560</v>
      </c>
      <c r="AN252" s="46">
        <v>41270</v>
      </c>
      <c r="AO252" s="46">
        <v>40960</v>
      </c>
      <c r="AP252" s="46">
        <v>39900</v>
      </c>
      <c r="AQ252" s="46">
        <v>39710</v>
      </c>
      <c r="AR252" s="46">
        <v>38840</v>
      </c>
      <c r="AS252" s="46">
        <v>38740</v>
      </c>
      <c r="AT252" s="46">
        <v>38500</v>
      </c>
      <c r="AU252" s="46">
        <v>37590</v>
      </c>
      <c r="AV252" s="46">
        <v>39010</v>
      </c>
      <c r="AW252" s="46">
        <v>38760</v>
      </c>
      <c r="AX252" s="46">
        <v>38210</v>
      </c>
      <c r="AY252" s="46">
        <v>38240</v>
      </c>
      <c r="AZ252" s="46">
        <v>39110</v>
      </c>
      <c r="BA252" s="46">
        <v>39270</v>
      </c>
      <c r="BB252" s="46">
        <v>39980</v>
      </c>
      <c r="BC252" s="46">
        <v>41970</v>
      </c>
      <c r="BD252" s="46">
        <v>43050</v>
      </c>
      <c r="BE252" s="46">
        <v>42630</v>
      </c>
      <c r="BF252" s="46">
        <v>43620</v>
      </c>
      <c r="BG252" s="46">
        <v>43750</v>
      </c>
      <c r="BH252" s="46">
        <v>43930</v>
      </c>
      <c r="BI252" s="46">
        <v>44040</v>
      </c>
    </row>
    <row r="253" spans="1:61" x14ac:dyDescent="0.25">
      <c r="A253" s="11">
        <f>$A$68</f>
        <v>53</v>
      </c>
      <c r="M253" s="11"/>
      <c r="N253" s="11"/>
      <c r="O253" s="11"/>
      <c r="P253" s="11"/>
      <c r="Q253" s="11"/>
      <c r="R253" s="11"/>
      <c r="S253" s="11"/>
      <c r="T253" s="46">
        <v>29710</v>
      </c>
      <c r="U253" s="46">
        <v>29450</v>
      </c>
      <c r="V253" s="46">
        <v>28810</v>
      </c>
      <c r="W253" s="46">
        <v>28150</v>
      </c>
      <c r="X253" s="46">
        <v>27330</v>
      </c>
      <c r="Y253" s="46">
        <v>26450</v>
      </c>
      <c r="Z253" s="46">
        <v>26880</v>
      </c>
      <c r="AA253" s="46">
        <v>26970</v>
      </c>
      <c r="AB253" s="46">
        <v>28110</v>
      </c>
      <c r="AC253" s="46">
        <v>28780</v>
      </c>
      <c r="AD253" s="46">
        <v>29530</v>
      </c>
      <c r="AE253" s="46">
        <v>30750</v>
      </c>
      <c r="AF253" s="46">
        <v>31800</v>
      </c>
      <c r="AG253" s="46">
        <v>32510</v>
      </c>
      <c r="AH253" s="46">
        <v>33780</v>
      </c>
      <c r="AI253" s="46">
        <v>34440</v>
      </c>
      <c r="AJ253" s="46">
        <v>35950</v>
      </c>
      <c r="AK253" s="46">
        <v>38010</v>
      </c>
      <c r="AL253" s="46">
        <v>38960</v>
      </c>
      <c r="AM253" s="46">
        <v>40530</v>
      </c>
      <c r="AN253" s="46">
        <v>41290</v>
      </c>
      <c r="AO253" s="46">
        <v>41000</v>
      </c>
      <c r="AP253" s="46">
        <v>40700</v>
      </c>
      <c r="AQ253" s="46">
        <v>39640</v>
      </c>
      <c r="AR253" s="46">
        <v>39450</v>
      </c>
      <c r="AS253" s="46">
        <v>38590</v>
      </c>
      <c r="AT253" s="46">
        <v>38490</v>
      </c>
      <c r="AU253" s="46">
        <v>38250</v>
      </c>
      <c r="AV253" s="46">
        <v>37350</v>
      </c>
      <c r="AW253" s="46">
        <v>38760</v>
      </c>
      <c r="AX253" s="46">
        <v>38510</v>
      </c>
      <c r="AY253" s="46">
        <v>37960</v>
      </c>
      <c r="AZ253" s="46">
        <v>37990</v>
      </c>
      <c r="BA253" s="46">
        <v>38860</v>
      </c>
      <c r="BB253" s="46">
        <v>39020</v>
      </c>
      <c r="BC253" s="46">
        <v>39720</v>
      </c>
      <c r="BD253" s="46">
        <v>41700</v>
      </c>
      <c r="BE253" s="46">
        <v>42770</v>
      </c>
      <c r="BF253" s="46">
        <v>42350</v>
      </c>
      <c r="BG253" s="46">
        <v>43340</v>
      </c>
      <c r="BH253" s="46">
        <v>43470</v>
      </c>
      <c r="BI253" s="46">
        <v>43660</v>
      </c>
    </row>
    <row r="254" spans="1:61" x14ac:dyDescent="0.25">
      <c r="A254" s="11">
        <f>$A$69</f>
        <v>54</v>
      </c>
      <c r="M254" s="11"/>
      <c r="N254" s="11"/>
      <c r="O254" s="11"/>
      <c r="P254" s="11"/>
      <c r="Q254" s="11"/>
      <c r="R254" s="11"/>
      <c r="S254" s="11"/>
      <c r="T254" s="46">
        <v>28170</v>
      </c>
      <c r="U254" s="46">
        <v>29530</v>
      </c>
      <c r="V254" s="46">
        <v>29270</v>
      </c>
      <c r="W254" s="46">
        <v>28640</v>
      </c>
      <c r="X254" s="46">
        <v>27990</v>
      </c>
      <c r="Y254" s="46">
        <v>27180</v>
      </c>
      <c r="Z254" s="46">
        <v>26300</v>
      </c>
      <c r="AA254" s="46">
        <v>26740</v>
      </c>
      <c r="AB254" s="46">
        <v>26830</v>
      </c>
      <c r="AC254" s="46">
        <v>27960</v>
      </c>
      <c r="AD254" s="46">
        <v>28630</v>
      </c>
      <c r="AE254" s="46">
        <v>29370</v>
      </c>
      <c r="AF254" s="46">
        <v>30580</v>
      </c>
      <c r="AG254" s="46">
        <v>31630</v>
      </c>
      <c r="AH254" s="46">
        <v>32340</v>
      </c>
      <c r="AI254" s="46">
        <v>33590</v>
      </c>
      <c r="AJ254" s="46">
        <v>34250</v>
      </c>
      <c r="AK254" s="46">
        <v>35760</v>
      </c>
      <c r="AL254" s="46">
        <v>37810</v>
      </c>
      <c r="AM254" s="46">
        <v>38750</v>
      </c>
      <c r="AN254" s="46">
        <v>40310</v>
      </c>
      <c r="AO254" s="46">
        <v>41070</v>
      </c>
      <c r="AP254" s="46">
        <v>40780</v>
      </c>
      <c r="AQ254" s="46">
        <v>40480</v>
      </c>
      <c r="AR254" s="46">
        <v>39430</v>
      </c>
      <c r="AS254" s="46">
        <v>39240</v>
      </c>
      <c r="AT254" s="46">
        <v>38380</v>
      </c>
      <c r="AU254" s="46">
        <v>38280</v>
      </c>
      <c r="AV254" s="46">
        <v>38040</v>
      </c>
      <c r="AW254" s="46">
        <v>37150</v>
      </c>
      <c r="AX254" s="46">
        <v>38550</v>
      </c>
      <c r="AY254" s="46">
        <v>38310</v>
      </c>
      <c r="AZ254" s="46">
        <v>37760</v>
      </c>
      <c r="BA254" s="46">
        <v>37790</v>
      </c>
      <c r="BB254" s="46">
        <v>38650</v>
      </c>
      <c r="BC254" s="46">
        <v>38810</v>
      </c>
      <c r="BD254" s="46">
        <v>39510</v>
      </c>
      <c r="BE254" s="46">
        <v>41480</v>
      </c>
      <c r="BF254" s="46">
        <v>42540</v>
      </c>
      <c r="BG254" s="46">
        <v>42130</v>
      </c>
      <c r="BH254" s="46">
        <v>43110</v>
      </c>
      <c r="BI254" s="46">
        <v>43240</v>
      </c>
    </row>
    <row r="255" spans="1:61" x14ac:dyDescent="0.25">
      <c r="A255" s="11">
        <f>$A$70</f>
        <v>55</v>
      </c>
      <c r="M255" s="11"/>
      <c r="N255" s="11"/>
      <c r="O255" s="11"/>
      <c r="P255" s="11"/>
      <c r="Q255" s="11"/>
      <c r="R255" s="11"/>
      <c r="S255" s="11"/>
      <c r="T255" s="46">
        <v>27810</v>
      </c>
      <c r="U255" s="46">
        <v>27940</v>
      </c>
      <c r="V255" s="46">
        <v>29290</v>
      </c>
      <c r="W255" s="46">
        <v>29040</v>
      </c>
      <c r="X255" s="46">
        <v>28420</v>
      </c>
      <c r="Y255" s="46">
        <v>27780</v>
      </c>
      <c r="Z255" s="46">
        <v>26980</v>
      </c>
      <c r="AA255" s="46">
        <v>26110</v>
      </c>
      <c r="AB255" s="46">
        <v>26540</v>
      </c>
      <c r="AC255" s="46">
        <v>26630</v>
      </c>
      <c r="AD255" s="46">
        <v>27750</v>
      </c>
      <c r="AE255" s="46">
        <v>28420</v>
      </c>
      <c r="AF255" s="46">
        <v>29150</v>
      </c>
      <c r="AG255" s="46">
        <v>30350</v>
      </c>
      <c r="AH255" s="46">
        <v>31390</v>
      </c>
      <c r="AI255" s="46">
        <v>32100</v>
      </c>
      <c r="AJ255" s="46">
        <v>33340</v>
      </c>
      <c r="AK255" s="46">
        <v>33990</v>
      </c>
      <c r="AL255" s="46">
        <v>35490</v>
      </c>
      <c r="AM255" s="46">
        <v>37520</v>
      </c>
      <c r="AN255" s="46">
        <v>38450</v>
      </c>
      <c r="AO255" s="46">
        <v>40000</v>
      </c>
      <c r="AP255" s="46">
        <v>40750</v>
      </c>
      <c r="AQ255" s="46">
        <v>40470</v>
      </c>
      <c r="AR255" s="46">
        <v>40170</v>
      </c>
      <c r="AS255" s="46">
        <v>39130</v>
      </c>
      <c r="AT255" s="46">
        <v>38940</v>
      </c>
      <c r="AU255" s="46">
        <v>38090</v>
      </c>
      <c r="AV255" s="46">
        <v>37990</v>
      </c>
      <c r="AW255" s="46">
        <v>37760</v>
      </c>
      <c r="AX255" s="46">
        <v>36870</v>
      </c>
      <c r="AY255" s="46">
        <v>38260</v>
      </c>
      <c r="AZ255" s="46">
        <v>38020</v>
      </c>
      <c r="BA255" s="46">
        <v>37480</v>
      </c>
      <c r="BB255" s="46">
        <v>37510</v>
      </c>
      <c r="BC255" s="46">
        <v>38370</v>
      </c>
      <c r="BD255" s="46">
        <v>38530</v>
      </c>
      <c r="BE255" s="46">
        <v>39220</v>
      </c>
      <c r="BF255" s="46">
        <v>41170</v>
      </c>
      <c r="BG255" s="46">
        <v>42230</v>
      </c>
      <c r="BH255" s="46">
        <v>41820</v>
      </c>
      <c r="BI255" s="46">
        <v>42790</v>
      </c>
    </row>
    <row r="256" spans="1:61" x14ac:dyDescent="0.25">
      <c r="A256" s="11">
        <f>$A$71</f>
        <v>56</v>
      </c>
      <c r="M256" s="11"/>
      <c r="N256" s="11"/>
      <c r="O256" s="11"/>
      <c r="P256" s="11"/>
      <c r="Q256" s="11"/>
      <c r="R256" s="11"/>
      <c r="S256" s="11"/>
      <c r="T256" s="46">
        <v>26820</v>
      </c>
      <c r="U256" s="46">
        <v>27570</v>
      </c>
      <c r="V256" s="46">
        <v>27710</v>
      </c>
      <c r="W256" s="46">
        <v>29050</v>
      </c>
      <c r="X256" s="46">
        <v>28810</v>
      </c>
      <c r="Y256" s="46">
        <v>28200</v>
      </c>
      <c r="Z256" s="46">
        <v>27560</v>
      </c>
      <c r="AA256" s="46">
        <v>26770</v>
      </c>
      <c r="AB256" s="46">
        <v>25910</v>
      </c>
      <c r="AC256" s="46">
        <v>26340</v>
      </c>
      <c r="AD256" s="46">
        <v>26430</v>
      </c>
      <c r="AE256" s="46">
        <v>27540</v>
      </c>
      <c r="AF256" s="46">
        <v>28210</v>
      </c>
      <c r="AG256" s="46">
        <v>28940</v>
      </c>
      <c r="AH256" s="46">
        <v>30130</v>
      </c>
      <c r="AI256" s="46">
        <v>31160</v>
      </c>
      <c r="AJ256" s="46">
        <v>31860</v>
      </c>
      <c r="AK256" s="46">
        <v>33090</v>
      </c>
      <c r="AL256" s="46">
        <v>33740</v>
      </c>
      <c r="AM256" s="46">
        <v>35220</v>
      </c>
      <c r="AN256" s="46">
        <v>37230</v>
      </c>
      <c r="AO256" s="46">
        <v>38160</v>
      </c>
      <c r="AP256" s="46">
        <v>39690</v>
      </c>
      <c r="AQ256" s="46">
        <v>40440</v>
      </c>
      <c r="AR256" s="46">
        <v>40160</v>
      </c>
      <c r="AS256" s="46">
        <v>39860</v>
      </c>
      <c r="AT256" s="46">
        <v>38830</v>
      </c>
      <c r="AU256" s="46">
        <v>38650</v>
      </c>
      <c r="AV256" s="46">
        <v>37800</v>
      </c>
      <c r="AW256" s="46">
        <v>37710</v>
      </c>
      <c r="AX256" s="46">
        <v>37480</v>
      </c>
      <c r="AY256" s="46">
        <v>36600</v>
      </c>
      <c r="AZ256" s="46">
        <v>37980</v>
      </c>
      <c r="BA256" s="46">
        <v>37740</v>
      </c>
      <c r="BB256" s="46">
        <v>37210</v>
      </c>
      <c r="BC256" s="46">
        <v>37240</v>
      </c>
      <c r="BD256" s="46">
        <v>38090</v>
      </c>
      <c r="BE256" s="46">
        <v>38250</v>
      </c>
      <c r="BF256" s="46">
        <v>38930</v>
      </c>
      <c r="BG256" s="46">
        <v>40870</v>
      </c>
      <c r="BH256" s="46">
        <v>41910</v>
      </c>
      <c r="BI256" s="46">
        <v>41510</v>
      </c>
    </row>
    <row r="257" spans="1:61" x14ac:dyDescent="0.25">
      <c r="A257" s="11">
        <f>$A$72</f>
        <v>57</v>
      </c>
      <c r="M257" s="11"/>
      <c r="N257" s="11"/>
      <c r="O257" s="11"/>
      <c r="P257" s="11"/>
      <c r="Q257" s="11"/>
      <c r="R257" s="11"/>
      <c r="S257" s="11"/>
      <c r="T257" s="46">
        <v>26130</v>
      </c>
      <c r="U257" s="46">
        <v>26600</v>
      </c>
      <c r="V257" s="46">
        <v>27360</v>
      </c>
      <c r="W257" s="46">
        <v>27500</v>
      </c>
      <c r="X257" s="46">
        <v>28840</v>
      </c>
      <c r="Y257" s="46">
        <v>28610</v>
      </c>
      <c r="Z257" s="46">
        <v>28000</v>
      </c>
      <c r="AA257" s="46">
        <v>27380</v>
      </c>
      <c r="AB257" s="46">
        <v>26600</v>
      </c>
      <c r="AC257" s="46">
        <v>25750</v>
      </c>
      <c r="AD257" s="46">
        <v>26180</v>
      </c>
      <c r="AE257" s="46">
        <v>26270</v>
      </c>
      <c r="AF257" s="46">
        <v>27370</v>
      </c>
      <c r="AG257" s="46">
        <v>28030</v>
      </c>
      <c r="AH257" s="46">
        <v>28760</v>
      </c>
      <c r="AI257" s="46">
        <v>29940</v>
      </c>
      <c r="AJ257" s="46">
        <v>30960</v>
      </c>
      <c r="AK257" s="46">
        <v>31660</v>
      </c>
      <c r="AL257" s="46">
        <v>32880</v>
      </c>
      <c r="AM257" s="46">
        <v>33530</v>
      </c>
      <c r="AN257" s="46">
        <v>35000</v>
      </c>
      <c r="AO257" s="46">
        <v>37000</v>
      </c>
      <c r="AP257" s="46">
        <v>37920</v>
      </c>
      <c r="AQ257" s="46">
        <v>39440</v>
      </c>
      <c r="AR257" s="46">
        <v>40180</v>
      </c>
      <c r="AS257" s="46">
        <v>39900</v>
      </c>
      <c r="AT257" s="46">
        <v>39610</v>
      </c>
      <c r="AU257" s="46">
        <v>38590</v>
      </c>
      <c r="AV257" s="46">
        <v>38410</v>
      </c>
      <c r="AW257" s="46">
        <v>37570</v>
      </c>
      <c r="AX257" s="46">
        <v>37480</v>
      </c>
      <c r="AY257" s="46">
        <v>37250</v>
      </c>
      <c r="AZ257" s="46">
        <v>36380</v>
      </c>
      <c r="BA257" s="46">
        <v>37750</v>
      </c>
      <c r="BB257" s="46">
        <v>37510</v>
      </c>
      <c r="BC257" s="46">
        <v>36980</v>
      </c>
      <c r="BD257" s="46">
        <v>37010</v>
      </c>
      <c r="BE257" s="46">
        <v>37860</v>
      </c>
      <c r="BF257" s="46">
        <v>38020</v>
      </c>
      <c r="BG257" s="46">
        <v>38700</v>
      </c>
      <c r="BH257" s="46">
        <v>40620</v>
      </c>
      <c r="BI257" s="46">
        <v>41660</v>
      </c>
    </row>
    <row r="258" spans="1:61" x14ac:dyDescent="0.25">
      <c r="A258" s="11">
        <f>$A$73</f>
        <v>58</v>
      </c>
      <c r="M258" s="11"/>
      <c r="N258" s="11"/>
      <c r="O258" s="11"/>
      <c r="P258" s="11"/>
      <c r="Q258" s="11"/>
      <c r="R258" s="11"/>
      <c r="S258" s="11"/>
      <c r="T258" s="46">
        <v>25060</v>
      </c>
      <c r="U258" s="46">
        <v>25830</v>
      </c>
      <c r="V258" s="46">
        <v>26300</v>
      </c>
      <c r="W258" s="46">
        <v>27060</v>
      </c>
      <c r="X258" s="46">
        <v>27210</v>
      </c>
      <c r="Y258" s="46">
        <v>28530</v>
      </c>
      <c r="Z258" s="46">
        <v>28310</v>
      </c>
      <c r="AA258" s="46">
        <v>27720</v>
      </c>
      <c r="AB258" s="46">
        <v>27110</v>
      </c>
      <c r="AC258" s="46">
        <v>26340</v>
      </c>
      <c r="AD258" s="46">
        <v>25510</v>
      </c>
      <c r="AE258" s="46">
        <v>25930</v>
      </c>
      <c r="AF258" s="46">
        <v>26030</v>
      </c>
      <c r="AG258" s="46">
        <v>27120</v>
      </c>
      <c r="AH258" s="46">
        <v>27770</v>
      </c>
      <c r="AI258" s="46">
        <v>28500</v>
      </c>
      <c r="AJ258" s="46">
        <v>29670</v>
      </c>
      <c r="AK258" s="46">
        <v>30680</v>
      </c>
      <c r="AL258" s="46">
        <v>31370</v>
      </c>
      <c r="AM258" s="46">
        <v>32580</v>
      </c>
      <c r="AN258" s="46">
        <v>33220</v>
      </c>
      <c r="AO258" s="46">
        <v>34680</v>
      </c>
      <c r="AP258" s="46">
        <v>36650</v>
      </c>
      <c r="AQ258" s="46">
        <v>37560</v>
      </c>
      <c r="AR258" s="46">
        <v>39070</v>
      </c>
      <c r="AS258" s="46">
        <v>39810</v>
      </c>
      <c r="AT258" s="46">
        <v>39530</v>
      </c>
      <c r="AU258" s="46">
        <v>39250</v>
      </c>
      <c r="AV258" s="46">
        <v>38240</v>
      </c>
      <c r="AW258" s="46">
        <v>38060</v>
      </c>
      <c r="AX258" s="46">
        <v>37230</v>
      </c>
      <c r="AY258" s="46">
        <v>37150</v>
      </c>
      <c r="AZ258" s="46">
        <v>36920</v>
      </c>
      <c r="BA258" s="46">
        <v>36060</v>
      </c>
      <c r="BB258" s="46">
        <v>37410</v>
      </c>
      <c r="BC258" s="46">
        <v>37180</v>
      </c>
      <c r="BD258" s="46">
        <v>36660</v>
      </c>
      <c r="BE258" s="46">
        <v>36690</v>
      </c>
      <c r="BF258" s="46">
        <v>37530</v>
      </c>
      <c r="BG258" s="46">
        <v>37690</v>
      </c>
      <c r="BH258" s="46">
        <v>38360</v>
      </c>
      <c r="BI258" s="46">
        <v>40260</v>
      </c>
    </row>
    <row r="259" spans="1:61" x14ac:dyDescent="0.25">
      <c r="A259" s="11">
        <f>$A$74</f>
        <v>59</v>
      </c>
      <c r="M259" s="11"/>
      <c r="N259" s="11"/>
      <c r="O259" s="11"/>
      <c r="P259" s="11"/>
      <c r="Q259" s="11"/>
      <c r="R259" s="11"/>
      <c r="S259" s="11"/>
      <c r="T259" s="46">
        <v>24720</v>
      </c>
      <c r="U259" s="46">
        <v>24560</v>
      </c>
      <c r="V259" s="46">
        <v>25320</v>
      </c>
      <c r="W259" s="46">
        <v>25800</v>
      </c>
      <c r="X259" s="46">
        <v>26550</v>
      </c>
      <c r="Y259" s="46">
        <v>26700</v>
      </c>
      <c r="Z259" s="46">
        <v>28000</v>
      </c>
      <c r="AA259" s="46">
        <v>27790</v>
      </c>
      <c r="AB259" s="46">
        <v>27210</v>
      </c>
      <c r="AC259" s="46">
        <v>26620</v>
      </c>
      <c r="AD259" s="46">
        <v>25870</v>
      </c>
      <c r="AE259" s="46">
        <v>25060</v>
      </c>
      <c r="AF259" s="46">
        <v>25480</v>
      </c>
      <c r="AG259" s="46">
        <v>25570</v>
      </c>
      <c r="AH259" s="46">
        <v>26650</v>
      </c>
      <c r="AI259" s="46">
        <v>27290</v>
      </c>
      <c r="AJ259" s="46">
        <v>28000</v>
      </c>
      <c r="AK259" s="46">
        <v>29150</v>
      </c>
      <c r="AL259" s="46">
        <v>30140</v>
      </c>
      <c r="AM259" s="46">
        <v>30820</v>
      </c>
      <c r="AN259" s="46">
        <v>32010</v>
      </c>
      <c r="AO259" s="46">
        <v>32640</v>
      </c>
      <c r="AP259" s="46">
        <v>34070</v>
      </c>
      <c r="AQ259" s="46">
        <v>36010</v>
      </c>
      <c r="AR259" s="46">
        <v>36900</v>
      </c>
      <c r="AS259" s="46">
        <v>38380</v>
      </c>
      <c r="AT259" s="46">
        <v>39100</v>
      </c>
      <c r="AU259" s="46">
        <v>38830</v>
      </c>
      <c r="AV259" s="46">
        <v>38560</v>
      </c>
      <c r="AW259" s="46">
        <v>37570</v>
      </c>
      <c r="AX259" s="46">
        <v>37400</v>
      </c>
      <c r="AY259" s="46">
        <v>36590</v>
      </c>
      <c r="AZ259" s="46">
        <v>36500</v>
      </c>
      <c r="BA259" s="46">
        <v>36280</v>
      </c>
      <c r="BB259" s="46">
        <v>35440</v>
      </c>
      <c r="BC259" s="46">
        <v>36770</v>
      </c>
      <c r="BD259" s="46">
        <v>36540</v>
      </c>
      <c r="BE259" s="46">
        <v>36030</v>
      </c>
      <c r="BF259" s="46">
        <v>36060</v>
      </c>
      <c r="BG259" s="46">
        <v>36880</v>
      </c>
      <c r="BH259" s="46">
        <v>37040</v>
      </c>
      <c r="BI259" s="46">
        <v>37710</v>
      </c>
    </row>
    <row r="260" spans="1:61" x14ac:dyDescent="0.25">
      <c r="A260" s="11">
        <f>$A$75</f>
        <v>60</v>
      </c>
      <c r="M260" s="11"/>
      <c r="N260" s="11"/>
      <c r="O260" s="11"/>
      <c r="P260" s="11"/>
      <c r="Q260" s="11"/>
      <c r="R260" s="11"/>
      <c r="S260" s="11"/>
      <c r="T260" s="46">
        <v>24540</v>
      </c>
      <c r="U260" s="46">
        <v>24000</v>
      </c>
      <c r="V260" s="46">
        <v>23860</v>
      </c>
      <c r="W260" s="46">
        <v>24610</v>
      </c>
      <c r="X260" s="46">
        <v>25080</v>
      </c>
      <c r="Y260" s="46">
        <v>25810</v>
      </c>
      <c r="Z260" s="46">
        <v>25960</v>
      </c>
      <c r="AA260" s="46">
        <v>27230</v>
      </c>
      <c r="AB260" s="46">
        <v>27030</v>
      </c>
      <c r="AC260" s="46">
        <v>26480</v>
      </c>
      <c r="AD260" s="46">
        <v>25910</v>
      </c>
      <c r="AE260" s="46">
        <v>25190</v>
      </c>
      <c r="AF260" s="46">
        <v>24400</v>
      </c>
      <c r="AG260" s="46">
        <v>24810</v>
      </c>
      <c r="AH260" s="46">
        <v>24900</v>
      </c>
      <c r="AI260" s="46">
        <v>25950</v>
      </c>
      <c r="AJ260" s="46">
        <v>26580</v>
      </c>
      <c r="AK260" s="46">
        <v>27270</v>
      </c>
      <c r="AL260" s="46">
        <v>28380</v>
      </c>
      <c r="AM260" s="46">
        <v>29350</v>
      </c>
      <c r="AN260" s="46">
        <v>30010</v>
      </c>
      <c r="AO260" s="46">
        <v>31170</v>
      </c>
      <c r="AP260" s="46">
        <v>31780</v>
      </c>
      <c r="AQ260" s="46">
        <v>33170</v>
      </c>
      <c r="AR260" s="46">
        <v>35060</v>
      </c>
      <c r="AS260" s="46">
        <v>35920</v>
      </c>
      <c r="AT260" s="46">
        <v>37360</v>
      </c>
      <c r="AU260" s="46">
        <v>38070</v>
      </c>
      <c r="AV260" s="46">
        <v>37810</v>
      </c>
      <c r="AW260" s="46">
        <v>37540</v>
      </c>
      <c r="AX260" s="46">
        <v>36580</v>
      </c>
      <c r="AY260" s="46">
        <v>36410</v>
      </c>
      <c r="AZ260" s="46">
        <v>35630</v>
      </c>
      <c r="BA260" s="46">
        <v>35550</v>
      </c>
      <c r="BB260" s="46">
        <v>35330</v>
      </c>
      <c r="BC260" s="46">
        <v>34520</v>
      </c>
      <c r="BD260" s="46">
        <v>35810</v>
      </c>
      <c r="BE260" s="46">
        <v>35590</v>
      </c>
      <c r="BF260" s="46">
        <v>35090</v>
      </c>
      <c r="BG260" s="46">
        <v>35130</v>
      </c>
      <c r="BH260" s="46">
        <v>35930</v>
      </c>
      <c r="BI260" s="46">
        <v>36080</v>
      </c>
    </row>
    <row r="261" spans="1:61" x14ac:dyDescent="0.25">
      <c r="A261" s="11">
        <f>$A$76</f>
        <v>61</v>
      </c>
      <c r="M261" s="11"/>
      <c r="N261" s="11"/>
      <c r="O261" s="11"/>
      <c r="P261" s="11"/>
      <c r="Q261" s="11"/>
      <c r="R261" s="11"/>
      <c r="S261" s="11"/>
      <c r="T261" s="46">
        <v>23990</v>
      </c>
      <c r="U261" s="46">
        <v>23660</v>
      </c>
      <c r="V261" s="46">
        <v>23160</v>
      </c>
      <c r="W261" s="46">
        <v>23030</v>
      </c>
      <c r="X261" s="46">
        <v>23770</v>
      </c>
      <c r="Y261" s="46">
        <v>24220</v>
      </c>
      <c r="Z261" s="46">
        <v>24940</v>
      </c>
      <c r="AA261" s="46">
        <v>25090</v>
      </c>
      <c r="AB261" s="46">
        <v>26310</v>
      </c>
      <c r="AC261" s="46">
        <v>26130</v>
      </c>
      <c r="AD261" s="46">
        <v>25600</v>
      </c>
      <c r="AE261" s="46">
        <v>25050</v>
      </c>
      <c r="AF261" s="46">
        <v>24360</v>
      </c>
      <c r="AG261" s="46">
        <v>23600</v>
      </c>
      <c r="AH261" s="46">
        <v>24000</v>
      </c>
      <c r="AI261" s="46">
        <v>24090</v>
      </c>
      <c r="AJ261" s="46">
        <v>25100</v>
      </c>
      <c r="AK261" s="46">
        <v>25710</v>
      </c>
      <c r="AL261" s="46">
        <v>26380</v>
      </c>
      <c r="AM261" s="46">
        <v>27460</v>
      </c>
      <c r="AN261" s="46">
        <v>28390</v>
      </c>
      <c r="AO261" s="46">
        <v>29030</v>
      </c>
      <c r="AP261" s="46">
        <v>30150</v>
      </c>
      <c r="AQ261" s="46">
        <v>30740</v>
      </c>
      <c r="AR261" s="46">
        <v>32080</v>
      </c>
      <c r="AS261" s="46">
        <v>33900</v>
      </c>
      <c r="AT261" s="46">
        <v>34740</v>
      </c>
      <c r="AU261" s="46">
        <v>36130</v>
      </c>
      <c r="AV261" s="46">
        <v>36810</v>
      </c>
      <c r="AW261" s="46">
        <v>36560</v>
      </c>
      <c r="AX261" s="46">
        <v>36300</v>
      </c>
      <c r="AY261" s="46">
        <v>35380</v>
      </c>
      <c r="AZ261" s="46">
        <v>35220</v>
      </c>
      <c r="BA261" s="46">
        <v>34470</v>
      </c>
      <c r="BB261" s="46">
        <v>34390</v>
      </c>
      <c r="BC261" s="46">
        <v>34180</v>
      </c>
      <c r="BD261" s="46">
        <v>33400</v>
      </c>
      <c r="BE261" s="46">
        <v>34640</v>
      </c>
      <c r="BF261" s="46">
        <v>34430</v>
      </c>
      <c r="BG261" s="46">
        <v>33960</v>
      </c>
      <c r="BH261" s="46">
        <v>33990</v>
      </c>
      <c r="BI261" s="46">
        <v>34760</v>
      </c>
    </row>
    <row r="262" spans="1:61" x14ac:dyDescent="0.25">
      <c r="A262" s="11">
        <f>$A$77</f>
        <v>62</v>
      </c>
      <c r="M262" s="11"/>
      <c r="N262" s="11"/>
      <c r="O262" s="11"/>
      <c r="P262" s="11"/>
      <c r="Q262" s="11"/>
      <c r="R262" s="11"/>
      <c r="S262" s="11"/>
      <c r="T262" s="46">
        <v>22560</v>
      </c>
      <c r="U262" s="46">
        <v>22930</v>
      </c>
      <c r="V262" s="46">
        <v>22630</v>
      </c>
      <c r="W262" s="46">
        <v>22170</v>
      </c>
      <c r="X262" s="46">
        <v>22060</v>
      </c>
      <c r="Y262" s="46">
        <v>22770</v>
      </c>
      <c r="Z262" s="46">
        <v>23210</v>
      </c>
      <c r="AA262" s="46">
        <v>23900</v>
      </c>
      <c r="AB262" s="46">
        <v>24050</v>
      </c>
      <c r="AC262" s="46">
        <v>25230</v>
      </c>
      <c r="AD262" s="46">
        <v>25060</v>
      </c>
      <c r="AE262" s="46">
        <v>24560</v>
      </c>
      <c r="AF262" s="46">
        <v>24040</v>
      </c>
      <c r="AG262" s="46">
        <v>23380</v>
      </c>
      <c r="AH262" s="46">
        <v>22670</v>
      </c>
      <c r="AI262" s="46">
        <v>23050</v>
      </c>
      <c r="AJ262" s="46">
        <v>23140</v>
      </c>
      <c r="AK262" s="46">
        <v>24110</v>
      </c>
      <c r="AL262" s="46">
        <v>24700</v>
      </c>
      <c r="AM262" s="46">
        <v>25340</v>
      </c>
      <c r="AN262" s="46">
        <v>26380</v>
      </c>
      <c r="AO262" s="46">
        <v>27270</v>
      </c>
      <c r="AP262" s="46">
        <v>27890</v>
      </c>
      <c r="AQ262" s="46">
        <v>28960</v>
      </c>
      <c r="AR262" s="46">
        <v>29530</v>
      </c>
      <c r="AS262" s="46">
        <v>30820</v>
      </c>
      <c r="AT262" s="46">
        <v>32560</v>
      </c>
      <c r="AU262" s="46">
        <v>33370</v>
      </c>
      <c r="AV262" s="46">
        <v>34700</v>
      </c>
      <c r="AW262" s="46">
        <v>35350</v>
      </c>
      <c r="AX262" s="46">
        <v>35120</v>
      </c>
      <c r="AY262" s="46">
        <v>34870</v>
      </c>
      <c r="AZ262" s="46">
        <v>33990</v>
      </c>
      <c r="BA262" s="46">
        <v>33840</v>
      </c>
      <c r="BB262" s="46">
        <v>33110</v>
      </c>
      <c r="BC262" s="46">
        <v>33040</v>
      </c>
      <c r="BD262" s="46">
        <v>32850</v>
      </c>
      <c r="BE262" s="46">
        <v>32100</v>
      </c>
      <c r="BF262" s="46">
        <v>33290</v>
      </c>
      <c r="BG262" s="46">
        <v>33090</v>
      </c>
      <c r="BH262" s="46">
        <v>32640</v>
      </c>
      <c r="BI262" s="46">
        <v>32670</v>
      </c>
    </row>
    <row r="263" spans="1:61" x14ac:dyDescent="0.25">
      <c r="A263" s="11">
        <f>$A$78</f>
        <v>63</v>
      </c>
      <c r="M263" s="11"/>
      <c r="N263" s="11"/>
      <c r="O263" s="11"/>
      <c r="P263" s="11"/>
      <c r="Q263" s="11"/>
      <c r="R263" s="11"/>
      <c r="S263" s="11"/>
      <c r="T263" s="46">
        <v>20140</v>
      </c>
      <c r="U263" s="46">
        <v>20960</v>
      </c>
      <c r="V263" s="46">
        <v>21320</v>
      </c>
      <c r="W263" s="46">
        <v>21060</v>
      </c>
      <c r="X263" s="46">
        <v>20640</v>
      </c>
      <c r="Y263" s="46">
        <v>20550</v>
      </c>
      <c r="Z263" s="46">
        <v>21220</v>
      </c>
      <c r="AA263" s="46">
        <v>21640</v>
      </c>
      <c r="AB263" s="46">
        <v>22290</v>
      </c>
      <c r="AC263" s="46">
        <v>22440</v>
      </c>
      <c r="AD263" s="46">
        <v>23550</v>
      </c>
      <c r="AE263" s="46">
        <v>23390</v>
      </c>
      <c r="AF263" s="46">
        <v>22930</v>
      </c>
      <c r="AG263" s="46">
        <v>22460</v>
      </c>
      <c r="AH263" s="46">
        <v>21850</v>
      </c>
      <c r="AI263" s="46">
        <v>21190</v>
      </c>
      <c r="AJ263" s="46">
        <v>21550</v>
      </c>
      <c r="AK263" s="46">
        <v>21640</v>
      </c>
      <c r="AL263" s="46">
        <v>22550</v>
      </c>
      <c r="AM263" s="46">
        <v>23100</v>
      </c>
      <c r="AN263" s="46">
        <v>23700</v>
      </c>
      <c r="AO263" s="46">
        <v>24670</v>
      </c>
      <c r="AP263" s="46">
        <v>25510</v>
      </c>
      <c r="AQ263" s="46">
        <v>26090</v>
      </c>
      <c r="AR263" s="46">
        <v>27090</v>
      </c>
      <c r="AS263" s="46">
        <v>27620</v>
      </c>
      <c r="AT263" s="46">
        <v>28820</v>
      </c>
      <c r="AU263" s="46">
        <v>30450</v>
      </c>
      <c r="AV263" s="46">
        <v>31210</v>
      </c>
      <c r="AW263" s="46">
        <v>32450</v>
      </c>
      <c r="AX263" s="46">
        <v>33070</v>
      </c>
      <c r="AY263" s="46">
        <v>32850</v>
      </c>
      <c r="AZ263" s="46">
        <v>32620</v>
      </c>
      <c r="BA263" s="46">
        <v>31800</v>
      </c>
      <c r="BB263" s="46">
        <v>31660</v>
      </c>
      <c r="BC263" s="46">
        <v>30990</v>
      </c>
      <c r="BD263" s="46">
        <v>30920</v>
      </c>
      <c r="BE263" s="46">
        <v>30740</v>
      </c>
      <c r="BF263" s="46">
        <v>30040</v>
      </c>
      <c r="BG263" s="46">
        <v>31160</v>
      </c>
      <c r="BH263" s="46">
        <v>30970</v>
      </c>
      <c r="BI263" s="46">
        <v>30550</v>
      </c>
    </row>
    <row r="264" spans="1:61" x14ac:dyDescent="0.25">
      <c r="A264" s="11">
        <f>$A$79</f>
        <v>64</v>
      </c>
      <c r="M264" s="11"/>
      <c r="N264" s="11"/>
      <c r="O264" s="11"/>
      <c r="P264" s="11"/>
      <c r="Q264" s="11"/>
      <c r="R264" s="11"/>
      <c r="S264" s="11"/>
      <c r="T264" s="46">
        <v>17570</v>
      </c>
      <c r="U264" s="46">
        <v>18510</v>
      </c>
      <c r="V264" s="46">
        <v>19270</v>
      </c>
      <c r="W264" s="46">
        <v>19620</v>
      </c>
      <c r="X264" s="46">
        <v>19390</v>
      </c>
      <c r="Y264" s="46">
        <v>19020</v>
      </c>
      <c r="Z264" s="46">
        <v>18950</v>
      </c>
      <c r="AA264" s="46">
        <v>19570</v>
      </c>
      <c r="AB264" s="46">
        <v>19970</v>
      </c>
      <c r="AC264" s="46">
        <v>20580</v>
      </c>
      <c r="AD264" s="46">
        <v>20730</v>
      </c>
      <c r="AE264" s="46">
        <v>21750</v>
      </c>
      <c r="AF264" s="46">
        <v>21620</v>
      </c>
      <c r="AG264" s="46">
        <v>21200</v>
      </c>
      <c r="AH264" s="46">
        <v>20770</v>
      </c>
      <c r="AI264" s="46">
        <v>20220</v>
      </c>
      <c r="AJ264" s="46">
        <v>19610</v>
      </c>
      <c r="AK264" s="46">
        <v>19950</v>
      </c>
      <c r="AL264" s="46">
        <v>20040</v>
      </c>
      <c r="AM264" s="46">
        <v>20880</v>
      </c>
      <c r="AN264" s="46">
        <v>21390</v>
      </c>
      <c r="AO264" s="46">
        <v>21950</v>
      </c>
      <c r="AP264" s="46">
        <v>22850</v>
      </c>
      <c r="AQ264" s="46">
        <v>23630</v>
      </c>
      <c r="AR264" s="46">
        <v>24160</v>
      </c>
      <c r="AS264" s="46">
        <v>25090</v>
      </c>
      <c r="AT264" s="46">
        <v>25580</v>
      </c>
      <c r="AU264" s="46">
        <v>26700</v>
      </c>
      <c r="AV264" s="46">
        <v>28210</v>
      </c>
      <c r="AW264" s="46">
        <v>28910</v>
      </c>
      <c r="AX264" s="46">
        <v>30060</v>
      </c>
      <c r="AY264" s="46">
        <v>30630</v>
      </c>
      <c r="AZ264" s="46">
        <v>30430</v>
      </c>
      <c r="BA264" s="46">
        <v>30220</v>
      </c>
      <c r="BB264" s="46">
        <v>29460</v>
      </c>
      <c r="BC264" s="46">
        <v>29330</v>
      </c>
      <c r="BD264" s="46">
        <v>28710</v>
      </c>
      <c r="BE264" s="46">
        <v>28650</v>
      </c>
      <c r="BF264" s="46">
        <v>28490</v>
      </c>
      <c r="BG264" s="46">
        <v>27840</v>
      </c>
      <c r="BH264" s="46">
        <v>28870</v>
      </c>
      <c r="BI264" s="46">
        <v>28700</v>
      </c>
    </row>
    <row r="265" spans="1:61" x14ac:dyDescent="0.25">
      <c r="A265" s="11">
        <f>$A$80</f>
        <v>65</v>
      </c>
      <c r="M265" s="11"/>
      <c r="N265" s="11"/>
      <c r="O265" s="11"/>
      <c r="P265" s="11"/>
      <c r="Q265" s="11"/>
      <c r="R265" s="11"/>
      <c r="S265" s="11"/>
      <c r="T265" s="46">
        <v>15540</v>
      </c>
      <c r="U265" s="46">
        <v>15930</v>
      </c>
      <c r="V265" s="46">
        <v>16790</v>
      </c>
      <c r="W265" s="46">
        <v>17500</v>
      </c>
      <c r="X265" s="46">
        <v>17820</v>
      </c>
      <c r="Y265" s="46">
        <v>17630</v>
      </c>
      <c r="Z265" s="46">
        <v>17300</v>
      </c>
      <c r="AA265" s="46">
        <v>17250</v>
      </c>
      <c r="AB265" s="46">
        <v>17820</v>
      </c>
      <c r="AC265" s="46">
        <v>18190</v>
      </c>
      <c r="AD265" s="46">
        <v>18750</v>
      </c>
      <c r="AE265" s="46">
        <v>18890</v>
      </c>
      <c r="AF265" s="46">
        <v>19830</v>
      </c>
      <c r="AG265" s="46">
        <v>19710</v>
      </c>
      <c r="AH265" s="46">
        <v>19340</v>
      </c>
      <c r="AI265" s="46">
        <v>18950</v>
      </c>
      <c r="AJ265" s="46">
        <v>18450</v>
      </c>
      <c r="AK265" s="46">
        <v>17900</v>
      </c>
      <c r="AL265" s="46">
        <v>18210</v>
      </c>
      <c r="AM265" s="46">
        <v>18300</v>
      </c>
      <c r="AN265" s="46">
        <v>19070</v>
      </c>
      <c r="AO265" s="46">
        <v>19530</v>
      </c>
      <c r="AP265" s="46">
        <v>20050</v>
      </c>
      <c r="AQ265" s="46">
        <v>20870</v>
      </c>
      <c r="AR265" s="46">
        <v>21580</v>
      </c>
      <c r="AS265" s="46">
        <v>22070</v>
      </c>
      <c r="AT265" s="46">
        <v>22920</v>
      </c>
      <c r="AU265" s="46">
        <v>23370</v>
      </c>
      <c r="AV265" s="46">
        <v>24390</v>
      </c>
      <c r="AW265" s="46">
        <v>25770</v>
      </c>
      <c r="AX265" s="46">
        <v>26410</v>
      </c>
      <c r="AY265" s="46">
        <v>27460</v>
      </c>
      <c r="AZ265" s="46">
        <v>27980</v>
      </c>
      <c r="BA265" s="46">
        <v>27800</v>
      </c>
      <c r="BB265" s="46">
        <v>27610</v>
      </c>
      <c r="BC265" s="46">
        <v>26920</v>
      </c>
      <c r="BD265" s="46">
        <v>26800</v>
      </c>
      <c r="BE265" s="46">
        <v>26240</v>
      </c>
      <c r="BF265" s="46">
        <v>26180</v>
      </c>
      <c r="BG265" s="46">
        <v>26040</v>
      </c>
      <c r="BH265" s="46">
        <v>25450</v>
      </c>
      <c r="BI265" s="46">
        <v>26390</v>
      </c>
    </row>
    <row r="266" spans="1:61" x14ac:dyDescent="0.25">
      <c r="A266" s="11">
        <f>$A$81</f>
        <v>66</v>
      </c>
      <c r="M266" s="11"/>
      <c r="N266" s="11"/>
      <c r="O266" s="11"/>
      <c r="P266" s="11"/>
      <c r="Q266" s="11"/>
      <c r="R266" s="11"/>
      <c r="S266" s="11"/>
      <c r="T266" s="46">
        <v>13200</v>
      </c>
      <c r="U266" s="46">
        <v>13800</v>
      </c>
      <c r="V266" s="46">
        <v>14150</v>
      </c>
      <c r="W266" s="46">
        <v>14930</v>
      </c>
      <c r="X266" s="46">
        <v>15570</v>
      </c>
      <c r="Y266" s="46">
        <v>15860</v>
      </c>
      <c r="Z266" s="46">
        <v>15700</v>
      </c>
      <c r="AA266" s="46">
        <v>15410</v>
      </c>
      <c r="AB266" s="46">
        <v>15370</v>
      </c>
      <c r="AC266" s="46">
        <v>15890</v>
      </c>
      <c r="AD266" s="46">
        <v>16220</v>
      </c>
      <c r="AE266" s="46">
        <v>16720</v>
      </c>
      <c r="AF266" s="46">
        <v>16850</v>
      </c>
      <c r="AG266" s="46">
        <v>17690</v>
      </c>
      <c r="AH266" s="46">
        <v>17590</v>
      </c>
      <c r="AI266" s="46">
        <v>17260</v>
      </c>
      <c r="AJ266" s="46">
        <v>16920</v>
      </c>
      <c r="AK266" s="46">
        <v>16480</v>
      </c>
      <c r="AL266" s="46">
        <v>15990</v>
      </c>
      <c r="AM266" s="46">
        <v>16270</v>
      </c>
      <c r="AN266" s="46">
        <v>16340</v>
      </c>
      <c r="AO266" s="46">
        <v>17030</v>
      </c>
      <c r="AP266" s="46">
        <v>17450</v>
      </c>
      <c r="AQ266" s="46">
        <v>17910</v>
      </c>
      <c r="AR266" s="46">
        <v>18640</v>
      </c>
      <c r="AS266" s="46">
        <v>19280</v>
      </c>
      <c r="AT266" s="46">
        <v>19720</v>
      </c>
      <c r="AU266" s="46">
        <v>20480</v>
      </c>
      <c r="AV266" s="46">
        <v>20880</v>
      </c>
      <c r="AW266" s="46">
        <v>21790</v>
      </c>
      <c r="AX266" s="46">
        <v>23020</v>
      </c>
      <c r="AY266" s="46">
        <v>23590</v>
      </c>
      <c r="AZ266" s="46">
        <v>24530</v>
      </c>
      <c r="BA266" s="46">
        <v>25000</v>
      </c>
      <c r="BB266" s="46">
        <v>24840</v>
      </c>
      <c r="BC266" s="46">
        <v>24670</v>
      </c>
      <c r="BD266" s="46">
        <v>24060</v>
      </c>
      <c r="BE266" s="46">
        <v>23950</v>
      </c>
      <c r="BF266" s="46">
        <v>23450</v>
      </c>
      <c r="BG266" s="46">
        <v>23400</v>
      </c>
      <c r="BH266" s="46">
        <v>23270</v>
      </c>
      <c r="BI266" s="46">
        <v>22750</v>
      </c>
    </row>
    <row r="267" spans="1:61" x14ac:dyDescent="0.25">
      <c r="A267" s="11">
        <f>$A$82</f>
        <v>67</v>
      </c>
      <c r="M267" s="11"/>
      <c r="N267" s="11"/>
      <c r="O267" s="11"/>
      <c r="P267" s="11"/>
      <c r="Q267" s="11"/>
      <c r="R267" s="11"/>
      <c r="S267" s="11"/>
      <c r="T267" s="46">
        <v>11360</v>
      </c>
      <c r="U267" s="46">
        <v>11820</v>
      </c>
      <c r="V267" s="46">
        <v>12370</v>
      </c>
      <c r="W267" s="46">
        <v>12690</v>
      </c>
      <c r="X267" s="46">
        <v>13390</v>
      </c>
      <c r="Y267" s="46">
        <v>13960</v>
      </c>
      <c r="Z267" s="46">
        <v>14230</v>
      </c>
      <c r="AA267" s="46">
        <v>14090</v>
      </c>
      <c r="AB267" s="46">
        <v>13840</v>
      </c>
      <c r="AC267" s="46">
        <v>13800</v>
      </c>
      <c r="AD267" s="46">
        <v>14270</v>
      </c>
      <c r="AE267" s="46">
        <v>14570</v>
      </c>
      <c r="AF267" s="46">
        <v>15020</v>
      </c>
      <c r="AG267" s="46">
        <v>15140</v>
      </c>
      <c r="AH267" s="46">
        <v>15900</v>
      </c>
      <c r="AI267" s="46">
        <v>15810</v>
      </c>
      <c r="AJ267" s="46">
        <v>15520</v>
      </c>
      <c r="AK267" s="46">
        <v>15210</v>
      </c>
      <c r="AL267" s="46">
        <v>14820</v>
      </c>
      <c r="AM267" s="46">
        <v>14380</v>
      </c>
      <c r="AN267" s="46">
        <v>14630</v>
      </c>
      <c r="AO267" s="46">
        <v>14700</v>
      </c>
      <c r="AP267" s="46">
        <v>15320</v>
      </c>
      <c r="AQ267" s="46">
        <v>15700</v>
      </c>
      <c r="AR267" s="46">
        <v>16110</v>
      </c>
      <c r="AS267" s="46">
        <v>16770</v>
      </c>
      <c r="AT267" s="46">
        <v>17340</v>
      </c>
      <c r="AU267" s="46">
        <v>17740</v>
      </c>
      <c r="AV267" s="46">
        <v>18420</v>
      </c>
      <c r="AW267" s="46">
        <v>18780</v>
      </c>
      <c r="AX267" s="46">
        <v>19600</v>
      </c>
      <c r="AY267" s="46">
        <v>20710</v>
      </c>
      <c r="AZ267" s="46">
        <v>21220</v>
      </c>
      <c r="BA267" s="46">
        <v>22070</v>
      </c>
      <c r="BB267" s="46">
        <v>22480</v>
      </c>
      <c r="BC267" s="46">
        <v>22340</v>
      </c>
      <c r="BD267" s="46">
        <v>22190</v>
      </c>
      <c r="BE267" s="46">
        <v>21640</v>
      </c>
      <c r="BF267" s="46">
        <v>21550</v>
      </c>
      <c r="BG267" s="46">
        <v>21100</v>
      </c>
      <c r="BH267" s="46">
        <v>21060</v>
      </c>
      <c r="BI267" s="46">
        <v>20940</v>
      </c>
    </row>
    <row r="268" spans="1:61" x14ac:dyDescent="0.25">
      <c r="A268" s="11">
        <f>$A$83</f>
        <v>68</v>
      </c>
      <c r="M268" s="11"/>
      <c r="N268" s="11"/>
      <c r="O268" s="11"/>
      <c r="P268" s="11"/>
      <c r="Q268" s="11"/>
      <c r="R268" s="11"/>
      <c r="S268" s="11"/>
      <c r="T268" s="46">
        <v>9720</v>
      </c>
      <c r="U268" s="46">
        <v>10100</v>
      </c>
      <c r="V268" s="46">
        <v>10510</v>
      </c>
      <c r="W268" s="46">
        <v>11000</v>
      </c>
      <c r="X268" s="46">
        <v>11290</v>
      </c>
      <c r="Y268" s="46">
        <v>11910</v>
      </c>
      <c r="Z268" s="46">
        <v>12420</v>
      </c>
      <c r="AA268" s="46">
        <v>12660</v>
      </c>
      <c r="AB268" s="46">
        <v>12540</v>
      </c>
      <c r="AC268" s="46">
        <v>12320</v>
      </c>
      <c r="AD268" s="46">
        <v>12290</v>
      </c>
      <c r="AE268" s="46">
        <v>12700</v>
      </c>
      <c r="AF268" s="46">
        <v>12970</v>
      </c>
      <c r="AG268" s="46">
        <v>13370</v>
      </c>
      <c r="AH268" s="46">
        <v>13480</v>
      </c>
      <c r="AI268" s="46">
        <v>14150</v>
      </c>
      <c r="AJ268" s="46">
        <v>14080</v>
      </c>
      <c r="AK268" s="46">
        <v>13820</v>
      </c>
      <c r="AL268" s="46">
        <v>13540</v>
      </c>
      <c r="AM268" s="46">
        <v>13190</v>
      </c>
      <c r="AN268" s="46">
        <v>12810</v>
      </c>
      <c r="AO268" s="46">
        <v>13030</v>
      </c>
      <c r="AP268" s="46">
        <v>13090</v>
      </c>
      <c r="AQ268" s="46">
        <v>13640</v>
      </c>
      <c r="AR268" s="46">
        <v>13980</v>
      </c>
      <c r="AS268" s="46">
        <v>14350</v>
      </c>
      <c r="AT268" s="46">
        <v>14930</v>
      </c>
      <c r="AU268" s="46">
        <v>15440</v>
      </c>
      <c r="AV268" s="46">
        <v>15800</v>
      </c>
      <c r="AW268" s="46">
        <v>16400</v>
      </c>
      <c r="AX268" s="46">
        <v>16730</v>
      </c>
      <c r="AY268" s="46">
        <v>17450</v>
      </c>
      <c r="AZ268" s="46">
        <v>18440</v>
      </c>
      <c r="BA268" s="46">
        <v>18900</v>
      </c>
      <c r="BB268" s="46">
        <v>19650</v>
      </c>
      <c r="BC268" s="46">
        <v>20020</v>
      </c>
      <c r="BD268" s="46">
        <v>19890</v>
      </c>
      <c r="BE268" s="46">
        <v>19760</v>
      </c>
      <c r="BF268" s="46">
        <v>19270</v>
      </c>
      <c r="BG268" s="46">
        <v>19190</v>
      </c>
      <c r="BH268" s="46">
        <v>18790</v>
      </c>
      <c r="BI268" s="46">
        <v>18760</v>
      </c>
    </row>
    <row r="269" spans="1:61" x14ac:dyDescent="0.25">
      <c r="A269" s="11">
        <f>$A$84</f>
        <v>69</v>
      </c>
      <c r="M269" s="11"/>
      <c r="N269" s="11"/>
      <c r="O269" s="11"/>
      <c r="P269" s="11"/>
      <c r="Q269" s="11"/>
      <c r="R269" s="11"/>
      <c r="S269" s="11"/>
      <c r="T269" s="46">
        <v>8160</v>
      </c>
      <c r="U269" s="46">
        <v>8550</v>
      </c>
      <c r="V269" s="46">
        <v>8880</v>
      </c>
      <c r="W269" s="46">
        <v>9250</v>
      </c>
      <c r="X269" s="46">
        <v>9670</v>
      </c>
      <c r="Y269" s="46">
        <v>9930</v>
      </c>
      <c r="Z269" s="46">
        <v>10480</v>
      </c>
      <c r="AA269" s="46">
        <v>10930</v>
      </c>
      <c r="AB269" s="46">
        <v>11140</v>
      </c>
      <c r="AC269" s="46">
        <v>11030</v>
      </c>
      <c r="AD269" s="46">
        <v>10830</v>
      </c>
      <c r="AE269" s="46">
        <v>10810</v>
      </c>
      <c r="AF269" s="46">
        <v>11170</v>
      </c>
      <c r="AG269" s="46">
        <v>11410</v>
      </c>
      <c r="AH269" s="46">
        <v>11760</v>
      </c>
      <c r="AI269" s="46">
        <v>11850</v>
      </c>
      <c r="AJ269" s="46">
        <v>12440</v>
      </c>
      <c r="AK269" s="46">
        <v>12380</v>
      </c>
      <c r="AL269" s="46">
        <v>12150</v>
      </c>
      <c r="AM269" s="46">
        <v>11910</v>
      </c>
      <c r="AN269" s="46">
        <v>11600</v>
      </c>
      <c r="AO269" s="46">
        <v>11260</v>
      </c>
      <c r="AP269" s="46">
        <v>11460</v>
      </c>
      <c r="AQ269" s="46">
        <v>11510</v>
      </c>
      <c r="AR269" s="46">
        <v>12000</v>
      </c>
      <c r="AS269" s="46">
        <v>12290</v>
      </c>
      <c r="AT269" s="46">
        <v>12610</v>
      </c>
      <c r="AU269" s="46">
        <v>13130</v>
      </c>
      <c r="AV269" s="46">
        <v>13580</v>
      </c>
      <c r="AW269" s="46">
        <v>13890</v>
      </c>
      <c r="AX269" s="46">
        <v>14420</v>
      </c>
      <c r="AY269" s="46">
        <v>14700</v>
      </c>
      <c r="AZ269" s="46">
        <v>15340</v>
      </c>
      <c r="BA269" s="46">
        <v>16210</v>
      </c>
      <c r="BB269" s="46">
        <v>16610</v>
      </c>
      <c r="BC269" s="46">
        <v>17270</v>
      </c>
      <c r="BD269" s="46">
        <v>17600</v>
      </c>
      <c r="BE269" s="46">
        <v>17490</v>
      </c>
      <c r="BF269" s="46">
        <v>17370</v>
      </c>
      <c r="BG269" s="46">
        <v>16940</v>
      </c>
      <c r="BH269" s="46">
        <v>16870</v>
      </c>
      <c r="BI269" s="46">
        <v>16520</v>
      </c>
    </row>
    <row r="270" spans="1:61" x14ac:dyDescent="0.25">
      <c r="A270" s="11">
        <f>$A$85</f>
        <v>70</v>
      </c>
      <c r="M270" s="11"/>
      <c r="N270" s="11"/>
      <c r="O270" s="11"/>
      <c r="P270" s="11"/>
      <c r="Q270" s="11"/>
      <c r="R270" s="11"/>
      <c r="S270" s="11"/>
      <c r="T270" s="46">
        <v>6800</v>
      </c>
      <c r="U270" s="46">
        <v>7090</v>
      </c>
      <c r="V270" s="46">
        <v>7430</v>
      </c>
      <c r="W270" s="46">
        <v>7710</v>
      </c>
      <c r="X270" s="46">
        <v>8030</v>
      </c>
      <c r="Y270" s="46">
        <v>8400</v>
      </c>
      <c r="Z270" s="46">
        <v>8620</v>
      </c>
      <c r="AA270" s="46">
        <v>9090</v>
      </c>
      <c r="AB270" s="46">
        <v>9480</v>
      </c>
      <c r="AC270" s="46">
        <v>9670</v>
      </c>
      <c r="AD270" s="46">
        <v>9570</v>
      </c>
      <c r="AE270" s="46">
        <v>9400</v>
      </c>
      <c r="AF270" s="46">
        <v>9370</v>
      </c>
      <c r="AG270" s="46">
        <v>9690</v>
      </c>
      <c r="AH270" s="46">
        <v>9890</v>
      </c>
      <c r="AI270" s="46">
        <v>10200</v>
      </c>
      <c r="AJ270" s="46">
        <v>10280</v>
      </c>
      <c r="AK270" s="46">
        <v>10790</v>
      </c>
      <c r="AL270" s="46">
        <v>10730</v>
      </c>
      <c r="AM270" s="46">
        <v>10530</v>
      </c>
      <c r="AN270" s="46">
        <v>10330</v>
      </c>
      <c r="AO270" s="46">
        <v>10060</v>
      </c>
      <c r="AP270" s="46">
        <v>9760</v>
      </c>
      <c r="AQ270" s="46">
        <v>9930</v>
      </c>
      <c r="AR270" s="46">
        <v>9980</v>
      </c>
      <c r="AS270" s="46">
        <v>10400</v>
      </c>
      <c r="AT270" s="46">
        <v>10650</v>
      </c>
      <c r="AU270" s="46">
        <v>10930</v>
      </c>
      <c r="AV270" s="46">
        <v>11380</v>
      </c>
      <c r="AW270" s="46">
        <v>11770</v>
      </c>
      <c r="AX270" s="46">
        <v>12040</v>
      </c>
      <c r="AY270" s="46">
        <v>12500</v>
      </c>
      <c r="AZ270" s="46">
        <v>12740</v>
      </c>
      <c r="BA270" s="46">
        <v>13300</v>
      </c>
      <c r="BB270" s="46">
        <v>14050</v>
      </c>
      <c r="BC270" s="46">
        <v>14400</v>
      </c>
      <c r="BD270" s="46">
        <v>14970</v>
      </c>
      <c r="BE270" s="46">
        <v>15250</v>
      </c>
      <c r="BF270" s="46">
        <v>15160</v>
      </c>
      <c r="BG270" s="46">
        <v>15060</v>
      </c>
      <c r="BH270" s="46">
        <v>14690</v>
      </c>
      <c r="BI270" s="46">
        <v>14630</v>
      </c>
    </row>
    <row r="271" spans="1:61" x14ac:dyDescent="0.25">
      <c r="A271" s="11">
        <f>$A$86</f>
        <v>71</v>
      </c>
      <c r="M271" s="11"/>
      <c r="N271" s="11"/>
      <c r="O271" s="11"/>
      <c r="P271" s="11"/>
      <c r="Q271" s="11"/>
      <c r="R271" s="11"/>
      <c r="S271" s="11"/>
      <c r="T271" s="46">
        <v>5530</v>
      </c>
      <c r="U271" s="46">
        <v>5840</v>
      </c>
      <c r="V271" s="46">
        <v>6090</v>
      </c>
      <c r="W271" s="46">
        <v>6380</v>
      </c>
      <c r="X271" s="46">
        <v>6620</v>
      </c>
      <c r="Y271" s="46">
        <v>6890</v>
      </c>
      <c r="Z271" s="46">
        <v>7210</v>
      </c>
      <c r="AA271" s="46">
        <v>7400</v>
      </c>
      <c r="AB271" s="46">
        <v>7800</v>
      </c>
      <c r="AC271" s="46">
        <v>8140</v>
      </c>
      <c r="AD271" s="46">
        <v>8290</v>
      </c>
      <c r="AE271" s="46">
        <v>8210</v>
      </c>
      <c r="AF271" s="46">
        <v>8060</v>
      </c>
      <c r="AG271" s="46">
        <v>8040</v>
      </c>
      <c r="AH271" s="46">
        <v>8310</v>
      </c>
      <c r="AI271" s="46">
        <v>8480</v>
      </c>
      <c r="AJ271" s="46">
        <v>8740</v>
      </c>
      <c r="AK271" s="46">
        <v>8810</v>
      </c>
      <c r="AL271" s="46">
        <v>9250</v>
      </c>
      <c r="AM271" s="46">
        <v>9200</v>
      </c>
      <c r="AN271" s="46">
        <v>9030</v>
      </c>
      <c r="AO271" s="46">
        <v>8850</v>
      </c>
      <c r="AP271" s="46">
        <v>8620</v>
      </c>
      <c r="AQ271" s="46">
        <v>8370</v>
      </c>
      <c r="AR271" s="46">
        <v>8510</v>
      </c>
      <c r="AS271" s="46">
        <v>8550</v>
      </c>
      <c r="AT271" s="46">
        <v>8910</v>
      </c>
      <c r="AU271" s="46">
        <v>9130</v>
      </c>
      <c r="AV271" s="46">
        <v>9370</v>
      </c>
      <c r="AW271" s="46">
        <v>9750</v>
      </c>
      <c r="AX271" s="46">
        <v>10080</v>
      </c>
      <c r="AY271" s="46">
        <v>10310</v>
      </c>
      <c r="AZ271" s="46">
        <v>10710</v>
      </c>
      <c r="BA271" s="46">
        <v>10920</v>
      </c>
      <c r="BB271" s="46">
        <v>11390</v>
      </c>
      <c r="BC271" s="46">
        <v>12030</v>
      </c>
      <c r="BD271" s="46">
        <v>12330</v>
      </c>
      <c r="BE271" s="46">
        <v>12830</v>
      </c>
      <c r="BF271" s="46">
        <v>13070</v>
      </c>
      <c r="BG271" s="46">
        <v>12990</v>
      </c>
      <c r="BH271" s="46">
        <v>12900</v>
      </c>
      <c r="BI271" s="46">
        <v>12590</v>
      </c>
    </row>
    <row r="272" spans="1:61" x14ac:dyDescent="0.25">
      <c r="A272" s="11">
        <f>$A$87</f>
        <v>72</v>
      </c>
      <c r="M272" s="11"/>
      <c r="N272" s="11"/>
      <c r="O272" s="11"/>
      <c r="P272" s="11"/>
      <c r="Q272" s="11"/>
      <c r="R272" s="11"/>
      <c r="S272" s="11"/>
      <c r="T272" s="46">
        <v>4510</v>
      </c>
      <c r="U272" s="46">
        <v>4680</v>
      </c>
      <c r="V272" s="46">
        <v>4940</v>
      </c>
      <c r="W272" s="46">
        <v>5140</v>
      </c>
      <c r="X272" s="46">
        <v>5390</v>
      </c>
      <c r="Y272" s="46">
        <v>5600</v>
      </c>
      <c r="Z272" s="46">
        <v>5820</v>
      </c>
      <c r="AA272" s="46">
        <v>6090</v>
      </c>
      <c r="AB272" s="46">
        <v>6250</v>
      </c>
      <c r="AC272" s="46">
        <v>6590</v>
      </c>
      <c r="AD272" s="46">
        <v>6870</v>
      </c>
      <c r="AE272" s="46">
        <v>7000</v>
      </c>
      <c r="AF272" s="46">
        <v>6930</v>
      </c>
      <c r="AG272" s="46">
        <v>6810</v>
      </c>
      <c r="AH272" s="46">
        <v>6790</v>
      </c>
      <c r="AI272" s="46">
        <v>7010</v>
      </c>
      <c r="AJ272" s="46">
        <v>7160</v>
      </c>
      <c r="AK272" s="46">
        <v>7380</v>
      </c>
      <c r="AL272" s="46">
        <v>7440</v>
      </c>
      <c r="AM272" s="46">
        <v>7810</v>
      </c>
      <c r="AN272" s="46">
        <v>7760</v>
      </c>
      <c r="AO272" s="46">
        <v>7620</v>
      </c>
      <c r="AP272" s="46">
        <v>7470</v>
      </c>
      <c r="AQ272" s="46">
        <v>7270</v>
      </c>
      <c r="AR272" s="46">
        <v>7060</v>
      </c>
      <c r="AS272" s="46">
        <v>7180</v>
      </c>
      <c r="AT272" s="46">
        <v>7220</v>
      </c>
      <c r="AU272" s="46">
        <v>7520</v>
      </c>
      <c r="AV272" s="46">
        <v>7700</v>
      </c>
      <c r="AW272" s="46">
        <v>7910</v>
      </c>
      <c r="AX272" s="46">
        <v>8230</v>
      </c>
      <c r="AY272" s="46">
        <v>8510</v>
      </c>
      <c r="AZ272" s="46">
        <v>8700</v>
      </c>
      <c r="BA272" s="46">
        <v>9040</v>
      </c>
      <c r="BB272" s="46">
        <v>9210</v>
      </c>
      <c r="BC272" s="46">
        <v>9620</v>
      </c>
      <c r="BD272" s="46">
        <v>10160</v>
      </c>
      <c r="BE272" s="46">
        <v>10410</v>
      </c>
      <c r="BF272" s="46">
        <v>10820</v>
      </c>
      <c r="BG272" s="46">
        <v>11030</v>
      </c>
      <c r="BH272" s="46">
        <v>10960</v>
      </c>
      <c r="BI272" s="46">
        <v>10890</v>
      </c>
    </row>
    <row r="273" spans="1:61" x14ac:dyDescent="0.25">
      <c r="A273" s="11">
        <f>$A$88</f>
        <v>73</v>
      </c>
      <c r="M273" s="11"/>
      <c r="N273" s="11"/>
      <c r="O273" s="11"/>
      <c r="P273" s="11"/>
      <c r="Q273" s="11"/>
      <c r="R273" s="11"/>
      <c r="S273" s="11"/>
      <c r="T273" s="46">
        <v>3560</v>
      </c>
      <c r="U273" s="46">
        <v>3740</v>
      </c>
      <c r="V273" s="46">
        <v>3880</v>
      </c>
      <c r="W273" s="46">
        <v>4100</v>
      </c>
      <c r="X273" s="46">
        <v>4270</v>
      </c>
      <c r="Y273" s="46">
        <v>4470</v>
      </c>
      <c r="Z273" s="46">
        <v>4640</v>
      </c>
      <c r="AA273" s="46">
        <v>4830</v>
      </c>
      <c r="AB273" s="46">
        <v>5050</v>
      </c>
      <c r="AC273" s="46">
        <v>5180</v>
      </c>
      <c r="AD273" s="46">
        <v>5470</v>
      </c>
      <c r="AE273" s="46">
        <v>5700</v>
      </c>
      <c r="AF273" s="46">
        <v>5810</v>
      </c>
      <c r="AG273" s="46">
        <v>5750</v>
      </c>
      <c r="AH273" s="46">
        <v>5650</v>
      </c>
      <c r="AI273" s="46">
        <v>5630</v>
      </c>
      <c r="AJ273" s="46">
        <v>5820</v>
      </c>
      <c r="AK273" s="46">
        <v>5940</v>
      </c>
      <c r="AL273" s="46">
        <v>6120</v>
      </c>
      <c r="AM273" s="46">
        <v>6170</v>
      </c>
      <c r="AN273" s="46">
        <v>6480</v>
      </c>
      <c r="AO273" s="46">
        <v>6440</v>
      </c>
      <c r="AP273" s="46">
        <v>6320</v>
      </c>
      <c r="AQ273" s="46">
        <v>6200</v>
      </c>
      <c r="AR273" s="46">
        <v>6040</v>
      </c>
      <c r="AS273" s="46">
        <v>5860</v>
      </c>
      <c r="AT273" s="46">
        <v>5960</v>
      </c>
      <c r="AU273" s="46">
        <v>5990</v>
      </c>
      <c r="AV273" s="46">
        <v>6240</v>
      </c>
      <c r="AW273" s="46">
        <v>6390</v>
      </c>
      <c r="AX273" s="46">
        <v>6560</v>
      </c>
      <c r="AY273" s="46">
        <v>6830</v>
      </c>
      <c r="AZ273" s="46">
        <v>7060</v>
      </c>
      <c r="BA273" s="46">
        <v>7220</v>
      </c>
      <c r="BB273" s="46">
        <v>7500</v>
      </c>
      <c r="BC273" s="46">
        <v>7650</v>
      </c>
      <c r="BD273" s="46">
        <v>7980</v>
      </c>
      <c r="BE273" s="46">
        <v>8430</v>
      </c>
      <c r="BF273" s="46">
        <v>8640</v>
      </c>
      <c r="BG273" s="46">
        <v>8990</v>
      </c>
      <c r="BH273" s="46">
        <v>9160</v>
      </c>
      <c r="BI273" s="46">
        <v>9110</v>
      </c>
    </row>
    <row r="274" spans="1:61" x14ac:dyDescent="0.25">
      <c r="A274" s="11">
        <f>$A$89</f>
        <v>74</v>
      </c>
      <c r="M274" s="11"/>
      <c r="N274" s="11"/>
      <c r="O274" s="11"/>
      <c r="P274" s="11"/>
      <c r="Q274" s="11"/>
      <c r="R274" s="11"/>
      <c r="S274" s="11"/>
      <c r="T274" s="46">
        <v>2930</v>
      </c>
      <c r="U274" s="46">
        <v>2950</v>
      </c>
      <c r="V274" s="46">
        <v>3100</v>
      </c>
      <c r="W274" s="46">
        <v>3220</v>
      </c>
      <c r="X274" s="46">
        <v>3390</v>
      </c>
      <c r="Y274" s="46">
        <v>3540</v>
      </c>
      <c r="Z274" s="46">
        <v>3710</v>
      </c>
      <c r="AA274" s="46">
        <v>3850</v>
      </c>
      <c r="AB274" s="46">
        <v>4010</v>
      </c>
      <c r="AC274" s="46">
        <v>4190</v>
      </c>
      <c r="AD274" s="46">
        <v>4300</v>
      </c>
      <c r="AE274" s="46">
        <v>4530</v>
      </c>
      <c r="AF274" s="46">
        <v>4730</v>
      </c>
      <c r="AG274" s="46">
        <v>4820</v>
      </c>
      <c r="AH274" s="46">
        <v>4770</v>
      </c>
      <c r="AI274" s="46">
        <v>4680</v>
      </c>
      <c r="AJ274" s="46">
        <v>4670</v>
      </c>
      <c r="AK274" s="46">
        <v>4830</v>
      </c>
      <c r="AL274" s="46">
        <v>4930</v>
      </c>
      <c r="AM274" s="46">
        <v>5080</v>
      </c>
      <c r="AN274" s="46">
        <v>5120</v>
      </c>
      <c r="AO274" s="46">
        <v>5370</v>
      </c>
      <c r="AP274" s="46">
        <v>5340</v>
      </c>
      <c r="AQ274" s="46">
        <v>5240</v>
      </c>
      <c r="AR274" s="46">
        <v>5140</v>
      </c>
      <c r="AS274" s="46">
        <v>5010</v>
      </c>
      <c r="AT274" s="46">
        <v>4860</v>
      </c>
      <c r="AU274" s="46">
        <v>4950</v>
      </c>
      <c r="AV274" s="46">
        <v>4970</v>
      </c>
      <c r="AW274" s="46">
        <v>5180</v>
      </c>
      <c r="AX274" s="46">
        <v>5310</v>
      </c>
      <c r="AY274" s="46">
        <v>5450</v>
      </c>
      <c r="AZ274" s="46">
        <v>5670</v>
      </c>
      <c r="BA274" s="46">
        <v>5860</v>
      </c>
      <c r="BB274" s="46">
        <v>6000</v>
      </c>
      <c r="BC274" s="46">
        <v>6230</v>
      </c>
      <c r="BD274" s="46">
        <v>6350</v>
      </c>
      <c r="BE274" s="46">
        <v>6630</v>
      </c>
      <c r="BF274" s="46">
        <v>7000</v>
      </c>
      <c r="BG274" s="46">
        <v>7180</v>
      </c>
      <c r="BH274" s="46">
        <v>7470</v>
      </c>
      <c r="BI274" s="46">
        <v>7610</v>
      </c>
    </row>
    <row r="275" spans="1:61" x14ac:dyDescent="0.25">
      <c r="A275" s="11">
        <f>$A$90</f>
        <v>75</v>
      </c>
      <c r="M275" s="11"/>
      <c r="N275" s="11"/>
      <c r="O275" s="11"/>
      <c r="P275" s="11"/>
      <c r="Q275" s="11"/>
      <c r="R275" s="11"/>
      <c r="S275" s="11"/>
      <c r="T275" s="46">
        <v>2300</v>
      </c>
      <c r="U275" s="46">
        <v>2450</v>
      </c>
      <c r="V275" s="46">
        <v>2470</v>
      </c>
      <c r="W275" s="46">
        <v>2590</v>
      </c>
      <c r="X275" s="46">
        <v>2690</v>
      </c>
      <c r="Y275" s="46">
        <v>2840</v>
      </c>
      <c r="Z275" s="46">
        <v>2960</v>
      </c>
      <c r="AA275" s="46">
        <v>3100</v>
      </c>
      <c r="AB275" s="46">
        <v>3220</v>
      </c>
      <c r="AC275" s="46">
        <v>3350</v>
      </c>
      <c r="AD275" s="46">
        <v>3510</v>
      </c>
      <c r="AE275" s="46">
        <v>3600</v>
      </c>
      <c r="AF275" s="46">
        <v>3800</v>
      </c>
      <c r="AG275" s="46">
        <v>3960</v>
      </c>
      <c r="AH275" s="46">
        <v>4030</v>
      </c>
      <c r="AI275" s="46">
        <v>4000</v>
      </c>
      <c r="AJ275" s="46">
        <v>3920</v>
      </c>
      <c r="AK275" s="46">
        <v>3910</v>
      </c>
      <c r="AL275" s="46">
        <v>4040</v>
      </c>
      <c r="AM275" s="46">
        <v>4130</v>
      </c>
      <c r="AN275" s="46">
        <v>4260</v>
      </c>
      <c r="AO275" s="46">
        <v>4290</v>
      </c>
      <c r="AP275" s="46">
        <v>4500</v>
      </c>
      <c r="AQ275" s="46">
        <v>4480</v>
      </c>
      <c r="AR275" s="46">
        <v>4400</v>
      </c>
      <c r="AS275" s="46">
        <v>4310</v>
      </c>
      <c r="AT275" s="46">
        <v>4200</v>
      </c>
      <c r="AU275" s="46">
        <v>4080</v>
      </c>
      <c r="AV275" s="46">
        <v>4150</v>
      </c>
      <c r="AW275" s="46">
        <v>4170</v>
      </c>
      <c r="AX275" s="46">
        <v>4340</v>
      </c>
      <c r="AY275" s="46">
        <v>4450</v>
      </c>
      <c r="AZ275" s="46">
        <v>4570</v>
      </c>
      <c r="BA275" s="46">
        <v>4760</v>
      </c>
      <c r="BB275" s="46">
        <v>4920</v>
      </c>
      <c r="BC275" s="46">
        <v>5030</v>
      </c>
      <c r="BD275" s="46">
        <v>5230</v>
      </c>
      <c r="BE275" s="46">
        <v>5330</v>
      </c>
      <c r="BF275" s="46">
        <v>5560</v>
      </c>
      <c r="BG275" s="46">
        <v>5880</v>
      </c>
      <c r="BH275" s="46">
        <v>6030</v>
      </c>
      <c r="BI275" s="46">
        <v>6270</v>
      </c>
    </row>
    <row r="276" spans="1:61" x14ac:dyDescent="0.25">
      <c r="A276" s="11">
        <f>$A$91</f>
        <v>76</v>
      </c>
      <c r="M276" s="11"/>
      <c r="N276" s="11"/>
      <c r="O276" s="11"/>
      <c r="P276" s="11"/>
      <c r="Q276" s="11"/>
      <c r="R276" s="11"/>
      <c r="S276" s="11"/>
      <c r="T276" s="46">
        <v>1940</v>
      </c>
      <c r="U276" s="46">
        <v>1950</v>
      </c>
      <c r="V276" s="46">
        <v>2070</v>
      </c>
      <c r="W276" s="46">
        <v>2090</v>
      </c>
      <c r="X276" s="46">
        <v>2190</v>
      </c>
      <c r="Y276" s="46">
        <v>2280</v>
      </c>
      <c r="Z276" s="46">
        <v>2400</v>
      </c>
      <c r="AA276" s="46">
        <v>2510</v>
      </c>
      <c r="AB276" s="46">
        <v>2630</v>
      </c>
      <c r="AC276" s="46">
        <v>2730</v>
      </c>
      <c r="AD276" s="46">
        <v>2840</v>
      </c>
      <c r="AE276" s="46">
        <v>2970</v>
      </c>
      <c r="AF276" s="46">
        <v>3050</v>
      </c>
      <c r="AG276" s="46">
        <v>3220</v>
      </c>
      <c r="AH276" s="46">
        <v>3350</v>
      </c>
      <c r="AI276" s="46">
        <v>3420</v>
      </c>
      <c r="AJ276" s="46">
        <v>3380</v>
      </c>
      <c r="AK276" s="46">
        <v>3320</v>
      </c>
      <c r="AL276" s="46">
        <v>3320</v>
      </c>
      <c r="AM276" s="46">
        <v>3430</v>
      </c>
      <c r="AN276" s="46">
        <v>3500</v>
      </c>
      <c r="AO276" s="46">
        <v>3610</v>
      </c>
      <c r="AP276" s="46">
        <v>3640</v>
      </c>
      <c r="AQ276" s="46">
        <v>3820</v>
      </c>
      <c r="AR276" s="46">
        <v>3800</v>
      </c>
      <c r="AS276" s="46">
        <v>3730</v>
      </c>
      <c r="AT276" s="46">
        <v>3660</v>
      </c>
      <c r="AU276" s="46">
        <v>3560</v>
      </c>
      <c r="AV276" s="46">
        <v>3460</v>
      </c>
      <c r="AW276" s="46">
        <v>3520</v>
      </c>
      <c r="AX276" s="46">
        <v>3540</v>
      </c>
      <c r="AY276" s="46">
        <v>3690</v>
      </c>
      <c r="AZ276" s="46">
        <v>3780</v>
      </c>
      <c r="BA276" s="46">
        <v>3880</v>
      </c>
      <c r="BB276" s="46">
        <v>4040</v>
      </c>
      <c r="BC276" s="46">
        <v>4170</v>
      </c>
      <c r="BD276" s="46">
        <v>4270</v>
      </c>
      <c r="BE276" s="46">
        <v>4440</v>
      </c>
      <c r="BF276" s="46">
        <v>4520</v>
      </c>
      <c r="BG276" s="46">
        <v>4720</v>
      </c>
      <c r="BH276" s="46">
        <v>4990</v>
      </c>
      <c r="BI276" s="46">
        <v>5120</v>
      </c>
    </row>
    <row r="277" spans="1:61" x14ac:dyDescent="0.25">
      <c r="A277" s="11">
        <f>$A$92</f>
        <v>77</v>
      </c>
      <c r="M277" s="11"/>
      <c r="N277" s="11"/>
      <c r="O277" s="11"/>
      <c r="P277" s="11"/>
      <c r="Q277" s="11"/>
      <c r="R277" s="11"/>
      <c r="S277" s="11"/>
      <c r="T277" s="46">
        <v>1640</v>
      </c>
      <c r="U277" s="46">
        <v>1680</v>
      </c>
      <c r="V277" s="46">
        <v>1690</v>
      </c>
      <c r="W277" s="46">
        <v>1800</v>
      </c>
      <c r="X277" s="46">
        <v>1810</v>
      </c>
      <c r="Y277" s="46">
        <v>1900</v>
      </c>
      <c r="Z277" s="46">
        <v>1970</v>
      </c>
      <c r="AA277" s="46">
        <v>2080</v>
      </c>
      <c r="AB277" s="46">
        <v>2170</v>
      </c>
      <c r="AC277" s="46">
        <v>2280</v>
      </c>
      <c r="AD277" s="46">
        <v>2370</v>
      </c>
      <c r="AE277" s="46">
        <v>2460</v>
      </c>
      <c r="AF277" s="46">
        <v>2580</v>
      </c>
      <c r="AG277" s="46">
        <v>2650</v>
      </c>
      <c r="AH277" s="46">
        <v>2790</v>
      </c>
      <c r="AI277" s="46">
        <v>2910</v>
      </c>
      <c r="AJ277" s="46">
        <v>2970</v>
      </c>
      <c r="AK277" s="46">
        <v>2940</v>
      </c>
      <c r="AL277" s="46">
        <v>2890</v>
      </c>
      <c r="AM277" s="46">
        <v>2880</v>
      </c>
      <c r="AN277" s="46">
        <v>2980</v>
      </c>
      <c r="AO277" s="46">
        <v>3040</v>
      </c>
      <c r="AP277" s="46">
        <v>3140</v>
      </c>
      <c r="AQ277" s="46">
        <v>3160</v>
      </c>
      <c r="AR277" s="46">
        <v>3320</v>
      </c>
      <c r="AS277" s="46">
        <v>3300</v>
      </c>
      <c r="AT277" s="46">
        <v>3240</v>
      </c>
      <c r="AU277" s="46">
        <v>3180</v>
      </c>
      <c r="AV277" s="46">
        <v>3100</v>
      </c>
      <c r="AW277" s="46">
        <v>3010</v>
      </c>
      <c r="AX277" s="46">
        <v>3060</v>
      </c>
      <c r="AY277" s="46">
        <v>3080</v>
      </c>
      <c r="AZ277" s="46">
        <v>3210</v>
      </c>
      <c r="BA277" s="46">
        <v>3290</v>
      </c>
      <c r="BB277" s="46">
        <v>3370</v>
      </c>
      <c r="BC277" s="46">
        <v>3510</v>
      </c>
      <c r="BD277" s="46">
        <v>3630</v>
      </c>
      <c r="BE277" s="46">
        <v>3720</v>
      </c>
      <c r="BF277" s="46">
        <v>3860</v>
      </c>
      <c r="BG277" s="46">
        <v>3940</v>
      </c>
      <c r="BH277" s="46">
        <v>4110</v>
      </c>
      <c r="BI277" s="46">
        <v>4350</v>
      </c>
    </row>
    <row r="278" spans="1:61" x14ac:dyDescent="0.25">
      <c r="A278" s="11">
        <f>$A$93</f>
        <v>78</v>
      </c>
      <c r="M278" s="11"/>
      <c r="N278" s="11"/>
      <c r="O278" s="11"/>
      <c r="P278" s="11"/>
      <c r="Q278" s="11"/>
      <c r="R278" s="11"/>
      <c r="S278" s="11"/>
      <c r="T278" s="46">
        <v>1180</v>
      </c>
      <c r="U278" s="46">
        <v>1430</v>
      </c>
      <c r="V278" s="46">
        <v>1470</v>
      </c>
      <c r="W278" s="46">
        <v>1480</v>
      </c>
      <c r="X278" s="46">
        <v>1570</v>
      </c>
      <c r="Y278" s="46">
        <v>1580</v>
      </c>
      <c r="Z278" s="46">
        <v>1660</v>
      </c>
      <c r="AA278" s="46">
        <v>1730</v>
      </c>
      <c r="AB278" s="46">
        <v>1820</v>
      </c>
      <c r="AC278" s="46">
        <v>1900</v>
      </c>
      <c r="AD278" s="46">
        <v>1990</v>
      </c>
      <c r="AE278" s="46">
        <v>2070</v>
      </c>
      <c r="AF278" s="46">
        <v>2160</v>
      </c>
      <c r="AG278" s="46">
        <v>2260</v>
      </c>
      <c r="AH278" s="46">
        <v>2320</v>
      </c>
      <c r="AI278" s="46">
        <v>2440</v>
      </c>
      <c r="AJ278" s="46">
        <v>2550</v>
      </c>
      <c r="AK278" s="46">
        <v>2600</v>
      </c>
      <c r="AL278" s="46">
        <v>2570</v>
      </c>
      <c r="AM278" s="46">
        <v>2530</v>
      </c>
      <c r="AN278" s="46">
        <v>2520</v>
      </c>
      <c r="AO278" s="46">
        <v>2610</v>
      </c>
      <c r="AP278" s="46">
        <v>2660</v>
      </c>
      <c r="AQ278" s="46">
        <v>2750</v>
      </c>
      <c r="AR278" s="46">
        <v>2770</v>
      </c>
      <c r="AS278" s="46">
        <v>2910</v>
      </c>
      <c r="AT278" s="46">
        <v>2890</v>
      </c>
      <c r="AU278" s="46">
        <v>2840</v>
      </c>
      <c r="AV278" s="46">
        <v>2780</v>
      </c>
      <c r="AW278" s="46">
        <v>2710</v>
      </c>
      <c r="AX278" s="46">
        <v>2640</v>
      </c>
      <c r="AY278" s="46">
        <v>2680</v>
      </c>
      <c r="AZ278" s="46">
        <v>2700</v>
      </c>
      <c r="BA278" s="46">
        <v>2810</v>
      </c>
      <c r="BB278" s="46">
        <v>2880</v>
      </c>
      <c r="BC278" s="46">
        <v>2960</v>
      </c>
      <c r="BD278" s="46">
        <v>3080</v>
      </c>
      <c r="BE278" s="46">
        <v>3190</v>
      </c>
      <c r="BF278" s="46">
        <v>3260</v>
      </c>
      <c r="BG278" s="46">
        <v>3390</v>
      </c>
      <c r="BH278" s="46">
        <v>3460</v>
      </c>
      <c r="BI278" s="46">
        <v>3610</v>
      </c>
    </row>
    <row r="279" spans="1:61" x14ac:dyDescent="0.25">
      <c r="A279" s="11">
        <f>$A$94</f>
        <v>79</v>
      </c>
      <c r="M279" s="11"/>
      <c r="N279" s="11"/>
      <c r="O279" s="11"/>
      <c r="P279" s="11"/>
      <c r="Q279" s="11"/>
      <c r="R279" s="11"/>
      <c r="S279" s="11"/>
      <c r="T279" s="46">
        <v>920</v>
      </c>
      <c r="U279" s="46">
        <v>1000</v>
      </c>
      <c r="V279" s="46">
        <v>1230</v>
      </c>
      <c r="W279" s="46">
        <v>1250</v>
      </c>
      <c r="X279" s="46">
        <v>1260</v>
      </c>
      <c r="Y279" s="46">
        <v>1340</v>
      </c>
      <c r="Z279" s="46">
        <v>1350</v>
      </c>
      <c r="AA279" s="46">
        <v>1420</v>
      </c>
      <c r="AB279" s="46">
        <v>1480</v>
      </c>
      <c r="AC279" s="46">
        <v>1560</v>
      </c>
      <c r="AD279" s="46">
        <v>1630</v>
      </c>
      <c r="AE279" s="46">
        <v>1700</v>
      </c>
      <c r="AF279" s="46">
        <v>1770</v>
      </c>
      <c r="AG279" s="46">
        <v>1840</v>
      </c>
      <c r="AH279" s="46">
        <v>1930</v>
      </c>
      <c r="AI279" s="46">
        <v>1980</v>
      </c>
      <c r="AJ279" s="46">
        <v>2090</v>
      </c>
      <c r="AK279" s="46">
        <v>2180</v>
      </c>
      <c r="AL279" s="46">
        <v>2220</v>
      </c>
      <c r="AM279" s="46">
        <v>2200</v>
      </c>
      <c r="AN279" s="46">
        <v>2160</v>
      </c>
      <c r="AO279" s="46">
        <v>2160</v>
      </c>
      <c r="AP279" s="46">
        <v>2230</v>
      </c>
      <c r="AQ279" s="46">
        <v>2280</v>
      </c>
      <c r="AR279" s="46">
        <v>2350</v>
      </c>
      <c r="AS279" s="46">
        <v>2370</v>
      </c>
      <c r="AT279" s="46">
        <v>2490</v>
      </c>
      <c r="AU279" s="46">
        <v>2480</v>
      </c>
      <c r="AV279" s="46">
        <v>2430</v>
      </c>
      <c r="AW279" s="46">
        <v>2390</v>
      </c>
      <c r="AX279" s="46">
        <v>2330</v>
      </c>
      <c r="AY279" s="46">
        <v>2260</v>
      </c>
      <c r="AZ279" s="46">
        <v>2300</v>
      </c>
      <c r="BA279" s="46">
        <v>2310</v>
      </c>
      <c r="BB279" s="46">
        <v>2410</v>
      </c>
      <c r="BC279" s="46">
        <v>2470</v>
      </c>
      <c r="BD279" s="46">
        <v>2540</v>
      </c>
      <c r="BE279" s="46">
        <v>2640</v>
      </c>
      <c r="BF279" s="46">
        <v>2730</v>
      </c>
      <c r="BG279" s="46">
        <v>2800</v>
      </c>
      <c r="BH279" s="46">
        <v>2910</v>
      </c>
      <c r="BI279" s="46">
        <v>2970</v>
      </c>
    </row>
    <row r="280" spans="1:61" x14ac:dyDescent="0.25">
      <c r="A280" s="11" t="s">
        <v>13</v>
      </c>
      <c r="M280" s="11"/>
      <c r="N280" s="11"/>
      <c r="O280" s="11"/>
      <c r="P280" s="11"/>
      <c r="Q280" s="11"/>
      <c r="R280" s="11"/>
      <c r="S280" s="11"/>
      <c r="T280" s="46">
        <v>3210</v>
      </c>
      <c r="U280" s="46">
        <v>3450</v>
      </c>
      <c r="V280" s="46">
        <v>3710</v>
      </c>
      <c r="W280" s="46">
        <v>4100</v>
      </c>
      <c r="X280" s="46">
        <v>4460</v>
      </c>
      <c r="Y280" s="46">
        <v>4760</v>
      </c>
      <c r="Z280" s="46">
        <v>5070</v>
      </c>
      <c r="AA280" s="46">
        <v>5330</v>
      </c>
      <c r="AB280" s="46">
        <v>5610</v>
      </c>
      <c r="AC280" s="46">
        <v>5890</v>
      </c>
      <c r="AD280" s="46">
        <v>6190</v>
      </c>
      <c r="AE280" s="46">
        <v>6500</v>
      </c>
      <c r="AF280" s="46">
        <v>6820</v>
      </c>
      <c r="AG280" s="46">
        <v>7130</v>
      </c>
      <c r="AH280" s="46">
        <v>7450</v>
      </c>
      <c r="AI280" s="46">
        <v>7790</v>
      </c>
      <c r="AJ280" s="46">
        <v>8110</v>
      </c>
      <c r="AK280" s="46">
        <v>8470</v>
      </c>
      <c r="AL280" s="46">
        <v>8850</v>
      </c>
      <c r="AM280" s="46">
        <v>9190</v>
      </c>
      <c r="AN280" s="46">
        <v>9470</v>
      </c>
      <c r="AO280" s="46">
        <v>9660</v>
      </c>
      <c r="AP280" s="46">
        <v>9820</v>
      </c>
      <c r="AQ280" s="46">
        <v>10010</v>
      </c>
      <c r="AR280" s="46">
        <v>10210</v>
      </c>
      <c r="AS280" s="46">
        <v>10440</v>
      </c>
      <c r="AT280" s="46">
        <v>10650</v>
      </c>
      <c r="AU280" s="46">
        <v>10920</v>
      </c>
      <c r="AV280" s="46">
        <v>11130</v>
      </c>
      <c r="AW280" s="46">
        <v>11270</v>
      </c>
      <c r="AX280" s="46">
        <v>11350</v>
      </c>
      <c r="AY280" s="46">
        <v>11370</v>
      </c>
      <c r="AZ280" s="46">
        <v>11340</v>
      </c>
      <c r="BA280" s="46">
        <v>11350</v>
      </c>
      <c r="BB280" s="46">
        <v>11370</v>
      </c>
      <c r="BC280" s="46">
        <v>11470</v>
      </c>
      <c r="BD280" s="46">
        <v>11600</v>
      </c>
      <c r="BE280" s="46">
        <v>11770</v>
      </c>
      <c r="BF280" s="46">
        <v>12000</v>
      </c>
      <c r="BG280" s="46">
        <v>12270</v>
      </c>
      <c r="BH280" s="46">
        <v>12550</v>
      </c>
      <c r="BI280" s="46">
        <v>12890</v>
      </c>
    </row>
    <row r="281" spans="1:61" x14ac:dyDescent="0.25">
      <c r="A281" s="9" t="str">
        <f>$A$111</f>
        <v>Female total</v>
      </c>
      <c r="M281" s="11"/>
      <c r="N281" s="11"/>
      <c r="O281" s="11"/>
      <c r="P281" s="11"/>
      <c r="Q281" s="11"/>
      <c r="R281" s="11"/>
      <c r="S281" s="11"/>
      <c r="T281" s="80">
        <f t="shared" ref="T281:AI281" si="89">SUM(T$215:T$280)</f>
        <v>1451140</v>
      </c>
      <c r="U281" s="80">
        <f t="shared" si="89"/>
        <v>1470170</v>
      </c>
      <c r="V281" s="80">
        <f t="shared" si="89"/>
        <v>1490170</v>
      </c>
      <c r="W281" s="80">
        <f t="shared" si="89"/>
        <v>1510540</v>
      </c>
      <c r="X281" s="80">
        <f t="shared" si="89"/>
        <v>1531120</v>
      </c>
      <c r="Y281" s="80">
        <f t="shared" si="89"/>
        <v>1551520</v>
      </c>
      <c r="Z281" s="80">
        <f t="shared" si="89"/>
        <v>1571610</v>
      </c>
      <c r="AA281" s="80">
        <f t="shared" si="89"/>
        <v>1591220</v>
      </c>
      <c r="AB281" s="80">
        <f t="shared" si="89"/>
        <v>1610480</v>
      </c>
      <c r="AC281" s="80">
        <f t="shared" si="89"/>
        <v>1629220</v>
      </c>
      <c r="AD281" s="80">
        <f t="shared" si="89"/>
        <v>1647550</v>
      </c>
      <c r="AE281" s="80">
        <f t="shared" si="89"/>
        <v>1665270</v>
      </c>
      <c r="AF281" s="80">
        <f t="shared" si="89"/>
        <v>1682700</v>
      </c>
      <c r="AG281" s="80">
        <f t="shared" si="89"/>
        <v>1699920</v>
      </c>
      <c r="AH281" s="80">
        <f t="shared" si="89"/>
        <v>1716260</v>
      </c>
      <c r="AI281" s="80">
        <f t="shared" si="89"/>
        <v>1731970</v>
      </c>
      <c r="AJ281" s="80"/>
      <c r="AK281" s="80"/>
      <c r="AL281" s="80"/>
      <c r="AM281" s="80"/>
      <c r="AN281" s="80"/>
      <c r="AO281" s="80"/>
      <c r="AP281" s="80"/>
      <c r="AQ281" s="80"/>
      <c r="AR281" s="80"/>
      <c r="AS281" s="80"/>
      <c r="AT281" s="80"/>
      <c r="AU281" s="80"/>
      <c r="AV281" s="80"/>
      <c r="AW281" s="80"/>
      <c r="AX281" s="80"/>
      <c r="AY281" s="80"/>
      <c r="AZ281" s="80"/>
      <c r="BA281" s="80"/>
      <c r="BB281" s="80"/>
      <c r="BC281" s="80"/>
      <c r="BD281" s="80"/>
      <c r="BE281" s="80"/>
      <c r="BF281" s="80"/>
      <c r="BG281" s="80"/>
      <c r="BH281" s="80"/>
      <c r="BI281" s="80"/>
    </row>
    <row r="282" spans="1:61" x14ac:dyDescent="0.25">
      <c r="A282" s="9"/>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row>
    <row r="283" spans="1:61" x14ac:dyDescent="0.25">
      <c r="A283" s="9"/>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row>
    <row r="284" spans="1:61" x14ac:dyDescent="0.25">
      <c r="A284" s="9" t="s">
        <v>14</v>
      </c>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row>
    <row r="285" spans="1:61" x14ac:dyDescent="0.25">
      <c r="A285" s="11">
        <f>$A$30</f>
        <v>15</v>
      </c>
      <c r="M285" s="11"/>
      <c r="N285" s="11"/>
      <c r="O285" s="11"/>
      <c r="P285" s="11"/>
      <c r="Q285" s="11"/>
      <c r="R285" s="11"/>
      <c r="S285" s="11"/>
      <c r="T285" s="46">
        <v>7810</v>
      </c>
      <c r="U285" s="46">
        <v>7900</v>
      </c>
      <c r="V285" s="46">
        <v>7880</v>
      </c>
      <c r="W285" s="46">
        <v>7850</v>
      </c>
      <c r="X285" s="46">
        <v>7850</v>
      </c>
      <c r="Y285" s="46">
        <v>7780</v>
      </c>
      <c r="Z285" s="46">
        <v>7810</v>
      </c>
      <c r="AA285" s="46">
        <v>7760</v>
      </c>
      <c r="AB285" s="46">
        <v>7710</v>
      </c>
      <c r="AC285" s="46">
        <v>7660</v>
      </c>
      <c r="AD285" s="46">
        <v>7730</v>
      </c>
      <c r="AE285" s="46">
        <v>7560</v>
      </c>
      <c r="AF285" s="46">
        <v>7700</v>
      </c>
      <c r="AG285" s="46">
        <v>7550</v>
      </c>
      <c r="AH285" s="46">
        <v>7220</v>
      </c>
      <c r="AI285" s="46">
        <v>7190</v>
      </c>
      <c r="AJ285" s="46">
        <v>7330</v>
      </c>
      <c r="AK285" s="46">
        <v>7350</v>
      </c>
      <c r="AL285" s="46">
        <v>7360</v>
      </c>
      <c r="AM285" s="46">
        <v>7370</v>
      </c>
      <c r="AN285" s="46">
        <v>7370</v>
      </c>
      <c r="AO285" s="46">
        <v>7370</v>
      </c>
      <c r="AP285" s="46">
        <v>7380</v>
      </c>
      <c r="AQ285" s="46">
        <v>7390</v>
      </c>
      <c r="AR285" s="46">
        <v>7410</v>
      </c>
      <c r="AS285" s="46">
        <v>7440</v>
      </c>
      <c r="AT285" s="46">
        <v>7470</v>
      </c>
      <c r="AU285" s="46">
        <v>7510</v>
      </c>
      <c r="AV285" s="46">
        <v>7560</v>
      </c>
      <c r="AW285" s="46">
        <v>7610</v>
      </c>
      <c r="AX285" s="46">
        <v>7670</v>
      </c>
      <c r="AY285" s="46">
        <v>7720</v>
      </c>
      <c r="AZ285" s="46">
        <v>7780</v>
      </c>
      <c r="BA285" s="46">
        <v>7830</v>
      </c>
      <c r="BB285" s="46">
        <v>7870</v>
      </c>
      <c r="BC285" s="46">
        <v>7910</v>
      </c>
      <c r="BD285" s="46">
        <v>7930</v>
      </c>
      <c r="BE285" s="46">
        <v>7950</v>
      </c>
      <c r="BF285" s="46">
        <v>7970</v>
      </c>
      <c r="BG285" s="46">
        <v>7970</v>
      </c>
      <c r="BH285" s="46">
        <v>7970</v>
      </c>
      <c r="BI285" s="46">
        <v>7970</v>
      </c>
    </row>
    <row r="286" spans="1:61" x14ac:dyDescent="0.25">
      <c r="A286" s="11">
        <f>$A$31</f>
        <v>16</v>
      </c>
      <c r="M286" s="11"/>
      <c r="N286" s="11"/>
      <c r="O286" s="11"/>
      <c r="P286" s="11"/>
      <c r="Q286" s="11"/>
      <c r="R286" s="11"/>
      <c r="S286" s="11"/>
      <c r="T286" s="46">
        <v>14240</v>
      </c>
      <c r="U286" s="46">
        <v>14240</v>
      </c>
      <c r="V286" s="46">
        <v>14420</v>
      </c>
      <c r="W286" s="46">
        <v>14390</v>
      </c>
      <c r="X286" s="46">
        <v>14350</v>
      </c>
      <c r="Y286" s="46">
        <v>14350</v>
      </c>
      <c r="Z286" s="46">
        <v>14240</v>
      </c>
      <c r="AA286" s="46">
        <v>14280</v>
      </c>
      <c r="AB286" s="46">
        <v>14190</v>
      </c>
      <c r="AC286" s="46">
        <v>14100</v>
      </c>
      <c r="AD286" s="46">
        <v>14010</v>
      </c>
      <c r="AE286" s="46">
        <v>14130</v>
      </c>
      <c r="AF286" s="46">
        <v>13840</v>
      </c>
      <c r="AG286" s="46">
        <v>14090</v>
      </c>
      <c r="AH286" s="46">
        <v>13830</v>
      </c>
      <c r="AI286" s="46">
        <v>13230</v>
      </c>
      <c r="AJ286" s="46">
        <v>13180</v>
      </c>
      <c r="AK286" s="46">
        <v>13430</v>
      </c>
      <c r="AL286" s="46">
        <v>13460</v>
      </c>
      <c r="AM286" s="46">
        <v>13480</v>
      </c>
      <c r="AN286" s="46">
        <v>13500</v>
      </c>
      <c r="AO286" s="46">
        <v>13500</v>
      </c>
      <c r="AP286" s="46">
        <v>13510</v>
      </c>
      <c r="AQ286" s="46">
        <v>13530</v>
      </c>
      <c r="AR286" s="46">
        <v>13550</v>
      </c>
      <c r="AS286" s="46">
        <v>13580</v>
      </c>
      <c r="AT286" s="46">
        <v>13630</v>
      </c>
      <c r="AU286" s="46">
        <v>13690</v>
      </c>
      <c r="AV286" s="46">
        <v>13760</v>
      </c>
      <c r="AW286" s="46">
        <v>13850</v>
      </c>
      <c r="AX286" s="46">
        <v>13950</v>
      </c>
      <c r="AY286" s="46">
        <v>14050</v>
      </c>
      <c r="AZ286" s="46">
        <v>14150</v>
      </c>
      <c r="BA286" s="46">
        <v>14250</v>
      </c>
      <c r="BB286" s="46">
        <v>14340</v>
      </c>
      <c r="BC286" s="46">
        <v>14420</v>
      </c>
      <c r="BD286" s="46">
        <v>14480</v>
      </c>
      <c r="BE286" s="46">
        <v>14530</v>
      </c>
      <c r="BF286" s="46">
        <v>14570</v>
      </c>
      <c r="BG286" s="46">
        <v>14590</v>
      </c>
      <c r="BH286" s="46">
        <v>14600</v>
      </c>
      <c r="BI286" s="46">
        <v>14610</v>
      </c>
    </row>
    <row r="287" spans="1:61" x14ac:dyDescent="0.25">
      <c r="A287" s="11">
        <f>$A$32</f>
        <v>17</v>
      </c>
      <c r="M287" s="11"/>
      <c r="N287" s="11"/>
      <c r="O287" s="11"/>
      <c r="P287" s="11"/>
      <c r="Q287" s="11"/>
      <c r="R287" s="11"/>
      <c r="S287" s="11"/>
      <c r="T287" s="46">
        <v>20380</v>
      </c>
      <c r="U287" s="46">
        <v>21270</v>
      </c>
      <c r="V287" s="46">
        <v>21300</v>
      </c>
      <c r="W287" s="46">
        <v>21590</v>
      </c>
      <c r="X287" s="46">
        <v>21550</v>
      </c>
      <c r="Y287" s="46">
        <v>21500</v>
      </c>
      <c r="Z287" s="46">
        <v>21510</v>
      </c>
      <c r="AA287" s="46">
        <v>21350</v>
      </c>
      <c r="AB287" s="46">
        <v>21400</v>
      </c>
      <c r="AC287" s="46">
        <v>21290</v>
      </c>
      <c r="AD287" s="46">
        <v>21150</v>
      </c>
      <c r="AE287" s="46">
        <v>21020</v>
      </c>
      <c r="AF287" s="46">
        <v>21210</v>
      </c>
      <c r="AG287" s="46">
        <v>20770</v>
      </c>
      <c r="AH287" s="46">
        <v>21140</v>
      </c>
      <c r="AI287" s="46">
        <v>20760</v>
      </c>
      <c r="AJ287" s="46">
        <v>19880</v>
      </c>
      <c r="AK287" s="46">
        <v>19800</v>
      </c>
      <c r="AL287" s="46">
        <v>20180</v>
      </c>
      <c r="AM287" s="46">
        <v>20230</v>
      </c>
      <c r="AN287" s="46">
        <v>20260</v>
      </c>
      <c r="AO287" s="46">
        <v>20280</v>
      </c>
      <c r="AP287" s="46">
        <v>20290</v>
      </c>
      <c r="AQ287" s="46">
        <v>20310</v>
      </c>
      <c r="AR287" s="46">
        <v>20330</v>
      </c>
      <c r="AS287" s="46">
        <v>20360</v>
      </c>
      <c r="AT287" s="46">
        <v>20410</v>
      </c>
      <c r="AU287" s="46">
        <v>20480</v>
      </c>
      <c r="AV287" s="46">
        <v>20570</v>
      </c>
      <c r="AW287" s="46">
        <v>20690</v>
      </c>
      <c r="AX287" s="46">
        <v>20820</v>
      </c>
      <c r="AY287" s="46">
        <v>20960</v>
      </c>
      <c r="AZ287" s="46">
        <v>21110</v>
      </c>
      <c r="BA287" s="46">
        <v>21260</v>
      </c>
      <c r="BB287" s="46">
        <v>21410</v>
      </c>
      <c r="BC287" s="46">
        <v>21540</v>
      </c>
      <c r="BD287" s="46">
        <v>21660</v>
      </c>
      <c r="BE287" s="46">
        <v>21750</v>
      </c>
      <c r="BF287" s="46">
        <v>21830</v>
      </c>
      <c r="BG287" s="46">
        <v>21890</v>
      </c>
      <c r="BH287" s="46">
        <v>21920</v>
      </c>
      <c r="BI287" s="46">
        <v>21940</v>
      </c>
    </row>
    <row r="288" spans="1:61" x14ac:dyDescent="0.25">
      <c r="A288" s="11">
        <f>$A$33</f>
        <v>18</v>
      </c>
      <c r="M288" s="11"/>
      <c r="N288" s="11"/>
      <c r="O288" s="11"/>
      <c r="P288" s="11"/>
      <c r="Q288" s="11"/>
      <c r="R288" s="11"/>
      <c r="S288" s="11"/>
      <c r="T288" s="46">
        <v>24180</v>
      </c>
      <c r="U288" s="46">
        <v>26030</v>
      </c>
      <c r="V288" s="46">
        <v>27210</v>
      </c>
      <c r="W288" s="46">
        <v>27270</v>
      </c>
      <c r="X288" s="46">
        <v>27640</v>
      </c>
      <c r="Y288" s="46">
        <v>27610</v>
      </c>
      <c r="Z288" s="46">
        <v>27560</v>
      </c>
      <c r="AA288" s="46">
        <v>27580</v>
      </c>
      <c r="AB288" s="46">
        <v>27370</v>
      </c>
      <c r="AC288" s="46">
        <v>27450</v>
      </c>
      <c r="AD288" s="46">
        <v>27300</v>
      </c>
      <c r="AE288" s="46">
        <v>27130</v>
      </c>
      <c r="AF288" s="46">
        <v>26970</v>
      </c>
      <c r="AG288" s="46">
        <v>27210</v>
      </c>
      <c r="AH288" s="46">
        <v>26660</v>
      </c>
      <c r="AI288" s="46">
        <v>27130</v>
      </c>
      <c r="AJ288" s="46">
        <v>26660</v>
      </c>
      <c r="AK288" s="46">
        <v>25550</v>
      </c>
      <c r="AL288" s="46">
        <v>25450</v>
      </c>
      <c r="AM288" s="46">
        <v>25940</v>
      </c>
      <c r="AN288" s="46">
        <v>26000</v>
      </c>
      <c r="AO288" s="46">
        <v>26040</v>
      </c>
      <c r="AP288" s="46">
        <v>26060</v>
      </c>
      <c r="AQ288" s="46">
        <v>26080</v>
      </c>
      <c r="AR288" s="46">
        <v>26100</v>
      </c>
      <c r="AS288" s="46">
        <v>26130</v>
      </c>
      <c r="AT288" s="46">
        <v>26180</v>
      </c>
      <c r="AU288" s="46">
        <v>26240</v>
      </c>
      <c r="AV288" s="46">
        <v>26330</v>
      </c>
      <c r="AW288" s="46">
        <v>26450</v>
      </c>
      <c r="AX288" s="46">
        <v>26590</v>
      </c>
      <c r="AY288" s="46">
        <v>26760</v>
      </c>
      <c r="AZ288" s="46">
        <v>26940</v>
      </c>
      <c r="BA288" s="46">
        <v>27130</v>
      </c>
      <c r="BB288" s="46">
        <v>27330</v>
      </c>
      <c r="BC288" s="46">
        <v>27520</v>
      </c>
      <c r="BD288" s="46">
        <v>27690</v>
      </c>
      <c r="BE288" s="46">
        <v>27830</v>
      </c>
      <c r="BF288" s="46">
        <v>27960</v>
      </c>
      <c r="BG288" s="46">
        <v>28060</v>
      </c>
      <c r="BH288" s="46">
        <v>28130</v>
      </c>
      <c r="BI288" s="46">
        <v>28180</v>
      </c>
    </row>
    <row r="289" spans="1:61" x14ac:dyDescent="0.25">
      <c r="A289" s="11">
        <f>$A$34</f>
        <v>19</v>
      </c>
      <c r="M289" s="11"/>
      <c r="N289" s="11"/>
      <c r="O289" s="11"/>
      <c r="P289" s="11"/>
      <c r="Q289" s="11"/>
      <c r="R289" s="11"/>
      <c r="S289" s="11"/>
      <c r="T289" s="46">
        <v>25480</v>
      </c>
      <c r="U289" s="46">
        <v>26010</v>
      </c>
      <c r="V289" s="46">
        <v>28020</v>
      </c>
      <c r="W289" s="46">
        <v>29290</v>
      </c>
      <c r="X289" s="46">
        <v>29380</v>
      </c>
      <c r="Y289" s="46">
        <v>29790</v>
      </c>
      <c r="Z289" s="46">
        <v>29770</v>
      </c>
      <c r="AA289" s="46">
        <v>29720</v>
      </c>
      <c r="AB289" s="46">
        <v>29740</v>
      </c>
      <c r="AC289" s="46">
        <v>29530</v>
      </c>
      <c r="AD289" s="46">
        <v>29610</v>
      </c>
      <c r="AE289" s="46">
        <v>29460</v>
      </c>
      <c r="AF289" s="46">
        <v>29280</v>
      </c>
      <c r="AG289" s="46">
        <v>29110</v>
      </c>
      <c r="AH289" s="46">
        <v>29370</v>
      </c>
      <c r="AI289" s="46">
        <v>28790</v>
      </c>
      <c r="AJ289" s="46">
        <v>29290</v>
      </c>
      <c r="AK289" s="46">
        <v>28790</v>
      </c>
      <c r="AL289" s="46">
        <v>27630</v>
      </c>
      <c r="AM289" s="46">
        <v>27520</v>
      </c>
      <c r="AN289" s="46">
        <v>28040</v>
      </c>
      <c r="AO289" s="46">
        <v>28110</v>
      </c>
      <c r="AP289" s="46">
        <v>28150</v>
      </c>
      <c r="AQ289" s="46">
        <v>28180</v>
      </c>
      <c r="AR289" s="46">
        <v>28210</v>
      </c>
      <c r="AS289" s="46">
        <v>28230</v>
      </c>
      <c r="AT289" s="46">
        <v>28270</v>
      </c>
      <c r="AU289" s="46">
        <v>28320</v>
      </c>
      <c r="AV289" s="46">
        <v>28390</v>
      </c>
      <c r="AW289" s="46">
        <v>28480</v>
      </c>
      <c r="AX289" s="46">
        <v>28610</v>
      </c>
      <c r="AY289" s="46">
        <v>28770</v>
      </c>
      <c r="AZ289" s="46">
        <v>28940</v>
      </c>
      <c r="BA289" s="46">
        <v>29140</v>
      </c>
      <c r="BB289" s="46">
        <v>29350</v>
      </c>
      <c r="BC289" s="46">
        <v>29560</v>
      </c>
      <c r="BD289" s="46">
        <v>29760</v>
      </c>
      <c r="BE289" s="46">
        <v>29940</v>
      </c>
      <c r="BF289" s="46">
        <v>30100</v>
      </c>
      <c r="BG289" s="46">
        <v>30230</v>
      </c>
      <c r="BH289" s="46">
        <v>30340</v>
      </c>
      <c r="BI289" s="46">
        <v>30420</v>
      </c>
    </row>
    <row r="290" spans="1:61" x14ac:dyDescent="0.25">
      <c r="A290" s="11">
        <f>$A$35</f>
        <v>20</v>
      </c>
      <c r="M290" s="11"/>
      <c r="N290" s="11"/>
      <c r="O290" s="11"/>
      <c r="P290" s="11"/>
      <c r="Q290" s="11"/>
      <c r="R290" s="11"/>
      <c r="S290" s="11"/>
      <c r="T290" s="46">
        <v>27100</v>
      </c>
      <c r="U290" s="46">
        <v>27240</v>
      </c>
      <c r="V290" s="46">
        <v>27870</v>
      </c>
      <c r="W290" s="46">
        <v>30020</v>
      </c>
      <c r="X290" s="46">
        <v>31390</v>
      </c>
      <c r="Y290" s="46">
        <v>31490</v>
      </c>
      <c r="Z290" s="46">
        <v>31950</v>
      </c>
      <c r="AA290" s="46">
        <v>31930</v>
      </c>
      <c r="AB290" s="46">
        <v>31880</v>
      </c>
      <c r="AC290" s="46">
        <v>31900</v>
      </c>
      <c r="AD290" s="46">
        <v>31680</v>
      </c>
      <c r="AE290" s="46">
        <v>31770</v>
      </c>
      <c r="AF290" s="46">
        <v>31620</v>
      </c>
      <c r="AG290" s="46">
        <v>31430</v>
      </c>
      <c r="AH290" s="46">
        <v>31260</v>
      </c>
      <c r="AI290" s="46">
        <v>31530</v>
      </c>
      <c r="AJ290" s="46">
        <v>30930</v>
      </c>
      <c r="AK290" s="46">
        <v>31460</v>
      </c>
      <c r="AL290" s="46">
        <v>30930</v>
      </c>
      <c r="AM290" s="46">
        <v>29710</v>
      </c>
      <c r="AN290" s="46">
        <v>29600</v>
      </c>
      <c r="AO290" s="46">
        <v>30150</v>
      </c>
      <c r="AP290" s="46">
        <v>30220</v>
      </c>
      <c r="AQ290" s="46">
        <v>30270</v>
      </c>
      <c r="AR290" s="46">
        <v>30310</v>
      </c>
      <c r="AS290" s="46">
        <v>30340</v>
      </c>
      <c r="AT290" s="46">
        <v>30370</v>
      </c>
      <c r="AU290" s="46">
        <v>30410</v>
      </c>
      <c r="AV290" s="46">
        <v>30460</v>
      </c>
      <c r="AW290" s="46">
        <v>30540</v>
      </c>
      <c r="AX290" s="46">
        <v>30650</v>
      </c>
      <c r="AY290" s="46">
        <v>30790</v>
      </c>
      <c r="AZ290" s="46">
        <v>30950</v>
      </c>
      <c r="BA290" s="46">
        <v>31140</v>
      </c>
      <c r="BB290" s="46">
        <v>31350</v>
      </c>
      <c r="BC290" s="46">
        <v>31580</v>
      </c>
      <c r="BD290" s="46">
        <v>31800</v>
      </c>
      <c r="BE290" s="46">
        <v>32020</v>
      </c>
      <c r="BF290" s="46">
        <v>32210</v>
      </c>
      <c r="BG290" s="46">
        <v>32380</v>
      </c>
      <c r="BH290" s="46">
        <v>32530</v>
      </c>
      <c r="BI290" s="46">
        <v>32640</v>
      </c>
    </row>
    <row r="291" spans="1:61" x14ac:dyDescent="0.25">
      <c r="A291" s="11">
        <f>$A$36</f>
        <v>21</v>
      </c>
      <c r="M291" s="11"/>
      <c r="N291" s="11"/>
      <c r="O291" s="11"/>
      <c r="P291" s="11"/>
      <c r="Q291" s="11"/>
      <c r="R291" s="11"/>
      <c r="S291" s="11"/>
      <c r="T291" s="46">
        <v>27440</v>
      </c>
      <c r="U291" s="46">
        <v>28090</v>
      </c>
      <c r="V291" s="46">
        <v>28300</v>
      </c>
      <c r="W291" s="46">
        <v>28970</v>
      </c>
      <c r="X291" s="46">
        <v>31220</v>
      </c>
      <c r="Y291" s="46">
        <v>32640</v>
      </c>
      <c r="Z291" s="46">
        <v>32770</v>
      </c>
      <c r="AA291" s="46">
        <v>33240</v>
      </c>
      <c r="AB291" s="46">
        <v>33220</v>
      </c>
      <c r="AC291" s="46">
        <v>33180</v>
      </c>
      <c r="AD291" s="46">
        <v>33210</v>
      </c>
      <c r="AE291" s="46">
        <v>32980</v>
      </c>
      <c r="AF291" s="46">
        <v>33080</v>
      </c>
      <c r="AG291" s="46">
        <v>32920</v>
      </c>
      <c r="AH291" s="46">
        <v>32730</v>
      </c>
      <c r="AI291" s="46">
        <v>32550</v>
      </c>
      <c r="AJ291" s="46">
        <v>32840</v>
      </c>
      <c r="AK291" s="46">
        <v>32220</v>
      </c>
      <c r="AL291" s="46">
        <v>32780</v>
      </c>
      <c r="AM291" s="46">
        <v>32240</v>
      </c>
      <c r="AN291" s="46">
        <v>30970</v>
      </c>
      <c r="AO291" s="46">
        <v>30870</v>
      </c>
      <c r="AP291" s="46">
        <v>31430</v>
      </c>
      <c r="AQ291" s="46">
        <v>31510</v>
      </c>
      <c r="AR291" s="46">
        <v>31570</v>
      </c>
      <c r="AS291" s="46">
        <v>31610</v>
      </c>
      <c r="AT291" s="46">
        <v>31640</v>
      </c>
      <c r="AU291" s="46">
        <v>31680</v>
      </c>
      <c r="AV291" s="46">
        <v>31720</v>
      </c>
      <c r="AW291" s="46">
        <v>31780</v>
      </c>
      <c r="AX291" s="46">
        <v>31870</v>
      </c>
      <c r="AY291" s="46">
        <v>31980</v>
      </c>
      <c r="AZ291" s="46">
        <v>32120</v>
      </c>
      <c r="BA291" s="46">
        <v>32300</v>
      </c>
      <c r="BB291" s="46">
        <v>32500</v>
      </c>
      <c r="BC291" s="46">
        <v>32720</v>
      </c>
      <c r="BD291" s="46">
        <v>32950</v>
      </c>
      <c r="BE291" s="46">
        <v>33190</v>
      </c>
      <c r="BF291" s="46">
        <v>33410</v>
      </c>
      <c r="BG291" s="46">
        <v>33620</v>
      </c>
      <c r="BH291" s="46">
        <v>33800</v>
      </c>
      <c r="BI291" s="46">
        <v>33950</v>
      </c>
    </row>
    <row r="292" spans="1:61" x14ac:dyDescent="0.25">
      <c r="A292" s="11">
        <f>$A$37</f>
        <v>22</v>
      </c>
      <c r="M292" s="11"/>
      <c r="N292" s="11"/>
      <c r="O292" s="11"/>
      <c r="P292" s="11"/>
      <c r="Q292" s="11"/>
      <c r="R292" s="11"/>
      <c r="S292" s="11"/>
      <c r="T292" s="46">
        <v>27840</v>
      </c>
      <c r="U292" s="46">
        <v>28270</v>
      </c>
      <c r="V292" s="46">
        <v>29010</v>
      </c>
      <c r="W292" s="46">
        <v>29250</v>
      </c>
      <c r="X292" s="46">
        <v>29970</v>
      </c>
      <c r="Y292" s="46">
        <v>32300</v>
      </c>
      <c r="Z292" s="46">
        <v>33780</v>
      </c>
      <c r="AA292" s="46">
        <v>33910</v>
      </c>
      <c r="AB292" s="46">
        <v>34400</v>
      </c>
      <c r="AC292" s="46">
        <v>34390</v>
      </c>
      <c r="AD292" s="46">
        <v>34340</v>
      </c>
      <c r="AE292" s="46">
        <v>34380</v>
      </c>
      <c r="AF292" s="46">
        <v>34150</v>
      </c>
      <c r="AG292" s="46">
        <v>34250</v>
      </c>
      <c r="AH292" s="46">
        <v>34090</v>
      </c>
      <c r="AI292" s="46">
        <v>33900</v>
      </c>
      <c r="AJ292" s="46">
        <v>33720</v>
      </c>
      <c r="AK292" s="46">
        <v>34020</v>
      </c>
      <c r="AL292" s="46">
        <v>33390</v>
      </c>
      <c r="AM292" s="46">
        <v>33960</v>
      </c>
      <c r="AN292" s="46">
        <v>33410</v>
      </c>
      <c r="AO292" s="46">
        <v>32120</v>
      </c>
      <c r="AP292" s="46">
        <v>32010</v>
      </c>
      <c r="AQ292" s="46">
        <v>32600</v>
      </c>
      <c r="AR292" s="46">
        <v>32680</v>
      </c>
      <c r="AS292" s="46">
        <v>32740</v>
      </c>
      <c r="AT292" s="46">
        <v>32790</v>
      </c>
      <c r="AU292" s="46">
        <v>32830</v>
      </c>
      <c r="AV292" s="46">
        <v>32860</v>
      </c>
      <c r="AW292" s="46">
        <v>32910</v>
      </c>
      <c r="AX292" s="46">
        <v>32980</v>
      </c>
      <c r="AY292" s="46">
        <v>33070</v>
      </c>
      <c r="AZ292" s="46">
        <v>33190</v>
      </c>
      <c r="BA292" s="46">
        <v>33340</v>
      </c>
      <c r="BB292" s="46">
        <v>33520</v>
      </c>
      <c r="BC292" s="46">
        <v>33730</v>
      </c>
      <c r="BD292" s="46">
        <v>33960</v>
      </c>
      <c r="BE292" s="46">
        <v>34200</v>
      </c>
      <c r="BF292" s="46">
        <v>34450</v>
      </c>
      <c r="BG292" s="46">
        <v>34680</v>
      </c>
      <c r="BH292" s="46">
        <v>34900</v>
      </c>
      <c r="BI292" s="46">
        <v>35090</v>
      </c>
    </row>
    <row r="293" spans="1:61" x14ac:dyDescent="0.25">
      <c r="A293" s="11">
        <f>$A$38</f>
        <v>23</v>
      </c>
      <c r="M293" s="11"/>
      <c r="N293" s="11"/>
      <c r="O293" s="11"/>
      <c r="P293" s="11"/>
      <c r="Q293" s="11"/>
      <c r="R293" s="11"/>
      <c r="S293" s="11"/>
      <c r="T293" s="46">
        <v>29410</v>
      </c>
      <c r="U293" s="46">
        <v>28580</v>
      </c>
      <c r="V293" s="46">
        <v>29090</v>
      </c>
      <c r="W293" s="46">
        <v>29880</v>
      </c>
      <c r="X293" s="46">
        <v>30160</v>
      </c>
      <c r="Y293" s="46">
        <v>30920</v>
      </c>
      <c r="Z293" s="46">
        <v>33320</v>
      </c>
      <c r="AA293" s="46">
        <v>34830</v>
      </c>
      <c r="AB293" s="46">
        <v>34980</v>
      </c>
      <c r="AC293" s="46">
        <v>35480</v>
      </c>
      <c r="AD293" s="46">
        <v>35470</v>
      </c>
      <c r="AE293" s="46">
        <v>35430</v>
      </c>
      <c r="AF293" s="46">
        <v>35470</v>
      </c>
      <c r="AG293" s="46">
        <v>35240</v>
      </c>
      <c r="AH293" s="46">
        <v>35350</v>
      </c>
      <c r="AI293" s="46">
        <v>35190</v>
      </c>
      <c r="AJ293" s="46">
        <v>35000</v>
      </c>
      <c r="AK293" s="46">
        <v>34820</v>
      </c>
      <c r="AL293" s="46">
        <v>35130</v>
      </c>
      <c r="AM293" s="46">
        <v>34480</v>
      </c>
      <c r="AN293" s="46">
        <v>35070</v>
      </c>
      <c r="AO293" s="46">
        <v>34510</v>
      </c>
      <c r="AP293" s="46">
        <v>33190</v>
      </c>
      <c r="AQ293" s="46">
        <v>33090</v>
      </c>
      <c r="AR293" s="46">
        <v>33690</v>
      </c>
      <c r="AS293" s="46">
        <v>33780</v>
      </c>
      <c r="AT293" s="46">
        <v>33850</v>
      </c>
      <c r="AU293" s="46">
        <v>33900</v>
      </c>
      <c r="AV293" s="46">
        <v>33940</v>
      </c>
      <c r="AW293" s="46">
        <v>33980</v>
      </c>
      <c r="AX293" s="46">
        <v>34040</v>
      </c>
      <c r="AY293" s="46">
        <v>34110</v>
      </c>
      <c r="AZ293" s="46">
        <v>34200</v>
      </c>
      <c r="BA293" s="46">
        <v>34330</v>
      </c>
      <c r="BB293" s="46">
        <v>34490</v>
      </c>
      <c r="BC293" s="46">
        <v>34680</v>
      </c>
      <c r="BD293" s="46">
        <v>34900</v>
      </c>
      <c r="BE293" s="46">
        <v>35140</v>
      </c>
      <c r="BF293" s="46">
        <v>35390</v>
      </c>
      <c r="BG293" s="46">
        <v>35640</v>
      </c>
      <c r="BH293" s="46">
        <v>35890</v>
      </c>
      <c r="BI293" s="46">
        <v>36110</v>
      </c>
    </row>
    <row r="294" spans="1:61" x14ac:dyDescent="0.25">
      <c r="A294" s="11">
        <f>$A$39</f>
        <v>24</v>
      </c>
      <c r="M294" s="11"/>
      <c r="N294" s="11"/>
      <c r="O294" s="11"/>
      <c r="P294" s="11"/>
      <c r="Q294" s="11"/>
      <c r="R294" s="11"/>
      <c r="S294" s="11"/>
      <c r="T294" s="46">
        <v>30620</v>
      </c>
      <c r="U294" s="46">
        <v>30120</v>
      </c>
      <c r="V294" s="46">
        <v>29350</v>
      </c>
      <c r="W294" s="46">
        <v>29910</v>
      </c>
      <c r="X294" s="46">
        <v>30740</v>
      </c>
      <c r="Y294" s="46">
        <v>31050</v>
      </c>
      <c r="Z294" s="46">
        <v>31840</v>
      </c>
      <c r="AA294" s="46">
        <v>34300</v>
      </c>
      <c r="AB294" s="46">
        <v>35850</v>
      </c>
      <c r="AC294" s="46">
        <v>36000</v>
      </c>
      <c r="AD294" s="46">
        <v>36520</v>
      </c>
      <c r="AE294" s="46">
        <v>36510</v>
      </c>
      <c r="AF294" s="46">
        <v>36480</v>
      </c>
      <c r="AG294" s="46">
        <v>36520</v>
      </c>
      <c r="AH294" s="46">
        <v>36290</v>
      </c>
      <c r="AI294" s="46">
        <v>36400</v>
      </c>
      <c r="AJ294" s="46">
        <v>36250</v>
      </c>
      <c r="AK294" s="46">
        <v>36050</v>
      </c>
      <c r="AL294" s="46">
        <v>35870</v>
      </c>
      <c r="AM294" s="46">
        <v>36190</v>
      </c>
      <c r="AN294" s="46">
        <v>35540</v>
      </c>
      <c r="AO294" s="46">
        <v>36140</v>
      </c>
      <c r="AP294" s="46">
        <v>35580</v>
      </c>
      <c r="AQ294" s="46">
        <v>34230</v>
      </c>
      <c r="AR294" s="46">
        <v>34130</v>
      </c>
      <c r="AS294" s="46">
        <v>34750</v>
      </c>
      <c r="AT294" s="46">
        <v>34840</v>
      </c>
      <c r="AU294" s="46">
        <v>34920</v>
      </c>
      <c r="AV294" s="46">
        <v>34970</v>
      </c>
      <c r="AW294" s="46">
        <v>35020</v>
      </c>
      <c r="AX294" s="46">
        <v>35060</v>
      </c>
      <c r="AY294" s="46">
        <v>35120</v>
      </c>
      <c r="AZ294" s="46">
        <v>35200</v>
      </c>
      <c r="BA294" s="46">
        <v>35300</v>
      </c>
      <c r="BB294" s="46">
        <v>35430</v>
      </c>
      <c r="BC294" s="46">
        <v>35600</v>
      </c>
      <c r="BD294" s="46">
        <v>35800</v>
      </c>
      <c r="BE294" s="46">
        <v>36030</v>
      </c>
      <c r="BF294" s="46">
        <v>36270</v>
      </c>
      <c r="BG294" s="46">
        <v>36530</v>
      </c>
      <c r="BH294" s="46">
        <v>36800</v>
      </c>
      <c r="BI294" s="46">
        <v>37050</v>
      </c>
    </row>
    <row r="295" spans="1:61" x14ac:dyDescent="0.25">
      <c r="A295" s="11">
        <f>$A$40</f>
        <v>25</v>
      </c>
      <c r="M295" s="11"/>
      <c r="N295" s="11"/>
      <c r="O295" s="11"/>
      <c r="P295" s="11"/>
      <c r="Q295" s="11"/>
      <c r="R295" s="11"/>
      <c r="S295" s="11"/>
      <c r="T295" s="46">
        <v>30620</v>
      </c>
      <c r="U295" s="46">
        <v>31350</v>
      </c>
      <c r="V295" s="46">
        <v>30910</v>
      </c>
      <c r="W295" s="46">
        <v>30150</v>
      </c>
      <c r="X295" s="46">
        <v>30750</v>
      </c>
      <c r="Y295" s="46">
        <v>31620</v>
      </c>
      <c r="Z295" s="46">
        <v>31950</v>
      </c>
      <c r="AA295" s="46">
        <v>32770</v>
      </c>
      <c r="AB295" s="46">
        <v>35280</v>
      </c>
      <c r="AC295" s="46">
        <v>36880</v>
      </c>
      <c r="AD295" s="46">
        <v>37030</v>
      </c>
      <c r="AE295" s="46">
        <v>37570</v>
      </c>
      <c r="AF295" s="46">
        <v>37560</v>
      </c>
      <c r="AG295" s="46">
        <v>37530</v>
      </c>
      <c r="AH295" s="46">
        <v>37580</v>
      </c>
      <c r="AI295" s="46">
        <v>37340</v>
      </c>
      <c r="AJ295" s="46">
        <v>37470</v>
      </c>
      <c r="AK295" s="46">
        <v>37310</v>
      </c>
      <c r="AL295" s="46">
        <v>37120</v>
      </c>
      <c r="AM295" s="46">
        <v>36940</v>
      </c>
      <c r="AN295" s="46">
        <v>37260</v>
      </c>
      <c r="AO295" s="46">
        <v>36600</v>
      </c>
      <c r="AP295" s="46">
        <v>37220</v>
      </c>
      <c r="AQ295" s="46">
        <v>36650</v>
      </c>
      <c r="AR295" s="46">
        <v>35270</v>
      </c>
      <c r="AS295" s="46">
        <v>35170</v>
      </c>
      <c r="AT295" s="46">
        <v>35810</v>
      </c>
      <c r="AU295" s="46">
        <v>35910</v>
      </c>
      <c r="AV295" s="46">
        <v>35990</v>
      </c>
      <c r="AW295" s="46">
        <v>36050</v>
      </c>
      <c r="AX295" s="46">
        <v>36100</v>
      </c>
      <c r="AY295" s="46">
        <v>36150</v>
      </c>
      <c r="AZ295" s="46">
        <v>36210</v>
      </c>
      <c r="BA295" s="46">
        <v>36300</v>
      </c>
      <c r="BB295" s="46">
        <v>36400</v>
      </c>
      <c r="BC295" s="46">
        <v>36540</v>
      </c>
      <c r="BD295" s="46">
        <v>36720</v>
      </c>
      <c r="BE295" s="46">
        <v>36920</v>
      </c>
      <c r="BF295" s="46">
        <v>37160</v>
      </c>
      <c r="BG295" s="46">
        <v>37410</v>
      </c>
      <c r="BH295" s="46">
        <v>37690</v>
      </c>
      <c r="BI295" s="46">
        <v>37960</v>
      </c>
    </row>
    <row r="296" spans="1:61" x14ac:dyDescent="0.25">
      <c r="A296" s="11">
        <f>$A$41</f>
        <v>26</v>
      </c>
      <c r="M296" s="11"/>
      <c r="N296" s="11"/>
      <c r="O296" s="11"/>
      <c r="P296" s="11"/>
      <c r="Q296" s="11"/>
      <c r="R296" s="11"/>
      <c r="S296" s="11"/>
      <c r="T296" s="46">
        <v>31990</v>
      </c>
      <c r="U296" s="46">
        <v>31190</v>
      </c>
      <c r="V296" s="46">
        <v>32000</v>
      </c>
      <c r="W296" s="46">
        <v>31570</v>
      </c>
      <c r="X296" s="46">
        <v>30830</v>
      </c>
      <c r="Y296" s="46">
        <v>31460</v>
      </c>
      <c r="Z296" s="46">
        <v>32360</v>
      </c>
      <c r="AA296" s="46">
        <v>32700</v>
      </c>
      <c r="AB296" s="46">
        <v>33530</v>
      </c>
      <c r="AC296" s="46">
        <v>36090</v>
      </c>
      <c r="AD296" s="46">
        <v>37710</v>
      </c>
      <c r="AE296" s="46">
        <v>37880</v>
      </c>
      <c r="AF296" s="46">
        <v>38420</v>
      </c>
      <c r="AG296" s="46">
        <v>38420</v>
      </c>
      <c r="AH296" s="46">
        <v>38390</v>
      </c>
      <c r="AI296" s="46">
        <v>38440</v>
      </c>
      <c r="AJ296" s="46">
        <v>38210</v>
      </c>
      <c r="AK296" s="46">
        <v>38340</v>
      </c>
      <c r="AL296" s="46">
        <v>38180</v>
      </c>
      <c r="AM296" s="46">
        <v>37990</v>
      </c>
      <c r="AN296" s="46">
        <v>37810</v>
      </c>
      <c r="AO296" s="46">
        <v>38150</v>
      </c>
      <c r="AP296" s="46">
        <v>37480</v>
      </c>
      <c r="AQ296" s="46">
        <v>38110</v>
      </c>
      <c r="AR296" s="46">
        <v>37530</v>
      </c>
      <c r="AS296" s="46">
        <v>36140</v>
      </c>
      <c r="AT296" s="46">
        <v>36040</v>
      </c>
      <c r="AU296" s="46">
        <v>36690</v>
      </c>
      <c r="AV296" s="46">
        <v>36800</v>
      </c>
      <c r="AW296" s="46">
        <v>36880</v>
      </c>
      <c r="AX296" s="46">
        <v>36940</v>
      </c>
      <c r="AY296" s="46">
        <v>37000</v>
      </c>
      <c r="AZ296" s="46">
        <v>37050</v>
      </c>
      <c r="BA296" s="46">
        <v>37120</v>
      </c>
      <c r="BB296" s="46">
        <v>37210</v>
      </c>
      <c r="BC296" s="46">
        <v>37320</v>
      </c>
      <c r="BD296" s="46">
        <v>37470</v>
      </c>
      <c r="BE296" s="46">
        <v>37650</v>
      </c>
      <c r="BF296" s="46">
        <v>37860</v>
      </c>
      <c r="BG296" s="46">
        <v>38100</v>
      </c>
      <c r="BH296" s="46">
        <v>38370</v>
      </c>
      <c r="BI296" s="46">
        <v>38640</v>
      </c>
    </row>
    <row r="297" spans="1:61" x14ac:dyDescent="0.25">
      <c r="A297" s="11">
        <f>$A$42</f>
        <v>27</v>
      </c>
      <c r="M297" s="11"/>
      <c r="N297" s="11"/>
      <c r="O297" s="11"/>
      <c r="P297" s="11"/>
      <c r="Q297" s="11"/>
      <c r="R297" s="11"/>
      <c r="S297" s="11"/>
      <c r="T297" s="46">
        <v>32780</v>
      </c>
      <c r="U297" s="46">
        <v>32460</v>
      </c>
      <c r="V297" s="46">
        <v>31720</v>
      </c>
      <c r="W297" s="46">
        <v>32560</v>
      </c>
      <c r="X297" s="46">
        <v>32160</v>
      </c>
      <c r="Y297" s="46">
        <v>31430</v>
      </c>
      <c r="Z297" s="46">
        <v>32070</v>
      </c>
      <c r="AA297" s="46">
        <v>32990</v>
      </c>
      <c r="AB297" s="46">
        <v>33340</v>
      </c>
      <c r="AC297" s="46">
        <v>34180</v>
      </c>
      <c r="AD297" s="46">
        <v>36770</v>
      </c>
      <c r="AE297" s="46">
        <v>38410</v>
      </c>
      <c r="AF297" s="46">
        <v>38580</v>
      </c>
      <c r="AG297" s="46">
        <v>39140</v>
      </c>
      <c r="AH297" s="46">
        <v>39140</v>
      </c>
      <c r="AI297" s="46">
        <v>39110</v>
      </c>
      <c r="AJ297" s="46">
        <v>39170</v>
      </c>
      <c r="AK297" s="46">
        <v>38940</v>
      </c>
      <c r="AL297" s="46">
        <v>39070</v>
      </c>
      <c r="AM297" s="46">
        <v>38920</v>
      </c>
      <c r="AN297" s="46">
        <v>38720</v>
      </c>
      <c r="AO297" s="46">
        <v>38550</v>
      </c>
      <c r="AP297" s="46">
        <v>38890</v>
      </c>
      <c r="AQ297" s="46">
        <v>38210</v>
      </c>
      <c r="AR297" s="46">
        <v>38860</v>
      </c>
      <c r="AS297" s="46">
        <v>38270</v>
      </c>
      <c r="AT297" s="46">
        <v>36870</v>
      </c>
      <c r="AU297" s="46">
        <v>36770</v>
      </c>
      <c r="AV297" s="46">
        <v>37440</v>
      </c>
      <c r="AW297" s="46">
        <v>37550</v>
      </c>
      <c r="AX297" s="46">
        <v>37630</v>
      </c>
      <c r="AY297" s="46">
        <v>37700</v>
      </c>
      <c r="AZ297" s="46">
        <v>37760</v>
      </c>
      <c r="BA297" s="46">
        <v>37820</v>
      </c>
      <c r="BB297" s="46">
        <v>37890</v>
      </c>
      <c r="BC297" s="46">
        <v>37980</v>
      </c>
      <c r="BD297" s="46">
        <v>38100</v>
      </c>
      <c r="BE297" s="46">
        <v>38250</v>
      </c>
      <c r="BF297" s="46">
        <v>38440</v>
      </c>
      <c r="BG297" s="46">
        <v>38660</v>
      </c>
      <c r="BH297" s="46">
        <v>38900</v>
      </c>
      <c r="BI297" s="46">
        <v>39170</v>
      </c>
    </row>
    <row r="298" spans="1:61" x14ac:dyDescent="0.25">
      <c r="A298" s="11">
        <f>$A$43</f>
        <v>28</v>
      </c>
      <c r="M298" s="11"/>
      <c r="N298" s="11"/>
      <c r="O298" s="11"/>
      <c r="P298" s="11"/>
      <c r="Q298" s="11"/>
      <c r="R298" s="11"/>
      <c r="S298" s="11"/>
      <c r="T298" s="46">
        <v>34690</v>
      </c>
      <c r="U298" s="46">
        <v>33170</v>
      </c>
      <c r="V298" s="46">
        <v>32910</v>
      </c>
      <c r="W298" s="46">
        <v>32190</v>
      </c>
      <c r="X298" s="46">
        <v>33060</v>
      </c>
      <c r="Y298" s="46">
        <v>32680</v>
      </c>
      <c r="Z298" s="46">
        <v>31960</v>
      </c>
      <c r="AA298" s="46">
        <v>32610</v>
      </c>
      <c r="AB298" s="46">
        <v>33540</v>
      </c>
      <c r="AC298" s="46">
        <v>33890</v>
      </c>
      <c r="AD298" s="46">
        <v>34740</v>
      </c>
      <c r="AE298" s="46">
        <v>37350</v>
      </c>
      <c r="AF298" s="46">
        <v>39000</v>
      </c>
      <c r="AG298" s="46">
        <v>39170</v>
      </c>
      <c r="AH298" s="46">
        <v>39740</v>
      </c>
      <c r="AI298" s="46">
        <v>39740</v>
      </c>
      <c r="AJ298" s="46">
        <v>39720</v>
      </c>
      <c r="AK298" s="46">
        <v>39780</v>
      </c>
      <c r="AL298" s="46">
        <v>39550</v>
      </c>
      <c r="AM298" s="46">
        <v>39680</v>
      </c>
      <c r="AN298" s="46">
        <v>39530</v>
      </c>
      <c r="AO298" s="46">
        <v>39340</v>
      </c>
      <c r="AP298" s="46">
        <v>39170</v>
      </c>
      <c r="AQ298" s="46">
        <v>39520</v>
      </c>
      <c r="AR298" s="46">
        <v>38840</v>
      </c>
      <c r="AS298" s="46">
        <v>39500</v>
      </c>
      <c r="AT298" s="46">
        <v>38910</v>
      </c>
      <c r="AU298" s="46">
        <v>37500</v>
      </c>
      <c r="AV298" s="46">
        <v>37410</v>
      </c>
      <c r="AW298" s="46">
        <v>38070</v>
      </c>
      <c r="AX298" s="46">
        <v>38190</v>
      </c>
      <c r="AY298" s="46">
        <v>38280</v>
      </c>
      <c r="AZ298" s="46">
        <v>38350</v>
      </c>
      <c r="BA298" s="46">
        <v>38410</v>
      </c>
      <c r="BB298" s="46">
        <v>38480</v>
      </c>
      <c r="BC298" s="46">
        <v>38550</v>
      </c>
      <c r="BD298" s="46">
        <v>38650</v>
      </c>
      <c r="BE298" s="46">
        <v>38770</v>
      </c>
      <c r="BF298" s="46">
        <v>38920</v>
      </c>
      <c r="BG298" s="46">
        <v>39110</v>
      </c>
      <c r="BH298" s="46">
        <v>39340</v>
      </c>
      <c r="BI298" s="46">
        <v>39590</v>
      </c>
    </row>
    <row r="299" spans="1:61" x14ac:dyDescent="0.25">
      <c r="A299" s="11">
        <f>$A$44</f>
        <v>29</v>
      </c>
      <c r="M299" s="11"/>
      <c r="N299" s="11"/>
      <c r="O299" s="11"/>
      <c r="P299" s="11"/>
      <c r="Q299" s="11"/>
      <c r="R299" s="11"/>
      <c r="S299" s="11"/>
      <c r="T299" s="46">
        <v>35620</v>
      </c>
      <c r="U299" s="46">
        <v>35010</v>
      </c>
      <c r="V299" s="46">
        <v>33540</v>
      </c>
      <c r="W299" s="46">
        <v>33310</v>
      </c>
      <c r="X299" s="46">
        <v>32620</v>
      </c>
      <c r="Y299" s="46">
        <v>33510</v>
      </c>
      <c r="Z299" s="46">
        <v>33130</v>
      </c>
      <c r="AA299" s="46">
        <v>32420</v>
      </c>
      <c r="AB299" s="46">
        <v>33080</v>
      </c>
      <c r="AC299" s="46">
        <v>34010</v>
      </c>
      <c r="AD299" s="46">
        <v>34360</v>
      </c>
      <c r="AE299" s="46">
        <v>35220</v>
      </c>
      <c r="AF299" s="46">
        <v>37830</v>
      </c>
      <c r="AG299" s="46">
        <v>39490</v>
      </c>
      <c r="AH299" s="46">
        <v>39660</v>
      </c>
      <c r="AI299" s="46">
        <v>40230</v>
      </c>
      <c r="AJ299" s="46">
        <v>40240</v>
      </c>
      <c r="AK299" s="46">
        <v>40220</v>
      </c>
      <c r="AL299" s="46">
        <v>40280</v>
      </c>
      <c r="AM299" s="46">
        <v>40050</v>
      </c>
      <c r="AN299" s="46">
        <v>40200</v>
      </c>
      <c r="AO299" s="46">
        <v>40050</v>
      </c>
      <c r="AP299" s="46">
        <v>39860</v>
      </c>
      <c r="AQ299" s="46">
        <v>39690</v>
      </c>
      <c r="AR299" s="46">
        <v>40040</v>
      </c>
      <c r="AS299" s="46">
        <v>39370</v>
      </c>
      <c r="AT299" s="46">
        <v>40030</v>
      </c>
      <c r="AU299" s="46">
        <v>39440</v>
      </c>
      <c r="AV299" s="46">
        <v>38040</v>
      </c>
      <c r="AW299" s="46">
        <v>37940</v>
      </c>
      <c r="AX299" s="46">
        <v>38620</v>
      </c>
      <c r="AY299" s="46">
        <v>38740</v>
      </c>
      <c r="AZ299" s="46">
        <v>38830</v>
      </c>
      <c r="BA299" s="46">
        <v>38900</v>
      </c>
      <c r="BB299" s="46">
        <v>38970</v>
      </c>
      <c r="BC299" s="46">
        <v>39030</v>
      </c>
      <c r="BD299" s="46">
        <v>39110</v>
      </c>
      <c r="BE299" s="46">
        <v>39210</v>
      </c>
      <c r="BF299" s="46">
        <v>39340</v>
      </c>
      <c r="BG299" s="46">
        <v>39490</v>
      </c>
      <c r="BH299" s="46">
        <v>39690</v>
      </c>
      <c r="BI299" s="46">
        <v>39910</v>
      </c>
    </row>
    <row r="300" spans="1:61" x14ac:dyDescent="0.25">
      <c r="A300" s="11">
        <f>$A$45</f>
        <v>30</v>
      </c>
      <c r="M300" s="11"/>
      <c r="N300" s="11"/>
      <c r="O300" s="11"/>
      <c r="P300" s="11"/>
      <c r="Q300" s="11"/>
      <c r="R300" s="11"/>
      <c r="S300" s="11"/>
      <c r="T300" s="46">
        <v>36450</v>
      </c>
      <c r="U300" s="46">
        <v>35950</v>
      </c>
      <c r="V300" s="46">
        <v>35380</v>
      </c>
      <c r="W300" s="46">
        <v>33950</v>
      </c>
      <c r="X300" s="46">
        <v>33740</v>
      </c>
      <c r="Y300" s="46">
        <v>33060</v>
      </c>
      <c r="Z300" s="46">
        <v>33970</v>
      </c>
      <c r="AA300" s="46">
        <v>33600</v>
      </c>
      <c r="AB300" s="46">
        <v>32880</v>
      </c>
      <c r="AC300" s="46">
        <v>33550</v>
      </c>
      <c r="AD300" s="46">
        <v>34480</v>
      </c>
      <c r="AE300" s="46">
        <v>34840</v>
      </c>
      <c r="AF300" s="46">
        <v>35690</v>
      </c>
      <c r="AG300" s="46">
        <v>38310</v>
      </c>
      <c r="AH300" s="46">
        <v>39970</v>
      </c>
      <c r="AI300" s="46">
        <v>40150</v>
      </c>
      <c r="AJ300" s="46">
        <v>40720</v>
      </c>
      <c r="AK300" s="46">
        <v>40730</v>
      </c>
      <c r="AL300" s="46">
        <v>40710</v>
      </c>
      <c r="AM300" s="46">
        <v>40780</v>
      </c>
      <c r="AN300" s="46">
        <v>40550</v>
      </c>
      <c r="AO300" s="46">
        <v>40700</v>
      </c>
      <c r="AP300" s="46">
        <v>40550</v>
      </c>
      <c r="AQ300" s="46">
        <v>40370</v>
      </c>
      <c r="AR300" s="46">
        <v>40200</v>
      </c>
      <c r="AS300" s="46">
        <v>40560</v>
      </c>
      <c r="AT300" s="46">
        <v>39880</v>
      </c>
      <c r="AU300" s="46">
        <v>40550</v>
      </c>
      <c r="AV300" s="46">
        <v>39960</v>
      </c>
      <c r="AW300" s="46">
        <v>38560</v>
      </c>
      <c r="AX300" s="46">
        <v>38470</v>
      </c>
      <c r="AY300" s="46">
        <v>39150</v>
      </c>
      <c r="AZ300" s="46">
        <v>39270</v>
      </c>
      <c r="BA300" s="46">
        <v>39370</v>
      </c>
      <c r="BB300" s="46">
        <v>39440</v>
      </c>
      <c r="BC300" s="46">
        <v>39510</v>
      </c>
      <c r="BD300" s="46">
        <v>39580</v>
      </c>
      <c r="BE300" s="46">
        <v>39660</v>
      </c>
      <c r="BF300" s="46">
        <v>39760</v>
      </c>
      <c r="BG300" s="46">
        <v>39890</v>
      </c>
      <c r="BH300" s="46">
        <v>40050</v>
      </c>
      <c r="BI300" s="46">
        <v>40250</v>
      </c>
    </row>
    <row r="301" spans="1:61" x14ac:dyDescent="0.25">
      <c r="A301" s="11">
        <f>$A$46</f>
        <v>31</v>
      </c>
      <c r="M301" s="11"/>
      <c r="N301" s="11"/>
      <c r="O301" s="11"/>
      <c r="P301" s="11"/>
      <c r="Q301" s="11"/>
      <c r="R301" s="11"/>
      <c r="S301" s="11"/>
      <c r="T301" s="46">
        <v>38030</v>
      </c>
      <c r="U301" s="46">
        <v>36820</v>
      </c>
      <c r="V301" s="46">
        <v>36370</v>
      </c>
      <c r="W301" s="46">
        <v>35830</v>
      </c>
      <c r="X301" s="46">
        <v>34420</v>
      </c>
      <c r="Y301" s="46">
        <v>34220</v>
      </c>
      <c r="Z301" s="46">
        <v>33550</v>
      </c>
      <c r="AA301" s="46">
        <v>34460</v>
      </c>
      <c r="AB301" s="46">
        <v>34100</v>
      </c>
      <c r="AC301" s="46">
        <v>33390</v>
      </c>
      <c r="AD301" s="46">
        <v>34050</v>
      </c>
      <c r="AE301" s="46">
        <v>34990</v>
      </c>
      <c r="AF301" s="46">
        <v>35350</v>
      </c>
      <c r="AG301" s="46">
        <v>36210</v>
      </c>
      <c r="AH301" s="46">
        <v>38830</v>
      </c>
      <c r="AI301" s="46">
        <v>40500</v>
      </c>
      <c r="AJ301" s="46">
        <v>40680</v>
      </c>
      <c r="AK301" s="46">
        <v>41250</v>
      </c>
      <c r="AL301" s="46">
        <v>41270</v>
      </c>
      <c r="AM301" s="46">
        <v>41250</v>
      </c>
      <c r="AN301" s="46">
        <v>41320</v>
      </c>
      <c r="AO301" s="46">
        <v>41100</v>
      </c>
      <c r="AP301" s="46">
        <v>41240</v>
      </c>
      <c r="AQ301" s="46">
        <v>41100</v>
      </c>
      <c r="AR301" s="46">
        <v>40920</v>
      </c>
      <c r="AS301" s="46">
        <v>40750</v>
      </c>
      <c r="AT301" s="46">
        <v>41110</v>
      </c>
      <c r="AU301" s="46">
        <v>40440</v>
      </c>
      <c r="AV301" s="46">
        <v>41110</v>
      </c>
      <c r="AW301" s="46">
        <v>40530</v>
      </c>
      <c r="AX301" s="46">
        <v>39130</v>
      </c>
      <c r="AY301" s="46">
        <v>39040</v>
      </c>
      <c r="AZ301" s="46">
        <v>39720</v>
      </c>
      <c r="BA301" s="46">
        <v>39850</v>
      </c>
      <c r="BB301" s="46">
        <v>39940</v>
      </c>
      <c r="BC301" s="46">
        <v>40020</v>
      </c>
      <c r="BD301" s="46">
        <v>40100</v>
      </c>
      <c r="BE301" s="46">
        <v>40170</v>
      </c>
      <c r="BF301" s="46">
        <v>40250</v>
      </c>
      <c r="BG301" s="46">
        <v>40360</v>
      </c>
      <c r="BH301" s="46">
        <v>40490</v>
      </c>
      <c r="BI301" s="46">
        <v>40650</v>
      </c>
    </row>
    <row r="302" spans="1:61" x14ac:dyDescent="0.25">
      <c r="A302" s="11">
        <f>$A$47</f>
        <v>32</v>
      </c>
      <c r="M302" s="11"/>
      <c r="N302" s="11"/>
      <c r="O302" s="11"/>
      <c r="P302" s="11"/>
      <c r="Q302" s="11"/>
      <c r="R302" s="11"/>
      <c r="S302" s="11"/>
      <c r="T302" s="46">
        <v>39410</v>
      </c>
      <c r="U302" s="46">
        <v>38440</v>
      </c>
      <c r="V302" s="46">
        <v>37280</v>
      </c>
      <c r="W302" s="46">
        <v>36850</v>
      </c>
      <c r="X302" s="46">
        <v>36330</v>
      </c>
      <c r="Y302" s="46">
        <v>34930</v>
      </c>
      <c r="Z302" s="46">
        <v>34740</v>
      </c>
      <c r="AA302" s="46">
        <v>34080</v>
      </c>
      <c r="AB302" s="46">
        <v>34990</v>
      </c>
      <c r="AC302" s="46">
        <v>34630</v>
      </c>
      <c r="AD302" s="46">
        <v>33920</v>
      </c>
      <c r="AE302" s="46">
        <v>34590</v>
      </c>
      <c r="AF302" s="46">
        <v>35530</v>
      </c>
      <c r="AG302" s="46">
        <v>35900</v>
      </c>
      <c r="AH302" s="46">
        <v>36760</v>
      </c>
      <c r="AI302" s="46">
        <v>39390</v>
      </c>
      <c r="AJ302" s="46">
        <v>41060</v>
      </c>
      <c r="AK302" s="46">
        <v>41240</v>
      </c>
      <c r="AL302" s="46">
        <v>41820</v>
      </c>
      <c r="AM302" s="46">
        <v>41840</v>
      </c>
      <c r="AN302" s="46">
        <v>41830</v>
      </c>
      <c r="AO302" s="46">
        <v>41900</v>
      </c>
      <c r="AP302" s="46">
        <v>41680</v>
      </c>
      <c r="AQ302" s="46">
        <v>41830</v>
      </c>
      <c r="AR302" s="46">
        <v>41690</v>
      </c>
      <c r="AS302" s="46">
        <v>41510</v>
      </c>
      <c r="AT302" s="46">
        <v>41340</v>
      </c>
      <c r="AU302" s="46">
        <v>41710</v>
      </c>
      <c r="AV302" s="46">
        <v>41040</v>
      </c>
      <c r="AW302" s="46">
        <v>41710</v>
      </c>
      <c r="AX302" s="46">
        <v>41130</v>
      </c>
      <c r="AY302" s="46">
        <v>39730</v>
      </c>
      <c r="AZ302" s="46">
        <v>39650</v>
      </c>
      <c r="BA302" s="46">
        <v>40330</v>
      </c>
      <c r="BB302" s="46">
        <v>40460</v>
      </c>
      <c r="BC302" s="46">
        <v>40560</v>
      </c>
      <c r="BD302" s="46">
        <v>40640</v>
      </c>
      <c r="BE302" s="46">
        <v>40710</v>
      </c>
      <c r="BF302" s="46">
        <v>40790</v>
      </c>
      <c r="BG302" s="46">
        <v>40880</v>
      </c>
      <c r="BH302" s="46">
        <v>40980</v>
      </c>
      <c r="BI302" s="46">
        <v>41120</v>
      </c>
    </row>
    <row r="303" spans="1:61" x14ac:dyDescent="0.25">
      <c r="A303" s="11">
        <f>$A$48</f>
        <v>33</v>
      </c>
      <c r="M303" s="11"/>
      <c r="N303" s="11"/>
      <c r="O303" s="11"/>
      <c r="P303" s="11"/>
      <c r="Q303" s="11"/>
      <c r="R303" s="11"/>
      <c r="S303" s="11"/>
      <c r="T303" s="46">
        <v>40010</v>
      </c>
      <c r="U303" s="46">
        <v>39840</v>
      </c>
      <c r="V303" s="46">
        <v>38920</v>
      </c>
      <c r="W303" s="46">
        <v>37790</v>
      </c>
      <c r="X303" s="46">
        <v>37370</v>
      </c>
      <c r="Y303" s="46">
        <v>36870</v>
      </c>
      <c r="Z303" s="46">
        <v>35470</v>
      </c>
      <c r="AA303" s="46">
        <v>35290</v>
      </c>
      <c r="AB303" s="46">
        <v>34630</v>
      </c>
      <c r="AC303" s="46">
        <v>35550</v>
      </c>
      <c r="AD303" s="46">
        <v>35190</v>
      </c>
      <c r="AE303" s="46">
        <v>34480</v>
      </c>
      <c r="AF303" s="46">
        <v>35150</v>
      </c>
      <c r="AG303" s="46">
        <v>36100</v>
      </c>
      <c r="AH303" s="46">
        <v>36470</v>
      </c>
      <c r="AI303" s="46">
        <v>37340</v>
      </c>
      <c r="AJ303" s="46">
        <v>39970</v>
      </c>
      <c r="AK303" s="46">
        <v>41650</v>
      </c>
      <c r="AL303" s="46">
        <v>41840</v>
      </c>
      <c r="AM303" s="46">
        <v>42420</v>
      </c>
      <c r="AN303" s="46">
        <v>42440</v>
      </c>
      <c r="AO303" s="46">
        <v>42430</v>
      </c>
      <c r="AP303" s="46">
        <v>42500</v>
      </c>
      <c r="AQ303" s="46">
        <v>42280</v>
      </c>
      <c r="AR303" s="46">
        <v>42440</v>
      </c>
      <c r="AS303" s="46">
        <v>42300</v>
      </c>
      <c r="AT303" s="46">
        <v>42120</v>
      </c>
      <c r="AU303" s="46">
        <v>41960</v>
      </c>
      <c r="AV303" s="46">
        <v>42330</v>
      </c>
      <c r="AW303" s="46">
        <v>41660</v>
      </c>
      <c r="AX303" s="46">
        <v>42330</v>
      </c>
      <c r="AY303" s="46">
        <v>41760</v>
      </c>
      <c r="AZ303" s="46">
        <v>40360</v>
      </c>
      <c r="BA303" s="46">
        <v>40270</v>
      </c>
      <c r="BB303" s="46">
        <v>40960</v>
      </c>
      <c r="BC303" s="46">
        <v>41090</v>
      </c>
      <c r="BD303" s="46">
        <v>41200</v>
      </c>
      <c r="BE303" s="46">
        <v>41280</v>
      </c>
      <c r="BF303" s="46">
        <v>41360</v>
      </c>
      <c r="BG303" s="46">
        <v>41440</v>
      </c>
      <c r="BH303" s="46">
        <v>41530</v>
      </c>
      <c r="BI303" s="46">
        <v>41640</v>
      </c>
    </row>
    <row r="304" spans="1:61" x14ac:dyDescent="0.25">
      <c r="A304" s="11">
        <f>$A$49</f>
        <v>34</v>
      </c>
      <c r="M304" s="11"/>
      <c r="N304" s="11"/>
      <c r="O304" s="11"/>
      <c r="P304" s="11"/>
      <c r="Q304" s="11"/>
      <c r="R304" s="11"/>
      <c r="S304" s="11"/>
      <c r="T304" s="46">
        <v>39780</v>
      </c>
      <c r="U304" s="46">
        <v>40400</v>
      </c>
      <c r="V304" s="46">
        <v>40290</v>
      </c>
      <c r="W304" s="46">
        <v>39390</v>
      </c>
      <c r="X304" s="46">
        <v>38280</v>
      </c>
      <c r="Y304" s="46">
        <v>37880</v>
      </c>
      <c r="Z304" s="46">
        <v>37380</v>
      </c>
      <c r="AA304" s="46">
        <v>35990</v>
      </c>
      <c r="AB304" s="46">
        <v>35810</v>
      </c>
      <c r="AC304" s="46">
        <v>35150</v>
      </c>
      <c r="AD304" s="46">
        <v>36080</v>
      </c>
      <c r="AE304" s="46">
        <v>35720</v>
      </c>
      <c r="AF304" s="46">
        <v>35010</v>
      </c>
      <c r="AG304" s="46">
        <v>35690</v>
      </c>
      <c r="AH304" s="46">
        <v>36640</v>
      </c>
      <c r="AI304" s="46">
        <v>37010</v>
      </c>
      <c r="AJ304" s="46">
        <v>37880</v>
      </c>
      <c r="AK304" s="46">
        <v>40520</v>
      </c>
      <c r="AL304" s="46">
        <v>42210</v>
      </c>
      <c r="AM304" s="46">
        <v>42400</v>
      </c>
      <c r="AN304" s="46">
        <v>42980</v>
      </c>
      <c r="AO304" s="46">
        <v>43000</v>
      </c>
      <c r="AP304" s="46">
        <v>43000</v>
      </c>
      <c r="AQ304" s="46">
        <v>43070</v>
      </c>
      <c r="AR304" s="46">
        <v>42860</v>
      </c>
      <c r="AS304" s="46">
        <v>43010</v>
      </c>
      <c r="AT304" s="46">
        <v>42880</v>
      </c>
      <c r="AU304" s="46">
        <v>42710</v>
      </c>
      <c r="AV304" s="46">
        <v>42550</v>
      </c>
      <c r="AW304" s="46">
        <v>42920</v>
      </c>
      <c r="AX304" s="46">
        <v>42250</v>
      </c>
      <c r="AY304" s="46">
        <v>42930</v>
      </c>
      <c r="AZ304" s="46">
        <v>42350</v>
      </c>
      <c r="BA304" s="46">
        <v>40950</v>
      </c>
      <c r="BB304" s="46">
        <v>40880</v>
      </c>
      <c r="BC304" s="46">
        <v>41570</v>
      </c>
      <c r="BD304" s="46">
        <v>41700</v>
      </c>
      <c r="BE304" s="46">
        <v>41810</v>
      </c>
      <c r="BF304" s="46">
        <v>41900</v>
      </c>
      <c r="BG304" s="46">
        <v>41970</v>
      </c>
      <c r="BH304" s="46">
        <v>42060</v>
      </c>
      <c r="BI304" s="46">
        <v>42150</v>
      </c>
    </row>
    <row r="305" spans="1:61" x14ac:dyDescent="0.25">
      <c r="A305" s="11">
        <f>$A$50</f>
        <v>35</v>
      </c>
      <c r="M305" s="11"/>
      <c r="N305" s="11"/>
      <c r="O305" s="11"/>
      <c r="P305" s="11"/>
      <c r="Q305" s="11"/>
      <c r="R305" s="11"/>
      <c r="S305" s="11"/>
      <c r="T305" s="46">
        <v>38530</v>
      </c>
      <c r="U305" s="46">
        <v>40090</v>
      </c>
      <c r="V305" s="46">
        <v>40760</v>
      </c>
      <c r="W305" s="46">
        <v>40670</v>
      </c>
      <c r="X305" s="46">
        <v>39800</v>
      </c>
      <c r="Y305" s="46">
        <v>38700</v>
      </c>
      <c r="Z305" s="46">
        <v>38310</v>
      </c>
      <c r="AA305" s="46">
        <v>37820</v>
      </c>
      <c r="AB305" s="46">
        <v>36440</v>
      </c>
      <c r="AC305" s="46">
        <v>36260</v>
      </c>
      <c r="AD305" s="46">
        <v>35600</v>
      </c>
      <c r="AE305" s="46">
        <v>36530</v>
      </c>
      <c r="AF305" s="46">
        <v>36170</v>
      </c>
      <c r="AG305" s="46">
        <v>35470</v>
      </c>
      <c r="AH305" s="46">
        <v>36150</v>
      </c>
      <c r="AI305" s="46">
        <v>37100</v>
      </c>
      <c r="AJ305" s="46">
        <v>37480</v>
      </c>
      <c r="AK305" s="46">
        <v>38350</v>
      </c>
      <c r="AL305" s="46">
        <v>40990</v>
      </c>
      <c r="AM305" s="46">
        <v>42670</v>
      </c>
      <c r="AN305" s="46">
        <v>42870</v>
      </c>
      <c r="AO305" s="46">
        <v>43450</v>
      </c>
      <c r="AP305" s="46">
        <v>43480</v>
      </c>
      <c r="AQ305" s="46">
        <v>43480</v>
      </c>
      <c r="AR305" s="46">
        <v>43560</v>
      </c>
      <c r="AS305" s="46">
        <v>43350</v>
      </c>
      <c r="AT305" s="46">
        <v>43500</v>
      </c>
      <c r="AU305" s="46">
        <v>43370</v>
      </c>
      <c r="AV305" s="46">
        <v>43200</v>
      </c>
      <c r="AW305" s="46">
        <v>43040</v>
      </c>
      <c r="AX305" s="46">
        <v>43420</v>
      </c>
      <c r="AY305" s="46">
        <v>42760</v>
      </c>
      <c r="AZ305" s="46">
        <v>43430</v>
      </c>
      <c r="BA305" s="46">
        <v>42860</v>
      </c>
      <c r="BB305" s="46">
        <v>41470</v>
      </c>
      <c r="BC305" s="46">
        <v>41390</v>
      </c>
      <c r="BD305" s="46">
        <v>42080</v>
      </c>
      <c r="BE305" s="46">
        <v>42220</v>
      </c>
      <c r="BF305" s="46">
        <v>42330</v>
      </c>
      <c r="BG305" s="46">
        <v>42420</v>
      </c>
      <c r="BH305" s="46">
        <v>42500</v>
      </c>
      <c r="BI305" s="46">
        <v>42590</v>
      </c>
    </row>
    <row r="306" spans="1:61" x14ac:dyDescent="0.25">
      <c r="A306" s="11">
        <f>$A$51</f>
        <v>36</v>
      </c>
      <c r="M306" s="11"/>
      <c r="N306" s="11"/>
      <c r="O306" s="11"/>
      <c r="P306" s="11"/>
      <c r="Q306" s="11"/>
      <c r="R306" s="11"/>
      <c r="S306" s="11"/>
      <c r="T306" s="46">
        <v>38140</v>
      </c>
      <c r="U306" s="46">
        <v>38780</v>
      </c>
      <c r="V306" s="46">
        <v>40380</v>
      </c>
      <c r="W306" s="46">
        <v>41080</v>
      </c>
      <c r="X306" s="46">
        <v>41010</v>
      </c>
      <c r="Y306" s="46">
        <v>40160</v>
      </c>
      <c r="Z306" s="46">
        <v>39070</v>
      </c>
      <c r="AA306" s="46">
        <v>38690</v>
      </c>
      <c r="AB306" s="46">
        <v>38210</v>
      </c>
      <c r="AC306" s="46">
        <v>36830</v>
      </c>
      <c r="AD306" s="46">
        <v>36650</v>
      </c>
      <c r="AE306" s="46">
        <v>36000</v>
      </c>
      <c r="AF306" s="46">
        <v>36930</v>
      </c>
      <c r="AG306" s="46">
        <v>36580</v>
      </c>
      <c r="AH306" s="46">
        <v>35880</v>
      </c>
      <c r="AI306" s="46">
        <v>36560</v>
      </c>
      <c r="AJ306" s="46">
        <v>37510</v>
      </c>
      <c r="AK306" s="46">
        <v>37890</v>
      </c>
      <c r="AL306" s="46">
        <v>38760</v>
      </c>
      <c r="AM306" s="46">
        <v>41400</v>
      </c>
      <c r="AN306" s="46">
        <v>43080</v>
      </c>
      <c r="AO306" s="46">
        <v>43280</v>
      </c>
      <c r="AP306" s="46">
        <v>43860</v>
      </c>
      <c r="AQ306" s="46">
        <v>43890</v>
      </c>
      <c r="AR306" s="46">
        <v>43890</v>
      </c>
      <c r="AS306" s="46">
        <v>43970</v>
      </c>
      <c r="AT306" s="46">
        <v>43770</v>
      </c>
      <c r="AU306" s="46">
        <v>43930</v>
      </c>
      <c r="AV306" s="46">
        <v>43800</v>
      </c>
      <c r="AW306" s="46">
        <v>43630</v>
      </c>
      <c r="AX306" s="46">
        <v>43480</v>
      </c>
      <c r="AY306" s="46">
        <v>43850</v>
      </c>
      <c r="AZ306" s="46">
        <v>43200</v>
      </c>
      <c r="BA306" s="46">
        <v>43880</v>
      </c>
      <c r="BB306" s="46">
        <v>43310</v>
      </c>
      <c r="BC306" s="46">
        <v>41920</v>
      </c>
      <c r="BD306" s="46">
        <v>41850</v>
      </c>
      <c r="BE306" s="46">
        <v>42540</v>
      </c>
      <c r="BF306" s="46">
        <v>42680</v>
      </c>
      <c r="BG306" s="46">
        <v>42790</v>
      </c>
      <c r="BH306" s="46">
        <v>42890</v>
      </c>
      <c r="BI306" s="46">
        <v>42970</v>
      </c>
    </row>
    <row r="307" spans="1:61" x14ac:dyDescent="0.25">
      <c r="A307" s="11">
        <f>$A$52</f>
        <v>37</v>
      </c>
      <c r="M307" s="11"/>
      <c r="N307" s="11"/>
      <c r="O307" s="11"/>
      <c r="P307" s="11"/>
      <c r="Q307" s="11"/>
      <c r="R307" s="11"/>
      <c r="S307" s="11"/>
      <c r="T307" s="46">
        <v>37320</v>
      </c>
      <c r="U307" s="46">
        <v>38400</v>
      </c>
      <c r="V307" s="46">
        <v>39090</v>
      </c>
      <c r="W307" s="46">
        <v>40720</v>
      </c>
      <c r="X307" s="46">
        <v>41430</v>
      </c>
      <c r="Y307" s="46">
        <v>41380</v>
      </c>
      <c r="Z307" s="46">
        <v>40540</v>
      </c>
      <c r="AA307" s="46">
        <v>39460</v>
      </c>
      <c r="AB307" s="46">
        <v>39090</v>
      </c>
      <c r="AC307" s="46">
        <v>38610</v>
      </c>
      <c r="AD307" s="46">
        <v>37230</v>
      </c>
      <c r="AE307" s="46">
        <v>37060</v>
      </c>
      <c r="AF307" s="46">
        <v>36420</v>
      </c>
      <c r="AG307" s="46">
        <v>37340</v>
      </c>
      <c r="AH307" s="46">
        <v>37000</v>
      </c>
      <c r="AI307" s="46">
        <v>36300</v>
      </c>
      <c r="AJ307" s="46">
        <v>36990</v>
      </c>
      <c r="AK307" s="46">
        <v>37940</v>
      </c>
      <c r="AL307" s="46">
        <v>38310</v>
      </c>
      <c r="AM307" s="46">
        <v>39190</v>
      </c>
      <c r="AN307" s="46">
        <v>41820</v>
      </c>
      <c r="AO307" s="46">
        <v>43510</v>
      </c>
      <c r="AP307" s="46">
        <v>43700</v>
      </c>
      <c r="AQ307" s="46">
        <v>44300</v>
      </c>
      <c r="AR307" s="46">
        <v>44330</v>
      </c>
      <c r="AS307" s="46">
        <v>44330</v>
      </c>
      <c r="AT307" s="46">
        <v>44410</v>
      </c>
      <c r="AU307" s="46">
        <v>44210</v>
      </c>
      <c r="AV307" s="46">
        <v>44370</v>
      </c>
      <c r="AW307" s="46">
        <v>44250</v>
      </c>
      <c r="AX307" s="46">
        <v>44080</v>
      </c>
      <c r="AY307" s="46">
        <v>43930</v>
      </c>
      <c r="AZ307" s="46">
        <v>44310</v>
      </c>
      <c r="BA307" s="46">
        <v>43660</v>
      </c>
      <c r="BB307" s="46">
        <v>44340</v>
      </c>
      <c r="BC307" s="46">
        <v>43780</v>
      </c>
      <c r="BD307" s="46">
        <v>42390</v>
      </c>
      <c r="BE307" s="46">
        <v>42320</v>
      </c>
      <c r="BF307" s="46">
        <v>43020</v>
      </c>
      <c r="BG307" s="46">
        <v>43160</v>
      </c>
      <c r="BH307" s="46">
        <v>43280</v>
      </c>
      <c r="BI307" s="46">
        <v>43370</v>
      </c>
    </row>
    <row r="308" spans="1:61" x14ac:dyDescent="0.25">
      <c r="A308" s="11">
        <f>$A$53</f>
        <v>38</v>
      </c>
      <c r="M308" s="11"/>
      <c r="N308" s="11"/>
      <c r="O308" s="11"/>
      <c r="P308" s="11"/>
      <c r="Q308" s="11"/>
      <c r="R308" s="11"/>
      <c r="S308" s="11"/>
      <c r="T308" s="46">
        <v>35650</v>
      </c>
      <c r="U308" s="46">
        <v>37570</v>
      </c>
      <c r="V308" s="46">
        <v>38700</v>
      </c>
      <c r="W308" s="46">
        <v>39410</v>
      </c>
      <c r="X308" s="46">
        <v>41050</v>
      </c>
      <c r="Y308" s="46">
        <v>41790</v>
      </c>
      <c r="Z308" s="46">
        <v>41740</v>
      </c>
      <c r="AA308" s="46">
        <v>40910</v>
      </c>
      <c r="AB308" s="46">
        <v>39840</v>
      </c>
      <c r="AC308" s="46">
        <v>39470</v>
      </c>
      <c r="AD308" s="46">
        <v>38990</v>
      </c>
      <c r="AE308" s="46">
        <v>37620</v>
      </c>
      <c r="AF308" s="46">
        <v>37460</v>
      </c>
      <c r="AG308" s="46">
        <v>36810</v>
      </c>
      <c r="AH308" s="46">
        <v>37740</v>
      </c>
      <c r="AI308" s="46">
        <v>37400</v>
      </c>
      <c r="AJ308" s="46">
        <v>36710</v>
      </c>
      <c r="AK308" s="46">
        <v>37390</v>
      </c>
      <c r="AL308" s="46">
        <v>38350</v>
      </c>
      <c r="AM308" s="46">
        <v>38730</v>
      </c>
      <c r="AN308" s="46">
        <v>39600</v>
      </c>
      <c r="AO308" s="46">
        <v>42230</v>
      </c>
      <c r="AP308" s="46">
        <v>43920</v>
      </c>
      <c r="AQ308" s="46">
        <v>44120</v>
      </c>
      <c r="AR308" s="46">
        <v>44710</v>
      </c>
      <c r="AS308" s="46">
        <v>44740</v>
      </c>
      <c r="AT308" s="46">
        <v>44750</v>
      </c>
      <c r="AU308" s="46">
        <v>44840</v>
      </c>
      <c r="AV308" s="46">
        <v>44640</v>
      </c>
      <c r="AW308" s="46">
        <v>44800</v>
      </c>
      <c r="AX308" s="46">
        <v>44680</v>
      </c>
      <c r="AY308" s="46">
        <v>44520</v>
      </c>
      <c r="AZ308" s="46">
        <v>44370</v>
      </c>
      <c r="BA308" s="46">
        <v>44750</v>
      </c>
      <c r="BB308" s="46">
        <v>44100</v>
      </c>
      <c r="BC308" s="46">
        <v>44780</v>
      </c>
      <c r="BD308" s="46">
        <v>44230</v>
      </c>
      <c r="BE308" s="46">
        <v>42850</v>
      </c>
      <c r="BF308" s="46">
        <v>42780</v>
      </c>
      <c r="BG308" s="46">
        <v>43480</v>
      </c>
      <c r="BH308" s="46">
        <v>43620</v>
      </c>
      <c r="BI308" s="46">
        <v>43740</v>
      </c>
    </row>
    <row r="309" spans="1:61" x14ac:dyDescent="0.25">
      <c r="A309" s="11">
        <f>$A$54</f>
        <v>39</v>
      </c>
      <c r="M309" s="11"/>
      <c r="N309" s="11"/>
      <c r="O309" s="11"/>
      <c r="P309" s="11"/>
      <c r="Q309" s="11"/>
      <c r="R309" s="11"/>
      <c r="S309" s="11"/>
      <c r="T309" s="46">
        <v>34820</v>
      </c>
      <c r="U309" s="46">
        <v>35870</v>
      </c>
      <c r="V309" s="46">
        <v>37830</v>
      </c>
      <c r="W309" s="46">
        <v>38980</v>
      </c>
      <c r="X309" s="46">
        <v>39720</v>
      </c>
      <c r="Y309" s="46">
        <v>41370</v>
      </c>
      <c r="Z309" s="46">
        <v>42110</v>
      </c>
      <c r="AA309" s="46">
        <v>42070</v>
      </c>
      <c r="AB309" s="46">
        <v>41250</v>
      </c>
      <c r="AC309" s="46">
        <v>40180</v>
      </c>
      <c r="AD309" s="46">
        <v>39810</v>
      </c>
      <c r="AE309" s="46">
        <v>39340</v>
      </c>
      <c r="AF309" s="46">
        <v>37980</v>
      </c>
      <c r="AG309" s="46">
        <v>37810</v>
      </c>
      <c r="AH309" s="46">
        <v>37180</v>
      </c>
      <c r="AI309" s="46">
        <v>38100</v>
      </c>
      <c r="AJ309" s="46">
        <v>37760</v>
      </c>
      <c r="AK309" s="46">
        <v>37080</v>
      </c>
      <c r="AL309" s="46">
        <v>37770</v>
      </c>
      <c r="AM309" s="46">
        <v>38720</v>
      </c>
      <c r="AN309" s="46">
        <v>39100</v>
      </c>
      <c r="AO309" s="46">
        <v>39980</v>
      </c>
      <c r="AP309" s="46">
        <v>42610</v>
      </c>
      <c r="AQ309" s="46">
        <v>44290</v>
      </c>
      <c r="AR309" s="46">
        <v>44490</v>
      </c>
      <c r="AS309" s="46">
        <v>45090</v>
      </c>
      <c r="AT309" s="46">
        <v>45120</v>
      </c>
      <c r="AU309" s="46">
        <v>45130</v>
      </c>
      <c r="AV309" s="46">
        <v>45220</v>
      </c>
      <c r="AW309" s="46">
        <v>45020</v>
      </c>
      <c r="AX309" s="46">
        <v>45190</v>
      </c>
      <c r="AY309" s="46">
        <v>45070</v>
      </c>
      <c r="AZ309" s="46">
        <v>44920</v>
      </c>
      <c r="BA309" s="46">
        <v>44770</v>
      </c>
      <c r="BB309" s="46">
        <v>45150</v>
      </c>
      <c r="BC309" s="46">
        <v>44510</v>
      </c>
      <c r="BD309" s="46">
        <v>45190</v>
      </c>
      <c r="BE309" s="46">
        <v>44640</v>
      </c>
      <c r="BF309" s="46">
        <v>43270</v>
      </c>
      <c r="BG309" s="46">
        <v>43200</v>
      </c>
      <c r="BH309" s="46">
        <v>43900</v>
      </c>
      <c r="BI309" s="46">
        <v>44050</v>
      </c>
    </row>
    <row r="310" spans="1:61" x14ac:dyDescent="0.25">
      <c r="A310" s="11">
        <f>$A$55</f>
        <v>40</v>
      </c>
      <c r="M310" s="11"/>
      <c r="N310" s="11"/>
      <c r="O310" s="11"/>
      <c r="P310" s="11"/>
      <c r="Q310" s="11"/>
      <c r="R310" s="11"/>
      <c r="S310" s="11"/>
      <c r="T310" s="46">
        <v>34500</v>
      </c>
      <c r="U310" s="46">
        <v>34990</v>
      </c>
      <c r="V310" s="46">
        <v>36090</v>
      </c>
      <c r="W310" s="46">
        <v>38060</v>
      </c>
      <c r="X310" s="46">
        <v>39240</v>
      </c>
      <c r="Y310" s="46">
        <v>39980</v>
      </c>
      <c r="Z310" s="46">
        <v>41640</v>
      </c>
      <c r="AA310" s="46">
        <v>42380</v>
      </c>
      <c r="AB310" s="46">
        <v>42350</v>
      </c>
      <c r="AC310" s="46">
        <v>41530</v>
      </c>
      <c r="AD310" s="46">
        <v>40470</v>
      </c>
      <c r="AE310" s="46">
        <v>40100</v>
      </c>
      <c r="AF310" s="46">
        <v>39630</v>
      </c>
      <c r="AG310" s="46">
        <v>38280</v>
      </c>
      <c r="AH310" s="46">
        <v>38110</v>
      </c>
      <c r="AI310" s="46">
        <v>37480</v>
      </c>
      <c r="AJ310" s="46">
        <v>38410</v>
      </c>
      <c r="AK310" s="46">
        <v>38070</v>
      </c>
      <c r="AL310" s="46">
        <v>37390</v>
      </c>
      <c r="AM310" s="46">
        <v>38080</v>
      </c>
      <c r="AN310" s="46">
        <v>39040</v>
      </c>
      <c r="AO310" s="46">
        <v>39420</v>
      </c>
      <c r="AP310" s="46">
        <v>40300</v>
      </c>
      <c r="AQ310" s="46">
        <v>42920</v>
      </c>
      <c r="AR310" s="46">
        <v>44600</v>
      </c>
      <c r="AS310" s="46">
        <v>44810</v>
      </c>
      <c r="AT310" s="46">
        <v>45410</v>
      </c>
      <c r="AU310" s="46">
        <v>45450</v>
      </c>
      <c r="AV310" s="46">
        <v>45460</v>
      </c>
      <c r="AW310" s="46">
        <v>45550</v>
      </c>
      <c r="AX310" s="46">
        <v>45350</v>
      </c>
      <c r="AY310" s="46">
        <v>45530</v>
      </c>
      <c r="AZ310" s="46">
        <v>45410</v>
      </c>
      <c r="BA310" s="46">
        <v>45260</v>
      </c>
      <c r="BB310" s="46">
        <v>45110</v>
      </c>
      <c r="BC310" s="46">
        <v>45500</v>
      </c>
      <c r="BD310" s="46">
        <v>44860</v>
      </c>
      <c r="BE310" s="46">
        <v>45540</v>
      </c>
      <c r="BF310" s="46">
        <v>44990</v>
      </c>
      <c r="BG310" s="46">
        <v>43630</v>
      </c>
      <c r="BH310" s="46">
        <v>43560</v>
      </c>
      <c r="BI310" s="46">
        <v>44260</v>
      </c>
    </row>
    <row r="311" spans="1:61" x14ac:dyDescent="0.25">
      <c r="A311" s="11">
        <f>$A$56</f>
        <v>41</v>
      </c>
      <c r="M311" s="11"/>
      <c r="N311" s="11"/>
      <c r="O311" s="11"/>
      <c r="P311" s="11"/>
      <c r="Q311" s="11"/>
      <c r="R311" s="11"/>
      <c r="S311" s="11"/>
      <c r="T311" s="46">
        <v>33760</v>
      </c>
      <c r="U311" s="46">
        <v>34650</v>
      </c>
      <c r="V311" s="46">
        <v>35190</v>
      </c>
      <c r="W311" s="46">
        <v>36300</v>
      </c>
      <c r="X311" s="46">
        <v>38290</v>
      </c>
      <c r="Y311" s="46">
        <v>39470</v>
      </c>
      <c r="Z311" s="46">
        <v>40220</v>
      </c>
      <c r="AA311" s="46">
        <v>41880</v>
      </c>
      <c r="AB311" s="46">
        <v>42630</v>
      </c>
      <c r="AC311" s="46">
        <v>42600</v>
      </c>
      <c r="AD311" s="46">
        <v>41780</v>
      </c>
      <c r="AE311" s="46">
        <v>40720</v>
      </c>
      <c r="AF311" s="46">
        <v>40360</v>
      </c>
      <c r="AG311" s="46">
        <v>39890</v>
      </c>
      <c r="AH311" s="46">
        <v>38550</v>
      </c>
      <c r="AI311" s="46">
        <v>38390</v>
      </c>
      <c r="AJ311" s="46">
        <v>37760</v>
      </c>
      <c r="AK311" s="46">
        <v>38690</v>
      </c>
      <c r="AL311" s="46">
        <v>38360</v>
      </c>
      <c r="AM311" s="46">
        <v>37680</v>
      </c>
      <c r="AN311" s="46">
        <v>38370</v>
      </c>
      <c r="AO311" s="46">
        <v>39320</v>
      </c>
      <c r="AP311" s="46">
        <v>39710</v>
      </c>
      <c r="AQ311" s="46">
        <v>40590</v>
      </c>
      <c r="AR311" s="46">
        <v>43210</v>
      </c>
      <c r="AS311" s="46">
        <v>44890</v>
      </c>
      <c r="AT311" s="46">
        <v>45100</v>
      </c>
      <c r="AU311" s="46">
        <v>45690</v>
      </c>
      <c r="AV311" s="46">
        <v>45740</v>
      </c>
      <c r="AW311" s="46">
        <v>45750</v>
      </c>
      <c r="AX311" s="46">
        <v>45850</v>
      </c>
      <c r="AY311" s="46">
        <v>45650</v>
      </c>
      <c r="AZ311" s="46">
        <v>45830</v>
      </c>
      <c r="BA311" s="46">
        <v>45710</v>
      </c>
      <c r="BB311" s="46">
        <v>45560</v>
      </c>
      <c r="BC311" s="46">
        <v>45430</v>
      </c>
      <c r="BD311" s="46">
        <v>45810</v>
      </c>
      <c r="BE311" s="46">
        <v>45170</v>
      </c>
      <c r="BF311" s="46">
        <v>45860</v>
      </c>
      <c r="BG311" s="46">
        <v>45310</v>
      </c>
      <c r="BH311" s="46">
        <v>43950</v>
      </c>
      <c r="BI311" s="46">
        <v>43890</v>
      </c>
    </row>
    <row r="312" spans="1:61" x14ac:dyDescent="0.25">
      <c r="A312" s="11">
        <f>$A$57</f>
        <v>42</v>
      </c>
      <c r="M312" s="11"/>
      <c r="N312" s="11"/>
      <c r="O312" s="11"/>
      <c r="P312" s="11"/>
      <c r="Q312" s="11"/>
      <c r="R312" s="11"/>
      <c r="S312" s="11"/>
      <c r="T312" s="46">
        <v>32580</v>
      </c>
      <c r="U312" s="46">
        <v>33870</v>
      </c>
      <c r="V312" s="46">
        <v>34800</v>
      </c>
      <c r="W312" s="46">
        <v>35350</v>
      </c>
      <c r="X312" s="46">
        <v>36480</v>
      </c>
      <c r="Y312" s="46">
        <v>38480</v>
      </c>
      <c r="Z312" s="46">
        <v>39660</v>
      </c>
      <c r="AA312" s="46">
        <v>40420</v>
      </c>
      <c r="AB312" s="46">
        <v>42070</v>
      </c>
      <c r="AC312" s="46">
        <v>42820</v>
      </c>
      <c r="AD312" s="46">
        <v>42790</v>
      </c>
      <c r="AE312" s="46">
        <v>41980</v>
      </c>
      <c r="AF312" s="46">
        <v>40930</v>
      </c>
      <c r="AG312" s="46">
        <v>40570</v>
      </c>
      <c r="AH312" s="46">
        <v>40110</v>
      </c>
      <c r="AI312" s="46">
        <v>38770</v>
      </c>
      <c r="AJ312" s="46">
        <v>38610</v>
      </c>
      <c r="AK312" s="46">
        <v>37990</v>
      </c>
      <c r="AL312" s="46">
        <v>38920</v>
      </c>
      <c r="AM312" s="46">
        <v>38590</v>
      </c>
      <c r="AN312" s="46">
        <v>37920</v>
      </c>
      <c r="AO312" s="46">
        <v>38610</v>
      </c>
      <c r="AP312" s="46">
        <v>39560</v>
      </c>
      <c r="AQ312" s="46">
        <v>39950</v>
      </c>
      <c r="AR312" s="46">
        <v>40830</v>
      </c>
      <c r="AS312" s="46">
        <v>43450</v>
      </c>
      <c r="AT312" s="46">
        <v>45120</v>
      </c>
      <c r="AU312" s="46">
        <v>45330</v>
      </c>
      <c r="AV312" s="46">
        <v>45930</v>
      </c>
      <c r="AW312" s="46">
        <v>45980</v>
      </c>
      <c r="AX312" s="46">
        <v>45990</v>
      </c>
      <c r="AY312" s="46">
        <v>46090</v>
      </c>
      <c r="AZ312" s="46">
        <v>45900</v>
      </c>
      <c r="BA312" s="46">
        <v>46080</v>
      </c>
      <c r="BB312" s="46">
        <v>45970</v>
      </c>
      <c r="BC312" s="46">
        <v>45820</v>
      </c>
      <c r="BD312" s="46">
        <v>45680</v>
      </c>
      <c r="BE312" s="46">
        <v>46070</v>
      </c>
      <c r="BF312" s="46">
        <v>45440</v>
      </c>
      <c r="BG312" s="46">
        <v>46120</v>
      </c>
      <c r="BH312" s="46">
        <v>45580</v>
      </c>
      <c r="BI312" s="46">
        <v>44230</v>
      </c>
    </row>
    <row r="313" spans="1:61" x14ac:dyDescent="0.25">
      <c r="A313" s="11">
        <f>$A$58</f>
        <v>43</v>
      </c>
      <c r="M313" s="11"/>
      <c r="N313" s="11"/>
      <c r="O313" s="11"/>
      <c r="P313" s="11"/>
      <c r="Q313" s="11"/>
      <c r="R313" s="11"/>
      <c r="S313" s="11"/>
      <c r="T313" s="46">
        <v>31810</v>
      </c>
      <c r="U313" s="46">
        <v>32660</v>
      </c>
      <c r="V313" s="46">
        <v>33980</v>
      </c>
      <c r="W313" s="46">
        <v>34920</v>
      </c>
      <c r="X313" s="46">
        <v>35490</v>
      </c>
      <c r="Y313" s="46">
        <v>36630</v>
      </c>
      <c r="Z313" s="46">
        <v>38620</v>
      </c>
      <c r="AA313" s="46">
        <v>39810</v>
      </c>
      <c r="AB313" s="46">
        <v>40560</v>
      </c>
      <c r="AC313" s="46">
        <v>42220</v>
      </c>
      <c r="AD313" s="46">
        <v>42970</v>
      </c>
      <c r="AE313" s="46">
        <v>42940</v>
      </c>
      <c r="AF313" s="46">
        <v>42130</v>
      </c>
      <c r="AG313" s="46">
        <v>41090</v>
      </c>
      <c r="AH313" s="46">
        <v>40730</v>
      </c>
      <c r="AI313" s="46">
        <v>40280</v>
      </c>
      <c r="AJ313" s="46">
        <v>38940</v>
      </c>
      <c r="AK313" s="46">
        <v>38790</v>
      </c>
      <c r="AL313" s="46">
        <v>38170</v>
      </c>
      <c r="AM313" s="46">
        <v>39100</v>
      </c>
      <c r="AN313" s="46">
        <v>38770</v>
      </c>
      <c r="AO313" s="46">
        <v>38100</v>
      </c>
      <c r="AP313" s="46">
        <v>38790</v>
      </c>
      <c r="AQ313" s="46">
        <v>39750</v>
      </c>
      <c r="AR313" s="46">
        <v>40140</v>
      </c>
      <c r="AS313" s="46">
        <v>41020</v>
      </c>
      <c r="AT313" s="46">
        <v>43630</v>
      </c>
      <c r="AU313" s="46">
        <v>45310</v>
      </c>
      <c r="AV313" s="46">
        <v>45520</v>
      </c>
      <c r="AW313" s="46">
        <v>46120</v>
      </c>
      <c r="AX313" s="46">
        <v>46170</v>
      </c>
      <c r="AY313" s="46">
        <v>46180</v>
      </c>
      <c r="AZ313" s="46">
        <v>46280</v>
      </c>
      <c r="BA313" s="46">
        <v>46100</v>
      </c>
      <c r="BB313" s="46">
        <v>46280</v>
      </c>
      <c r="BC313" s="46">
        <v>46170</v>
      </c>
      <c r="BD313" s="46">
        <v>46020</v>
      </c>
      <c r="BE313" s="46">
        <v>45890</v>
      </c>
      <c r="BF313" s="46">
        <v>46280</v>
      </c>
      <c r="BG313" s="46">
        <v>45650</v>
      </c>
      <c r="BH313" s="46">
        <v>46340</v>
      </c>
      <c r="BI313" s="46">
        <v>45800</v>
      </c>
    </row>
    <row r="314" spans="1:61" x14ac:dyDescent="0.25">
      <c r="A314" s="11">
        <f>$A$59</f>
        <v>44</v>
      </c>
      <c r="M314" s="11"/>
      <c r="N314" s="11"/>
      <c r="O314" s="11"/>
      <c r="P314" s="11"/>
      <c r="Q314" s="11"/>
      <c r="R314" s="11"/>
      <c r="S314" s="11"/>
      <c r="T314" s="46">
        <v>30970</v>
      </c>
      <c r="U314" s="46">
        <v>31860</v>
      </c>
      <c r="V314" s="46">
        <v>32740</v>
      </c>
      <c r="W314" s="46">
        <v>34070</v>
      </c>
      <c r="X314" s="46">
        <v>35030</v>
      </c>
      <c r="Y314" s="46">
        <v>35600</v>
      </c>
      <c r="Z314" s="46">
        <v>36750</v>
      </c>
      <c r="AA314" s="46">
        <v>38740</v>
      </c>
      <c r="AB314" s="46">
        <v>39930</v>
      </c>
      <c r="AC314" s="46">
        <v>40680</v>
      </c>
      <c r="AD314" s="46">
        <v>42340</v>
      </c>
      <c r="AE314" s="46">
        <v>43080</v>
      </c>
      <c r="AF314" s="46">
        <v>43060</v>
      </c>
      <c r="AG314" s="46">
        <v>42260</v>
      </c>
      <c r="AH314" s="46">
        <v>41220</v>
      </c>
      <c r="AI314" s="46">
        <v>40860</v>
      </c>
      <c r="AJ314" s="46">
        <v>40410</v>
      </c>
      <c r="AK314" s="46">
        <v>39080</v>
      </c>
      <c r="AL314" s="46">
        <v>38930</v>
      </c>
      <c r="AM314" s="46">
        <v>38320</v>
      </c>
      <c r="AN314" s="46">
        <v>39240</v>
      </c>
      <c r="AO314" s="46">
        <v>38920</v>
      </c>
      <c r="AP314" s="46">
        <v>38260</v>
      </c>
      <c r="AQ314" s="46">
        <v>38950</v>
      </c>
      <c r="AR314" s="46">
        <v>39900</v>
      </c>
      <c r="AS314" s="46">
        <v>40290</v>
      </c>
      <c r="AT314" s="46">
        <v>41170</v>
      </c>
      <c r="AU314" s="46">
        <v>43790</v>
      </c>
      <c r="AV314" s="46">
        <v>45460</v>
      </c>
      <c r="AW314" s="46">
        <v>45670</v>
      </c>
      <c r="AX314" s="46">
        <v>46270</v>
      </c>
      <c r="AY314" s="46">
        <v>46320</v>
      </c>
      <c r="AZ314" s="46">
        <v>46340</v>
      </c>
      <c r="BA314" s="46">
        <v>46450</v>
      </c>
      <c r="BB314" s="46">
        <v>46260</v>
      </c>
      <c r="BC314" s="46">
        <v>46440</v>
      </c>
      <c r="BD314" s="46">
        <v>46340</v>
      </c>
      <c r="BE314" s="46">
        <v>46190</v>
      </c>
      <c r="BF314" s="46">
        <v>46060</v>
      </c>
      <c r="BG314" s="46">
        <v>46450</v>
      </c>
      <c r="BH314" s="46">
        <v>45830</v>
      </c>
      <c r="BI314" s="46">
        <v>46520</v>
      </c>
    </row>
    <row r="315" spans="1:61" x14ac:dyDescent="0.25">
      <c r="A315" s="11">
        <f>$A$60</f>
        <v>45</v>
      </c>
      <c r="M315" s="11"/>
      <c r="N315" s="11"/>
      <c r="O315" s="11"/>
      <c r="P315" s="11"/>
      <c r="Q315" s="11"/>
      <c r="R315" s="11"/>
      <c r="S315" s="11"/>
      <c r="T315" s="46">
        <v>29980</v>
      </c>
      <c r="U315" s="46">
        <v>31010</v>
      </c>
      <c r="V315" s="46">
        <v>31930</v>
      </c>
      <c r="W315" s="46">
        <v>32820</v>
      </c>
      <c r="X315" s="46">
        <v>34170</v>
      </c>
      <c r="Y315" s="46">
        <v>35130</v>
      </c>
      <c r="Z315" s="46">
        <v>35710</v>
      </c>
      <c r="AA315" s="46">
        <v>36860</v>
      </c>
      <c r="AB315" s="46">
        <v>38850</v>
      </c>
      <c r="AC315" s="46">
        <v>40040</v>
      </c>
      <c r="AD315" s="46">
        <v>40790</v>
      </c>
      <c r="AE315" s="46">
        <v>42450</v>
      </c>
      <c r="AF315" s="46">
        <v>43200</v>
      </c>
      <c r="AG315" s="46">
        <v>43180</v>
      </c>
      <c r="AH315" s="46">
        <v>42370</v>
      </c>
      <c r="AI315" s="46">
        <v>41340</v>
      </c>
      <c r="AJ315" s="46">
        <v>40990</v>
      </c>
      <c r="AK315" s="46">
        <v>40540</v>
      </c>
      <c r="AL315" s="46">
        <v>39210</v>
      </c>
      <c r="AM315" s="46">
        <v>39070</v>
      </c>
      <c r="AN315" s="46">
        <v>38450</v>
      </c>
      <c r="AO315" s="46">
        <v>39380</v>
      </c>
      <c r="AP315" s="46">
        <v>39060</v>
      </c>
      <c r="AQ315" s="46">
        <v>38400</v>
      </c>
      <c r="AR315" s="46">
        <v>39090</v>
      </c>
      <c r="AS315" s="46">
        <v>40050</v>
      </c>
      <c r="AT315" s="46">
        <v>40440</v>
      </c>
      <c r="AU315" s="46">
        <v>41320</v>
      </c>
      <c r="AV315" s="46">
        <v>43930</v>
      </c>
      <c r="AW315" s="46">
        <v>45610</v>
      </c>
      <c r="AX315" s="46">
        <v>45820</v>
      </c>
      <c r="AY315" s="46">
        <v>46430</v>
      </c>
      <c r="AZ315" s="46">
        <v>46480</v>
      </c>
      <c r="BA315" s="46">
        <v>46500</v>
      </c>
      <c r="BB315" s="46">
        <v>46600</v>
      </c>
      <c r="BC315" s="46">
        <v>46420</v>
      </c>
      <c r="BD315" s="46">
        <v>46600</v>
      </c>
      <c r="BE315" s="46">
        <v>46500</v>
      </c>
      <c r="BF315" s="46">
        <v>46360</v>
      </c>
      <c r="BG315" s="46">
        <v>46230</v>
      </c>
      <c r="BH315" s="46">
        <v>46620</v>
      </c>
      <c r="BI315" s="46">
        <v>46000</v>
      </c>
    </row>
    <row r="316" spans="1:61" x14ac:dyDescent="0.25">
      <c r="A316" s="11">
        <f>$A$61</f>
        <v>46</v>
      </c>
      <c r="M316" s="11"/>
      <c r="N316" s="11"/>
      <c r="O316" s="11"/>
      <c r="P316" s="11"/>
      <c r="Q316" s="11"/>
      <c r="R316" s="11"/>
      <c r="S316" s="11"/>
      <c r="T316" s="46">
        <v>28750</v>
      </c>
      <c r="U316" s="46">
        <v>30000</v>
      </c>
      <c r="V316" s="46">
        <v>31050</v>
      </c>
      <c r="W316" s="46">
        <v>31990</v>
      </c>
      <c r="X316" s="46">
        <v>32890</v>
      </c>
      <c r="Y316" s="46">
        <v>34240</v>
      </c>
      <c r="Z316" s="46">
        <v>35210</v>
      </c>
      <c r="AA316" s="46">
        <v>35790</v>
      </c>
      <c r="AB316" s="46">
        <v>36940</v>
      </c>
      <c r="AC316" s="46">
        <v>38930</v>
      </c>
      <c r="AD316" s="46">
        <v>40120</v>
      </c>
      <c r="AE316" s="46">
        <v>40880</v>
      </c>
      <c r="AF316" s="46">
        <v>42530</v>
      </c>
      <c r="AG316" s="46">
        <v>43280</v>
      </c>
      <c r="AH316" s="46">
        <v>43270</v>
      </c>
      <c r="AI316" s="46">
        <v>42470</v>
      </c>
      <c r="AJ316" s="46">
        <v>41440</v>
      </c>
      <c r="AK316" s="46">
        <v>41090</v>
      </c>
      <c r="AL316" s="46">
        <v>40640</v>
      </c>
      <c r="AM316" s="46">
        <v>39320</v>
      </c>
      <c r="AN316" s="46">
        <v>39170</v>
      </c>
      <c r="AO316" s="46">
        <v>38560</v>
      </c>
      <c r="AP316" s="46">
        <v>39490</v>
      </c>
      <c r="AQ316" s="46">
        <v>39180</v>
      </c>
      <c r="AR316" s="46">
        <v>38520</v>
      </c>
      <c r="AS316" s="46">
        <v>39210</v>
      </c>
      <c r="AT316" s="46">
        <v>40170</v>
      </c>
      <c r="AU316" s="46">
        <v>40560</v>
      </c>
      <c r="AV316" s="46">
        <v>41450</v>
      </c>
      <c r="AW316" s="46">
        <v>44060</v>
      </c>
      <c r="AX316" s="46">
        <v>45730</v>
      </c>
      <c r="AY316" s="46">
        <v>45950</v>
      </c>
      <c r="AZ316" s="46">
        <v>46550</v>
      </c>
      <c r="BA316" s="46">
        <v>46610</v>
      </c>
      <c r="BB316" s="46">
        <v>46630</v>
      </c>
      <c r="BC316" s="46">
        <v>46740</v>
      </c>
      <c r="BD316" s="46">
        <v>46560</v>
      </c>
      <c r="BE316" s="46">
        <v>46740</v>
      </c>
      <c r="BF316" s="46">
        <v>46640</v>
      </c>
      <c r="BG316" s="46">
        <v>46500</v>
      </c>
      <c r="BH316" s="46">
        <v>46380</v>
      </c>
      <c r="BI316" s="46">
        <v>46770</v>
      </c>
    </row>
    <row r="317" spans="1:61" x14ac:dyDescent="0.25">
      <c r="A317" s="11">
        <f>$A$62</f>
        <v>47</v>
      </c>
      <c r="M317" s="11"/>
      <c r="N317" s="11"/>
      <c r="O317" s="11"/>
      <c r="P317" s="11"/>
      <c r="Q317" s="11"/>
      <c r="R317" s="11"/>
      <c r="S317" s="11"/>
      <c r="T317" s="46">
        <v>29000</v>
      </c>
      <c r="U317" s="46">
        <v>28740</v>
      </c>
      <c r="V317" s="46">
        <v>30010</v>
      </c>
      <c r="W317" s="46">
        <v>31080</v>
      </c>
      <c r="X317" s="46">
        <v>32020</v>
      </c>
      <c r="Y317" s="46">
        <v>32930</v>
      </c>
      <c r="Z317" s="46">
        <v>34290</v>
      </c>
      <c r="AA317" s="46">
        <v>35260</v>
      </c>
      <c r="AB317" s="46">
        <v>35840</v>
      </c>
      <c r="AC317" s="46">
        <v>36990</v>
      </c>
      <c r="AD317" s="46">
        <v>38980</v>
      </c>
      <c r="AE317" s="46">
        <v>40170</v>
      </c>
      <c r="AF317" s="46">
        <v>40930</v>
      </c>
      <c r="AG317" s="46">
        <v>42590</v>
      </c>
      <c r="AH317" s="46">
        <v>43340</v>
      </c>
      <c r="AI317" s="46">
        <v>43330</v>
      </c>
      <c r="AJ317" s="46">
        <v>42530</v>
      </c>
      <c r="AK317" s="46">
        <v>41500</v>
      </c>
      <c r="AL317" s="46">
        <v>41160</v>
      </c>
      <c r="AM317" s="46">
        <v>40710</v>
      </c>
      <c r="AN317" s="46">
        <v>39390</v>
      </c>
      <c r="AO317" s="46">
        <v>39250</v>
      </c>
      <c r="AP317" s="46">
        <v>38640</v>
      </c>
      <c r="AQ317" s="46">
        <v>39580</v>
      </c>
      <c r="AR317" s="46">
        <v>39260</v>
      </c>
      <c r="AS317" s="46">
        <v>38610</v>
      </c>
      <c r="AT317" s="46">
        <v>39300</v>
      </c>
      <c r="AU317" s="46">
        <v>40260</v>
      </c>
      <c r="AV317" s="46">
        <v>40650</v>
      </c>
      <c r="AW317" s="46">
        <v>41540</v>
      </c>
      <c r="AX317" s="46">
        <v>44150</v>
      </c>
      <c r="AY317" s="46">
        <v>45830</v>
      </c>
      <c r="AZ317" s="46">
        <v>46050</v>
      </c>
      <c r="BA317" s="46">
        <v>46650</v>
      </c>
      <c r="BB317" s="46">
        <v>46710</v>
      </c>
      <c r="BC317" s="46">
        <v>46730</v>
      </c>
      <c r="BD317" s="46">
        <v>46840</v>
      </c>
      <c r="BE317" s="46">
        <v>46670</v>
      </c>
      <c r="BF317" s="46">
        <v>46850</v>
      </c>
      <c r="BG317" s="46">
        <v>46750</v>
      </c>
      <c r="BH317" s="46">
        <v>46620</v>
      </c>
      <c r="BI317" s="46">
        <v>46490</v>
      </c>
    </row>
    <row r="318" spans="1:61" x14ac:dyDescent="0.25">
      <c r="A318" s="11">
        <f>$A$63</f>
        <v>48</v>
      </c>
      <c r="M318" s="11"/>
      <c r="N318" s="11"/>
      <c r="O318" s="11"/>
      <c r="P318" s="11"/>
      <c r="Q318" s="11"/>
      <c r="R318" s="11"/>
      <c r="S318" s="11"/>
      <c r="T318" s="46">
        <v>28590</v>
      </c>
      <c r="U318" s="46">
        <v>28950</v>
      </c>
      <c r="V318" s="46">
        <v>28710</v>
      </c>
      <c r="W318" s="46">
        <v>29990</v>
      </c>
      <c r="X318" s="46">
        <v>31070</v>
      </c>
      <c r="Y318" s="46">
        <v>32020</v>
      </c>
      <c r="Z318" s="46">
        <v>32930</v>
      </c>
      <c r="AA318" s="46">
        <v>34290</v>
      </c>
      <c r="AB318" s="46">
        <v>35260</v>
      </c>
      <c r="AC318" s="46">
        <v>35850</v>
      </c>
      <c r="AD318" s="46">
        <v>37000</v>
      </c>
      <c r="AE318" s="46">
        <v>38990</v>
      </c>
      <c r="AF318" s="46">
        <v>40180</v>
      </c>
      <c r="AG318" s="46">
        <v>40940</v>
      </c>
      <c r="AH318" s="46">
        <v>42600</v>
      </c>
      <c r="AI318" s="46">
        <v>43350</v>
      </c>
      <c r="AJ318" s="46">
        <v>43340</v>
      </c>
      <c r="AK318" s="46">
        <v>42540</v>
      </c>
      <c r="AL318" s="46">
        <v>41520</v>
      </c>
      <c r="AM318" s="46">
        <v>41180</v>
      </c>
      <c r="AN318" s="46">
        <v>40740</v>
      </c>
      <c r="AO318" s="46">
        <v>39420</v>
      </c>
      <c r="AP318" s="46">
        <v>39280</v>
      </c>
      <c r="AQ318" s="46">
        <v>38670</v>
      </c>
      <c r="AR318" s="46">
        <v>39610</v>
      </c>
      <c r="AS318" s="46">
        <v>39300</v>
      </c>
      <c r="AT318" s="46">
        <v>38640</v>
      </c>
      <c r="AU318" s="46">
        <v>39340</v>
      </c>
      <c r="AV318" s="46">
        <v>40300</v>
      </c>
      <c r="AW318" s="46">
        <v>40700</v>
      </c>
      <c r="AX318" s="46">
        <v>41580</v>
      </c>
      <c r="AY318" s="46">
        <v>44190</v>
      </c>
      <c r="AZ318" s="46">
        <v>45870</v>
      </c>
      <c r="BA318" s="46">
        <v>46090</v>
      </c>
      <c r="BB318" s="46">
        <v>46700</v>
      </c>
      <c r="BC318" s="46">
        <v>46760</v>
      </c>
      <c r="BD318" s="46">
        <v>46780</v>
      </c>
      <c r="BE318" s="46">
        <v>46900</v>
      </c>
      <c r="BF318" s="46">
        <v>46720</v>
      </c>
      <c r="BG318" s="46">
        <v>46910</v>
      </c>
      <c r="BH318" s="46">
        <v>46810</v>
      </c>
      <c r="BI318" s="46">
        <v>46680</v>
      </c>
    </row>
    <row r="319" spans="1:61" x14ac:dyDescent="0.25">
      <c r="A319" s="11">
        <f>$A$64</f>
        <v>49</v>
      </c>
      <c r="M319" s="11"/>
      <c r="N319" s="11"/>
      <c r="O319" s="11"/>
      <c r="P319" s="11"/>
      <c r="Q319" s="11"/>
      <c r="R319" s="11"/>
      <c r="S319" s="11"/>
      <c r="T319" s="46">
        <v>28640</v>
      </c>
      <c r="U319" s="46">
        <v>28490</v>
      </c>
      <c r="V319" s="46">
        <v>28870</v>
      </c>
      <c r="W319" s="46">
        <v>28640</v>
      </c>
      <c r="X319" s="46">
        <v>29930</v>
      </c>
      <c r="Y319" s="46">
        <v>31010</v>
      </c>
      <c r="Z319" s="46">
        <v>31970</v>
      </c>
      <c r="AA319" s="46">
        <v>32880</v>
      </c>
      <c r="AB319" s="46">
        <v>34230</v>
      </c>
      <c r="AC319" s="46">
        <v>35200</v>
      </c>
      <c r="AD319" s="46">
        <v>35790</v>
      </c>
      <c r="AE319" s="46">
        <v>36940</v>
      </c>
      <c r="AF319" s="46">
        <v>38930</v>
      </c>
      <c r="AG319" s="46">
        <v>40120</v>
      </c>
      <c r="AH319" s="46">
        <v>40880</v>
      </c>
      <c r="AI319" s="46">
        <v>42540</v>
      </c>
      <c r="AJ319" s="46">
        <v>43290</v>
      </c>
      <c r="AK319" s="46">
        <v>43280</v>
      </c>
      <c r="AL319" s="46">
        <v>42490</v>
      </c>
      <c r="AM319" s="46">
        <v>41470</v>
      </c>
      <c r="AN319" s="46">
        <v>41140</v>
      </c>
      <c r="AO319" s="46">
        <v>40700</v>
      </c>
      <c r="AP319" s="46">
        <v>39390</v>
      </c>
      <c r="AQ319" s="46">
        <v>39250</v>
      </c>
      <c r="AR319" s="46">
        <v>38650</v>
      </c>
      <c r="AS319" s="46">
        <v>39580</v>
      </c>
      <c r="AT319" s="46">
        <v>39270</v>
      </c>
      <c r="AU319" s="46">
        <v>38620</v>
      </c>
      <c r="AV319" s="46">
        <v>39320</v>
      </c>
      <c r="AW319" s="46">
        <v>40280</v>
      </c>
      <c r="AX319" s="46">
        <v>40680</v>
      </c>
      <c r="AY319" s="46">
        <v>41560</v>
      </c>
      <c r="AZ319" s="46">
        <v>44170</v>
      </c>
      <c r="BA319" s="46">
        <v>45850</v>
      </c>
      <c r="BB319" s="46">
        <v>46070</v>
      </c>
      <c r="BC319" s="46">
        <v>46680</v>
      </c>
      <c r="BD319" s="46">
        <v>46740</v>
      </c>
      <c r="BE319" s="46">
        <v>46770</v>
      </c>
      <c r="BF319" s="46">
        <v>46880</v>
      </c>
      <c r="BG319" s="46">
        <v>46710</v>
      </c>
      <c r="BH319" s="46">
        <v>46900</v>
      </c>
      <c r="BI319" s="46">
        <v>46800</v>
      </c>
    </row>
    <row r="320" spans="1:61" x14ac:dyDescent="0.25">
      <c r="A320" s="11">
        <f>$A$65</f>
        <v>50</v>
      </c>
      <c r="M320" s="11"/>
      <c r="N320" s="11"/>
      <c r="O320" s="11"/>
      <c r="P320" s="11"/>
      <c r="Q320" s="11"/>
      <c r="R320" s="11"/>
      <c r="S320" s="11"/>
      <c r="T320" s="46">
        <v>29430</v>
      </c>
      <c r="U320" s="46">
        <v>28490</v>
      </c>
      <c r="V320" s="46">
        <v>28360</v>
      </c>
      <c r="W320" s="46">
        <v>28740</v>
      </c>
      <c r="X320" s="46">
        <v>28530</v>
      </c>
      <c r="Y320" s="46">
        <v>29820</v>
      </c>
      <c r="Z320" s="46">
        <v>30900</v>
      </c>
      <c r="AA320" s="46">
        <v>31850</v>
      </c>
      <c r="AB320" s="46">
        <v>32760</v>
      </c>
      <c r="AC320" s="46">
        <v>34120</v>
      </c>
      <c r="AD320" s="46">
        <v>35090</v>
      </c>
      <c r="AE320" s="46">
        <v>35680</v>
      </c>
      <c r="AF320" s="46">
        <v>36820</v>
      </c>
      <c r="AG320" s="46">
        <v>38810</v>
      </c>
      <c r="AH320" s="46">
        <v>40000</v>
      </c>
      <c r="AI320" s="46">
        <v>40760</v>
      </c>
      <c r="AJ320" s="46">
        <v>42410</v>
      </c>
      <c r="AK320" s="46">
        <v>43160</v>
      </c>
      <c r="AL320" s="46">
        <v>43160</v>
      </c>
      <c r="AM320" s="46">
        <v>42370</v>
      </c>
      <c r="AN320" s="46">
        <v>41360</v>
      </c>
      <c r="AO320" s="46">
        <v>41020</v>
      </c>
      <c r="AP320" s="46">
        <v>40590</v>
      </c>
      <c r="AQ320" s="46">
        <v>39280</v>
      </c>
      <c r="AR320" s="46">
        <v>39150</v>
      </c>
      <c r="AS320" s="46">
        <v>38550</v>
      </c>
      <c r="AT320" s="46">
        <v>39480</v>
      </c>
      <c r="AU320" s="46">
        <v>39180</v>
      </c>
      <c r="AV320" s="46">
        <v>38530</v>
      </c>
      <c r="AW320" s="46">
        <v>39230</v>
      </c>
      <c r="AX320" s="46">
        <v>40190</v>
      </c>
      <c r="AY320" s="46">
        <v>40590</v>
      </c>
      <c r="AZ320" s="46">
        <v>41470</v>
      </c>
      <c r="BA320" s="46">
        <v>44070</v>
      </c>
      <c r="BB320" s="46">
        <v>45750</v>
      </c>
      <c r="BC320" s="46">
        <v>45970</v>
      </c>
      <c r="BD320" s="46">
        <v>46580</v>
      </c>
      <c r="BE320" s="46">
        <v>46640</v>
      </c>
      <c r="BF320" s="46">
        <v>46680</v>
      </c>
      <c r="BG320" s="46">
        <v>46790</v>
      </c>
      <c r="BH320" s="46">
        <v>46620</v>
      </c>
      <c r="BI320" s="46">
        <v>46810</v>
      </c>
    </row>
    <row r="321" spans="1:61" x14ac:dyDescent="0.25">
      <c r="A321" s="11">
        <f>$A$66</f>
        <v>51</v>
      </c>
      <c r="M321" s="11"/>
      <c r="N321" s="11"/>
      <c r="O321" s="11"/>
      <c r="P321" s="11"/>
      <c r="Q321" s="11"/>
      <c r="R321" s="11"/>
      <c r="S321" s="11"/>
      <c r="T321" s="46">
        <v>29940</v>
      </c>
      <c r="U321" s="46">
        <v>29210</v>
      </c>
      <c r="V321" s="46">
        <v>28300</v>
      </c>
      <c r="W321" s="46">
        <v>28180</v>
      </c>
      <c r="X321" s="46">
        <v>28570</v>
      </c>
      <c r="Y321" s="46">
        <v>28370</v>
      </c>
      <c r="Z321" s="46">
        <v>29660</v>
      </c>
      <c r="AA321" s="46">
        <v>30740</v>
      </c>
      <c r="AB321" s="46">
        <v>31700</v>
      </c>
      <c r="AC321" s="46">
        <v>32610</v>
      </c>
      <c r="AD321" s="46">
        <v>33960</v>
      </c>
      <c r="AE321" s="46">
        <v>34930</v>
      </c>
      <c r="AF321" s="46">
        <v>35520</v>
      </c>
      <c r="AG321" s="46">
        <v>36670</v>
      </c>
      <c r="AH321" s="46">
        <v>38650</v>
      </c>
      <c r="AI321" s="46">
        <v>39840</v>
      </c>
      <c r="AJ321" s="46">
        <v>40600</v>
      </c>
      <c r="AK321" s="46">
        <v>42250</v>
      </c>
      <c r="AL321" s="46">
        <v>43000</v>
      </c>
      <c r="AM321" s="46">
        <v>43000</v>
      </c>
      <c r="AN321" s="46">
        <v>42220</v>
      </c>
      <c r="AO321" s="46">
        <v>41210</v>
      </c>
      <c r="AP321" s="46">
        <v>40880</v>
      </c>
      <c r="AQ321" s="46">
        <v>40450</v>
      </c>
      <c r="AR321" s="46">
        <v>39160</v>
      </c>
      <c r="AS321" s="46">
        <v>39020</v>
      </c>
      <c r="AT321" s="46">
        <v>38430</v>
      </c>
      <c r="AU321" s="46">
        <v>39360</v>
      </c>
      <c r="AV321" s="46">
        <v>39060</v>
      </c>
      <c r="AW321" s="46">
        <v>38420</v>
      </c>
      <c r="AX321" s="46">
        <v>39120</v>
      </c>
      <c r="AY321" s="46">
        <v>40070</v>
      </c>
      <c r="AZ321" s="46">
        <v>40470</v>
      </c>
      <c r="BA321" s="46">
        <v>41360</v>
      </c>
      <c r="BB321" s="46">
        <v>43960</v>
      </c>
      <c r="BC321" s="46">
        <v>45630</v>
      </c>
      <c r="BD321" s="46">
        <v>45850</v>
      </c>
      <c r="BE321" s="46">
        <v>46460</v>
      </c>
      <c r="BF321" s="46">
        <v>46530</v>
      </c>
      <c r="BG321" s="46">
        <v>46560</v>
      </c>
      <c r="BH321" s="46">
        <v>46680</v>
      </c>
      <c r="BI321" s="46">
        <v>46510</v>
      </c>
    </row>
    <row r="322" spans="1:61" x14ac:dyDescent="0.25">
      <c r="A322" s="11">
        <f>$A$67</f>
        <v>52</v>
      </c>
      <c r="M322" s="11"/>
      <c r="N322" s="11"/>
      <c r="O322" s="11"/>
      <c r="P322" s="11"/>
      <c r="Q322" s="11"/>
      <c r="R322" s="11"/>
      <c r="S322" s="11"/>
      <c r="T322" s="46">
        <v>30450</v>
      </c>
      <c r="U322" s="46">
        <v>29660</v>
      </c>
      <c r="V322" s="46">
        <v>28970</v>
      </c>
      <c r="W322" s="46">
        <v>28080</v>
      </c>
      <c r="X322" s="46">
        <v>27980</v>
      </c>
      <c r="Y322" s="46">
        <v>28380</v>
      </c>
      <c r="Z322" s="46">
        <v>28190</v>
      </c>
      <c r="AA322" s="46">
        <v>29480</v>
      </c>
      <c r="AB322" s="46">
        <v>30560</v>
      </c>
      <c r="AC322" s="46">
        <v>31520</v>
      </c>
      <c r="AD322" s="46">
        <v>32430</v>
      </c>
      <c r="AE322" s="46">
        <v>33790</v>
      </c>
      <c r="AF322" s="46">
        <v>34760</v>
      </c>
      <c r="AG322" s="46">
        <v>35360</v>
      </c>
      <c r="AH322" s="46">
        <v>36500</v>
      </c>
      <c r="AI322" s="46">
        <v>38480</v>
      </c>
      <c r="AJ322" s="46">
        <v>39670</v>
      </c>
      <c r="AK322" s="46">
        <v>40440</v>
      </c>
      <c r="AL322" s="46">
        <v>42090</v>
      </c>
      <c r="AM322" s="46">
        <v>42850</v>
      </c>
      <c r="AN322" s="46">
        <v>42850</v>
      </c>
      <c r="AO322" s="46">
        <v>42080</v>
      </c>
      <c r="AP322" s="46">
        <v>41080</v>
      </c>
      <c r="AQ322" s="46">
        <v>40760</v>
      </c>
      <c r="AR322" s="46">
        <v>40330</v>
      </c>
      <c r="AS322" s="46">
        <v>39040</v>
      </c>
      <c r="AT322" s="46">
        <v>38920</v>
      </c>
      <c r="AU322" s="46">
        <v>38330</v>
      </c>
      <c r="AV322" s="46">
        <v>39260</v>
      </c>
      <c r="AW322" s="46">
        <v>38960</v>
      </c>
      <c r="AX322" s="46">
        <v>38330</v>
      </c>
      <c r="AY322" s="46">
        <v>39030</v>
      </c>
      <c r="AZ322" s="46">
        <v>39980</v>
      </c>
      <c r="BA322" s="46">
        <v>40390</v>
      </c>
      <c r="BB322" s="46">
        <v>41270</v>
      </c>
      <c r="BC322" s="46">
        <v>43870</v>
      </c>
      <c r="BD322" s="46">
        <v>45540</v>
      </c>
      <c r="BE322" s="46">
        <v>45760</v>
      </c>
      <c r="BF322" s="46">
        <v>46370</v>
      </c>
      <c r="BG322" s="46">
        <v>46440</v>
      </c>
      <c r="BH322" s="46">
        <v>46480</v>
      </c>
      <c r="BI322" s="46">
        <v>46590</v>
      </c>
    </row>
    <row r="323" spans="1:61" x14ac:dyDescent="0.25">
      <c r="A323" s="11">
        <f>$A$68</f>
        <v>53</v>
      </c>
      <c r="M323" s="11"/>
      <c r="N323" s="11"/>
      <c r="O323" s="11"/>
      <c r="P323" s="11"/>
      <c r="Q323" s="11"/>
      <c r="R323" s="11"/>
      <c r="S323" s="11"/>
      <c r="T323" s="46">
        <v>30380</v>
      </c>
      <c r="U323" s="46">
        <v>30170</v>
      </c>
      <c r="V323" s="46">
        <v>29420</v>
      </c>
      <c r="W323" s="46">
        <v>28740</v>
      </c>
      <c r="X323" s="46">
        <v>27870</v>
      </c>
      <c r="Y323" s="46">
        <v>27780</v>
      </c>
      <c r="Z323" s="46">
        <v>28190</v>
      </c>
      <c r="AA323" s="46">
        <v>28010</v>
      </c>
      <c r="AB323" s="46">
        <v>29300</v>
      </c>
      <c r="AC323" s="46">
        <v>30390</v>
      </c>
      <c r="AD323" s="46">
        <v>31350</v>
      </c>
      <c r="AE323" s="46">
        <v>32270</v>
      </c>
      <c r="AF323" s="46">
        <v>33620</v>
      </c>
      <c r="AG323" s="46">
        <v>34590</v>
      </c>
      <c r="AH323" s="46">
        <v>35190</v>
      </c>
      <c r="AI323" s="46">
        <v>36340</v>
      </c>
      <c r="AJ323" s="46">
        <v>38320</v>
      </c>
      <c r="AK323" s="46">
        <v>39510</v>
      </c>
      <c r="AL323" s="46">
        <v>40280</v>
      </c>
      <c r="AM323" s="46">
        <v>41930</v>
      </c>
      <c r="AN323" s="46">
        <v>42690</v>
      </c>
      <c r="AO323" s="46">
        <v>42700</v>
      </c>
      <c r="AP323" s="46">
        <v>41940</v>
      </c>
      <c r="AQ323" s="46">
        <v>40950</v>
      </c>
      <c r="AR323" s="46">
        <v>40630</v>
      </c>
      <c r="AS323" s="46">
        <v>40210</v>
      </c>
      <c r="AT323" s="46">
        <v>38930</v>
      </c>
      <c r="AU323" s="46">
        <v>38800</v>
      </c>
      <c r="AV323" s="46">
        <v>38220</v>
      </c>
      <c r="AW323" s="46">
        <v>39150</v>
      </c>
      <c r="AX323" s="46">
        <v>38860</v>
      </c>
      <c r="AY323" s="46">
        <v>38230</v>
      </c>
      <c r="AZ323" s="46">
        <v>38930</v>
      </c>
      <c r="BA323" s="46">
        <v>39890</v>
      </c>
      <c r="BB323" s="46">
        <v>40290</v>
      </c>
      <c r="BC323" s="46">
        <v>41170</v>
      </c>
      <c r="BD323" s="46">
        <v>43760</v>
      </c>
      <c r="BE323" s="46">
        <v>45430</v>
      </c>
      <c r="BF323" s="46">
        <v>45660</v>
      </c>
      <c r="BG323" s="46">
        <v>46270</v>
      </c>
      <c r="BH323" s="46">
        <v>46340</v>
      </c>
      <c r="BI323" s="46">
        <v>46380</v>
      </c>
    </row>
    <row r="324" spans="1:61" x14ac:dyDescent="0.25">
      <c r="A324" s="11">
        <f>$A$69</f>
        <v>54</v>
      </c>
      <c r="M324" s="11"/>
      <c r="N324" s="11"/>
      <c r="O324" s="11"/>
      <c r="P324" s="11"/>
      <c r="Q324" s="11"/>
      <c r="R324" s="11"/>
      <c r="S324" s="11"/>
      <c r="T324" s="46">
        <v>29070</v>
      </c>
      <c r="U324" s="46">
        <v>30140</v>
      </c>
      <c r="V324" s="46">
        <v>29950</v>
      </c>
      <c r="W324" s="46">
        <v>29210</v>
      </c>
      <c r="X324" s="46">
        <v>28550</v>
      </c>
      <c r="Y324" s="46">
        <v>27700</v>
      </c>
      <c r="Z324" s="46">
        <v>27620</v>
      </c>
      <c r="AA324" s="46">
        <v>28030</v>
      </c>
      <c r="AB324" s="46">
        <v>27850</v>
      </c>
      <c r="AC324" s="46">
        <v>29140</v>
      </c>
      <c r="AD324" s="46">
        <v>30230</v>
      </c>
      <c r="AE324" s="46">
        <v>31190</v>
      </c>
      <c r="AF324" s="46">
        <v>32100</v>
      </c>
      <c r="AG324" s="46">
        <v>33460</v>
      </c>
      <c r="AH324" s="46">
        <v>34430</v>
      </c>
      <c r="AI324" s="46">
        <v>35030</v>
      </c>
      <c r="AJ324" s="46">
        <v>36180</v>
      </c>
      <c r="AK324" s="46">
        <v>38150</v>
      </c>
      <c r="AL324" s="46">
        <v>39340</v>
      </c>
      <c r="AM324" s="46">
        <v>40110</v>
      </c>
      <c r="AN324" s="46">
        <v>41760</v>
      </c>
      <c r="AO324" s="46">
        <v>42520</v>
      </c>
      <c r="AP324" s="46">
        <v>42530</v>
      </c>
      <c r="AQ324" s="46">
        <v>41770</v>
      </c>
      <c r="AR324" s="46">
        <v>40790</v>
      </c>
      <c r="AS324" s="46">
        <v>40480</v>
      </c>
      <c r="AT324" s="46">
        <v>40060</v>
      </c>
      <c r="AU324" s="46">
        <v>38790</v>
      </c>
      <c r="AV324" s="46">
        <v>38670</v>
      </c>
      <c r="AW324" s="46">
        <v>38090</v>
      </c>
      <c r="AX324" s="46">
        <v>39020</v>
      </c>
      <c r="AY324" s="46">
        <v>38730</v>
      </c>
      <c r="AZ324" s="46">
        <v>38100</v>
      </c>
      <c r="BA324" s="46">
        <v>38800</v>
      </c>
      <c r="BB324" s="46">
        <v>39760</v>
      </c>
      <c r="BC324" s="46">
        <v>40160</v>
      </c>
      <c r="BD324" s="46">
        <v>41050</v>
      </c>
      <c r="BE324" s="46">
        <v>43630</v>
      </c>
      <c r="BF324" s="46">
        <v>45290</v>
      </c>
      <c r="BG324" s="46">
        <v>45530</v>
      </c>
      <c r="BH324" s="46">
        <v>46140</v>
      </c>
      <c r="BI324" s="46">
        <v>46210</v>
      </c>
    </row>
    <row r="325" spans="1:61" x14ac:dyDescent="0.25">
      <c r="A325" s="11">
        <f>$A$70</f>
        <v>55</v>
      </c>
      <c r="M325" s="11"/>
      <c r="N325" s="11"/>
      <c r="O325" s="11"/>
      <c r="P325" s="11"/>
      <c r="Q325" s="11"/>
      <c r="R325" s="11"/>
      <c r="S325" s="11"/>
      <c r="T325" s="46">
        <v>28850</v>
      </c>
      <c r="U325" s="46">
        <v>28870</v>
      </c>
      <c r="V325" s="46">
        <v>29950</v>
      </c>
      <c r="W325" s="46">
        <v>29760</v>
      </c>
      <c r="X325" s="46">
        <v>29040</v>
      </c>
      <c r="Y325" s="46">
        <v>28390</v>
      </c>
      <c r="Z325" s="46">
        <v>27540</v>
      </c>
      <c r="AA325" s="46">
        <v>27460</v>
      </c>
      <c r="AB325" s="46">
        <v>27870</v>
      </c>
      <c r="AC325" s="46">
        <v>27700</v>
      </c>
      <c r="AD325" s="46">
        <v>28980</v>
      </c>
      <c r="AE325" s="46">
        <v>30070</v>
      </c>
      <c r="AF325" s="46">
        <v>31020</v>
      </c>
      <c r="AG325" s="46">
        <v>31930</v>
      </c>
      <c r="AH325" s="46">
        <v>33280</v>
      </c>
      <c r="AI325" s="46">
        <v>34250</v>
      </c>
      <c r="AJ325" s="46">
        <v>34850</v>
      </c>
      <c r="AK325" s="46">
        <v>35990</v>
      </c>
      <c r="AL325" s="46">
        <v>37950</v>
      </c>
      <c r="AM325" s="46">
        <v>39140</v>
      </c>
      <c r="AN325" s="46">
        <v>39900</v>
      </c>
      <c r="AO325" s="46">
        <v>41540</v>
      </c>
      <c r="AP325" s="46">
        <v>42300</v>
      </c>
      <c r="AQ325" s="46">
        <v>42310</v>
      </c>
      <c r="AR325" s="46">
        <v>41570</v>
      </c>
      <c r="AS325" s="46">
        <v>40590</v>
      </c>
      <c r="AT325" s="46">
        <v>40280</v>
      </c>
      <c r="AU325" s="46">
        <v>39870</v>
      </c>
      <c r="AV325" s="46">
        <v>38600</v>
      </c>
      <c r="AW325" s="46">
        <v>38480</v>
      </c>
      <c r="AX325" s="46">
        <v>37910</v>
      </c>
      <c r="AY325" s="46">
        <v>38840</v>
      </c>
      <c r="AZ325" s="46">
        <v>38550</v>
      </c>
      <c r="BA325" s="46">
        <v>37930</v>
      </c>
      <c r="BB325" s="46">
        <v>38630</v>
      </c>
      <c r="BC325" s="46">
        <v>39580</v>
      </c>
      <c r="BD325" s="46">
        <v>39980</v>
      </c>
      <c r="BE325" s="46">
        <v>40870</v>
      </c>
      <c r="BF325" s="46">
        <v>43440</v>
      </c>
      <c r="BG325" s="46">
        <v>45100</v>
      </c>
      <c r="BH325" s="46">
        <v>45330</v>
      </c>
      <c r="BI325" s="46">
        <v>45940</v>
      </c>
    </row>
    <row r="326" spans="1:61" x14ac:dyDescent="0.25">
      <c r="A326" s="11">
        <f>$A$71</f>
        <v>56</v>
      </c>
      <c r="M326" s="11"/>
      <c r="N326" s="11"/>
      <c r="O326" s="11"/>
      <c r="P326" s="11"/>
      <c r="Q326" s="11"/>
      <c r="R326" s="11"/>
      <c r="S326" s="11"/>
      <c r="T326" s="46">
        <v>28020</v>
      </c>
      <c r="U326" s="46">
        <v>28680</v>
      </c>
      <c r="V326" s="46">
        <v>28710</v>
      </c>
      <c r="W326" s="46">
        <v>29790</v>
      </c>
      <c r="X326" s="46">
        <v>29610</v>
      </c>
      <c r="Y326" s="46">
        <v>28890</v>
      </c>
      <c r="Z326" s="46">
        <v>28240</v>
      </c>
      <c r="AA326" s="46">
        <v>27390</v>
      </c>
      <c r="AB326" s="46">
        <v>27320</v>
      </c>
      <c r="AC326" s="46">
        <v>27730</v>
      </c>
      <c r="AD326" s="46">
        <v>27550</v>
      </c>
      <c r="AE326" s="46">
        <v>28830</v>
      </c>
      <c r="AF326" s="46">
        <v>29900</v>
      </c>
      <c r="AG326" s="46">
        <v>30850</v>
      </c>
      <c r="AH326" s="46">
        <v>31760</v>
      </c>
      <c r="AI326" s="46">
        <v>33090</v>
      </c>
      <c r="AJ326" s="46">
        <v>34060</v>
      </c>
      <c r="AK326" s="46">
        <v>34650</v>
      </c>
      <c r="AL326" s="46">
        <v>35790</v>
      </c>
      <c r="AM326" s="46">
        <v>37740</v>
      </c>
      <c r="AN326" s="46">
        <v>38910</v>
      </c>
      <c r="AO326" s="46">
        <v>39680</v>
      </c>
      <c r="AP326" s="46">
        <v>41310</v>
      </c>
      <c r="AQ326" s="46">
        <v>42060</v>
      </c>
      <c r="AR326" s="46">
        <v>42070</v>
      </c>
      <c r="AS326" s="46">
        <v>41330</v>
      </c>
      <c r="AT326" s="46">
        <v>40360</v>
      </c>
      <c r="AU326" s="46">
        <v>40050</v>
      </c>
      <c r="AV326" s="46">
        <v>39650</v>
      </c>
      <c r="AW326" s="46">
        <v>38390</v>
      </c>
      <c r="AX326" s="46">
        <v>38270</v>
      </c>
      <c r="AY326" s="46">
        <v>37710</v>
      </c>
      <c r="AZ326" s="46">
        <v>38630</v>
      </c>
      <c r="BA326" s="46">
        <v>38350</v>
      </c>
      <c r="BB326" s="46">
        <v>37730</v>
      </c>
      <c r="BC326" s="46">
        <v>38420</v>
      </c>
      <c r="BD326" s="46">
        <v>39370</v>
      </c>
      <c r="BE326" s="46">
        <v>39780</v>
      </c>
      <c r="BF326" s="46">
        <v>40660</v>
      </c>
      <c r="BG326" s="46">
        <v>43210</v>
      </c>
      <c r="BH326" s="46">
        <v>44860</v>
      </c>
      <c r="BI326" s="46">
        <v>45090</v>
      </c>
    </row>
    <row r="327" spans="1:61" x14ac:dyDescent="0.25">
      <c r="A327" s="11">
        <f>$A$72</f>
        <v>57</v>
      </c>
      <c r="M327" s="11"/>
      <c r="N327" s="11"/>
      <c r="O327" s="11"/>
      <c r="P327" s="11"/>
      <c r="Q327" s="11"/>
      <c r="R327" s="11"/>
      <c r="S327" s="11"/>
      <c r="T327" s="46">
        <v>27200</v>
      </c>
      <c r="U327" s="46">
        <v>27790</v>
      </c>
      <c r="V327" s="46">
        <v>28460</v>
      </c>
      <c r="W327" s="46">
        <v>28490</v>
      </c>
      <c r="X327" s="46">
        <v>29560</v>
      </c>
      <c r="Y327" s="46">
        <v>29380</v>
      </c>
      <c r="Z327" s="46">
        <v>28670</v>
      </c>
      <c r="AA327" s="46">
        <v>28030</v>
      </c>
      <c r="AB327" s="46">
        <v>27190</v>
      </c>
      <c r="AC327" s="46">
        <v>27110</v>
      </c>
      <c r="AD327" s="46">
        <v>27520</v>
      </c>
      <c r="AE327" s="46">
        <v>27350</v>
      </c>
      <c r="AF327" s="46">
        <v>28610</v>
      </c>
      <c r="AG327" s="46">
        <v>29670</v>
      </c>
      <c r="AH327" s="46">
        <v>30610</v>
      </c>
      <c r="AI327" s="46">
        <v>31510</v>
      </c>
      <c r="AJ327" s="46">
        <v>32840</v>
      </c>
      <c r="AK327" s="46">
        <v>33790</v>
      </c>
      <c r="AL327" s="46">
        <v>34380</v>
      </c>
      <c r="AM327" s="46">
        <v>35510</v>
      </c>
      <c r="AN327" s="46">
        <v>37440</v>
      </c>
      <c r="AO327" s="46">
        <v>38610</v>
      </c>
      <c r="AP327" s="46">
        <v>39370</v>
      </c>
      <c r="AQ327" s="46">
        <v>40980</v>
      </c>
      <c r="AR327" s="46">
        <v>41730</v>
      </c>
      <c r="AS327" s="46">
        <v>41740</v>
      </c>
      <c r="AT327" s="46">
        <v>41010</v>
      </c>
      <c r="AU327" s="46">
        <v>40050</v>
      </c>
      <c r="AV327" s="46">
        <v>39750</v>
      </c>
      <c r="AW327" s="46">
        <v>39340</v>
      </c>
      <c r="AX327" s="46">
        <v>38100</v>
      </c>
      <c r="AY327" s="46">
        <v>37990</v>
      </c>
      <c r="AZ327" s="46">
        <v>37430</v>
      </c>
      <c r="BA327" s="46">
        <v>38350</v>
      </c>
      <c r="BB327" s="46">
        <v>38060</v>
      </c>
      <c r="BC327" s="46">
        <v>37450</v>
      </c>
      <c r="BD327" s="46">
        <v>38140</v>
      </c>
      <c r="BE327" s="46">
        <v>39090</v>
      </c>
      <c r="BF327" s="46">
        <v>39490</v>
      </c>
      <c r="BG327" s="46">
        <v>40360</v>
      </c>
      <c r="BH327" s="46">
        <v>42900</v>
      </c>
      <c r="BI327" s="46">
        <v>44540</v>
      </c>
    </row>
    <row r="328" spans="1:61" x14ac:dyDescent="0.25">
      <c r="A328" s="11">
        <f>$A$73</f>
        <v>58</v>
      </c>
      <c r="M328" s="11"/>
      <c r="N328" s="11"/>
      <c r="O328" s="11"/>
      <c r="P328" s="11"/>
      <c r="Q328" s="11"/>
      <c r="R328" s="11"/>
      <c r="S328" s="11"/>
      <c r="T328" s="46">
        <v>26810</v>
      </c>
      <c r="U328" s="46">
        <v>26820</v>
      </c>
      <c r="V328" s="46">
        <v>27420</v>
      </c>
      <c r="W328" s="46">
        <v>28080</v>
      </c>
      <c r="X328" s="46">
        <v>28120</v>
      </c>
      <c r="Y328" s="46">
        <v>29180</v>
      </c>
      <c r="Z328" s="46">
        <v>29010</v>
      </c>
      <c r="AA328" s="46">
        <v>28310</v>
      </c>
      <c r="AB328" s="46">
        <v>27680</v>
      </c>
      <c r="AC328" s="46">
        <v>26860</v>
      </c>
      <c r="AD328" s="46">
        <v>26790</v>
      </c>
      <c r="AE328" s="46">
        <v>27190</v>
      </c>
      <c r="AF328" s="46">
        <v>27020</v>
      </c>
      <c r="AG328" s="46">
        <v>28270</v>
      </c>
      <c r="AH328" s="46">
        <v>29330</v>
      </c>
      <c r="AI328" s="46">
        <v>30250</v>
      </c>
      <c r="AJ328" s="46">
        <v>31140</v>
      </c>
      <c r="AK328" s="46">
        <v>32450</v>
      </c>
      <c r="AL328" s="46">
        <v>33400</v>
      </c>
      <c r="AM328" s="46">
        <v>33990</v>
      </c>
      <c r="AN328" s="46">
        <v>35100</v>
      </c>
      <c r="AO328" s="46">
        <v>37010</v>
      </c>
      <c r="AP328" s="46">
        <v>38170</v>
      </c>
      <c r="AQ328" s="46">
        <v>38920</v>
      </c>
      <c r="AR328" s="46">
        <v>40520</v>
      </c>
      <c r="AS328" s="46">
        <v>41260</v>
      </c>
      <c r="AT328" s="46">
        <v>41280</v>
      </c>
      <c r="AU328" s="46">
        <v>40550</v>
      </c>
      <c r="AV328" s="46">
        <v>39610</v>
      </c>
      <c r="AW328" s="46">
        <v>39310</v>
      </c>
      <c r="AX328" s="46">
        <v>38920</v>
      </c>
      <c r="AY328" s="46">
        <v>37690</v>
      </c>
      <c r="AZ328" s="46">
        <v>37580</v>
      </c>
      <c r="BA328" s="46">
        <v>37030</v>
      </c>
      <c r="BB328" s="46">
        <v>37940</v>
      </c>
      <c r="BC328" s="46">
        <v>37660</v>
      </c>
      <c r="BD328" s="46">
        <v>37060</v>
      </c>
      <c r="BE328" s="46">
        <v>37750</v>
      </c>
      <c r="BF328" s="46">
        <v>38680</v>
      </c>
      <c r="BG328" s="46">
        <v>39080</v>
      </c>
      <c r="BH328" s="46">
        <v>39940</v>
      </c>
      <c r="BI328" s="46">
        <v>42450</v>
      </c>
    </row>
    <row r="329" spans="1:61" x14ac:dyDescent="0.25">
      <c r="A329" s="11">
        <f>$A$74</f>
        <v>59</v>
      </c>
      <c r="M329" s="11"/>
      <c r="N329" s="11"/>
      <c r="O329" s="11"/>
      <c r="P329" s="11"/>
      <c r="Q329" s="11"/>
      <c r="R329" s="11"/>
      <c r="S329" s="11"/>
      <c r="T329" s="46">
        <v>26460</v>
      </c>
      <c r="U329" s="46">
        <v>26180</v>
      </c>
      <c r="V329" s="46">
        <v>26220</v>
      </c>
      <c r="W329" s="46">
        <v>26820</v>
      </c>
      <c r="X329" s="46">
        <v>27490</v>
      </c>
      <c r="Y329" s="46">
        <v>27550</v>
      </c>
      <c r="Z329" s="46">
        <v>28600</v>
      </c>
      <c r="AA329" s="46">
        <v>28460</v>
      </c>
      <c r="AB329" s="46">
        <v>27790</v>
      </c>
      <c r="AC329" s="46">
        <v>27180</v>
      </c>
      <c r="AD329" s="46">
        <v>26390</v>
      </c>
      <c r="AE329" s="46">
        <v>26330</v>
      </c>
      <c r="AF329" s="46">
        <v>26730</v>
      </c>
      <c r="AG329" s="46">
        <v>26580</v>
      </c>
      <c r="AH329" s="46">
        <v>27820</v>
      </c>
      <c r="AI329" s="46">
        <v>28860</v>
      </c>
      <c r="AJ329" s="46">
        <v>29780</v>
      </c>
      <c r="AK329" s="46">
        <v>30660</v>
      </c>
      <c r="AL329" s="46">
        <v>31960</v>
      </c>
      <c r="AM329" s="46">
        <v>32900</v>
      </c>
      <c r="AN329" s="46">
        <v>33480</v>
      </c>
      <c r="AO329" s="46">
        <v>34590</v>
      </c>
      <c r="AP329" s="46">
        <v>36480</v>
      </c>
      <c r="AQ329" s="46">
        <v>37620</v>
      </c>
      <c r="AR329" s="46">
        <v>38360</v>
      </c>
      <c r="AS329" s="46">
        <v>39940</v>
      </c>
      <c r="AT329" s="46">
        <v>40680</v>
      </c>
      <c r="AU329" s="46">
        <v>40700</v>
      </c>
      <c r="AV329" s="46">
        <v>40000</v>
      </c>
      <c r="AW329" s="46">
        <v>39070</v>
      </c>
      <c r="AX329" s="46">
        <v>38780</v>
      </c>
      <c r="AY329" s="46">
        <v>38400</v>
      </c>
      <c r="AZ329" s="46">
        <v>37200</v>
      </c>
      <c r="BA329" s="46">
        <v>37090</v>
      </c>
      <c r="BB329" s="46">
        <v>36550</v>
      </c>
      <c r="BC329" s="46">
        <v>37450</v>
      </c>
      <c r="BD329" s="46">
        <v>37180</v>
      </c>
      <c r="BE329" s="46">
        <v>36600</v>
      </c>
      <c r="BF329" s="46">
        <v>37270</v>
      </c>
      <c r="BG329" s="46">
        <v>38200</v>
      </c>
      <c r="BH329" s="46">
        <v>38590</v>
      </c>
      <c r="BI329" s="46">
        <v>39450</v>
      </c>
    </row>
    <row r="330" spans="1:61" x14ac:dyDescent="0.25">
      <c r="A330" s="11">
        <f>$A$75</f>
        <v>60</v>
      </c>
      <c r="M330" s="11"/>
      <c r="N330" s="11"/>
      <c r="O330" s="11"/>
      <c r="P330" s="11"/>
      <c r="Q330" s="11"/>
      <c r="R330" s="11"/>
      <c r="S330" s="11"/>
      <c r="T330" s="46">
        <v>26240</v>
      </c>
      <c r="U330" s="46">
        <v>25680</v>
      </c>
      <c r="V330" s="46">
        <v>25440</v>
      </c>
      <c r="W330" s="46">
        <v>25500</v>
      </c>
      <c r="X330" s="46">
        <v>26120</v>
      </c>
      <c r="Y330" s="46">
        <v>26790</v>
      </c>
      <c r="Z330" s="46">
        <v>26870</v>
      </c>
      <c r="AA330" s="46">
        <v>27920</v>
      </c>
      <c r="AB330" s="46">
        <v>27800</v>
      </c>
      <c r="AC330" s="46">
        <v>27160</v>
      </c>
      <c r="AD330" s="46">
        <v>26590</v>
      </c>
      <c r="AE330" s="46">
        <v>25830</v>
      </c>
      <c r="AF330" s="46">
        <v>25790</v>
      </c>
      <c r="AG330" s="46">
        <v>26190</v>
      </c>
      <c r="AH330" s="46">
        <v>26060</v>
      </c>
      <c r="AI330" s="46">
        <v>27280</v>
      </c>
      <c r="AJ330" s="46">
        <v>28310</v>
      </c>
      <c r="AK330" s="46">
        <v>29230</v>
      </c>
      <c r="AL330" s="46">
        <v>30100</v>
      </c>
      <c r="AM330" s="46">
        <v>31380</v>
      </c>
      <c r="AN330" s="46">
        <v>32310</v>
      </c>
      <c r="AO330" s="46">
        <v>32890</v>
      </c>
      <c r="AP330" s="46">
        <v>33980</v>
      </c>
      <c r="AQ330" s="46">
        <v>35850</v>
      </c>
      <c r="AR330" s="46">
        <v>36980</v>
      </c>
      <c r="AS330" s="46">
        <v>37720</v>
      </c>
      <c r="AT330" s="46">
        <v>39270</v>
      </c>
      <c r="AU330" s="46">
        <v>40000</v>
      </c>
      <c r="AV330" s="46">
        <v>40030</v>
      </c>
      <c r="AW330" s="46">
        <v>39350</v>
      </c>
      <c r="AX330" s="46">
        <v>38440</v>
      </c>
      <c r="AY330" s="46">
        <v>38170</v>
      </c>
      <c r="AZ330" s="46">
        <v>37790</v>
      </c>
      <c r="BA330" s="46">
        <v>36620</v>
      </c>
      <c r="BB330" s="46">
        <v>36520</v>
      </c>
      <c r="BC330" s="46">
        <v>35990</v>
      </c>
      <c r="BD330" s="46">
        <v>36880</v>
      </c>
      <c r="BE330" s="46">
        <v>36620</v>
      </c>
      <c r="BF330" s="46">
        <v>36040</v>
      </c>
      <c r="BG330" s="46">
        <v>36710</v>
      </c>
      <c r="BH330" s="46">
        <v>37620</v>
      </c>
      <c r="BI330" s="46">
        <v>38010</v>
      </c>
    </row>
    <row r="331" spans="1:61" x14ac:dyDescent="0.25">
      <c r="A331" s="11">
        <f>$A$76</f>
        <v>61</v>
      </c>
      <c r="M331" s="11"/>
      <c r="N331" s="11"/>
      <c r="O331" s="11"/>
      <c r="P331" s="11"/>
      <c r="Q331" s="11"/>
      <c r="R331" s="11"/>
      <c r="S331" s="11"/>
      <c r="T331" s="46">
        <v>25750</v>
      </c>
      <c r="U331" s="46">
        <v>25520</v>
      </c>
      <c r="V331" s="46">
        <v>25000</v>
      </c>
      <c r="W331" s="46">
        <v>24790</v>
      </c>
      <c r="X331" s="46">
        <v>24870</v>
      </c>
      <c r="Y331" s="46">
        <v>25480</v>
      </c>
      <c r="Z331" s="46">
        <v>26160</v>
      </c>
      <c r="AA331" s="46">
        <v>26250</v>
      </c>
      <c r="AB331" s="46">
        <v>27280</v>
      </c>
      <c r="AC331" s="46">
        <v>27170</v>
      </c>
      <c r="AD331" s="46">
        <v>26560</v>
      </c>
      <c r="AE331" s="46">
        <v>26010</v>
      </c>
      <c r="AF331" s="46">
        <v>25280</v>
      </c>
      <c r="AG331" s="46">
        <v>25250</v>
      </c>
      <c r="AH331" s="46">
        <v>25660</v>
      </c>
      <c r="AI331" s="46">
        <v>25530</v>
      </c>
      <c r="AJ331" s="46">
        <v>26730</v>
      </c>
      <c r="AK331" s="46">
        <v>27750</v>
      </c>
      <c r="AL331" s="46">
        <v>28650</v>
      </c>
      <c r="AM331" s="46">
        <v>29510</v>
      </c>
      <c r="AN331" s="46">
        <v>30770</v>
      </c>
      <c r="AO331" s="46">
        <v>31690</v>
      </c>
      <c r="AP331" s="46">
        <v>32260</v>
      </c>
      <c r="AQ331" s="46">
        <v>33330</v>
      </c>
      <c r="AR331" s="46">
        <v>35160</v>
      </c>
      <c r="AS331" s="46">
        <v>36270</v>
      </c>
      <c r="AT331" s="46">
        <v>37000</v>
      </c>
      <c r="AU331" s="46">
        <v>38530</v>
      </c>
      <c r="AV331" s="46">
        <v>39250</v>
      </c>
      <c r="AW331" s="46">
        <v>39290</v>
      </c>
      <c r="AX331" s="46">
        <v>38620</v>
      </c>
      <c r="AY331" s="46">
        <v>37740</v>
      </c>
      <c r="AZ331" s="46">
        <v>37470</v>
      </c>
      <c r="BA331" s="46">
        <v>37110</v>
      </c>
      <c r="BB331" s="46">
        <v>35960</v>
      </c>
      <c r="BC331" s="46">
        <v>35870</v>
      </c>
      <c r="BD331" s="46">
        <v>35350</v>
      </c>
      <c r="BE331" s="46">
        <v>36230</v>
      </c>
      <c r="BF331" s="46">
        <v>35970</v>
      </c>
      <c r="BG331" s="46">
        <v>35410</v>
      </c>
      <c r="BH331" s="46">
        <v>36070</v>
      </c>
      <c r="BI331" s="46">
        <v>36960</v>
      </c>
    </row>
    <row r="332" spans="1:61" x14ac:dyDescent="0.25">
      <c r="A332" s="11">
        <f>$A$77</f>
        <v>62</v>
      </c>
      <c r="M332" s="11"/>
      <c r="N332" s="11"/>
      <c r="O332" s="11"/>
      <c r="P332" s="11"/>
      <c r="Q332" s="11"/>
      <c r="R332" s="11"/>
      <c r="S332" s="11"/>
      <c r="T332" s="46">
        <v>24860</v>
      </c>
      <c r="U332" s="46">
        <v>25100</v>
      </c>
      <c r="V332" s="46">
        <v>24890</v>
      </c>
      <c r="W332" s="46">
        <v>24390</v>
      </c>
      <c r="X332" s="46">
        <v>24200</v>
      </c>
      <c r="Y332" s="46">
        <v>24280</v>
      </c>
      <c r="Z332" s="46">
        <v>24890</v>
      </c>
      <c r="AA332" s="46">
        <v>25550</v>
      </c>
      <c r="AB332" s="46">
        <v>25640</v>
      </c>
      <c r="AC332" s="46">
        <v>26660</v>
      </c>
      <c r="AD332" s="46">
        <v>26550</v>
      </c>
      <c r="AE332" s="46">
        <v>25970</v>
      </c>
      <c r="AF332" s="46">
        <v>25440</v>
      </c>
      <c r="AG332" s="46">
        <v>24730</v>
      </c>
      <c r="AH332" s="46">
        <v>24700</v>
      </c>
      <c r="AI332" s="46">
        <v>25100</v>
      </c>
      <c r="AJ332" s="46">
        <v>24980</v>
      </c>
      <c r="AK332" s="46">
        <v>26150</v>
      </c>
      <c r="AL332" s="46">
        <v>27150</v>
      </c>
      <c r="AM332" s="46">
        <v>28030</v>
      </c>
      <c r="AN332" s="46">
        <v>28870</v>
      </c>
      <c r="AO332" s="46">
        <v>30110</v>
      </c>
      <c r="AP332" s="46">
        <v>31000</v>
      </c>
      <c r="AQ332" s="46">
        <v>31570</v>
      </c>
      <c r="AR332" s="46">
        <v>32620</v>
      </c>
      <c r="AS332" s="46">
        <v>34400</v>
      </c>
      <c r="AT332" s="46">
        <v>35490</v>
      </c>
      <c r="AU332" s="46">
        <v>36210</v>
      </c>
      <c r="AV332" s="46">
        <v>37700</v>
      </c>
      <c r="AW332" s="46">
        <v>38410</v>
      </c>
      <c r="AX332" s="46">
        <v>38450</v>
      </c>
      <c r="AY332" s="46">
        <v>37800</v>
      </c>
      <c r="AZ332" s="46">
        <v>36940</v>
      </c>
      <c r="BA332" s="46">
        <v>36680</v>
      </c>
      <c r="BB332" s="46">
        <v>36330</v>
      </c>
      <c r="BC332" s="46">
        <v>35210</v>
      </c>
      <c r="BD332" s="46">
        <v>35120</v>
      </c>
      <c r="BE332" s="46">
        <v>34620</v>
      </c>
      <c r="BF332" s="46">
        <v>35480</v>
      </c>
      <c r="BG332" s="46">
        <v>35230</v>
      </c>
      <c r="BH332" s="46">
        <v>34690</v>
      </c>
      <c r="BI332" s="46">
        <v>35330</v>
      </c>
    </row>
    <row r="333" spans="1:61" x14ac:dyDescent="0.25">
      <c r="A333" s="11">
        <f>$A$78</f>
        <v>63</v>
      </c>
      <c r="M333" s="11"/>
      <c r="N333" s="11"/>
      <c r="O333" s="11"/>
      <c r="P333" s="11"/>
      <c r="Q333" s="11"/>
      <c r="R333" s="11"/>
      <c r="S333" s="11"/>
      <c r="T333" s="46">
        <v>23440</v>
      </c>
      <c r="U333" s="46">
        <v>24010</v>
      </c>
      <c r="V333" s="46">
        <v>24250</v>
      </c>
      <c r="W333" s="46">
        <v>24070</v>
      </c>
      <c r="X333" s="46">
        <v>23600</v>
      </c>
      <c r="Y333" s="46">
        <v>23420</v>
      </c>
      <c r="Z333" s="46">
        <v>23520</v>
      </c>
      <c r="AA333" s="46">
        <v>24110</v>
      </c>
      <c r="AB333" s="46">
        <v>24760</v>
      </c>
      <c r="AC333" s="46">
        <v>24850</v>
      </c>
      <c r="AD333" s="46">
        <v>25840</v>
      </c>
      <c r="AE333" s="46">
        <v>25750</v>
      </c>
      <c r="AF333" s="46">
        <v>25180</v>
      </c>
      <c r="AG333" s="46">
        <v>24680</v>
      </c>
      <c r="AH333" s="46">
        <v>24000</v>
      </c>
      <c r="AI333" s="46">
        <v>23970</v>
      </c>
      <c r="AJ333" s="46">
        <v>24370</v>
      </c>
      <c r="AK333" s="46">
        <v>24260</v>
      </c>
      <c r="AL333" s="46">
        <v>25400</v>
      </c>
      <c r="AM333" s="46">
        <v>26370</v>
      </c>
      <c r="AN333" s="46">
        <v>27220</v>
      </c>
      <c r="AO333" s="46">
        <v>28050</v>
      </c>
      <c r="AP333" s="46">
        <v>29240</v>
      </c>
      <c r="AQ333" s="46">
        <v>30110</v>
      </c>
      <c r="AR333" s="46">
        <v>30670</v>
      </c>
      <c r="AS333" s="46">
        <v>31690</v>
      </c>
      <c r="AT333" s="46">
        <v>33420</v>
      </c>
      <c r="AU333" s="46">
        <v>34480</v>
      </c>
      <c r="AV333" s="46">
        <v>35180</v>
      </c>
      <c r="AW333" s="46">
        <v>36630</v>
      </c>
      <c r="AX333" s="46">
        <v>37320</v>
      </c>
      <c r="AY333" s="46">
        <v>37360</v>
      </c>
      <c r="AZ333" s="46">
        <v>36730</v>
      </c>
      <c r="BA333" s="46">
        <v>35900</v>
      </c>
      <c r="BB333" s="46">
        <v>35660</v>
      </c>
      <c r="BC333" s="46">
        <v>35320</v>
      </c>
      <c r="BD333" s="46">
        <v>34230</v>
      </c>
      <c r="BE333" s="46">
        <v>34150</v>
      </c>
      <c r="BF333" s="46">
        <v>33670</v>
      </c>
      <c r="BG333" s="46">
        <v>34500</v>
      </c>
      <c r="BH333" s="46">
        <v>34270</v>
      </c>
      <c r="BI333" s="46">
        <v>33740</v>
      </c>
    </row>
    <row r="334" spans="1:61" x14ac:dyDescent="0.25">
      <c r="A334" s="11">
        <f>$A$79</f>
        <v>64</v>
      </c>
      <c r="M334" s="11"/>
      <c r="N334" s="11"/>
      <c r="O334" s="11"/>
      <c r="P334" s="11"/>
      <c r="Q334" s="11"/>
      <c r="R334" s="11"/>
      <c r="S334" s="11"/>
      <c r="T334" s="46">
        <v>21300</v>
      </c>
      <c r="U334" s="46">
        <v>22260</v>
      </c>
      <c r="V334" s="46">
        <v>22810</v>
      </c>
      <c r="W334" s="46">
        <v>23060</v>
      </c>
      <c r="X334" s="46">
        <v>22900</v>
      </c>
      <c r="Y334" s="46">
        <v>22470</v>
      </c>
      <c r="Z334" s="46">
        <v>22310</v>
      </c>
      <c r="AA334" s="46">
        <v>22400</v>
      </c>
      <c r="AB334" s="46">
        <v>22980</v>
      </c>
      <c r="AC334" s="46">
        <v>23600</v>
      </c>
      <c r="AD334" s="46">
        <v>23700</v>
      </c>
      <c r="AE334" s="46">
        <v>24640</v>
      </c>
      <c r="AF334" s="46">
        <v>24560</v>
      </c>
      <c r="AG334" s="46">
        <v>24030</v>
      </c>
      <c r="AH334" s="46">
        <v>23550</v>
      </c>
      <c r="AI334" s="46">
        <v>22910</v>
      </c>
      <c r="AJ334" s="46">
        <v>22890</v>
      </c>
      <c r="AK334" s="46">
        <v>23270</v>
      </c>
      <c r="AL334" s="46">
        <v>23170</v>
      </c>
      <c r="AM334" s="46">
        <v>24260</v>
      </c>
      <c r="AN334" s="46">
        <v>25190</v>
      </c>
      <c r="AO334" s="46">
        <v>26010</v>
      </c>
      <c r="AP334" s="46">
        <v>26800</v>
      </c>
      <c r="AQ334" s="46">
        <v>27940</v>
      </c>
      <c r="AR334" s="46">
        <v>28780</v>
      </c>
      <c r="AS334" s="46">
        <v>29310</v>
      </c>
      <c r="AT334" s="46">
        <v>30280</v>
      </c>
      <c r="AU334" s="46">
        <v>31940</v>
      </c>
      <c r="AV334" s="46">
        <v>32950</v>
      </c>
      <c r="AW334" s="46">
        <v>33620</v>
      </c>
      <c r="AX334" s="46">
        <v>35010</v>
      </c>
      <c r="AY334" s="46">
        <v>35670</v>
      </c>
      <c r="AZ334" s="46">
        <v>35710</v>
      </c>
      <c r="BA334" s="46">
        <v>35120</v>
      </c>
      <c r="BB334" s="46">
        <v>34330</v>
      </c>
      <c r="BC334" s="46">
        <v>34090</v>
      </c>
      <c r="BD334" s="46">
        <v>33780</v>
      </c>
      <c r="BE334" s="46">
        <v>32740</v>
      </c>
      <c r="BF334" s="46">
        <v>32670</v>
      </c>
      <c r="BG334" s="46">
        <v>32210</v>
      </c>
      <c r="BH334" s="46">
        <v>33010</v>
      </c>
      <c r="BI334" s="46">
        <v>32780</v>
      </c>
    </row>
    <row r="335" spans="1:61" x14ac:dyDescent="0.25">
      <c r="A335" s="11">
        <f>$A$80</f>
        <v>65</v>
      </c>
      <c r="M335" s="11"/>
      <c r="N335" s="11"/>
      <c r="O335" s="11"/>
      <c r="P335" s="11"/>
      <c r="Q335" s="11"/>
      <c r="R335" s="11"/>
      <c r="S335" s="11"/>
      <c r="T335" s="46">
        <v>18700</v>
      </c>
      <c r="U335" s="46">
        <v>19030</v>
      </c>
      <c r="V335" s="46">
        <v>19900</v>
      </c>
      <c r="W335" s="46">
        <v>20410</v>
      </c>
      <c r="X335" s="46">
        <v>20640</v>
      </c>
      <c r="Y335" s="46">
        <v>20500</v>
      </c>
      <c r="Z335" s="46">
        <v>20130</v>
      </c>
      <c r="AA335" s="46">
        <v>19990</v>
      </c>
      <c r="AB335" s="46">
        <v>20090</v>
      </c>
      <c r="AC335" s="46">
        <v>20610</v>
      </c>
      <c r="AD335" s="46">
        <v>21170</v>
      </c>
      <c r="AE335" s="46">
        <v>21260</v>
      </c>
      <c r="AF335" s="46">
        <v>22110</v>
      </c>
      <c r="AG335" s="46">
        <v>22050</v>
      </c>
      <c r="AH335" s="46">
        <v>21580</v>
      </c>
      <c r="AI335" s="46">
        <v>21160</v>
      </c>
      <c r="AJ335" s="46">
        <v>20590</v>
      </c>
      <c r="AK335" s="46">
        <v>20580</v>
      </c>
      <c r="AL335" s="46">
        <v>20920</v>
      </c>
      <c r="AM335" s="46">
        <v>20830</v>
      </c>
      <c r="AN335" s="46">
        <v>21810</v>
      </c>
      <c r="AO335" s="46">
        <v>22650</v>
      </c>
      <c r="AP335" s="46">
        <v>23390</v>
      </c>
      <c r="AQ335" s="46">
        <v>24100</v>
      </c>
      <c r="AR335" s="46">
        <v>25130</v>
      </c>
      <c r="AS335" s="46">
        <v>25880</v>
      </c>
      <c r="AT335" s="46">
        <v>26360</v>
      </c>
      <c r="AU335" s="46">
        <v>27240</v>
      </c>
      <c r="AV335" s="46">
        <v>28730</v>
      </c>
      <c r="AW335" s="46">
        <v>29640</v>
      </c>
      <c r="AX335" s="46">
        <v>30250</v>
      </c>
      <c r="AY335" s="46">
        <v>31500</v>
      </c>
      <c r="AZ335" s="46">
        <v>32090</v>
      </c>
      <c r="BA335" s="46">
        <v>32130</v>
      </c>
      <c r="BB335" s="46">
        <v>31600</v>
      </c>
      <c r="BC335" s="46">
        <v>30900</v>
      </c>
      <c r="BD335" s="46">
        <v>30690</v>
      </c>
      <c r="BE335" s="46">
        <v>30410</v>
      </c>
      <c r="BF335" s="46">
        <v>29480</v>
      </c>
      <c r="BG335" s="46">
        <v>29410</v>
      </c>
      <c r="BH335" s="46">
        <v>29010</v>
      </c>
      <c r="BI335" s="46">
        <v>29720</v>
      </c>
    </row>
    <row r="336" spans="1:61" x14ac:dyDescent="0.25">
      <c r="A336" s="11">
        <f>$A$81</f>
        <v>66</v>
      </c>
      <c r="M336" s="11"/>
      <c r="N336" s="11"/>
      <c r="O336" s="11"/>
      <c r="P336" s="11"/>
      <c r="Q336" s="11"/>
      <c r="R336" s="11"/>
      <c r="S336" s="11"/>
      <c r="T336" s="46">
        <v>16140</v>
      </c>
      <c r="U336" s="46">
        <v>16870</v>
      </c>
      <c r="V336" s="46">
        <v>17180</v>
      </c>
      <c r="W336" s="46">
        <v>17980</v>
      </c>
      <c r="X336" s="46">
        <v>18450</v>
      </c>
      <c r="Y336" s="46">
        <v>18670</v>
      </c>
      <c r="Z336" s="46">
        <v>18550</v>
      </c>
      <c r="AA336" s="46">
        <v>18220</v>
      </c>
      <c r="AB336" s="46">
        <v>18110</v>
      </c>
      <c r="AC336" s="46">
        <v>18200</v>
      </c>
      <c r="AD336" s="46">
        <v>18670</v>
      </c>
      <c r="AE336" s="46">
        <v>19180</v>
      </c>
      <c r="AF336" s="46">
        <v>19280</v>
      </c>
      <c r="AG336" s="46">
        <v>20050</v>
      </c>
      <c r="AH336" s="46">
        <v>20000</v>
      </c>
      <c r="AI336" s="46">
        <v>19580</v>
      </c>
      <c r="AJ336" s="46">
        <v>19200</v>
      </c>
      <c r="AK336" s="46">
        <v>18690</v>
      </c>
      <c r="AL336" s="46">
        <v>18680</v>
      </c>
      <c r="AM336" s="46">
        <v>19000</v>
      </c>
      <c r="AN336" s="46">
        <v>18920</v>
      </c>
      <c r="AO336" s="46">
        <v>19820</v>
      </c>
      <c r="AP336" s="46">
        <v>20580</v>
      </c>
      <c r="AQ336" s="46">
        <v>21250</v>
      </c>
      <c r="AR336" s="46">
        <v>21900</v>
      </c>
      <c r="AS336" s="46">
        <v>22830</v>
      </c>
      <c r="AT336" s="46">
        <v>23520</v>
      </c>
      <c r="AU336" s="46">
        <v>23960</v>
      </c>
      <c r="AV336" s="46">
        <v>24760</v>
      </c>
      <c r="AW336" s="46">
        <v>26110</v>
      </c>
      <c r="AX336" s="46">
        <v>26940</v>
      </c>
      <c r="AY336" s="46">
        <v>27490</v>
      </c>
      <c r="AZ336" s="46">
        <v>28630</v>
      </c>
      <c r="BA336" s="46">
        <v>29170</v>
      </c>
      <c r="BB336" s="46">
        <v>29210</v>
      </c>
      <c r="BC336" s="46">
        <v>28730</v>
      </c>
      <c r="BD336" s="46">
        <v>28100</v>
      </c>
      <c r="BE336" s="46">
        <v>27910</v>
      </c>
      <c r="BF336" s="46">
        <v>27660</v>
      </c>
      <c r="BG336" s="46">
        <v>26820</v>
      </c>
      <c r="BH336" s="46">
        <v>26760</v>
      </c>
      <c r="BI336" s="46">
        <v>26390</v>
      </c>
    </row>
    <row r="337" spans="1:61" x14ac:dyDescent="0.25">
      <c r="A337" s="11">
        <f>$A$82</f>
        <v>67</v>
      </c>
      <c r="M337" s="11"/>
      <c r="N337" s="11"/>
      <c r="O337" s="11"/>
      <c r="P337" s="11"/>
      <c r="Q337" s="11"/>
      <c r="R337" s="11"/>
      <c r="S337" s="11"/>
      <c r="T337" s="46">
        <v>14040</v>
      </c>
      <c r="U337" s="46">
        <v>14500</v>
      </c>
      <c r="V337" s="46">
        <v>15160</v>
      </c>
      <c r="W337" s="46">
        <v>15450</v>
      </c>
      <c r="X337" s="46">
        <v>16170</v>
      </c>
      <c r="Y337" s="46">
        <v>16600</v>
      </c>
      <c r="Z337" s="46">
        <v>16810</v>
      </c>
      <c r="AA337" s="46">
        <v>16710</v>
      </c>
      <c r="AB337" s="46">
        <v>16420</v>
      </c>
      <c r="AC337" s="46">
        <v>16320</v>
      </c>
      <c r="AD337" s="46">
        <v>16410</v>
      </c>
      <c r="AE337" s="46">
        <v>16840</v>
      </c>
      <c r="AF337" s="46">
        <v>17310</v>
      </c>
      <c r="AG337" s="46">
        <v>17390</v>
      </c>
      <c r="AH337" s="46">
        <v>18100</v>
      </c>
      <c r="AI337" s="46">
        <v>18050</v>
      </c>
      <c r="AJ337" s="46">
        <v>17680</v>
      </c>
      <c r="AK337" s="46">
        <v>17340</v>
      </c>
      <c r="AL337" s="46">
        <v>16880</v>
      </c>
      <c r="AM337" s="46">
        <v>16880</v>
      </c>
      <c r="AN337" s="46">
        <v>17170</v>
      </c>
      <c r="AO337" s="46">
        <v>17100</v>
      </c>
      <c r="AP337" s="46">
        <v>17910</v>
      </c>
      <c r="AQ337" s="46">
        <v>18600</v>
      </c>
      <c r="AR337" s="46">
        <v>19210</v>
      </c>
      <c r="AS337" s="46">
        <v>19800</v>
      </c>
      <c r="AT337" s="46">
        <v>20650</v>
      </c>
      <c r="AU337" s="46">
        <v>21270</v>
      </c>
      <c r="AV337" s="46">
        <v>21660</v>
      </c>
      <c r="AW337" s="46">
        <v>22390</v>
      </c>
      <c r="AX337" s="46">
        <v>23620</v>
      </c>
      <c r="AY337" s="46">
        <v>24370</v>
      </c>
      <c r="AZ337" s="46">
        <v>24870</v>
      </c>
      <c r="BA337" s="46">
        <v>25900</v>
      </c>
      <c r="BB337" s="46">
        <v>26390</v>
      </c>
      <c r="BC337" s="46">
        <v>26430</v>
      </c>
      <c r="BD337" s="46">
        <v>26000</v>
      </c>
      <c r="BE337" s="46">
        <v>25430</v>
      </c>
      <c r="BF337" s="46">
        <v>25260</v>
      </c>
      <c r="BG337" s="46">
        <v>25030</v>
      </c>
      <c r="BH337" s="46">
        <v>24280</v>
      </c>
      <c r="BI337" s="46">
        <v>24230</v>
      </c>
    </row>
    <row r="338" spans="1:61" x14ac:dyDescent="0.25">
      <c r="A338" s="11">
        <f>$A$83</f>
        <v>68</v>
      </c>
      <c r="M338" s="11"/>
      <c r="N338" s="11"/>
      <c r="O338" s="11"/>
      <c r="P338" s="11"/>
      <c r="Q338" s="11"/>
      <c r="R338" s="11"/>
      <c r="S338" s="11"/>
      <c r="T338" s="46">
        <v>12180</v>
      </c>
      <c r="U338" s="46">
        <v>12550</v>
      </c>
      <c r="V338" s="46">
        <v>12970</v>
      </c>
      <c r="W338" s="46">
        <v>13570</v>
      </c>
      <c r="X338" s="46">
        <v>13830</v>
      </c>
      <c r="Y338" s="46">
        <v>14480</v>
      </c>
      <c r="Z338" s="46">
        <v>14870</v>
      </c>
      <c r="AA338" s="46">
        <v>15060</v>
      </c>
      <c r="AB338" s="46">
        <v>14980</v>
      </c>
      <c r="AC338" s="46">
        <v>14720</v>
      </c>
      <c r="AD338" s="46">
        <v>14640</v>
      </c>
      <c r="AE338" s="46">
        <v>14720</v>
      </c>
      <c r="AF338" s="46">
        <v>15120</v>
      </c>
      <c r="AG338" s="46">
        <v>15540</v>
      </c>
      <c r="AH338" s="46">
        <v>15620</v>
      </c>
      <c r="AI338" s="46">
        <v>16250</v>
      </c>
      <c r="AJ338" s="46">
        <v>16220</v>
      </c>
      <c r="AK338" s="46">
        <v>15890</v>
      </c>
      <c r="AL338" s="46">
        <v>15590</v>
      </c>
      <c r="AM338" s="46">
        <v>15180</v>
      </c>
      <c r="AN338" s="46">
        <v>15180</v>
      </c>
      <c r="AO338" s="46">
        <v>15440</v>
      </c>
      <c r="AP338" s="46">
        <v>15390</v>
      </c>
      <c r="AQ338" s="46">
        <v>16110</v>
      </c>
      <c r="AR338" s="46">
        <v>16730</v>
      </c>
      <c r="AS338" s="46">
        <v>17280</v>
      </c>
      <c r="AT338" s="46">
        <v>17810</v>
      </c>
      <c r="AU338" s="46">
        <v>18580</v>
      </c>
      <c r="AV338" s="46">
        <v>19140</v>
      </c>
      <c r="AW338" s="46">
        <v>19500</v>
      </c>
      <c r="AX338" s="46">
        <v>20150</v>
      </c>
      <c r="AY338" s="46">
        <v>21260</v>
      </c>
      <c r="AZ338" s="46">
        <v>21940</v>
      </c>
      <c r="BA338" s="46">
        <v>22390</v>
      </c>
      <c r="BB338" s="46">
        <v>23310</v>
      </c>
      <c r="BC338" s="46">
        <v>23760</v>
      </c>
      <c r="BD338" s="46">
        <v>23800</v>
      </c>
      <c r="BE338" s="46">
        <v>23410</v>
      </c>
      <c r="BF338" s="46">
        <v>22900</v>
      </c>
      <c r="BG338" s="46">
        <v>22750</v>
      </c>
      <c r="BH338" s="46">
        <v>22550</v>
      </c>
      <c r="BI338" s="46">
        <v>21870</v>
      </c>
    </row>
    <row r="339" spans="1:61" x14ac:dyDescent="0.25">
      <c r="A339" s="11">
        <f>$A$84</f>
        <v>69</v>
      </c>
      <c r="M339" s="11"/>
      <c r="N339" s="11"/>
      <c r="O339" s="11"/>
      <c r="P339" s="11"/>
      <c r="Q339" s="11"/>
      <c r="R339" s="11"/>
      <c r="S339" s="11"/>
      <c r="T339" s="46">
        <v>10460</v>
      </c>
      <c r="U339" s="46">
        <v>10830</v>
      </c>
      <c r="V339" s="46">
        <v>11170</v>
      </c>
      <c r="W339" s="46">
        <v>11550</v>
      </c>
      <c r="X339" s="46">
        <v>12090</v>
      </c>
      <c r="Y339" s="46">
        <v>12330</v>
      </c>
      <c r="Z339" s="46">
        <v>12910</v>
      </c>
      <c r="AA339" s="46">
        <v>13260</v>
      </c>
      <c r="AB339" s="46">
        <v>13440</v>
      </c>
      <c r="AC339" s="46">
        <v>13370</v>
      </c>
      <c r="AD339" s="46">
        <v>13140</v>
      </c>
      <c r="AE339" s="46">
        <v>13070</v>
      </c>
      <c r="AF339" s="46">
        <v>13150</v>
      </c>
      <c r="AG339" s="46">
        <v>13500</v>
      </c>
      <c r="AH339" s="46">
        <v>13880</v>
      </c>
      <c r="AI339" s="46">
        <v>13960</v>
      </c>
      <c r="AJ339" s="46">
        <v>14530</v>
      </c>
      <c r="AK339" s="46">
        <v>14500</v>
      </c>
      <c r="AL339" s="46">
        <v>14210</v>
      </c>
      <c r="AM339" s="46">
        <v>13940</v>
      </c>
      <c r="AN339" s="46">
        <v>13580</v>
      </c>
      <c r="AO339" s="46">
        <v>13580</v>
      </c>
      <c r="AP339" s="46">
        <v>13820</v>
      </c>
      <c r="AQ339" s="46">
        <v>13770</v>
      </c>
      <c r="AR339" s="46">
        <v>14420</v>
      </c>
      <c r="AS339" s="46">
        <v>14980</v>
      </c>
      <c r="AT339" s="46">
        <v>15470</v>
      </c>
      <c r="AU339" s="46">
        <v>15950</v>
      </c>
      <c r="AV339" s="46">
        <v>16640</v>
      </c>
      <c r="AW339" s="46">
        <v>17140</v>
      </c>
      <c r="AX339" s="46">
        <v>17460</v>
      </c>
      <c r="AY339" s="46">
        <v>18050</v>
      </c>
      <c r="AZ339" s="46">
        <v>19040</v>
      </c>
      <c r="BA339" s="46">
        <v>19650</v>
      </c>
      <c r="BB339" s="46">
        <v>20060</v>
      </c>
      <c r="BC339" s="46">
        <v>20890</v>
      </c>
      <c r="BD339" s="46">
        <v>21290</v>
      </c>
      <c r="BE339" s="46">
        <v>21330</v>
      </c>
      <c r="BF339" s="46">
        <v>20980</v>
      </c>
      <c r="BG339" s="46">
        <v>20530</v>
      </c>
      <c r="BH339" s="46">
        <v>20400</v>
      </c>
      <c r="BI339" s="46">
        <v>20220</v>
      </c>
    </row>
    <row r="340" spans="1:61" x14ac:dyDescent="0.25">
      <c r="A340" s="11">
        <f>$A$85</f>
        <v>70</v>
      </c>
      <c r="M340" s="11"/>
      <c r="N340" s="11"/>
      <c r="O340" s="11"/>
      <c r="P340" s="11"/>
      <c r="Q340" s="11"/>
      <c r="R340" s="11"/>
      <c r="S340" s="11"/>
      <c r="T340" s="46">
        <v>8980</v>
      </c>
      <c r="U340" s="46">
        <v>9250</v>
      </c>
      <c r="V340" s="46">
        <v>9590</v>
      </c>
      <c r="W340" s="46">
        <v>9890</v>
      </c>
      <c r="X340" s="46">
        <v>10230</v>
      </c>
      <c r="Y340" s="46">
        <v>10710</v>
      </c>
      <c r="Z340" s="46">
        <v>10930</v>
      </c>
      <c r="AA340" s="46">
        <v>11450</v>
      </c>
      <c r="AB340" s="46">
        <v>11770</v>
      </c>
      <c r="AC340" s="46">
        <v>11930</v>
      </c>
      <c r="AD340" s="46">
        <v>11870</v>
      </c>
      <c r="AE340" s="46">
        <v>11670</v>
      </c>
      <c r="AF340" s="46">
        <v>11610</v>
      </c>
      <c r="AG340" s="46">
        <v>11680</v>
      </c>
      <c r="AH340" s="46">
        <v>12000</v>
      </c>
      <c r="AI340" s="46">
        <v>12340</v>
      </c>
      <c r="AJ340" s="46">
        <v>12410</v>
      </c>
      <c r="AK340" s="46">
        <v>12920</v>
      </c>
      <c r="AL340" s="46">
        <v>12900</v>
      </c>
      <c r="AM340" s="46">
        <v>12640</v>
      </c>
      <c r="AN340" s="46">
        <v>12410</v>
      </c>
      <c r="AO340" s="46">
        <v>12090</v>
      </c>
      <c r="AP340" s="46">
        <v>12090</v>
      </c>
      <c r="AQ340" s="46">
        <v>12300</v>
      </c>
      <c r="AR340" s="46">
        <v>12260</v>
      </c>
      <c r="AS340" s="46">
        <v>12840</v>
      </c>
      <c r="AT340" s="46">
        <v>13340</v>
      </c>
      <c r="AU340" s="46">
        <v>13780</v>
      </c>
      <c r="AV340" s="46">
        <v>14210</v>
      </c>
      <c r="AW340" s="46">
        <v>14820</v>
      </c>
      <c r="AX340" s="46">
        <v>15270</v>
      </c>
      <c r="AY340" s="46">
        <v>15560</v>
      </c>
      <c r="AZ340" s="46">
        <v>16090</v>
      </c>
      <c r="BA340" s="46">
        <v>16970</v>
      </c>
      <c r="BB340" s="46">
        <v>17510</v>
      </c>
      <c r="BC340" s="46">
        <v>17880</v>
      </c>
      <c r="BD340" s="46">
        <v>18620</v>
      </c>
      <c r="BE340" s="46">
        <v>18980</v>
      </c>
      <c r="BF340" s="46">
        <v>19010</v>
      </c>
      <c r="BG340" s="46">
        <v>18710</v>
      </c>
      <c r="BH340" s="46">
        <v>18310</v>
      </c>
      <c r="BI340" s="46">
        <v>18190</v>
      </c>
    </row>
    <row r="341" spans="1:61" x14ac:dyDescent="0.25">
      <c r="A341" s="11">
        <f>$A$86</f>
        <v>71</v>
      </c>
      <c r="M341" s="11"/>
      <c r="N341" s="11"/>
      <c r="O341" s="11"/>
      <c r="P341" s="11"/>
      <c r="Q341" s="11"/>
      <c r="R341" s="11"/>
      <c r="S341" s="11"/>
      <c r="T341" s="46">
        <v>7560</v>
      </c>
      <c r="U341" s="46">
        <v>7900</v>
      </c>
      <c r="V341" s="46">
        <v>8140</v>
      </c>
      <c r="W341" s="46">
        <v>8450</v>
      </c>
      <c r="X341" s="46">
        <v>8720</v>
      </c>
      <c r="Y341" s="46">
        <v>9020</v>
      </c>
      <c r="Z341" s="46">
        <v>9450</v>
      </c>
      <c r="AA341" s="46">
        <v>9640</v>
      </c>
      <c r="AB341" s="46">
        <v>10110</v>
      </c>
      <c r="AC341" s="46">
        <v>10390</v>
      </c>
      <c r="AD341" s="46">
        <v>10530</v>
      </c>
      <c r="AE341" s="46">
        <v>10480</v>
      </c>
      <c r="AF341" s="46">
        <v>10310</v>
      </c>
      <c r="AG341" s="46">
        <v>10260</v>
      </c>
      <c r="AH341" s="46">
        <v>10330</v>
      </c>
      <c r="AI341" s="46">
        <v>10610</v>
      </c>
      <c r="AJ341" s="46">
        <v>10910</v>
      </c>
      <c r="AK341" s="46">
        <v>10980</v>
      </c>
      <c r="AL341" s="46">
        <v>11430</v>
      </c>
      <c r="AM341" s="46">
        <v>11410</v>
      </c>
      <c r="AN341" s="46">
        <v>11180</v>
      </c>
      <c r="AO341" s="46">
        <v>10980</v>
      </c>
      <c r="AP341" s="46">
        <v>10700</v>
      </c>
      <c r="AQ341" s="46">
        <v>10700</v>
      </c>
      <c r="AR341" s="46">
        <v>10890</v>
      </c>
      <c r="AS341" s="46">
        <v>10860</v>
      </c>
      <c r="AT341" s="46">
        <v>11380</v>
      </c>
      <c r="AU341" s="46">
        <v>11820</v>
      </c>
      <c r="AV341" s="46">
        <v>12210</v>
      </c>
      <c r="AW341" s="46">
        <v>12590</v>
      </c>
      <c r="AX341" s="46">
        <v>13130</v>
      </c>
      <c r="AY341" s="46">
        <v>13530</v>
      </c>
      <c r="AZ341" s="46">
        <v>13790</v>
      </c>
      <c r="BA341" s="46">
        <v>14260</v>
      </c>
      <c r="BB341" s="46">
        <v>15040</v>
      </c>
      <c r="BC341" s="46">
        <v>15530</v>
      </c>
      <c r="BD341" s="46">
        <v>15850</v>
      </c>
      <c r="BE341" s="46">
        <v>16510</v>
      </c>
      <c r="BF341" s="46">
        <v>16840</v>
      </c>
      <c r="BG341" s="46">
        <v>16870</v>
      </c>
      <c r="BH341" s="46">
        <v>16600</v>
      </c>
      <c r="BI341" s="46">
        <v>16240</v>
      </c>
    </row>
    <row r="342" spans="1:61" x14ac:dyDescent="0.25">
      <c r="A342" s="11">
        <f>$A$87</f>
        <v>72</v>
      </c>
      <c r="M342" s="11"/>
      <c r="N342" s="11"/>
      <c r="O342" s="11"/>
      <c r="P342" s="11"/>
      <c r="Q342" s="11"/>
      <c r="R342" s="11"/>
      <c r="S342" s="11"/>
      <c r="T342" s="46">
        <v>6460</v>
      </c>
      <c r="U342" s="46">
        <v>6620</v>
      </c>
      <c r="V342" s="46">
        <v>6930</v>
      </c>
      <c r="W342" s="46">
        <v>7140</v>
      </c>
      <c r="X342" s="46">
        <v>7410</v>
      </c>
      <c r="Y342" s="46">
        <v>7660</v>
      </c>
      <c r="Z342" s="46">
        <v>7920</v>
      </c>
      <c r="AA342" s="46">
        <v>8300</v>
      </c>
      <c r="AB342" s="46">
        <v>8470</v>
      </c>
      <c r="AC342" s="46">
        <v>8890</v>
      </c>
      <c r="AD342" s="46">
        <v>9140</v>
      </c>
      <c r="AE342" s="46">
        <v>9260</v>
      </c>
      <c r="AF342" s="46">
        <v>9220</v>
      </c>
      <c r="AG342" s="46">
        <v>9080</v>
      </c>
      <c r="AH342" s="46">
        <v>9030</v>
      </c>
      <c r="AI342" s="46">
        <v>9090</v>
      </c>
      <c r="AJ342" s="46">
        <v>9340</v>
      </c>
      <c r="AK342" s="46">
        <v>9610</v>
      </c>
      <c r="AL342" s="46">
        <v>9670</v>
      </c>
      <c r="AM342" s="46">
        <v>10070</v>
      </c>
      <c r="AN342" s="46">
        <v>10060</v>
      </c>
      <c r="AO342" s="46">
        <v>9860</v>
      </c>
      <c r="AP342" s="46">
        <v>9680</v>
      </c>
      <c r="AQ342" s="46">
        <v>9440</v>
      </c>
      <c r="AR342" s="46">
        <v>9440</v>
      </c>
      <c r="AS342" s="46">
        <v>9610</v>
      </c>
      <c r="AT342" s="46">
        <v>9580</v>
      </c>
      <c r="AU342" s="46">
        <v>10040</v>
      </c>
      <c r="AV342" s="46">
        <v>10430</v>
      </c>
      <c r="AW342" s="46">
        <v>10780</v>
      </c>
      <c r="AX342" s="46">
        <v>11120</v>
      </c>
      <c r="AY342" s="46">
        <v>11600</v>
      </c>
      <c r="AZ342" s="46">
        <v>11950</v>
      </c>
      <c r="BA342" s="46">
        <v>12180</v>
      </c>
      <c r="BB342" s="46">
        <v>12600</v>
      </c>
      <c r="BC342" s="46">
        <v>13290</v>
      </c>
      <c r="BD342" s="46">
        <v>13720</v>
      </c>
      <c r="BE342" s="46">
        <v>14010</v>
      </c>
      <c r="BF342" s="46">
        <v>14600</v>
      </c>
      <c r="BG342" s="46">
        <v>14880</v>
      </c>
      <c r="BH342" s="46">
        <v>14910</v>
      </c>
      <c r="BI342" s="46">
        <v>14680</v>
      </c>
    </row>
    <row r="343" spans="1:61" x14ac:dyDescent="0.25">
      <c r="A343" s="11">
        <f>$A$88</f>
        <v>73</v>
      </c>
      <c r="M343" s="11"/>
      <c r="N343" s="11"/>
      <c r="O343" s="11"/>
      <c r="P343" s="11"/>
      <c r="Q343" s="11"/>
      <c r="R343" s="11"/>
      <c r="S343" s="11"/>
      <c r="T343" s="46">
        <v>5510</v>
      </c>
      <c r="U343" s="46">
        <v>5640</v>
      </c>
      <c r="V343" s="46">
        <v>5790</v>
      </c>
      <c r="W343" s="46">
        <v>6060</v>
      </c>
      <c r="X343" s="46">
        <v>6250</v>
      </c>
      <c r="Y343" s="46">
        <v>6490</v>
      </c>
      <c r="Z343" s="46">
        <v>6700</v>
      </c>
      <c r="AA343" s="46">
        <v>6940</v>
      </c>
      <c r="AB343" s="46">
        <v>7270</v>
      </c>
      <c r="AC343" s="46">
        <v>7430</v>
      </c>
      <c r="AD343" s="46">
        <v>7790</v>
      </c>
      <c r="AE343" s="46">
        <v>8010</v>
      </c>
      <c r="AF343" s="46">
        <v>8130</v>
      </c>
      <c r="AG343" s="46">
        <v>8090</v>
      </c>
      <c r="AH343" s="46">
        <v>7970</v>
      </c>
      <c r="AI343" s="46">
        <v>7930</v>
      </c>
      <c r="AJ343" s="46">
        <v>7990</v>
      </c>
      <c r="AK343" s="46">
        <v>8210</v>
      </c>
      <c r="AL343" s="46">
        <v>8450</v>
      </c>
      <c r="AM343" s="46">
        <v>8500</v>
      </c>
      <c r="AN343" s="46">
        <v>8850</v>
      </c>
      <c r="AO343" s="46">
        <v>8840</v>
      </c>
      <c r="AP343" s="46">
        <v>8670</v>
      </c>
      <c r="AQ343" s="46">
        <v>8520</v>
      </c>
      <c r="AR343" s="46">
        <v>8300</v>
      </c>
      <c r="AS343" s="46">
        <v>8310</v>
      </c>
      <c r="AT343" s="46">
        <v>8460</v>
      </c>
      <c r="AU343" s="46">
        <v>8430</v>
      </c>
      <c r="AV343" s="46">
        <v>8840</v>
      </c>
      <c r="AW343" s="46">
        <v>9190</v>
      </c>
      <c r="AX343" s="46">
        <v>9490</v>
      </c>
      <c r="AY343" s="46">
        <v>9790</v>
      </c>
      <c r="AZ343" s="46">
        <v>10220</v>
      </c>
      <c r="BA343" s="46">
        <v>10530</v>
      </c>
      <c r="BB343" s="46">
        <v>10740</v>
      </c>
      <c r="BC343" s="46">
        <v>11100</v>
      </c>
      <c r="BD343" s="46">
        <v>11720</v>
      </c>
      <c r="BE343" s="46">
        <v>12100</v>
      </c>
      <c r="BF343" s="46">
        <v>12350</v>
      </c>
      <c r="BG343" s="46">
        <v>12870</v>
      </c>
      <c r="BH343" s="46">
        <v>13130</v>
      </c>
      <c r="BI343" s="46">
        <v>13150</v>
      </c>
    </row>
    <row r="344" spans="1:61" x14ac:dyDescent="0.25">
      <c r="A344" s="11">
        <f>$A$89</f>
        <v>74</v>
      </c>
      <c r="M344" s="11"/>
      <c r="N344" s="11"/>
      <c r="O344" s="11"/>
      <c r="P344" s="11"/>
      <c r="Q344" s="11"/>
      <c r="R344" s="11"/>
      <c r="S344" s="11"/>
      <c r="T344" s="46">
        <v>4740</v>
      </c>
      <c r="U344" s="46">
        <v>4800</v>
      </c>
      <c r="V344" s="46">
        <v>4920</v>
      </c>
      <c r="W344" s="46">
        <v>5050</v>
      </c>
      <c r="X344" s="46">
        <v>5290</v>
      </c>
      <c r="Y344" s="46">
        <v>5450</v>
      </c>
      <c r="Z344" s="46">
        <v>5660</v>
      </c>
      <c r="AA344" s="46">
        <v>5850</v>
      </c>
      <c r="AB344" s="46">
        <v>6060</v>
      </c>
      <c r="AC344" s="46">
        <v>6360</v>
      </c>
      <c r="AD344" s="46">
        <v>6490</v>
      </c>
      <c r="AE344" s="46">
        <v>6810</v>
      </c>
      <c r="AF344" s="46">
        <v>7010</v>
      </c>
      <c r="AG344" s="46">
        <v>7110</v>
      </c>
      <c r="AH344" s="46">
        <v>7080</v>
      </c>
      <c r="AI344" s="46">
        <v>6970</v>
      </c>
      <c r="AJ344" s="46">
        <v>6940</v>
      </c>
      <c r="AK344" s="46">
        <v>6990</v>
      </c>
      <c r="AL344" s="46">
        <v>7190</v>
      </c>
      <c r="AM344" s="46">
        <v>7400</v>
      </c>
      <c r="AN344" s="46">
        <v>7450</v>
      </c>
      <c r="AO344" s="46">
        <v>7760</v>
      </c>
      <c r="AP344" s="46">
        <v>7750</v>
      </c>
      <c r="AQ344" s="46">
        <v>7600</v>
      </c>
      <c r="AR344" s="46">
        <v>7470</v>
      </c>
      <c r="AS344" s="46">
        <v>7280</v>
      </c>
      <c r="AT344" s="46">
        <v>7290</v>
      </c>
      <c r="AU344" s="46">
        <v>7420</v>
      </c>
      <c r="AV344" s="46">
        <v>7400</v>
      </c>
      <c r="AW344" s="46">
        <v>7760</v>
      </c>
      <c r="AX344" s="46">
        <v>8060</v>
      </c>
      <c r="AY344" s="46">
        <v>8340</v>
      </c>
      <c r="AZ344" s="46">
        <v>8600</v>
      </c>
      <c r="BA344" s="46">
        <v>8970</v>
      </c>
      <c r="BB344" s="46">
        <v>9250</v>
      </c>
      <c r="BC344" s="46">
        <v>9430</v>
      </c>
      <c r="BD344" s="46">
        <v>9760</v>
      </c>
      <c r="BE344" s="46">
        <v>10300</v>
      </c>
      <c r="BF344" s="46">
        <v>10640</v>
      </c>
      <c r="BG344" s="46">
        <v>10860</v>
      </c>
      <c r="BH344" s="46">
        <v>11320</v>
      </c>
      <c r="BI344" s="46">
        <v>11550</v>
      </c>
    </row>
    <row r="345" spans="1:61" x14ac:dyDescent="0.25">
      <c r="A345" s="11">
        <f>$A$90</f>
        <v>75</v>
      </c>
      <c r="M345" s="11"/>
      <c r="N345" s="11"/>
      <c r="O345" s="11"/>
      <c r="P345" s="11"/>
      <c r="Q345" s="11"/>
      <c r="R345" s="11"/>
      <c r="S345" s="11"/>
      <c r="T345" s="46">
        <v>3970</v>
      </c>
      <c r="U345" s="46">
        <v>4110</v>
      </c>
      <c r="V345" s="46">
        <v>4160</v>
      </c>
      <c r="W345" s="46">
        <v>4260</v>
      </c>
      <c r="X345" s="46">
        <v>4380</v>
      </c>
      <c r="Y345" s="46">
        <v>4590</v>
      </c>
      <c r="Z345" s="46">
        <v>4730</v>
      </c>
      <c r="AA345" s="46">
        <v>4920</v>
      </c>
      <c r="AB345" s="46">
        <v>5080</v>
      </c>
      <c r="AC345" s="46">
        <v>5260</v>
      </c>
      <c r="AD345" s="46">
        <v>5520</v>
      </c>
      <c r="AE345" s="46">
        <v>5640</v>
      </c>
      <c r="AF345" s="46">
        <v>5920</v>
      </c>
      <c r="AG345" s="46">
        <v>6090</v>
      </c>
      <c r="AH345" s="46">
        <v>6180</v>
      </c>
      <c r="AI345" s="46">
        <v>6160</v>
      </c>
      <c r="AJ345" s="46">
        <v>6060</v>
      </c>
      <c r="AK345" s="46">
        <v>6040</v>
      </c>
      <c r="AL345" s="46">
        <v>6080</v>
      </c>
      <c r="AM345" s="46">
        <v>6260</v>
      </c>
      <c r="AN345" s="46">
        <v>6440</v>
      </c>
      <c r="AO345" s="46">
        <v>6480</v>
      </c>
      <c r="AP345" s="46">
        <v>6760</v>
      </c>
      <c r="AQ345" s="46">
        <v>6750</v>
      </c>
      <c r="AR345" s="46">
        <v>6620</v>
      </c>
      <c r="AS345" s="46">
        <v>6510</v>
      </c>
      <c r="AT345" s="46">
        <v>6350</v>
      </c>
      <c r="AU345" s="46">
        <v>6350</v>
      </c>
      <c r="AV345" s="46">
        <v>6470</v>
      </c>
      <c r="AW345" s="46">
        <v>6450</v>
      </c>
      <c r="AX345" s="46">
        <v>6770</v>
      </c>
      <c r="AY345" s="46">
        <v>7030</v>
      </c>
      <c r="AZ345" s="46">
        <v>7270</v>
      </c>
      <c r="BA345" s="46">
        <v>7500</v>
      </c>
      <c r="BB345" s="46">
        <v>7830</v>
      </c>
      <c r="BC345" s="46">
        <v>8080</v>
      </c>
      <c r="BD345" s="46">
        <v>8240</v>
      </c>
      <c r="BE345" s="46">
        <v>8520</v>
      </c>
      <c r="BF345" s="46">
        <v>8990</v>
      </c>
      <c r="BG345" s="46">
        <v>9290</v>
      </c>
      <c r="BH345" s="46">
        <v>9490</v>
      </c>
      <c r="BI345" s="46">
        <v>9890</v>
      </c>
    </row>
    <row r="346" spans="1:61" x14ac:dyDescent="0.25">
      <c r="A346" s="11">
        <f>$A$91</f>
        <v>76</v>
      </c>
      <c r="M346" s="11"/>
      <c r="N346" s="11"/>
      <c r="O346" s="11"/>
      <c r="P346" s="11"/>
      <c r="Q346" s="11"/>
      <c r="R346" s="11"/>
      <c r="S346" s="11"/>
      <c r="T346" s="46">
        <v>3450</v>
      </c>
      <c r="U346" s="46">
        <v>3460</v>
      </c>
      <c r="V346" s="46">
        <v>3580</v>
      </c>
      <c r="W346" s="46">
        <v>3620</v>
      </c>
      <c r="X346" s="46">
        <v>3710</v>
      </c>
      <c r="Y346" s="46">
        <v>3810</v>
      </c>
      <c r="Z346" s="46">
        <v>3990</v>
      </c>
      <c r="AA346" s="46">
        <v>4120</v>
      </c>
      <c r="AB346" s="46">
        <v>4280</v>
      </c>
      <c r="AC346" s="46">
        <v>4430</v>
      </c>
      <c r="AD346" s="46">
        <v>4590</v>
      </c>
      <c r="AE346" s="46">
        <v>4810</v>
      </c>
      <c r="AF346" s="46">
        <v>4920</v>
      </c>
      <c r="AG346" s="46">
        <v>5160</v>
      </c>
      <c r="AH346" s="46">
        <v>5310</v>
      </c>
      <c r="AI346" s="46">
        <v>5390</v>
      </c>
      <c r="AJ346" s="46">
        <v>5370</v>
      </c>
      <c r="AK346" s="46">
        <v>5290</v>
      </c>
      <c r="AL346" s="46">
        <v>5270</v>
      </c>
      <c r="AM346" s="46">
        <v>5310</v>
      </c>
      <c r="AN346" s="46">
        <v>5460</v>
      </c>
      <c r="AO346" s="46">
        <v>5630</v>
      </c>
      <c r="AP346" s="46">
        <v>5670</v>
      </c>
      <c r="AQ346" s="46">
        <v>5900</v>
      </c>
      <c r="AR346" s="46">
        <v>5900</v>
      </c>
      <c r="AS346" s="46">
        <v>5790</v>
      </c>
      <c r="AT346" s="46">
        <v>5690</v>
      </c>
      <c r="AU346" s="46">
        <v>5550</v>
      </c>
      <c r="AV346" s="46">
        <v>5560</v>
      </c>
      <c r="AW346" s="46">
        <v>5660</v>
      </c>
      <c r="AX346" s="46">
        <v>5650</v>
      </c>
      <c r="AY346" s="46">
        <v>5920</v>
      </c>
      <c r="AZ346" s="46">
        <v>6160</v>
      </c>
      <c r="BA346" s="46">
        <v>6370</v>
      </c>
      <c r="BB346" s="46">
        <v>6570</v>
      </c>
      <c r="BC346" s="46">
        <v>6860</v>
      </c>
      <c r="BD346" s="46">
        <v>7080</v>
      </c>
      <c r="BE346" s="46">
        <v>7220</v>
      </c>
      <c r="BF346" s="46">
        <v>7470</v>
      </c>
      <c r="BG346" s="46">
        <v>7890</v>
      </c>
      <c r="BH346" s="46">
        <v>8150</v>
      </c>
      <c r="BI346" s="46">
        <v>8320</v>
      </c>
    </row>
    <row r="347" spans="1:61" x14ac:dyDescent="0.25">
      <c r="A347" s="11">
        <f>$A$92</f>
        <v>77</v>
      </c>
      <c r="M347" s="11"/>
      <c r="N347" s="11"/>
      <c r="O347" s="11"/>
      <c r="P347" s="11"/>
      <c r="Q347" s="11"/>
      <c r="R347" s="11"/>
      <c r="S347" s="11"/>
      <c r="T347" s="46">
        <v>3000</v>
      </c>
      <c r="U347" s="46">
        <v>3020</v>
      </c>
      <c r="V347" s="46">
        <v>3030</v>
      </c>
      <c r="W347" s="46">
        <v>3140</v>
      </c>
      <c r="X347" s="46">
        <v>3180</v>
      </c>
      <c r="Y347" s="46">
        <v>3260</v>
      </c>
      <c r="Z347" s="46">
        <v>3350</v>
      </c>
      <c r="AA347" s="46">
        <v>3510</v>
      </c>
      <c r="AB347" s="46">
        <v>3620</v>
      </c>
      <c r="AC347" s="46">
        <v>3760</v>
      </c>
      <c r="AD347" s="46">
        <v>3890</v>
      </c>
      <c r="AE347" s="46">
        <v>4030</v>
      </c>
      <c r="AF347" s="46">
        <v>4230</v>
      </c>
      <c r="AG347" s="46">
        <v>4320</v>
      </c>
      <c r="AH347" s="46">
        <v>4540</v>
      </c>
      <c r="AI347" s="46">
        <v>4670</v>
      </c>
      <c r="AJ347" s="46">
        <v>4740</v>
      </c>
      <c r="AK347" s="46">
        <v>4730</v>
      </c>
      <c r="AL347" s="46">
        <v>4660</v>
      </c>
      <c r="AM347" s="46">
        <v>4640</v>
      </c>
      <c r="AN347" s="46">
        <v>4680</v>
      </c>
      <c r="AO347" s="46">
        <v>4810</v>
      </c>
      <c r="AP347" s="46">
        <v>4950</v>
      </c>
      <c r="AQ347" s="46">
        <v>4990</v>
      </c>
      <c r="AR347" s="46">
        <v>5200</v>
      </c>
      <c r="AS347" s="46">
        <v>5200</v>
      </c>
      <c r="AT347" s="46">
        <v>5100</v>
      </c>
      <c r="AU347" s="46">
        <v>5010</v>
      </c>
      <c r="AV347" s="46">
        <v>4890</v>
      </c>
      <c r="AW347" s="46">
        <v>4900</v>
      </c>
      <c r="AX347" s="46">
        <v>4990</v>
      </c>
      <c r="AY347" s="46">
        <v>4980</v>
      </c>
      <c r="AZ347" s="46">
        <v>5230</v>
      </c>
      <c r="BA347" s="46">
        <v>5440</v>
      </c>
      <c r="BB347" s="46">
        <v>5620</v>
      </c>
      <c r="BC347" s="46">
        <v>5800</v>
      </c>
      <c r="BD347" s="46">
        <v>6060</v>
      </c>
      <c r="BE347" s="46">
        <v>6250</v>
      </c>
      <c r="BF347" s="46">
        <v>6380</v>
      </c>
      <c r="BG347" s="46">
        <v>6600</v>
      </c>
      <c r="BH347" s="46">
        <v>6970</v>
      </c>
      <c r="BI347" s="46">
        <v>7200</v>
      </c>
    </row>
    <row r="348" spans="1:61" x14ac:dyDescent="0.25">
      <c r="A348" s="11">
        <f>$A$93</f>
        <v>78</v>
      </c>
      <c r="M348" s="11"/>
      <c r="N348" s="11"/>
      <c r="O348" s="11"/>
      <c r="P348" s="11"/>
      <c r="Q348" s="11"/>
      <c r="R348" s="11"/>
      <c r="S348" s="11"/>
      <c r="T348" s="46">
        <v>2170</v>
      </c>
      <c r="U348" s="46">
        <v>2620</v>
      </c>
      <c r="V348" s="46">
        <v>2640</v>
      </c>
      <c r="W348" s="46">
        <v>2650</v>
      </c>
      <c r="X348" s="46">
        <v>2750</v>
      </c>
      <c r="Y348" s="46">
        <v>2780</v>
      </c>
      <c r="Z348" s="46">
        <v>2860</v>
      </c>
      <c r="AA348" s="46">
        <v>2930</v>
      </c>
      <c r="AB348" s="46">
        <v>3080</v>
      </c>
      <c r="AC348" s="46">
        <v>3180</v>
      </c>
      <c r="AD348" s="46">
        <v>3300</v>
      </c>
      <c r="AE348" s="46">
        <v>3410</v>
      </c>
      <c r="AF348" s="46">
        <v>3540</v>
      </c>
      <c r="AG348" s="46">
        <v>3710</v>
      </c>
      <c r="AH348" s="46">
        <v>3800</v>
      </c>
      <c r="AI348" s="46">
        <v>3990</v>
      </c>
      <c r="AJ348" s="46">
        <v>4110</v>
      </c>
      <c r="AK348" s="46">
        <v>4170</v>
      </c>
      <c r="AL348" s="46">
        <v>4160</v>
      </c>
      <c r="AM348" s="46">
        <v>4100</v>
      </c>
      <c r="AN348" s="46">
        <v>4080</v>
      </c>
      <c r="AO348" s="46">
        <v>4120</v>
      </c>
      <c r="AP348" s="46">
        <v>4240</v>
      </c>
      <c r="AQ348" s="46">
        <v>4360</v>
      </c>
      <c r="AR348" s="46">
        <v>4400</v>
      </c>
      <c r="AS348" s="46">
        <v>4580</v>
      </c>
      <c r="AT348" s="46">
        <v>4580</v>
      </c>
      <c r="AU348" s="46">
        <v>4500</v>
      </c>
      <c r="AV348" s="46">
        <v>4420</v>
      </c>
      <c r="AW348" s="46">
        <v>4320</v>
      </c>
      <c r="AX348" s="46">
        <v>4330</v>
      </c>
      <c r="AY348" s="46">
        <v>4410</v>
      </c>
      <c r="AZ348" s="46">
        <v>4400</v>
      </c>
      <c r="BA348" s="46">
        <v>4620</v>
      </c>
      <c r="BB348" s="46">
        <v>4800</v>
      </c>
      <c r="BC348" s="46">
        <v>4970</v>
      </c>
      <c r="BD348" s="46">
        <v>5130</v>
      </c>
      <c r="BE348" s="46">
        <v>5360</v>
      </c>
      <c r="BF348" s="46">
        <v>5530</v>
      </c>
      <c r="BG348" s="46">
        <v>5640</v>
      </c>
      <c r="BH348" s="46">
        <v>5840</v>
      </c>
      <c r="BI348" s="46">
        <v>6170</v>
      </c>
    </row>
    <row r="349" spans="1:61" x14ac:dyDescent="0.25">
      <c r="A349" s="11">
        <f>$A$94</f>
        <v>79</v>
      </c>
      <c r="M349" s="11"/>
      <c r="N349" s="11"/>
      <c r="O349" s="11"/>
      <c r="P349" s="11"/>
      <c r="Q349" s="11"/>
      <c r="R349" s="11"/>
      <c r="S349" s="11"/>
      <c r="T349" s="46">
        <v>1740</v>
      </c>
      <c r="U349" s="46">
        <v>1860</v>
      </c>
      <c r="V349" s="46">
        <v>2250</v>
      </c>
      <c r="W349" s="46">
        <v>2270</v>
      </c>
      <c r="X349" s="46">
        <v>2280</v>
      </c>
      <c r="Y349" s="46">
        <v>2360</v>
      </c>
      <c r="Z349" s="46">
        <v>2400</v>
      </c>
      <c r="AA349" s="46">
        <v>2460</v>
      </c>
      <c r="AB349" s="46">
        <v>2530</v>
      </c>
      <c r="AC349" s="46">
        <v>2650</v>
      </c>
      <c r="AD349" s="46">
        <v>2740</v>
      </c>
      <c r="AE349" s="46">
        <v>2850</v>
      </c>
      <c r="AF349" s="46">
        <v>2950</v>
      </c>
      <c r="AG349" s="46">
        <v>3050</v>
      </c>
      <c r="AH349" s="46">
        <v>3210</v>
      </c>
      <c r="AI349" s="46">
        <v>3280</v>
      </c>
      <c r="AJ349" s="46">
        <v>3440</v>
      </c>
      <c r="AK349" s="46">
        <v>3550</v>
      </c>
      <c r="AL349" s="46">
        <v>3600</v>
      </c>
      <c r="AM349" s="46">
        <v>3600</v>
      </c>
      <c r="AN349" s="46">
        <v>3540</v>
      </c>
      <c r="AO349" s="46">
        <v>3530</v>
      </c>
      <c r="AP349" s="46">
        <v>3560</v>
      </c>
      <c r="AQ349" s="46">
        <v>3670</v>
      </c>
      <c r="AR349" s="46">
        <v>3780</v>
      </c>
      <c r="AS349" s="46">
        <v>3810</v>
      </c>
      <c r="AT349" s="46">
        <v>3970</v>
      </c>
      <c r="AU349" s="46">
        <v>3970</v>
      </c>
      <c r="AV349" s="46">
        <v>3900</v>
      </c>
      <c r="AW349" s="46">
        <v>3840</v>
      </c>
      <c r="AX349" s="46">
        <v>3750</v>
      </c>
      <c r="AY349" s="46">
        <v>3760</v>
      </c>
      <c r="AZ349" s="46">
        <v>3830</v>
      </c>
      <c r="BA349" s="46">
        <v>3820</v>
      </c>
      <c r="BB349" s="46">
        <v>4010</v>
      </c>
      <c r="BC349" s="46">
        <v>4180</v>
      </c>
      <c r="BD349" s="46">
        <v>4320</v>
      </c>
      <c r="BE349" s="46">
        <v>4460</v>
      </c>
      <c r="BF349" s="46">
        <v>4660</v>
      </c>
      <c r="BG349" s="46">
        <v>4810</v>
      </c>
      <c r="BH349" s="46">
        <v>4910</v>
      </c>
      <c r="BI349" s="46">
        <v>5090</v>
      </c>
    </row>
    <row r="350" spans="1:61" x14ac:dyDescent="0.25">
      <c r="A350" s="11" t="str">
        <f>$A$280</f>
        <v>80 &amp; over</v>
      </c>
      <c r="M350" s="11"/>
      <c r="N350" s="11"/>
      <c r="O350" s="11"/>
      <c r="P350" s="11"/>
      <c r="Q350" s="11"/>
      <c r="R350" s="11"/>
      <c r="S350" s="11"/>
      <c r="T350" s="46">
        <v>5740</v>
      </c>
      <c r="U350" s="46">
        <v>6080</v>
      </c>
      <c r="V350" s="46">
        <v>6470</v>
      </c>
      <c r="W350" s="46">
        <v>7110</v>
      </c>
      <c r="X350" s="46">
        <v>7650</v>
      </c>
      <c r="Y350" s="46">
        <v>8110</v>
      </c>
      <c r="Z350" s="46">
        <v>8560</v>
      </c>
      <c r="AA350" s="46">
        <v>8940</v>
      </c>
      <c r="AB350" s="46">
        <v>9310</v>
      </c>
      <c r="AC350" s="46">
        <v>9660</v>
      </c>
      <c r="AD350" s="46">
        <v>10050</v>
      </c>
      <c r="AE350" s="46">
        <v>10430</v>
      </c>
      <c r="AF350" s="46">
        <v>10830</v>
      </c>
      <c r="AG350" s="46">
        <v>11240</v>
      </c>
      <c r="AH350" s="46">
        <v>11670</v>
      </c>
      <c r="AI350" s="46">
        <v>12160</v>
      </c>
      <c r="AJ350" s="46">
        <v>12630</v>
      </c>
      <c r="AK350" s="46">
        <v>13150</v>
      </c>
      <c r="AL350" s="46">
        <v>13680</v>
      </c>
      <c r="AM350" s="46">
        <v>14150</v>
      </c>
      <c r="AN350" s="46">
        <v>14540</v>
      </c>
      <c r="AO350" s="46">
        <v>14800</v>
      </c>
      <c r="AP350" s="46">
        <v>15010</v>
      </c>
      <c r="AQ350" s="46">
        <v>15190</v>
      </c>
      <c r="AR350" s="46">
        <v>15430</v>
      </c>
      <c r="AS350" s="46">
        <v>15710</v>
      </c>
      <c r="AT350" s="46">
        <v>15970</v>
      </c>
      <c r="AU350" s="46">
        <v>16330</v>
      </c>
      <c r="AV350" s="46">
        <v>16630</v>
      </c>
      <c r="AW350" s="46">
        <v>16830</v>
      </c>
      <c r="AX350" s="46">
        <v>16940</v>
      </c>
      <c r="AY350" s="46">
        <v>16960</v>
      </c>
      <c r="AZ350" s="46">
        <v>16980</v>
      </c>
      <c r="BA350" s="46">
        <v>17050</v>
      </c>
      <c r="BB350" s="46">
        <v>17100</v>
      </c>
      <c r="BC350" s="46">
        <v>17310</v>
      </c>
      <c r="BD350" s="46">
        <v>17620</v>
      </c>
      <c r="BE350" s="46">
        <v>18030</v>
      </c>
      <c r="BF350" s="46">
        <v>18500</v>
      </c>
      <c r="BG350" s="46">
        <v>19090</v>
      </c>
      <c r="BH350" s="46">
        <v>19720</v>
      </c>
      <c r="BI350" s="46">
        <v>20340</v>
      </c>
    </row>
    <row r="351" spans="1:61" x14ac:dyDescent="0.25">
      <c r="A351" s="9" t="str">
        <f>$A$211</f>
        <v>Male total</v>
      </c>
      <c r="M351" s="11"/>
      <c r="N351" s="11"/>
      <c r="O351" s="11"/>
      <c r="P351" s="11"/>
      <c r="Q351" s="11"/>
      <c r="R351" s="11"/>
      <c r="S351" s="11"/>
      <c r="T351" s="80">
        <f t="shared" ref="T351:AI351" si="90">SUM(T$285:T$350)</f>
        <v>1619960</v>
      </c>
      <c r="U351" s="80">
        <f t="shared" si="90"/>
        <v>1636030</v>
      </c>
      <c r="V351" s="80">
        <f t="shared" si="90"/>
        <v>1653930</v>
      </c>
      <c r="W351" s="80">
        <f t="shared" si="90"/>
        <v>1672390</v>
      </c>
      <c r="X351" s="80">
        <f t="shared" si="90"/>
        <v>1691470</v>
      </c>
      <c r="Y351" s="80">
        <f t="shared" si="90"/>
        <v>1710680</v>
      </c>
      <c r="Z351" s="80">
        <f t="shared" si="90"/>
        <v>1730090</v>
      </c>
      <c r="AA351" s="80">
        <f t="shared" si="90"/>
        <v>1749360</v>
      </c>
      <c r="AB351" s="80">
        <f t="shared" si="90"/>
        <v>1768510</v>
      </c>
      <c r="AC351" s="80">
        <f t="shared" si="90"/>
        <v>1787470</v>
      </c>
      <c r="AD351" s="80">
        <f t="shared" si="90"/>
        <v>1806130</v>
      </c>
      <c r="AE351" s="80">
        <f t="shared" si="90"/>
        <v>1824520</v>
      </c>
      <c r="AF351" s="80">
        <f t="shared" si="90"/>
        <v>1842750</v>
      </c>
      <c r="AG351" s="80">
        <f t="shared" si="90"/>
        <v>1860650</v>
      </c>
      <c r="AH351" s="80">
        <f t="shared" si="90"/>
        <v>1878090</v>
      </c>
      <c r="AI351" s="80">
        <f t="shared" si="90"/>
        <v>1894980</v>
      </c>
      <c r="AJ351" s="80"/>
      <c r="AK351" s="80"/>
      <c r="AL351" s="80"/>
      <c r="AM351" s="80"/>
      <c r="AN351" s="80"/>
      <c r="AO351" s="80"/>
      <c r="AP351" s="80"/>
      <c r="AQ351" s="80"/>
      <c r="AR351" s="80"/>
      <c r="AS351" s="80"/>
      <c r="AT351" s="80"/>
      <c r="AU351" s="80"/>
      <c r="AV351" s="80"/>
      <c r="AW351" s="80"/>
      <c r="AX351" s="80"/>
      <c r="AY351" s="80"/>
      <c r="AZ351" s="80"/>
      <c r="BA351" s="80"/>
      <c r="BB351" s="80"/>
      <c r="BC351" s="80"/>
      <c r="BD351" s="80"/>
      <c r="BE351" s="80"/>
      <c r="BF351" s="80"/>
      <c r="BG351" s="80"/>
      <c r="BH351" s="80"/>
      <c r="BI351" s="80"/>
    </row>
    <row r="352" spans="1:61" x14ac:dyDescent="0.25">
      <c r="A352" s="9"/>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row>
    <row r="353" spans="1:61" x14ac:dyDescent="0.25">
      <c r="A353" s="9"/>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row>
    <row r="354" spans="1:61" x14ac:dyDescent="0.25">
      <c r="A354" s="9" t="s">
        <v>15</v>
      </c>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row>
    <row r="355" spans="1:61" x14ac:dyDescent="0.25">
      <c r="A355" s="11">
        <f>$A$30</f>
        <v>15</v>
      </c>
      <c r="M355" s="11"/>
      <c r="N355" s="11"/>
      <c r="O355" s="11"/>
      <c r="P355" s="11"/>
      <c r="Q355" s="11"/>
      <c r="R355" s="11"/>
      <c r="S355" s="11"/>
      <c r="T355" s="16">
        <f>T$215/T$30</f>
        <v>0.25630498533724339</v>
      </c>
      <c r="U355" s="16">
        <f t="shared" ref="U355:BI355" si="91">U$215/U$30</f>
        <v>0.25641756988020536</v>
      </c>
      <c r="V355" s="16">
        <f t="shared" si="91"/>
        <v>0.25641756988020536</v>
      </c>
      <c r="W355" s="16">
        <f t="shared" si="91"/>
        <v>0.25633001422475105</v>
      </c>
      <c r="X355" s="16">
        <f t="shared" si="91"/>
        <v>0.2565415244596132</v>
      </c>
      <c r="Y355" s="16">
        <f t="shared" si="91"/>
        <v>0.25633556655986017</v>
      </c>
      <c r="Z355" s="16">
        <f t="shared" si="91"/>
        <v>0.25646238745280281</v>
      </c>
      <c r="AA355" s="16">
        <f t="shared" si="91"/>
        <v>0.25631981187536745</v>
      </c>
      <c r="AB355" s="16">
        <f t="shared" si="91"/>
        <v>0.25629887054735012</v>
      </c>
      <c r="AC355" s="16">
        <f t="shared" si="91"/>
        <v>0.25655375552282766</v>
      </c>
      <c r="AD355" s="16">
        <f t="shared" si="91"/>
        <v>0.25639517788885624</v>
      </c>
      <c r="AE355" s="16">
        <f t="shared" si="91"/>
        <v>0.25652431791221825</v>
      </c>
      <c r="AF355" s="16">
        <f t="shared" si="91"/>
        <v>0.25634218289085547</v>
      </c>
      <c r="AG355" s="16">
        <f t="shared" si="91"/>
        <v>0.25642523364485981</v>
      </c>
      <c r="AH355" s="16">
        <f t="shared" si="91"/>
        <v>0.2563940637827597</v>
      </c>
      <c r="AI355" s="16">
        <f t="shared" si="91"/>
        <v>0.25643440050219712</v>
      </c>
      <c r="AJ355" s="16">
        <f t="shared" si="91"/>
        <v>0.25640234495526071</v>
      </c>
      <c r="AK355" s="16">
        <f t="shared" si="91"/>
        <v>0.25638658048630347</v>
      </c>
      <c r="AL355" s="16">
        <f t="shared" si="91"/>
        <v>0.25629993853718502</v>
      </c>
      <c r="AM355" s="16">
        <f t="shared" si="91"/>
        <v>0.25644963144963145</v>
      </c>
      <c r="AN355" s="16">
        <f t="shared" si="91"/>
        <v>0.25629220380601597</v>
      </c>
      <c r="AO355" s="16">
        <f t="shared" si="91"/>
        <v>0.25644171779141106</v>
      </c>
      <c r="AP355" s="16">
        <f t="shared" si="91"/>
        <v>0.25651241189089796</v>
      </c>
      <c r="AQ355" s="16">
        <f t="shared" si="91"/>
        <v>0.2563475068828388</v>
      </c>
      <c r="AR355" s="16">
        <f t="shared" si="91"/>
        <v>0.25633201098565761</v>
      </c>
      <c r="AS355" s="16">
        <f t="shared" si="91"/>
        <v>0.25638686131386862</v>
      </c>
      <c r="AT355" s="16">
        <f t="shared" si="91"/>
        <v>0.25643354526188311</v>
      </c>
      <c r="AU355" s="16">
        <f t="shared" si="91"/>
        <v>0.25654923215898828</v>
      </c>
      <c r="AV355" s="16">
        <f t="shared" si="91"/>
        <v>0.2564332734889288</v>
      </c>
      <c r="AW355" s="16">
        <f t="shared" si="91"/>
        <v>0.25638740344622696</v>
      </c>
      <c r="AX355" s="16">
        <f t="shared" si="91"/>
        <v>0.25626658802713065</v>
      </c>
      <c r="AY355" s="16">
        <f t="shared" si="91"/>
        <v>0.25644028103044497</v>
      </c>
      <c r="AZ355" s="16">
        <f t="shared" si="91"/>
        <v>0.25639534883720932</v>
      </c>
      <c r="BA355" s="16">
        <f t="shared" si="91"/>
        <v>0.25649913344887348</v>
      </c>
      <c r="BB355" s="16">
        <f t="shared" si="91"/>
        <v>0.25653547831083023</v>
      </c>
      <c r="BC355" s="16">
        <f t="shared" si="91"/>
        <v>0.25650557620817843</v>
      </c>
      <c r="BD355" s="16">
        <f t="shared" si="91"/>
        <v>0.25648332858364209</v>
      </c>
      <c r="BE355" s="16">
        <f t="shared" si="91"/>
        <v>0.25639567936327456</v>
      </c>
      <c r="BF355" s="16">
        <f t="shared" si="91"/>
        <v>0.25631564007947771</v>
      </c>
      <c r="BG355" s="16">
        <f t="shared" si="91"/>
        <v>0.25638116846284742</v>
      </c>
      <c r="BH355" s="16">
        <f t="shared" si="91"/>
        <v>0.25630847745959739</v>
      </c>
      <c r="BI355" s="16">
        <f t="shared" si="91"/>
        <v>0.25638116846284742</v>
      </c>
    </row>
    <row r="356" spans="1:61" x14ac:dyDescent="0.25">
      <c r="A356" s="11">
        <f>$A$31</f>
        <v>16</v>
      </c>
      <c r="M356" s="11"/>
      <c r="N356" s="11"/>
      <c r="O356" s="11"/>
      <c r="P356" s="11"/>
      <c r="Q356" s="11"/>
      <c r="R356" s="11"/>
      <c r="S356" s="11"/>
      <c r="T356" s="16">
        <f>T$216/T$31</f>
        <v>0.43912175648702595</v>
      </c>
      <c r="U356" s="16">
        <f t="shared" ref="U356:BI356" si="92">U$216/U$31</f>
        <v>0.43915190241068836</v>
      </c>
      <c r="V356" s="16">
        <f t="shared" si="92"/>
        <v>0.43914148545608583</v>
      </c>
      <c r="W356" s="16">
        <f t="shared" si="92"/>
        <v>0.43917583968388374</v>
      </c>
      <c r="X356" s="16">
        <f t="shared" si="92"/>
        <v>0.43906557838446381</v>
      </c>
      <c r="Y356" s="16">
        <f t="shared" si="92"/>
        <v>0.43909985935302392</v>
      </c>
      <c r="Z356" s="16">
        <f t="shared" si="92"/>
        <v>0.43922811059907835</v>
      </c>
      <c r="AA356" s="16">
        <f t="shared" si="92"/>
        <v>0.43898937697387308</v>
      </c>
      <c r="AB356" s="16">
        <f t="shared" si="92"/>
        <v>0.4389889599070308</v>
      </c>
      <c r="AC356" s="16">
        <f t="shared" si="92"/>
        <v>0.4391640423704552</v>
      </c>
      <c r="AD356" s="16">
        <f t="shared" si="92"/>
        <v>0.43901018922852986</v>
      </c>
      <c r="AE356" s="16">
        <f t="shared" si="92"/>
        <v>0.4389889599070308</v>
      </c>
      <c r="AF356" s="16">
        <f t="shared" si="92"/>
        <v>0.43891004980955173</v>
      </c>
      <c r="AG356" s="16">
        <f t="shared" si="92"/>
        <v>0.43893908481492278</v>
      </c>
      <c r="AH356" s="16">
        <f t="shared" si="92"/>
        <v>0.43896103896103894</v>
      </c>
      <c r="AI356" s="16">
        <f t="shared" si="92"/>
        <v>0.43907759426612653</v>
      </c>
      <c r="AJ356" s="16">
        <f t="shared" si="92"/>
        <v>0.43910753021382087</v>
      </c>
      <c r="AK356" s="16">
        <f t="shared" si="92"/>
        <v>0.43892780992994213</v>
      </c>
      <c r="AL356" s="16">
        <f t="shared" si="92"/>
        <v>0.43920972644376899</v>
      </c>
      <c r="AM356" s="16">
        <f t="shared" si="92"/>
        <v>0.43915022761760242</v>
      </c>
      <c r="AN356" s="16">
        <f t="shared" si="92"/>
        <v>0.43905397210430563</v>
      </c>
      <c r="AO356" s="16">
        <f t="shared" si="92"/>
        <v>0.43909090909090909</v>
      </c>
      <c r="AP356" s="16">
        <f t="shared" si="92"/>
        <v>0.43912780133252577</v>
      </c>
      <c r="AQ356" s="16">
        <f t="shared" si="92"/>
        <v>0.43889897156684815</v>
      </c>
      <c r="AR356" s="16">
        <f t="shared" si="92"/>
        <v>0.43914225309574145</v>
      </c>
      <c r="AS356" s="16">
        <f t="shared" si="92"/>
        <v>0.43898764688159087</v>
      </c>
      <c r="AT356" s="16">
        <f t="shared" si="92"/>
        <v>0.43903903903903901</v>
      </c>
      <c r="AU356" s="16">
        <f t="shared" si="92"/>
        <v>0.43903167961745365</v>
      </c>
      <c r="AV356" s="16">
        <f t="shared" si="92"/>
        <v>0.43906064209274676</v>
      </c>
      <c r="AW356" s="16">
        <f t="shared" si="92"/>
        <v>0.43899556868537665</v>
      </c>
      <c r="AX356" s="16">
        <f t="shared" si="92"/>
        <v>0.4391317101789381</v>
      </c>
      <c r="AY356" s="16">
        <f t="shared" si="92"/>
        <v>0.43913803145020386</v>
      </c>
      <c r="AZ356" s="16">
        <f t="shared" si="92"/>
        <v>0.43901734104046242</v>
      </c>
      <c r="BA356" s="16">
        <f t="shared" si="92"/>
        <v>0.43915040183696902</v>
      </c>
      <c r="BB356" s="16">
        <f t="shared" si="92"/>
        <v>0.43896177980604678</v>
      </c>
      <c r="BC356" s="16">
        <f t="shared" si="92"/>
        <v>0.43914893617021278</v>
      </c>
      <c r="BD356" s="16">
        <f t="shared" si="92"/>
        <v>0.43914148545608583</v>
      </c>
      <c r="BE356" s="16">
        <f t="shared" si="92"/>
        <v>0.43906557838446381</v>
      </c>
      <c r="BF356" s="16">
        <f t="shared" si="92"/>
        <v>0.43907916900617633</v>
      </c>
      <c r="BG356" s="16">
        <f t="shared" si="92"/>
        <v>0.43918161434977576</v>
      </c>
      <c r="BH356" s="16">
        <f t="shared" si="92"/>
        <v>0.43909269112293475</v>
      </c>
      <c r="BI356" s="16">
        <f t="shared" si="92"/>
        <v>0.43896976483762595</v>
      </c>
    </row>
    <row r="357" spans="1:61" x14ac:dyDescent="0.25">
      <c r="A357" s="11">
        <f>$A$32</f>
        <v>17</v>
      </c>
      <c r="M357" s="11"/>
      <c r="N357" s="11"/>
      <c r="O357" s="11"/>
      <c r="P357" s="11"/>
      <c r="Q357" s="11"/>
      <c r="R357" s="11"/>
      <c r="S357" s="11"/>
      <c r="T357" s="16">
        <f>T$217/T$32</f>
        <v>0.58775510204081638</v>
      </c>
      <c r="U357" s="16">
        <f t="shared" ref="U357:BI357" si="93">U$217/U$32</f>
        <v>0.58788564958958389</v>
      </c>
      <c r="V357" s="16">
        <f t="shared" si="93"/>
        <v>0.58784562211981561</v>
      </c>
      <c r="W357" s="16">
        <f t="shared" si="93"/>
        <v>0.58762597984322507</v>
      </c>
      <c r="X357" s="16">
        <f t="shared" si="93"/>
        <v>0.58769230769230774</v>
      </c>
      <c r="Y357" s="16">
        <f t="shared" si="93"/>
        <v>0.58784160624651427</v>
      </c>
      <c r="Z357" s="16">
        <f t="shared" si="93"/>
        <v>0.58762886597938147</v>
      </c>
      <c r="AA357" s="16">
        <f t="shared" si="93"/>
        <v>0.58768177929854581</v>
      </c>
      <c r="AB357" s="16">
        <f t="shared" si="93"/>
        <v>0.58771680409439864</v>
      </c>
      <c r="AC357" s="16">
        <f t="shared" si="93"/>
        <v>0.58786310037388556</v>
      </c>
      <c r="AD357" s="16">
        <f t="shared" si="93"/>
        <v>0.58786848072562359</v>
      </c>
      <c r="AE357" s="16">
        <f t="shared" si="93"/>
        <v>0.58789625360230546</v>
      </c>
      <c r="AF357" s="16">
        <f t="shared" si="93"/>
        <v>0.58786310037388556</v>
      </c>
      <c r="AG357" s="16">
        <f t="shared" si="93"/>
        <v>0.58787703016241299</v>
      </c>
      <c r="AH357" s="16">
        <f t="shared" si="93"/>
        <v>0.58799769186382</v>
      </c>
      <c r="AI357" s="16">
        <f t="shared" si="93"/>
        <v>0.58771428571428574</v>
      </c>
      <c r="AJ357" s="16">
        <f t="shared" si="93"/>
        <v>0.58785450061652278</v>
      </c>
      <c r="AK357" s="16">
        <f t="shared" si="93"/>
        <v>0.58780263561140056</v>
      </c>
      <c r="AL357" s="16">
        <f t="shared" si="93"/>
        <v>0.58782765893341371</v>
      </c>
      <c r="AM357" s="16">
        <f t="shared" si="93"/>
        <v>0.58761647129546135</v>
      </c>
      <c r="AN357" s="16">
        <f t="shared" si="93"/>
        <v>0.58763505402160865</v>
      </c>
      <c r="AO357" s="16">
        <f t="shared" si="93"/>
        <v>0.58770614692653678</v>
      </c>
      <c r="AP357" s="16">
        <f t="shared" si="93"/>
        <v>0.58795325142343424</v>
      </c>
      <c r="AQ357" s="16">
        <f t="shared" si="93"/>
        <v>0.58772455089820363</v>
      </c>
      <c r="AR357" s="16">
        <f t="shared" si="93"/>
        <v>0.58779539335925812</v>
      </c>
      <c r="AS357" s="16">
        <f t="shared" si="93"/>
        <v>0.5876381009256495</v>
      </c>
      <c r="AT357" s="16">
        <f t="shared" si="93"/>
        <v>0.5877271373249926</v>
      </c>
      <c r="AU357" s="16">
        <f t="shared" si="93"/>
        <v>0.58788598574821849</v>
      </c>
      <c r="AV357" s="16">
        <f t="shared" si="93"/>
        <v>0.5879396984924623</v>
      </c>
      <c r="AW357" s="16">
        <f t="shared" si="93"/>
        <v>0.58788947677836567</v>
      </c>
      <c r="AX357" s="16">
        <f t="shared" si="93"/>
        <v>0.58761682242990654</v>
      </c>
      <c r="AY357" s="16">
        <f t="shared" si="93"/>
        <v>0.58758700696055688</v>
      </c>
      <c r="AZ357" s="16">
        <f t="shared" si="93"/>
        <v>0.58767636049524907</v>
      </c>
      <c r="BA357" s="16">
        <f t="shared" si="93"/>
        <v>0.58776443682104063</v>
      </c>
      <c r="BB357" s="16">
        <f t="shared" si="93"/>
        <v>0.58785126312801594</v>
      </c>
      <c r="BC357" s="16">
        <f t="shared" si="93"/>
        <v>0.58787023977433006</v>
      </c>
      <c r="BD357" s="16">
        <f t="shared" si="93"/>
        <v>0.58782267115600451</v>
      </c>
      <c r="BE357" s="16">
        <f t="shared" si="93"/>
        <v>0.58770949720670396</v>
      </c>
      <c r="BF357" s="16">
        <f t="shared" si="93"/>
        <v>0.58780962983579177</v>
      </c>
      <c r="BG357" s="16">
        <f t="shared" si="93"/>
        <v>0.58772903942254306</v>
      </c>
      <c r="BH357" s="16">
        <f t="shared" si="93"/>
        <v>0.58786031042128606</v>
      </c>
      <c r="BI357" s="16">
        <f t="shared" si="93"/>
        <v>0.58792578233176407</v>
      </c>
    </row>
    <row r="358" spans="1:61" x14ac:dyDescent="0.25">
      <c r="A358" s="11">
        <f>$A$33</f>
        <v>18</v>
      </c>
      <c r="M358" s="11"/>
      <c r="N358" s="11"/>
      <c r="O358" s="11"/>
      <c r="P358" s="11"/>
      <c r="Q358" s="11"/>
      <c r="R358" s="11"/>
      <c r="S358" s="11"/>
      <c r="T358" s="16">
        <f>T$218/T$33</f>
        <v>0.67993827160493825</v>
      </c>
      <c r="U358" s="16">
        <f t="shared" ref="U358:BI358" si="94">U$218/U$33</f>
        <v>0.68020893789901338</v>
      </c>
      <c r="V358" s="16">
        <f t="shared" si="94"/>
        <v>0.67998874190824654</v>
      </c>
      <c r="W358" s="16">
        <f t="shared" si="94"/>
        <v>0.67993129115373607</v>
      </c>
      <c r="X358" s="16">
        <f t="shared" si="94"/>
        <v>0.68002225932109073</v>
      </c>
      <c r="Y358" s="16">
        <f t="shared" si="94"/>
        <v>0.68010005558643694</v>
      </c>
      <c r="Z358" s="16">
        <f t="shared" si="94"/>
        <v>0.68005540166204981</v>
      </c>
      <c r="AA358" s="16">
        <f t="shared" si="94"/>
        <v>0.68004428452809296</v>
      </c>
      <c r="AB358" s="16">
        <f t="shared" si="94"/>
        <v>0.67997734352874539</v>
      </c>
      <c r="AC358" s="16">
        <f t="shared" si="94"/>
        <v>0.67984189723320154</v>
      </c>
      <c r="AD358" s="16">
        <f t="shared" si="94"/>
        <v>0.68009140245644106</v>
      </c>
      <c r="AE358" s="16">
        <f t="shared" si="94"/>
        <v>0.67998874190824654</v>
      </c>
      <c r="AF358" s="16">
        <f t="shared" si="94"/>
        <v>0.68011444921316166</v>
      </c>
      <c r="AG358" s="16">
        <f t="shared" si="94"/>
        <v>0.68018275271273554</v>
      </c>
      <c r="AH358" s="16">
        <f t="shared" si="94"/>
        <v>0.68010365678088103</v>
      </c>
      <c r="AI358" s="16">
        <f t="shared" si="94"/>
        <v>0.68012600229095077</v>
      </c>
      <c r="AJ358" s="16">
        <f t="shared" si="94"/>
        <v>0.68009075439591604</v>
      </c>
      <c r="AK358" s="16">
        <f t="shared" si="94"/>
        <v>0.68012232415902141</v>
      </c>
      <c r="AL358" s="16">
        <f t="shared" si="94"/>
        <v>0.68014594101550618</v>
      </c>
      <c r="AM358" s="16">
        <f t="shared" si="94"/>
        <v>0.68011958146487295</v>
      </c>
      <c r="AN358" s="16">
        <f t="shared" si="94"/>
        <v>0.67998807038473008</v>
      </c>
      <c r="AO358" s="16">
        <f t="shared" si="94"/>
        <v>0.68016676593210246</v>
      </c>
      <c r="AP358" s="16">
        <f t="shared" si="94"/>
        <v>0.67995240928019041</v>
      </c>
      <c r="AQ358" s="16">
        <f t="shared" si="94"/>
        <v>0.68014268727705118</v>
      </c>
      <c r="AR358" s="16">
        <f t="shared" si="94"/>
        <v>0.67983367983367982</v>
      </c>
      <c r="AS358" s="16">
        <f t="shared" si="94"/>
        <v>0.68011869436201777</v>
      </c>
      <c r="AT358" s="16">
        <f t="shared" si="94"/>
        <v>0.68009478672985779</v>
      </c>
      <c r="AU358" s="16">
        <f t="shared" si="94"/>
        <v>0.67996453900709219</v>
      </c>
      <c r="AV358" s="16">
        <f t="shared" si="94"/>
        <v>0.67991755005889276</v>
      </c>
      <c r="AW358" s="16">
        <f t="shared" si="94"/>
        <v>0.68015244796247432</v>
      </c>
      <c r="AX358" s="16">
        <f t="shared" si="94"/>
        <v>0.68017492711370264</v>
      </c>
      <c r="AY358" s="16">
        <f t="shared" si="94"/>
        <v>0.67989571263035919</v>
      </c>
      <c r="AZ358" s="16">
        <f t="shared" si="94"/>
        <v>0.68009205983889531</v>
      </c>
      <c r="BA358" s="16">
        <f t="shared" si="94"/>
        <v>0.68009140245644106</v>
      </c>
      <c r="BB358" s="16">
        <f t="shared" si="94"/>
        <v>0.6801814573291749</v>
      </c>
      <c r="BC358" s="16">
        <f t="shared" si="94"/>
        <v>0.67989864864864868</v>
      </c>
      <c r="BD358" s="16">
        <f t="shared" si="94"/>
        <v>0.67991046446558479</v>
      </c>
      <c r="BE358" s="16">
        <f t="shared" si="94"/>
        <v>0.68021152240467575</v>
      </c>
      <c r="BF358" s="16">
        <f t="shared" si="94"/>
        <v>0.68005540166204981</v>
      </c>
      <c r="BG358" s="16">
        <f t="shared" si="94"/>
        <v>0.68001104362230813</v>
      </c>
      <c r="BH358" s="16">
        <f t="shared" si="94"/>
        <v>0.68006607929515417</v>
      </c>
      <c r="BI358" s="16">
        <f t="shared" si="94"/>
        <v>0.680043980208906</v>
      </c>
    </row>
    <row r="359" spans="1:61" x14ac:dyDescent="0.25">
      <c r="A359" s="11">
        <f>$A$34</f>
        <v>19</v>
      </c>
      <c r="M359" s="11"/>
      <c r="N359" s="11"/>
      <c r="O359" s="11"/>
      <c r="P359" s="11"/>
      <c r="Q359" s="11"/>
      <c r="R359" s="11"/>
      <c r="S359" s="11"/>
      <c r="T359" s="16">
        <f>T$219/T$34</f>
        <v>0.73097400563733161</v>
      </c>
      <c r="U359" s="16">
        <f t="shared" ref="U359:BI359" si="95">U$219/U$34</f>
        <v>0.73101752228711958</v>
      </c>
      <c r="V359" s="16">
        <f t="shared" si="95"/>
        <v>0.73079145002888501</v>
      </c>
      <c r="W359" s="16">
        <f t="shared" si="95"/>
        <v>0.73109243697478987</v>
      </c>
      <c r="X359" s="16">
        <f t="shared" si="95"/>
        <v>0.73113073198518941</v>
      </c>
      <c r="Y359" s="16">
        <f t="shared" si="95"/>
        <v>0.73097149183504018</v>
      </c>
      <c r="Z359" s="16">
        <f t="shared" si="95"/>
        <v>0.73106688778330564</v>
      </c>
      <c r="AA359" s="16">
        <f t="shared" si="95"/>
        <v>0.73085399449035815</v>
      </c>
      <c r="AB359" s="16">
        <f t="shared" si="95"/>
        <v>0.73107624552711259</v>
      </c>
      <c r="AC359" s="16">
        <f t="shared" si="95"/>
        <v>0.73106167276823431</v>
      </c>
      <c r="AD359" s="16">
        <f t="shared" si="95"/>
        <v>0.73104997192588439</v>
      </c>
      <c r="AE359" s="16">
        <f t="shared" si="95"/>
        <v>0.73111868256672341</v>
      </c>
      <c r="AF359" s="16">
        <f t="shared" si="95"/>
        <v>0.73083379966424178</v>
      </c>
      <c r="AG359" s="16">
        <f t="shared" si="95"/>
        <v>0.73094425483503978</v>
      </c>
      <c r="AH359" s="16">
        <f t="shared" si="95"/>
        <v>0.73119500425773487</v>
      </c>
      <c r="AI359" s="16">
        <f t="shared" si="95"/>
        <v>0.73125357756153408</v>
      </c>
      <c r="AJ359" s="16">
        <f t="shared" si="95"/>
        <v>0.73099914602903504</v>
      </c>
      <c r="AK359" s="16">
        <f t="shared" si="95"/>
        <v>0.731040315759797</v>
      </c>
      <c r="AL359" s="16">
        <f t="shared" si="95"/>
        <v>0.73116646415552855</v>
      </c>
      <c r="AM359" s="16">
        <f t="shared" si="95"/>
        <v>0.73089700996677742</v>
      </c>
      <c r="AN359" s="16">
        <f t="shared" si="95"/>
        <v>0.73121473121473124</v>
      </c>
      <c r="AO359" s="16">
        <f t="shared" si="95"/>
        <v>0.73096296296296293</v>
      </c>
      <c r="AP359" s="16">
        <f t="shared" si="95"/>
        <v>0.7308488612836439</v>
      </c>
      <c r="AQ359" s="16">
        <f t="shared" si="95"/>
        <v>0.73108747044917255</v>
      </c>
      <c r="AR359" s="16">
        <f t="shared" si="95"/>
        <v>0.73103041039267791</v>
      </c>
      <c r="AS359" s="16">
        <f t="shared" si="95"/>
        <v>0.7311891413396282</v>
      </c>
      <c r="AT359" s="16">
        <f t="shared" si="95"/>
        <v>0.73091659298555856</v>
      </c>
      <c r="AU359" s="16">
        <f t="shared" si="95"/>
        <v>0.73109738158281845</v>
      </c>
      <c r="AV359" s="16">
        <f t="shared" si="95"/>
        <v>0.73092723004694837</v>
      </c>
      <c r="AW359" s="16">
        <f t="shared" si="95"/>
        <v>0.73120795554255635</v>
      </c>
      <c r="AX359" s="16">
        <f t="shared" si="95"/>
        <v>0.73100436681222702</v>
      </c>
      <c r="AY359" s="16">
        <f t="shared" si="95"/>
        <v>0.73103647944412276</v>
      </c>
      <c r="AZ359" s="16">
        <f t="shared" si="95"/>
        <v>0.73101265822784811</v>
      </c>
      <c r="BA359" s="16">
        <f t="shared" si="95"/>
        <v>0.73085714285714287</v>
      </c>
      <c r="BB359" s="16">
        <f t="shared" si="95"/>
        <v>0.73106382978723405</v>
      </c>
      <c r="BC359" s="16">
        <f t="shared" si="95"/>
        <v>0.73106167276823431</v>
      </c>
      <c r="BD359" s="16">
        <f t="shared" si="95"/>
        <v>0.73098434004474278</v>
      </c>
      <c r="BE359" s="16">
        <f t="shared" si="95"/>
        <v>0.73103639899972217</v>
      </c>
      <c r="BF359" s="16">
        <f t="shared" si="95"/>
        <v>0.73106688778330564</v>
      </c>
      <c r="BG359" s="16">
        <f t="shared" si="95"/>
        <v>0.73094910591471807</v>
      </c>
      <c r="BH359" s="16">
        <f t="shared" si="95"/>
        <v>0.73101179051275023</v>
      </c>
      <c r="BI359" s="16">
        <f t="shared" si="95"/>
        <v>0.73092698933552092</v>
      </c>
    </row>
    <row r="360" spans="1:61" x14ac:dyDescent="0.25">
      <c r="A360" s="11">
        <f>$A$35</f>
        <v>20</v>
      </c>
      <c r="M360" s="11"/>
      <c r="N360" s="11"/>
      <c r="O360" s="11"/>
      <c r="P360" s="11"/>
      <c r="Q360" s="11"/>
      <c r="R360" s="11"/>
      <c r="S360" s="11"/>
      <c r="T360" s="16">
        <f>T$220/T$35</f>
        <v>0.7464129756706176</v>
      </c>
      <c r="U360" s="16">
        <f t="shared" ref="U360:BI360" si="96">U$220/U$35</f>
        <v>0.74734540911930047</v>
      </c>
      <c r="V360" s="16">
        <f t="shared" si="96"/>
        <v>0.74770361298224131</v>
      </c>
      <c r="W360" s="16">
        <f t="shared" si="96"/>
        <v>0.74805867126833481</v>
      </c>
      <c r="X360" s="16">
        <f t="shared" si="96"/>
        <v>0.74846625766871167</v>
      </c>
      <c r="Y360" s="16">
        <f t="shared" si="96"/>
        <v>0.74893737602720323</v>
      </c>
      <c r="Z360" s="16">
        <f t="shared" si="96"/>
        <v>0.74938033599559351</v>
      </c>
      <c r="AA360" s="16">
        <f t="shared" si="96"/>
        <v>0.74951883420401433</v>
      </c>
      <c r="AB360" s="16">
        <f t="shared" si="96"/>
        <v>0.75006851192107427</v>
      </c>
      <c r="AC360" s="16">
        <f t="shared" si="96"/>
        <v>0.75027382256297914</v>
      </c>
      <c r="AD360" s="16">
        <f t="shared" si="96"/>
        <v>0.75070028011204482</v>
      </c>
      <c r="AE360" s="16">
        <f t="shared" si="96"/>
        <v>0.75090756771851441</v>
      </c>
      <c r="AF360" s="16">
        <f t="shared" si="96"/>
        <v>0.75098814229249011</v>
      </c>
      <c r="AG360" s="16">
        <f t="shared" si="96"/>
        <v>0.75146117450598382</v>
      </c>
      <c r="AH360" s="16">
        <f t="shared" si="96"/>
        <v>0.75169683257918551</v>
      </c>
      <c r="AI360" s="16">
        <f t="shared" si="96"/>
        <v>0.75190516511430994</v>
      </c>
      <c r="AJ360" s="16">
        <f t="shared" si="96"/>
        <v>0.75192034139402564</v>
      </c>
      <c r="AK360" s="16">
        <f t="shared" si="96"/>
        <v>0.75212224108658743</v>
      </c>
      <c r="AL360" s="16">
        <f t="shared" si="96"/>
        <v>0.75252242152466364</v>
      </c>
      <c r="AM360" s="16">
        <f t="shared" si="96"/>
        <v>0.75249019015997587</v>
      </c>
      <c r="AN360" s="16">
        <f t="shared" si="96"/>
        <v>0.75270108043217288</v>
      </c>
      <c r="AO360" s="16">
        <f t="shared" si="96"/>
        <v>0.75272941870758336</v>
      </c>
      <c r="AP360" s="16">
        <f t="shared" si="96"/>
        <v>0.75272299087430083</v>
      </c>
      <c r="AQ360" s="16">
        <f t="shared" si="96"/>
        <v>0.75286511901263586</v>
      </c>
      <c r="AR360" s="16">
        <f t="shared" si="96"/>
        <v>0.75308279506752784</v>
      </c>
      <c r="AS360" s="16">
        <f t="shared" si="96"/>
        <v>0.75300674684658253</v>
      </c>
      <c r="AT360" s="16">
        <f t="shared" si="96"/>
        <v>0.75322391559202817</v>
      </c>
      <c r="AU360" s="16">
        <f t="shared" si="96"/>
        <v>0.75322014051522246</v>
      </c>
      <c r="AV360" s="16">
        <f t="shared" si="96"/>
        <v>0.75336060783167735</v>
      </c>
      <c r="AW360" s="16">
        <f t="shared" si="96"/>
        <v>0.75364431486880468</v>
      </c>
      <c r="AX360" s="16">
        <f t="shared" si="96"/>
        <v>0.75363160952934338</v>
      </c>
      <c r="AY360" s="16">
        <f t="shared" si="96"/>
        <v>0.75361480624638522</v>
      </c>
      <c r="AZ360" s="16">
        <f t="shared" si="96"/>
        <v>0.75352315214265175</v>
      </c>
      <c r="BA360" s="16">
        <f t="shared" si="96"/>
        <v>0.7536438982566448</v>
      </c>
      <c r="BB360" s="16">
        <f t="shared" si="96"/>
        <v>0.75368898978433596</v>
      </c>
      <c r="BC360" s="16">
        <f t="shared" si="96"/>
        <v>0.75352112676056338</v>
      </c>
      <c r="BD360" s="16">
        <f t="shared" si="96"/>
        <v>0.75363534675615218</v>
      </c>
      <c r="BE360" s="16">
        <f t="shared" si="96"/>
        <v>0.75367953346292693</v>
      </c>
      <c r="BF360" s="16">
        <f t="shared" si="96"/>
        <v>0.75379519735026224</v>
      </c>
      <c r="BG360" s="16">
        <f t="shared" si="96"/>
        <v>0.75377436178973378</v>
      </c>
      <c r="BH360" s="16">
        <f t="shared" si="96"/>
        <v>0.753551912568306</v>
      </c>
      <c r="BI360" s="16">
        <f t="shared" si="96"/>
        <v>0.75360740539068882</v>
      </c>
    </row>
    <row r="361" spans="1:61" x14ac:dyDescent="0.25">
      <c r="A361" s="11">
        <f>$A$36</f>
        <v>21</v>
      </c>
      <c r="M361" s="11"/>
      <c r="N361" s="11"/>
      <c r="O361" s="11"/>
      <c r="P361" s="11"/>
      <c r="Q361" s="11"/>
      <c r="R361" s="11"/>
      <c r="S361" s="11"/>
      <c r="T361" s="16">
        <f>T$221/T$36</f>
        <v>0.77265449887928273</v>
      </c>
      <c r="U361" s="16">
        <f t="shared" ref="U361:BI361" si="97">U$221/U$36</f>
        <v>0.77336667708658957</v>
      </c>
      <c r="V361" s="16">
        <f t="shared" si="97"/>
        <v>0.77437500000000004</v>
      </c>
      <c r="W361" s="16">
        <f t="shared" si="97"/>
        <v>0.77519142419601839</v>
      </c>
      <c r="X361" s="16">
        <f t="shared" si="97"/>
        <v>0.77602070155261649</v>
      </c>
      <c r="Y361" s="16">
        <f t="shared" si="97"/>
        <v>0.77653942602396209</v>
      </c>
      <c r="Z361" s="16">
        <f t="shared" si="97"/>
        <v>0.77746319365798411</v>
      </c>
      <c r="AA361" s="16">
        <f t="shared" si="97"/>
        <v>0.77799174690508943</v>
      </c>
      <c r="AB361" s="16">
        <f t="shared" si="97"/>
        <v>0.77863224388904151</v>
      </c>
      <c r="AC361" s="16">
        <f t="shared" si="97"/>
        <v>0.7790856830002737</v>
      </c>
      <c r="AD361" s="16">
        <f t="shared" si="97"/>
        <v>0.77960076565490843</v>
      </c>
      <c r="AE361" s="16">
        <f t="shared" si="97"/>
        <v>0.78013986013986014</v>
      </c>
      <c r="AF361" s="16">
        <f t="shared" si="97"/>
        <v>0.78059659882910515</v>
      </c>
      <c r="AG361" s="16">
        <f t="shared" si="97"/>
        <v>0.78094164082323092</v>
      </c>
      <c r="AH361" s="16">
        <f t="shared" si="97"/>
        <v>0.78132814670741868</v>
      </c>
      <c r="AI361" s="16">
        <f t="shared" si="97"/>
        <v>0.78176171654432525</v>
      </c>
      <c r="AJ361" s="16">
        <f t="shared" si="97"/>
        <v>0.78197183098591549</v>
      </c>
      <c r="AK361" s="16">
        <f t="shared" si="97"/>
        <v>0.78244816813405282</v>
      </c>
      <c r="AL361" s="16">
        <f t="shared" si="97"/>
        <v>0.78254730302174524</v>
      </c>
      <c r="AM361" s="16">
        <f t="shared" si="97"/>
        <v>0.78293706293706289</v>
      </c>
      <c r="AN361" s="16">
        <f t="shared" si="97"/>
        <v>0.7831325301204819</v>
      </c>
      <c r="AO361" s="16">
        <f t="shared" si="97"/>
        <v>0.7834681042228212</v>
      </c>
      <c r="AP361" s="16">
        <f t="shared" si="97"/>
        <v>0.78356890459363959</v>
      </c>
      <c r="AQ361" s="16">
        <f t="shared" si="97"/>
        <v>0.7838472834067548</v>
      </c>
      <c r="AR361" s="16">
        <f t="shared" si="97"/>
        <v>0.78393433010847258</v>
      </c>
      <c r="AS361" s="16">
        <f t="shared" si="97"/>
        <v>0.78412419449326298</v>
      </c>
      <c r="AT361" s="16">
        <f t="shared" si="97"/>
        <v>0.78431372549019607</v>
      </c>
      <c r="AU361" s="16">
        <f t="shared" si="97"/>
        <v>0.78450292397660815</v>
      </c>
      <c r="AV361" s="16">
        <f t="shared" si="97"/>
        <v>0.78452554744525549</v>
      </c>
      <c r="AW361" s="16">
        <f t="shared" si="97"/>
        <v>0.7846109006120664</v>
      </c>
      <c r="AX361" s="16">
        <f t="shared" si="97"/>
        <v>0.78459302325581393</v>
      </c>
      <c r="AY361" s="16">
        <f t="shared" si="97"/>
        <v>0.78476245654692933</v>
      </c>
      <c r="AZ361" s="16">
        <f t="shared" si="97"/>
        <v>0.78489042675893883</v>
      </c>
      <c r="BA361" s="16">
        <f t="shared" si="97"/>
        <v>0.78491540005735594</v>
      </c>
      <c r="BB361" s="16">
        <f t="shared" si="97"/>
        <v>0.78490028490028485</v>
      </c>
      <c r="BC361" s="16">
        <f t="shared" si="97"/>
        <v>0.78494623655913975</v>
      </c>
      <c r="BD361" s="16">
        <f t="shared" si="97"/>
        <v>0.7851123595505618</v>
      </c>
      <c r="BE361" s="16">
        <f t="shared" si="97"/>
        <v>0.78505715082241423</v>
      </c>
      <c r="BF361" s="16">
        <f t="shared" si="97"/>
        <v>0.78516057585825028</v>
      </c>
      <c r="BG361" s="16">
        <f t="shared" si="97"/>
        <v>0.7851444291609353</v>
      </c>
      <c r="BH361" s="16">
        <f t="shared" si="97"/>
        <v>0.78495212038303697</v>
      </c>
      <c r="BI361" s="16">
        <f t="shared" si="97"/>
        <v>0.78534459275401802</v>
      </c>
    </row>
    <row r="362" spans="1:61" x14ac:dyDescent="0.25">
      <c r="A362" s="11">
        <f>$A$37</f>
        <v>22</v>
      </c>
      <c r="M362" s="11"/>
      <c r="N362" s="11"/>
      <c r="O362" s="11"/>
      <c r="P362" s="11"/>
      <c r="Q362" s="11"/>
      <c r="R362" s="11"/>
      <c r="S362" s="11"/>
      <c r="T362" s="16">
        <f>T$222/T$37</f>
        <v>0.80095693779904309</v>
      </c>
      <c r="U362" s="16">
        <f t="shared" ref="U362:BI362" si="98">U$222/U$37</f>
        <v>0.80186255619781632</v>
      </c>
      <c r="V362" s="16">
        <f t="shared" si="98"/>
        <v>0.80281690140845074</v>
      </c>
      <c r="W362" s="16">
        <f t="shared" si="98"/>
        <v>0.80368865270396994</v>
      </c>
      <c r="X362" s="16">
        <f t="shared" si="98"/>
        <v>0.80471380471380471</v>
      </c>
      <c r="Y362" s="16">
        <f t="shared" si="98"/>
        <v>0.80551565642056877</v>
      </c>
      <c r="Z362" s="16">
        <f t="shared" si="98"/>
        <v>0.80629000834956865</v>
      </c>
      <c r="AA362" s="16">
        <f t="shared" si="98"/>
        <v>0.8068985015549901</v>
      </c>
      <c r="AB362" s="16">
        <f t="shared" si="98"/>
        <v>0.80769230769230771</v>
      </c>
      <c r="AC362" s="16">
        <f t="shared" si="98"/>
        <v>0.80828304991771804</v>
      </c>
      <c r="AD362" s="16">
        <f t="shared" si="98"/>
        <v>0.80891197375615087</v>
      </c>
      <c r="AE362" s="16">
        <f t="shared" si="98"/>
        <v>0.80939377389404699</v>
      </c>
      <c r="AF362" s="16">
        <f t="shared" si="98"/>
        <v>0.80982965652052497</v>
      </c>
      <c r="AG362" s="16">
        <f t="shared" si="98"/>
        <v>0.81046479265237958</v>
      </c>
      <c r="AH362" s="16">
        <f t="shared" si="98"/>
        <v>0.8108640585420771</v>
      </c>
      <c r="AI362" s="16">
        <f t="shared" si="98"/>
        <v>0.81114808652246251</v>
      </c>
      <c r="AJ362" s="16">
        <f t="shared" si="98"/>
        <v>0.81177796562411952</v>
      </c>
      <c r="AK362" s="16">
        <f t="shared" si="98"/>
        <v>0.81192015743604162</v>
      </c>
      <c r="AL362" s="16">
        <f t="shared" si="98"/>
        <v>0.81241144800226694</v>
      </c>
      <c r="AM362" s="16">
        <f t="shared" si="98"/>
        <v>0.81285231116121759</v>
      </c>
      <c r="AN362" s="16">
        <f t="shared" si="98"/>
        <v>0.81300586101032657</v>
      </c>
      <c r="AO362" s="16">
        <f t="shared" si="98"/>
        <v>0.81315710423550613</v>
      </c>
      <c r="AP362" s="16">
        <f t="shared" si="98"/>
        <v>0.81332138590203107</v>
      </c>
      <c r="AQ362" s="16">
        <f t="shared" si="98"/>
        <v>0.81350954478707782</v>
      </c>
      <c r="AR362" s="16">
        <f t="shared" si="98"/>
        <v>0.81370826010544817</v>
      </c>
      <c r="AS362" s="16">
        <f t="shared" si="98"/>
        <v>0.81403508771929822</v>
      </c>
      <c r="AT362" s="16">
        <f t="shared" si="98"/>
        <v>0.81425233644859818</v>
      </c>
      <c r="AU362" s="16">
        <f t="shared" si="98"/>
        <v>0.8144149401809162</v>
      </c>
      <c r="AV362" s="16">
        <f t="shared" si="98"/>
        <v>0.81433984261148351</v>
      </c>
      <c r="AW362" s="16">
        <f t="shared" si="98"/>
        <v>0.81455604075691412</v>
      </c>
      <c r="AX362" s="16">
        <f t="shared" si="98"/>
        <v>0.81464264962231259</v>
      </c>
      <c r="AY362" s="16">
        <f t="shared" si="98"/>
        <v>0.81454650825847585</v>
      </c>
      <c r="AZ362" s="16">
        <f t="shared" si="98"/>
        <v>0.81490037539705462</v>
      </c>
      <c r="BA362" s="16">
        <f t="shared" si="98"/>
        <v>0.81465517241379315</v>
      </c>
      <c r="BB362" s="16">
        <f t="shared" si="98"/>
        <v>0.8150900257216348</v>
      </c>
      <c r="BC362" s="16">
        <f t="shared" si="98"/>
        <v>0.81487791027825096</v>
      </c>
      <c r="BD362" s="16">
        <f t="shared" si="98"/>
        <v>0.81477304764589797</v>
      </c>
      <c r="BE362" s="16">
        <f t="shared" si="98"/>
        <v>0.81500139938427096</v>
      </c>
      <c r="BF362" s="16">
        <f t="shared" si="98"/>
        <v>0.81499999999999995</v>
      </c>
      <c r="BG362" s="16">
        <f t="shared" si="98"/>
        <v>0.81517241379310346</v>
      </c>
      <c r="BH362" s="16">
        <f t="shared" si="98"/>
        <v>0.81524122807017541</v>
      </c>
      <c r="BI362" s="16">
        <f t="shared" si="98"/>
        <v>0.81515812431842971</v>
      </c>
    </row>
    <row r="363" spans="1:61" x14ac:dyDescent="0.25">
      <c r="A363" s="11">
        <f>$A$38</f>
        <v>23</v>
      </c>
      <c r="M363" s="11"/>
      <c r="N363" s="11"/>
      <c r="O363" s="11"/>
      <c r="P363" s="11"/>
      <c r="Q363" s="11"/>
      <c r="R363" s="11"/>
      <c r="S363" s="11"/>
      <c r="T363" s="16">
        <f>T$223/T$38</f>
        <v>0.8154133001864512</v>
      </c>
      <c r="U363" s="16">
        <f t="shared" ref="U363:BI363" si="99">U$223/U$38</f>
        <v>0.817310763334398</v>
      </c>
      <c r="V363" s="16">
        <f t="shared" si="99"/>
        <v>0.81899871630295251</v>
      </c>
      <c r="W363" s="16">
        <f t="shared" si="99"/>
        <v>0.82062500000000005</v>
      </c>
      <c r="X363" s="16">
        <f t="shared" si="99"/>
        <v>0.82220835932626324</v>
      </c>
      <c r="Y363" s="16">
        <f t="shared" si="99"/>
        <v>0.82326007326007322</v>
      </c>
      <c r="Z363" s="16">
        <f t="shared" si="99"/>
        <v>0.82469206531079919</v>
      </c>
      <c r="AA363" s="16">
        <f t="shared" si="99"/>
        <v>0.82574916759156491</v>
      </c>
      <c r="AB363" s="16">
        <f t="shared" si="99"/>
        <v>0.82694475760992103</v>
      </c>
      <c r="AC363" s="16">
        <f t="shared" si="99"/>
        <v>0.82803943044906902</v>
      </c>
      <c r="AD363" s="16">
        <f t="shared" si="99"/>
        <v>0.82914160743575727</v>
      </c>
      <c r="AE363" s="16">
        <f t="shared" si="99"/>
        <v>0.83001906837374018</v>
      </c>
      <c r="AF363" s="16">
        <f t="shared" si="99"/>
        <v>0.83074829931972793</v>
      </c>
      <c r="AG363" s="16">
        <f t="shared" si="99"/>
        <v>0.83166388425153037</v>
      </c>
      <c r="AH363" s="16">
        <f t="shared" si="99"/>
        <v>0.83250138657792572</v>
      </c>
      <c r="AI363" s="16">
        <f t="shared" si="99"/>
        <v>0.83319315951780204</v>
      </c>
      <c r="AJ363" s="16">
        <f t="shared" si="99"/>
        <v>0.83370165745856351</v>
      </c>
      <c r="AK363" s="16">
        <f t="shared" si="99"/>
        <v>0.83440920572551225</v>
      </c>
      <c r="AL363" s="16">
        <f t="shared" si="99"/>
        <v>0.83506020722486696</v>
      </c>
      <c r="AM363" s="16">
        <f t="shared" si="99"/>
        <v>0.83549661399548536</v>
      </c>
      <c r="AN363" s="16">
        <f t="shared" si="99"/>
        <v>0.83609317990457477</v>
      </c>
      <c r="AO363" s="16">
        <f t="shared" si="99"/>
        <v>0.83657587548638135</v>
      </c>
      <c r="AP363" s="16">
        <f t="shared" si="99"/>
        <v>0.8370215311004785</v>
      </c>
      <c r="AQ363" s="16">
        <f t="shared" si="99"/>
        <v>0.83709869203329368</v>
      </c>
      <c r="AR363" s="16">
        <f t="shared" si="99"/>
        <v>0.83747442268342587</v>
      </c>
      <c r="AS363" s="16">
        <f t="shared" si="99"/>
        <v>0.8376566598659283</v>
      </c>
      <c r="AT363" s="16">
        <f t="shared" si="99"/>
        <v>0.83794006400931043</v>
      </c>
      <c r="AU363" s="16">
        <f t="shared" si="99"/>
        <v>0.83841906422551582</v>
      </c>
      <c r="AV363" s="16">
        <f t="shared" si="99"/>
        <v>0.83860667634252539</v>
      </c>
      <c r="AW363" s="16">
        <f t="shared" si="99"/>
        <v>0.83850391417802261</v>
      </c>
      <c r="AX363" s="16">
        <f t="shared" si="99"/>
        <v>0.83898059658268176</v>
      </c>
      <c r="AY363" s="16">
        <f t="shared" si="99"/>
        <v>0.83901734104046244</v>
      </c>
      <c r="AZ363" s="16">
        <f t="shared" si="99"/>
        <v>0.83919308357348699</v>
      </c>
      <c r="BA363" s="16">
        <f t="shared" si="99"/>
        <v>0.83921906402526558</v>
      </c>
      <c r="BB363" s="16">
        <f t="shared" si="99"/>
        <v>0.83938268076593314</v>
      </c>
      <c r="BC363" s="16">
        <f t="shared" si="99"/>
        <v>0.83944302358624612</v>
      </c>
      <c r="BD363" s="16">
        <f t="shared" si="99"/>
        <v>0.83935629587803506</v>
      </c>
      <c r="BE363" s="16">
        <f t="shared" si="99"/>
        <v>0.83964115503224002</v>
      </c>
      <c r="BF363" s="16">
        <f t="shared" si="99"/>
        <v>0.83945464663327773</v>
      </c>
      <c r="BG363" s="16">
        <f t="shared" si="99"/>
        <v>0.83954708644020992</v>
      </c>
      <c r="BH363" s="16">
        <f t="shared" si="99"/>
        <v>0.83982446516730669</v>
      </c>
      <c r="BI363" s="16">
        <f t="shared" si="99"/>
        <v>0.83978201634877381</v>
      </c>
    </row>
    <row r="364" spans="1:61" x14ac:dyDescent="0.25">
      <c r="A364" s="11">
        <f>$A$39</f>
        <v>24</v>
      </c>
      <c r="M364" s="11"/>
      <c r="N364" s="11"/>
      <c r="O364" s="11"/>
      <c r="P364" s="11"/>
      <c r="Q364" s="11"/>
      <c r="R364" s="11"/>
      <c r="S364" s="11"/>
      <c r="T364" s="16">
        <f>T$224/T$39</f>
        <v>0.81956720512039016</v>
      </c>
      <c r="U364" s="16">
        <f t="shared" ref="U364:BI364" si="100">U$224/U$39</f>
        <v>0.82223598637349027</v>
      </c>
      <c r="V364" s="16">
        <f t="shared" si="100"/>
        <v>0.82502381708478878</v>
      </c>
      <c r="W364" s="16">
        <f t="shared" si="100"/>
        <v>0.82786101370736376</v>
      </c>
      <c r="X364" s="16">
        <f t="shared" si="100"/>
        <v>0.83002481389578164</v>
      </c>
      <c r="Y364" s="16">
        <f t="shared" si="100"/>
        <v>0.83235385091246517</v>
      </c>
      <c r="Z364" s="16">
        <f t="shared" si="100"/>
        <v>0.83444309927360771</v>
      </c>
      <c r="AA364" s="16">
        <f t="shared" si="100"/>
        <v>0.83636363636363631</v>
      </c>
      <c r="AB364" s="16">
        <f t="shared" si="100"/>
        <v>0.83838105726872247</v>
      </c>
      <c r="AC364" s="16">
        <f t="shared" si="100"/>
        <v>0.84008946044171096</v>
      </c>
      <c r="AD364" s="16">
        <f t="shared" si="100"/>
        <v>0.8416191252377071</v>
      </c>
      <c r="AE364" s="16">
        <f t="shared" si="100"/>
        <v>0.84323298074315156</v>
      </c>
      <c r="AF364" s="16">
        <f t="shared" si="100"/>
        <v>0.844636584706836</v>
      </c>
      <c r="AG364" s="16">
        <f t="shared" si="100"/>
        <v>0.84588394062078276</v>
      </c>
      <c r="AH364" s="16">
        <f t="shared" si="100"/>
        <v>0.84717241379310348</v>
      </c>
      <c r="AI364" s="16">
        <f t="shared" si="100"/>
        <v>0.84822656035193844</v>
      </c>
      <c r="AJ364" s="16">
        <f t="shared" si="100"/>
        <v>0.84912475687691025</v>
      </c>
      <c r="AK364" s="16">
        <f t="shared" si="100"/>
        <v>0.85021905805038334</v>
      </c>
      <c r="AL364" s="16">
        <f t="shared" si="100"/>
        <v>0.85122358175750834</v>
      </c>
      <c r="AM364" s="16">
        <f t="shared" si="100"/>
        <v>0.85210876803551605</v>
      </c>
      <c r="AN364" s="16">
        <f t="shared" si="100"/>
        <v>0.85266983505731064</v>
      </c>
      <c r="AO364" s="16">
        <f t="shared" si="100"/>
        <v>0.85348901862663329</v>
      </c>
      <c r="AP364" s="16">
        <f t="shared" si="100"/>
        <v>0.85435022026431717</v>
      </c>
      <c r="AQ364" s="16">
        <f t="shared" si="100"/>
        <v>0.85469073690440955</v>
      </c>
      <c r="AR364" s="16">
        <f t="shared" si="100"/>
        <v>0.85525154457193298</v>
      </c>
      <c r="AS364" s="16">
        <f t="shared" si="100"/>
        <v>0.85590277777777779</v>
      </c>
      <c r="AT364" s="16">
        <f t="shared" si="100"/>
        <v>0.8560300057703405</v>
      </c>
      <c r="AU364" s="16">
        <f t="shared" si="100"/>
        <v>0.85660811978116902</v>
      </c>
      <c r="AV364" s="16">
        <f t="shared" si="100"/>
        <v>0.85681426106958025</v>
      </c>
      <c r="AW364" s="16">
        <f t="shared" si="100"/>
        <v>0.85722493536340127</v>
      </c>
      <c r="AX364" s="16">
        <f t="shared" si="100"/>
        <v>0.85767575322812051</v>
      </c>
      <c r="AY364" s="16">
        <f t="shared" si="100"/>
        <v>0.85763391578344317</v>
      </c>
      <c r="AZ364" s="16">
        <f t="shared" si="100"/>
        <v>0.85791881074899945</v>
      </c>
      <c r="BA364" s="16">
        <f t="shared" si="100"/>
        <v>0.85803876852907635</v>
      </c>
      <c r="BB364" s="16">
        <f t="shared" si="100"/>
        <v>0.85827889804032942</v>
      </c>
      <c r="BC364" s="16">
        <f t="shared" si="100"/>
        <v>0.85839457320520063</v>
      </c>
      <c r="BD364" s="16">
        <f t="shared" si="100"/>
        <v>0.85862844294547502</v>
      </c>
      <c r="BE364" s="16">
        <f t="shared" si="100"/>
        <v>0.85869868751745326</v>
      </c>
      <c r="BF364" s="16">
        <f t="shared" si="100"/>
        <v>0.85860826171333515</v>
      </c>
      <c r="BG364" s="16">
        <f t="shared" si="100"/>
        <v>0.85883324160704455</v>
      </c>
      <c r="BH364" s="16">
        <f t="shared" si="100"/>
        <v>0.8587817536192297</v>
      </c>
      <c r="BI364" s="16">
        <f t="shared" si="100"/>
        <v>0.85896392731217797</v>
      </c>
    </row>
    <row r="365" spans="1:61" x14ac:dyDescent="0.25">
      <c r="A365" s="11">
        <f>$A$40</f>
        <v>25</v>
      </c>
      <c r="M365" s="11"/>
      <c r="N365" s="11"/>
      <c r="O365" s="11"/>
      <c r="P365" s="11"/>
      <c r="Q365" s="11"/>
      <c r="R365" s="11"/>
      <c r="S365" s="11"/>
      <c r="T365" s="16">
        <f>T$225/T$40</f>
        <v>0.82508666876772774</v>
      </c>
      <c r="U365" s="16">
        <f t="shared" ref="U365:BI365" si="101">U$225/U$40</f>
        <v>0.82870090634441085</v>
      </c>
      <c r="V365" s="16">
        <f t="shared" si="101"/>
        <v>0.83210784313725494</v>
      </c>
      <c r="W365" s="16">
        <f t="shared" si="101"/>
        <v>0.83500627352572143</v>
      </c>
      <c r="X365" s="16">
        <f t="shared" si="101"/>
        <v>0.83799937087134324</v>
      </c>
      <c r="Y365" s="16">
        <f t="shared" si="101"/>
        <v>0.84088127294981641</v>
      </c>
      <c r="Z365" s="16">
        <f t="shared" si="101"/>
        <v>0.84350213544844421</v>
      </c>
      <c r="AA365" s="16">
        <f t="shared" si="101"/>
        <v>0.84567164179104481</v>
      </c>
      <c r="AB365" s="16">
        <f t="shared" si="101"/>
        <v>0.84800897363993266</v>
      </c>
      <c r="AC365" s="16">
        <f t="shared" si="101"/>
        <v>0.8502310410437619</v>
      </c>
      <c r="AD365" s="16">
        <f t="shared" si="101"/>
        <v>0.85237306843267113</v>
      </c>
      <c r="AE365" s="16">
        <f t="shared" si="101"/>
        <v>0.85411638508983645</v>
      </c>
      <c r="AF365" s="16">
        <f t="shared" si="101"/>
        <v>0.85595716198125837</v>
      </c>
      <c r="AG365" s="16">
        <f t="shared" si="101"/>
        <v>0.85756201653774344</v>
      </c>
      <c r="AH365" s="16">
        <f t="shared" si="101"/>
        <v>0.85881726158763982</v>
      </c>
      <c r="AI365" s="16">
        <f t="shared" si="101"/>
        <v>0.86037016875340233</v>
      </c>
      <c r="AJ365" s="16">
        <f t="shared" si="101"/>
        <v>0.86167615947925147</v>
      </c>
      <c r="AK365" s="16">
        <f t="shared" si="101"/>
        <v>0.86293859649122806</v>
      </c>
      <c r="AL365" s="16">
        <f t="shared" si="101"/>
        <v>0.86385737439222043</v>
      </c>
      <c r="AM365" s="16">
        <f t="shared" si="101"/>
        <v>0.86505759736697752</v>
      </c>
      <c r="AN365" s="16">
        <f t="shared" si="101"/>
        <v>0.86593707250342</v>
      </c>
      <c r="AO365" s="16">
        <f t="shared" si="101"/>
        <v>0.86686879823594265</v>
      </c>
      <c r="AP365" s="16">
        <f t="shared" si="101"/>
        <v>0.8673609208002192</v>
      </c>
      <c r="AQ365" s="16">
        <f t="shared" si="101"/>
        <v>0.86834961997828453</v>
      </c>
      <c r="AR365" s="16">
        <f t="shared" si="101"/>
        <v>0.86884290294374822</v>
      </c>
      <c r="AS365" s="16">
        <f t="shared" si="101"/>
        <v>0.86935110081112399</v>
      </c>
      <c r="AT365" s="16">
        <f t="shared" si="101"/>
        <v>0.86980056980056986</v>
      </c>
      <c r="AU365" s="16">
        <f t="shared" si="101"/>
        <v>0.87041773231031538</v>
      </c>
      <c r="AV365" s="16">
        <f t="shared" si="101"/>
        <v>0.87071165296285791</v>
      </c>
      <c r="AW365" s="16">
        <f t="shared" si="101"/>
        <v>0.87117780294450731</v>
      </c>
      <c r="AX365" s="16">
        <f t="shared" si="101"/>
        <v>0.87160633484162897</v>
      </c>
      <c r="AY365" s="16">
        <f t="shared" si="101"/>
        <v>0.87203389830508471</v>
      </c>
      <c r="AZ365" s="16">
        <f t="shared" si="101"/>
        <v>0.8722504230118443</v>
      </c>
      <c r="BA365" s="16">
        <f t="shared" si="101"/>
        <v>0.87250211089220375</v>
      </c>
      <c r="BB365" s="16">
        <f t="shared" si="101"/>
        <v>0.87261503928170592</v>
      </c>
      <c r="BC365" s="16">
        <f t="shared" si="101"/>
        <v>0.87279843444227001</v>
      </c>
      <c r="BD365" s="16">
        <f t="shared" si="101"/>
        <v>0.87312186978297157</v>
      </c>
      <c r="BE365" s="16">
        <f t="shared" si="101"/>
        <v>0.87302904564315353</v>
      </c>
      <c r="BF365" s="16">
        <f t="shared" si="101"/>
        <v>0.8730420445177246</v>
      </c>
      <c r="BG365" s="16">
        <f t="shared" si="101"/>
        <v>0.8733624454148472</v>
      </c>
      <c r="BH365" s="16">
        <f t="shared" si="101"/>
        <v>0.87323943661971826</v>
      </c>
      <c r="BI365" s="16">
        <f t="shared" si="101"/>
        <v>0.87335305189567092</v>
      </c>
    </row>
    <row r="366" spans="1:61" x14ac:dyDescent="0.25">
      <c r="A366" s="11">
        <f>$A$41</f>
        <v>26</v>
      </c>
      <c r="M366" s="11"/>
      <c r="N366" s="11"/>
      <c r="O366" s="11"/>
      <c r="P366" s="11"/>
      <c r="Q366" s="11"/>
      <c r="R366" s="11"/>
      <c r="S366" s="11"/>
      <c r="T366" s="16">
        <f>T$226/T$41</f>
        <v>0.82095808383233537</v>
      </c>
      <c r="U366" s="16">
        <f t="shared" ref="U366:BI366" si="102">U$226/U$41</f>
        <v>0.82482887367766022</v>
      </c>
      <c r="V366" s="16">
        <f t="shared" si="102"/>
        <v>0.82876712328767121</v>
      </c>
      <c r="W366" s="16">
        <f t="shared" si="102"/>
        <v>0.83232810615199038</v>
      </c>
      <c r="X366" s="16">
        <f t="shared" si="102"/>
        <v>0.83559531153608879</v>
      </c>
      <c r="Y366" s="16">
        <f t="shared" si="102"/>
        <v>0.83868974042027189</v>
      </c>
      <c r="Z366" s="16">
        <f t="shared" si="102"/>
        <v>0.84159903817252779</v>
      </c>
      <c r="AA366" s="16">
        <f t="shared" si="102"/>
        <v>0.84447108181000896</v>
      </c>
      <c r="AB366" s="16">
        <f t="shared" si="102"/>
        <v>0.84716925784687591</v>
      </c>
      <c r="AC366" s="16">
        <f t="shared" si="102"/>
        <v>0.84942084942084939</v>
      </c>
      <c r="AD366" s="16">
        <f t="shared" si="102"/>
        <v>0.85183204065258089</v>
      </c>
      <c r="AE366" s="16">
        <f t="shared" si="102"/>
        <v>0.85400271370420622</v>
      </c>
      <c r="AF366" s="16">
        <f t="shared" si="102"/>
        <v>0.85593667546174146</v>
      </c>
      <c r="AG366" s="16">
        <f t="shared" si="102"/>
        <v>0.8577824598367132</v>
      </c>
      <c r="AH366" s="16">
        <f t="shared" si="102"/>
        <v>0.85961689845184985</v>
      </c>
      <c r="AI366" s="16">
        <f t="shared" si="102"/>
        <v>0.86111111111111116</v>
      </c>
      <c r="AJ366" s="16">
        <f t="shared" si="102"/>
        <v>0.86268736616702357</v>
      </c>
      <c r="AK366" s="16">
        <f t="shared" si="102"/>
        <v>0.86423046145638838</v>
      </c>
      <c r="AL366" s="16">
        <f t="shared" si="102"/>
        <v>0.86530172413793105</v>
      </c>
      <c r="AM366" s="16">
        <f t="shared" si="102"/>
        <v>0.86640106241699866</v>
      </c>
      <c r="AN366" s="16">
        <f t="shared" si="102"/>
        <v>0.86765498652291106</v>
      </c>
      <c r="AO366" s="16">
        <f t="shared" si="102"/>
        <v>0.86851304114009142</v>
      </c>
      <c r="AP366" s="16">
        <f t="shared" si="102"/>
        <v>0.86921202274573517</v>
      </c>
      <c r="AQ366" s="16">
        <f t="shared" si="102"/>
        <v>0.87022078621432419</v>
      </c>
      <c r="AR366" s="16">
        <f t="shared" si="102"/>
        <v>0.87093333333333334</v>
      </c>
      <c r="AS366" s="16">
        <f t="shared" si="102"/>
        <v>0.87160423219902772</v>
      </c>
      <c r="AT366" s="16">
        <f t="shared" si="102"/>
        <v>0.87208641273450827</v>
      </c>
      <c r="AU366" s="16">
        <f t="shared" si="102"/>
        <v>0.87276286353467558</v>
      </c>
      <c r="AV366" s="16">
        <f t="shared" si="102"/>
        <v>0.8733965421081985</v>
      </c>
      <c r="AW366" s="16">
        <f t="shared" si="102"/>
        <v>0.87367835281023931</v>
      </c>
      <c r="AX366" s="16">
        <f t="shared" si="102"/>
        <v>0.87413170325090306</v>
      </c>
      <c r="AY366" s="16">
        <f t="shared" si="102"/>
        <v>0.87430632630410654</v>
      </c>
      <c r="AZ366" s="16">
        <f t="shared" si="102"/>
        <v>0.8747575505680244</v>
      </c>
      <c r="BA366" s="16">
        <f t="shared" si="102"/>
        <v>0.87520752628666298</v>
      </c>
      <c r="BB366" s="16">
        <f t="shared" si="102"/>
        <v>0.87520706791827718</v>
      </c>
      <c r="BC366" s="16">
        <f t="shared" si="102"/>
        <v>0.87530966143682909</v>
      </c>
      <c r="BD366" s="16">
        <f t="shared" si="102"/>
        <v>0.8755141211955032</v>
      </c>
      <c r="BE366" s="16">
        <f t="shared" si="102"/>
        <v>0.8758187772925764</v>
      </c>
      <c r="BF366" s="16">
        <f t="shared" si="102"/>
        <v>0.87598371777476258</v>
      </c>
      <c r="BG366" s="16">
        <f t="shared" si="102"/>
        <v>0.87597735238608787</v>
      </c>
      <c r="BH366" s="16">
        <f t="shared" si="102"/>
        <v>0.87580299785867233</v>
      </c>
      <c r="BI366" s="16">
        <f t="shared" si="102"/>
        <v>0.87616263619452561</v>
      </c>
    </row>
    <row r="367" spans="1:61" x14ac:dyDescent="0.25">
      <c r="A367" s="11">
        <f>$A$42</f>
        <v>27</v>
      </c>
      <c r="M367" s="11"/>
      <c r="N367" s="11"/>
      <c r="O367" s="11"/>
      <c r="P367" s="11"/>
      <c r="Q367" s="11"/>
      <c r="R367" s="11"/>
      <c r="S367" s="11"/>
      <c r="T367" s="16">
        <f>T$227/T$42</f>
        <v>0.8180761406567858</v>
      </c>
      <c r="U367" s="16">
        <f t="shared" ref="U367:BI367" si="103">U$227/U$42</f>
        <v>0.82222877358490565</v>
      </c>
      <c r="V367" s="16">
        <f t="shared" si="103"/>
        <v>0.82615337610754658</v>
      </c>
      <c r="W367" s="16">
        <f t="shared" si="103"/>
        <v>0.82987430575855015</v>
      </c>
      <c r="X367" s="16">
        <f t="shared" si="103"/>
        <v>0.83353045535186276</v>
      </c>
      <c r="Y367" s="16">
        <f t="shared" si="103"/>
        <v>0.8368580060422961</v>
      </c>
      <c r="Z367" s="16">
        <f t="shared" si="103"/>
        <v>0.8399394856278366</v>
      </c>
      <c r="AA367" s="16">
        <f t="shared" si="103"/>
        <v>0.84305064782096584</v>
      </c>
      <c r="AB367" s="16">
        <f t="shared" si="103"/>
        <v>0.84590548869973581</v>
      </c>
      <c r="AC367" s="16">
        <f t="shared" si="103"/>
        <v>0.84827586206896555</v>
      </c>
      <c r="AD367" s="16">
        <f t="shared" si="103"/>
        <v>0.85091991341991347</v>
      </c>
      <c r="AE367" s="16">
        <f t="shared" si="103"/>
        <v>0.85328083989501313</v>
      </c>
      <c r="AF367" s="16">
        <f t="shared" si="103"/>
        <v>0.85543130990415339</v>
      </c>
      <c r="AG367" s="16">
        <f t="shared" si="103"/>
        <v>0.8572908572908573</v>
      </c>
      <c r="AH367" s="16">
        <f t="shared" si="103"/>
        <v>0.85913672783665029</v>
      </c>
      <c r="AI367" s="16">
        <f t="shared" si="103"/>
        <v>0.8609322688642802</v>
      </c>
      <c r="AJ367" s="16">
        <f t="shared" si="103"/>
        <v>0.86243250192851628</v>
      </c>
      <c r="AK367" s="16">
        <f t="shared" si="103"/>
        <v>0.86400630086636909</v>
      </c>
      <c r="AL367" s="16">
        <f t="shared" si="103"/>
        <v>0.86528904002092599</v>
      </c>
      <c r="AM367" s="16">
        <f t="shared" si="103"/>
        <v>0.8665785997357992</v>
      </c>
      <c r="AN367" s="16">
        <f t="shared" si="103"/>
        <v>0.86767387340453239</v>
      </c>
      <c r="AO367" s="16">
        <f t="shared" si="103"/>
        <v>0.86869220607661823</v>
      </c>
      <c r="AP367" s="16">
        <f t="shared" si="103"/>
        <v>0.86953083816552457</v>
      </c>
      <c r="AQ367" s="16">
        <f t="shared" si="103"/>
        <v>0.87048832271762211</v>
      </c>
      <c r="AR367" s="16">
        <f t="shared" si="103"/>
        <v>0.8712061229875957</v>
      </c>
      <c r="AS367" s="16">
        <f t="shared" si="103"/>
        <v>0.87192890747516993</v>
      </c>
      <c r="AT367" s="16">
        <f t="shared" si="103"/>
        <v>0.87265603134620762</v>
      </c>
      <c r="AU367" s="16">
        <f t="shared" si="103"/>
        <v>0.87340011129660544</v>
      </c>
      <c r="AV367" s="16">
        <f t="shared" si="103"/>
        <v>0.87380235422940045</v>
      </c>
      <c r="AW367" s="16">
        <f t="shared" si="103"/>
        <v>0.8741812227074236</v>
      </c>
      <c r="AX367" s="16">
        <f t="shared" si="103"/>
        <v>0.87469354399346222</v>
      </c>
      <c r="AY367" s="16">
        <f t="shared" si="103"/>
        <v>0.8751699755235246</v>
      </c>
      <c r="AZ367" s="16">
        <f t="shared" si="103"/>
        <v>0.87533948940793049</v>
      </c>
      <c r="BA367" s="16">
        <f t="shared" si="103"/>
        <v>0.87577976674803359</v>
      </c>
      <c r="BB367" s="16">
        <f t="shared" si="103"/>
        <v>0.87574445046020577</v>
      </c>
      <c r="BC367" s="16">
        <f t="shared" si="103"/>
        <v>0.87601296596434364</v>
      </c>
      <c r="BD367" s="16">
        <f t="shared" si="103"/>
        <v>0.87611096148666845</v>
      </c>
      <c r="BE367" s="16">
        <f t="shared" si="103"/>
        <v>0.87630802253823448</v>
      </c>
      <c r="BF367" s="16">
        <f t="shared" si="103"/>
        <v>0.87636849132176231</v>
      </c>
      <c r="BG367" s="16">
        <f t="shared" si="103"/>
        <v>0.87679235262878386</v>
      </c>
      <c r="BH367" s="16">
        <f t="shared" si="103"/>
        <v>0.87654972302822476</v>
      </c>
      <c r="BI367" s="16">
        <f t="shared" si="103"/>
        <v>0.87686664920094315</v>
      </c>
    </row>
    <row r="368" spans="1:61" x14ac:dyDescent="0.25">
      <c r="A368" s="11">
        <f>$A$43</f>
        <v>28</v>
      </c>
      <c r="M368" s="11"/>
      <c r="N368" s="11"/>
      <c r="O368" s="11"/>
      <c r="P368" s="11"/>
      <c r="Q368" s="11"/>
      <c r="R368" s="11"/>
      <c r="S368" s="11"/>
      <c r="T368" s="16">
        <f>T$228/T$43</f>
        <v>0.81637857750070841</v>
      </c>
      <c r="U368" s="16">
        <f t="shared" ref="U368:BI368" si="104">U$228/U$43</f>
        <v>0.82070346010866457</v>
      </c>
      <c r="V368" s="16">
        <f t="shared" si="104"/>
        <v>0.82460202604920407</v>
      </c>
      <c r="W368" s="16">
        <f t="shared" si="104"/>
        <v>0.82869122491764002</v>
      </c>
      <c r="X368" s="16">
        <f t="shared" si="104"/>
        <v>0.83233018056749786</v>
      </c>
      <c r="Y368" s="16">
        <f t="shared" si="104"/>
        <v>0.83574739281575894</v>
      </c>
      <c r="Z368" s="16">
        <f t="shared" si="104"/>
        <v>0.83885274985215852</v>
      </c>
      <c r="AA368" s="16">
        <f t="shared" si="104"/>
        <v>0.84191829484902314</v>
      </c>
      <c r="AB368" s="16">
        <f t="shared" si="104"/>
        <v>0.84491207840876337</v>
      </c>
      <c r="AC368" s="16">
        <f t="shared" si="104"/>
        <v>0.8477011494252874</v>
      </c>
      <c r="AD368" s="16">
        <f t="shared" si="104"/>
        <v>0.85026737967914434</v>
      </c>
      <c r="AE368" s="16">
        <f t="shared" si="104"/>
        <v>0.85251989389920424</v>
      </c>
      <c r="AF368" s="16">
        <f t="shared" si="104"/>
        <v>0.85478887744593202</v>
      </c>
      <c r="AG368" s="16">
        <f t="shared" si="104"/>
        <v>0.85669537979639776</v>
      </c>
      <c r="AH368" s="16">
        <f t="shared" si="104"/>
        <v>0.85873983739837401</v>
      </c>
      <c r="AI368" s="16">
        <f t="shared" si="104"/>
        <v>0.86029411764705888</v>
      </c>
      <c r="AJ368" s="16">
        <f t="shared" si="104"/>
        <v>0.86205154118241534</v>
      </c>
      <c r="AK368" s="16">
        <f t="shared" si="104"/>
        <v>0.86352169525731581</v>
      </c>
      <c r="AL368" s="16">
        <f t="shared" si="104"/>
        <v>0.86512226512226509</v>
      </c>
      <c r="AM368" s="16">
        <f t="shared" si="104"/>
        <v>0.86637599384457553</v>
      </c>
      <c r="AN368" s="16">
        <f t="shared" si="104"/>
        <v>0.86742620403935788</v>
      </c>
      <c r="AO368" s="16">
        <f t="shared" si="104"/>
        <v>0.86848825331971402</v>
      </c>
      <c r="AP368" s="16">
        <f t="shared" si="104"/>
        <v>0.86949766960124286</v>
      </c>
      <c r="AQ368" s="16">
        <f t="shared" si="104"/>
        <v>0.87035123966942152</v>
      </c>
      <c r="AR368" s="16">
        <f t="shared" si="104"/>
        <v>0.87129485179407173</v>
      </c>
      <c r="AS368" s="16">
        <f t="shared" si="104"/>
        <v>0.8719937936384794</v>
      </c>
      <c r="AT368" s="16">
        <f t="shared" si="104"/>
        <v>0.87269467213114749</v>
      </c>
      <c r="AU368" s="16">
        <f t="shared" si="104"/>
        <v>0.8732201533406353</v>
      </c>
      <c r="AV368" s="16">
        <f t="shared" si="104"/>
        <v>0.87370713119216115</v>
      </c>
      <c r="AW368" s="16">
        <f t="shared" si="104"/>
        <v>0.87409590141976967</v>
      </c>
      <c r="AX368" s="16">
        <f t="shared" si="104"/>
        <v>0.87469943895271174</v>
      </c>
      <c r="AY368" s="16">
        <f t="shared" si="104"/>
        <v>0.875</v>
      </c>
      <c r="AZ368" s="16">
        <f t="shared" si="104"/>
        <v>0.87546567323044178</v>
      </c>
      <c r="BA368" s="16">
        <f t="shared" si="104"/>
        <v>0.87563114536274245</v>
      </c>
      <c r="BB368" s="16">
        <f t="shared" si="104"/>
        <v>0.87582913239586102</v>
      </c>
      <c r="BC368" s="16">
        <f t="shared" si="104"/>
        <v>0.87629139072847684</v>
      </c>
      <c r="BD368" s="16">
        <f t="shared" si="104"/>
        <v>0.87632135306553915</v>
      </c>
      <c r="BE368" s="16">
        <f t="shared" si="104"/>
        <v>0.87641633728590251</v>
      </c>
      <c r="BF368" s="16">
        <f t="shared" si="104"/>
        <v>0.87637795275590546</v>
      </c>
      <c r="BG368" s="16">
        <f t="shared" si="104"/>
        <v>0.87669801462904906</v>
      </c>
      <c r="BH368" s="16">
        <f t="shared" si="104"/>
        <v>0.87662337662337664</v>
      </c>
      <c r="BI368" s="16">
        <f t="shared" si="104"/>
        <v>0.87687145069695405</v>
      </c>
    </row>
    <row r="369" spans="1:61" x14ac:dyDescent="0.25">
      <c r="A369" s="11">
        <f>$A$44</f>
        <v>29</v>
      </c>
      <c r="M369" s="11"/>
      <c r="N369" s="11"/>
      <c r="O369" s="11"/>
      <c r="P369" s="11"/>
      <c r="Q369" s="11"/>
      <c r="R369" s="11"/>
      <c r="S369" s="11"/>
      <c r="T369" s="16">
        <f>T$229/T$44</f>
        <v>0.81543443065299515</v>
      </c>
      <c r="U369" s="16">
        <f t="shared" ref="U369:BI369" si="105">U$229/U$44</f>
        <v>0.8201338538761852</v>
      </c>
      <c r="V369" s="16">
        <f t="shared" si="105"/>
        <v>0.82415730337078652</v>
      </c>
      <c r="W369" s="16">
        <f t="shared" si="105"/>
        <v>0.828125</v>
      </c>
      <c r="X369" s="16">
        <f t="shared" si="105"/>
        <v>0.83211036102142644</v>
      </c>
      <c r="Y369" s="16">
        <f t="shared" si="105"/>
        <v>0.83534700758640068</v>
      </c>
      <c r="Z369" s="16">
        <f t="shared" si="105"/>
        <v>0.83877377235310813</v>
      </c>
      <c r="AA369" s="16">
        <f t="shared" si="105"/>
        <v>0.841876629018245</v>
      </c>
      <c r="AB369" s="16">
        <f t="shared" si="105"/>
        <v>0.84463768115942028</v>
      </c>
      <c r="AC369" s="16">
        <f t="shared" si="105"/>
        <v>0.84778311211522173</v>
      </c>
      <c r="AD369" s="16">
        <f t="shared" si="105"/>
        <v>0.8499859273853082</v>
      </c>
      <c r="AE369" s="16">
        <f t="shared" si="105"/>
        <v>0.85245449531163819</v>
      </c>
      <c r="AF369" s="16">
        <f t="shared" si="105"/>
        <v>0.85480093676814983</v>
      </c>
      <c r="AG369" s="16">
        <f t="shared" si="105"/>
        <v>0.85674583122789283</v>
      </c>
      <c r="AH369" s="16">
        <f t="shared" si="105"/>
        <v>0.85886270491803274</v>
      </c>
      <c r="AI369" s="16">
        <f t="shared" si="105"/>
        <v>0.86059850374064839</v>
      </c>
      <c r="AJ369" s="16">
        <f t="shared" si="105"/>
        <v>0.86212045793927328</v>
      </c>
      <c r="AK369" s="16">
        <f t="shared" si="105"/>
        <v>0.86362509298289114</v>
      </c>
      <c r="AL369" s="16">
        <f t="shared" si="105"/>
        <v>0.86531319633572668</v>
      </c>
      <c r="AM369" s="16">
        <f t="shared" si="105"/>
        <v>0.86644786670032825</v>
      </c>
      <c r="AN369" s="16">
        <f t="shared" si="105"/>
        <v>0.86767295597484273</v>
      </c>
      <c r="AO369" s="16">
        <f t="shared" si="105"/>
        <v>0.86871508379888274</v>
      </c>
      <c r="AP369" s="16">
        <f t="shared" si="105"/>
        <v>0.86977210117705983</v>
      </c>
      <c r="AQ369" s="16">
        <f t="shared" si="105"/>
        <v>0.87052551408987056</v>
      </c>
      <c r="AR369" s="16">
        <f t="shared" si="105"/>
        <v>0.87135983793365412</v>
      </c>
      <c r="AS369" s="16">
        <f t="shared" si="105"/>
        <v>0.87229161356105023</v>
      </c>
      <c r="AT369" s="16">
        <f t="shared" si="105"/>
        <v>0.87300380228136887</v>
      </c>
      <c r="AU369" s="16">
        <f t="shared" si="105"/>
        <v>0.87343043696634859</v>
      </c>
      <c r="AV369" s="16">
        <f t="shared" si="105"/>
        <v>0.87426273458445036</v>
      </c>
      <c r="AW369" s="16">
        <f t="shared" si="105"/>
        <v>0.87446695095948823</v>
      </c>
      <c r="AX369" s="16">
        <f t="shared" si="105"/>
        <v>0.87486883525708292</v>
      </c>
      <c r="AY369" s="16">
        <f t="shared" si="105"/>
        <v>0.87522887784462466</v>
      </c>
      <c r="AZ369" s="16">
        <f t="shared" si="105"/>
        <v>0.87575045679979113</v>
      </c>
      <c r="BA369" s="16">
        <f t="shared" si="105"/>
        <v>0.87597707139134962</v>
      </c>
      <c r="BB369" s="16">
        <f t="shared" si="105"/>
        <v>0.87639864689045022</v>
      </c>
      <c r="BC369" s="16">
        <f t="shared" si="105"/>
        <v>0.87659132242140814</v>
      </c>
      <c r="BD369" s="16">
        <f t="shared" si="105"/>
        <v>0.87655601659751037</v>
      </c>
      <c r="BE369" s="16">
        <f t="shared" si="105"/>
        <v>0.87684346701164295</v>
      </c>
      <c r="BF369" s="16">
        <f t="shared" si="105"/>
        <v>0.87693498452012386</v>
      </c>
      <c r="BG369" s="16">
        <f t="shared" si="105"/>
        <v>0.87715240298123875</v>
      </c>
      <c r="BH369" s="16">
        <f t="shared" si="105"/>
        <v>0.87698209718670073</v>
      </c>
      <c r="BI369" s="16">
        <f t="shared" si="105"/>
        <v>0.87716174974567651</v>
      </c>
    </row>
    <row r="370" spans="1:61" x14ac:dyDescent="0.25">
      <c r="A370" s="11">
        <f>$A$45</f>
        <v>30</v>
      </c>
      <c r="M370" s="11"/>
      <c r="N370" s="11"/>
      <c r="O370" s="11"/>
      <c r="P370" s="11"/>
      <c r="Q370" s="11"/>
      <c r="R370" s="11"/>
      <c r="S370" s="11"/>
      <c r="T370" s="16">
        <f>T$230/T$45</f>
        <v>0.81646068892979229</v>
      </c>
      <c r="U370" s="16">
        <f t="shared" ref="U370:BI370" si="106">U$230/U$45</f>
        <v>0.82101063829787235</v>
      </c>
      <c r="V370" s="16">
        <f t="shared" si="106"/>
        <v>0.82501371365880416</v>
      </c>
      <c r="W370" s="16">
        <f t="shared" si="106"/>
        <v>0.82887110129726749</v>
      </c>
      <c r="X370" s="16">
        <f t="shared" si="106"/>
        <v>0.8329149232914923</v>
      </c>
      <c r="Y370" s="16">
        <f t="shared" si="106"/>
        <v>0.83621185952792165</v>
      </c>
      <c r="Z370" s="16">
        <f t="shared" si="106"/>
        <v>0.8395368072787428</v>
      </c>
      <c r="AA370" s="16">
        <f t="shared" si="106"/>
        <v>0.84270601336302897</v>
      </c>
      <c r="AB370" s="16">
        <f t="shared" si="106"/>
        <v>0.84582623509369681</v>
      </c>
      <c r="AC370" s="16">
        <f t="shared" si="106"/>
        <v>0.84825234441602726</v>
      </c>
      <c r="AD370" s="16">
        <f t="shared" si="106"/>
        <v>0.85101080033231791</v>
      </c>
      <c r="AE370" s="16">
        <f t="shared" si="106"/>
        <v>0.8531603643389456</v>
      </c>
      <c r="AF370" s="16">
        <f t="shared" si="106"/>
        <v>0.85551948051948057</v>
      </c>
      <c r="AG370" s="16">
        <f t="shared" si="106"/>
        <v>0.85765397393304366</v>
      </c>
      <c r="AH370" s="16">
        <f t="shared" si="106"/>
        <v>0.8594836146971202</v>
      </c>
      <c r="AI370" s="16">
        <f t="shared" si="106"/>
        <v>0.8613836477987421</v>
      </c>
      <c r="AJ370" s="16">
        <f t="shared" si="106"/>
        <v>0.8630237686841461</v>
      </c>
      <c r="AK370" s="16">
        <f t="shared" si="106"/>
        <v>0.86451455123502075</v>
      </c>
      <c r="AL370" s="16">
        <f t="shared" si="106"/>
        <v>0.86577344701583436</v>
      </c>
      <c r="AM370" s="16">
        <f t="shared" si="106"/>
        <v>0.86718559961080033</v>
      </c>
      <c r="AN370" s="16">
        <f t="shared" si="106"/>
        <v>0.86833622613439132</v>
      </c>
      <c r="AO370" s="16">
        <f t="shared" si="106"/>
        <v>0.86953298739807261</v>
      </c>
      <c r="AP370" s="16">
        <f t="shared" si="106"/>
        <v>0.87060583395661928</v>
      </c>
      <c r="AQ370" s="16">
        <f t="shared" si="106"/>
        <v>0.87137235612395469</v>
      </c>
      <c r="AR370" s="16">
        <f t="shared" si="106"/>
        <v>0.87238285144566297</v>
      </c>
      <c r="AS370" s="16">
        <f t="shared" si="106"/>
        <v>0.87319741422178021</v>
      </c>
      <c r="AT370" s="16">
        <f t="shared" si="106"/>
        <v>0.87365524143107332</v>
      </c>
      <c r="AU370" s="16">
        <f t="shared" si="106"/>
        <v>0.87434685245085841</v>
      </c>
      <c r="AV370" s="16">
        <f t="shared" si="106"/>
        <v>0.87478432339166867</v>
      </c>
      <c r="AW370" s="16">
        <f t="shared" si="106"/>
        <v>0.87542706964520367</v>
      </c>
      <c r="AX370" s="16">
        <f t="shared" si="106"/>
        <v>0.87588189182126996</v>
      </c>
      <c r="AY370" s="16">
        <f t="shared" si="106"/>
        <v>0.87625418060200666</v>
      </c>
      <c r="AZ370" s="16">
        <f t="shared" si="106"/>
        <v>0.87660338635197532</v>
      </c>
      <c r="BA370" s="16">
        <f t="shared" si="106"/>
        <v>0.8768876375735859</v>
      </c>
      <c r="BB370" s="16">
        <f t="shared" si="106"/>
        <v>0.87710781808891158</v>
      </c>
      <c r="BC370" s="16">
        <f t="shared" si="106"/>
        <v>0.87729591836734699</v>
      </c>
      <c r="BD370" s="16">
        <f t="shared" si="106"/>
        <v>0.87748344370860931</v>
      </c>
      <c r="BE370" s="16">
        <f t="shared" si="106"/>
        <v>0.87770150012712944</v>
      </c>
      <c r="BF370" s="16">
        <f t="shared" si="106"/>
        <v>0.87772704211060371</v>
      </c>
      <c r="BG370" s="16">
        <f t="shared" si="106"/>
        <v>0.87784522003034904</v>
      </c>
      <c r="BH370" s="16">
        <f t="shared" si="106"/>
        <v>0.87805492567397325</v>
      </c>
      <c r="BI370" s="16">
        <f t="shared" si="106"/>
        <v>0.87813440320962888</v>
      </c>
    </row>
    <row r="371" spans="1:61" x14ac:dyDescent="0.25">
      <c r="A371" s="11">
        <f>$A$46</f>
        <v>31</v>
      </c>
      <c r="M371" s="11"/>
      <c r="N371" s="11"/>
      <c r="O371" s="11"/>
      <c r="P371" s="11"/>
      <c r="Q371" s="11"/>
      <c r="R371" s="11"/>
      <c r="S371" s="11"/>
      <c r="T371" s="16">
        <f>T$231/T$46</f>
        <v>0.81861396047035273</v>
      </c>
      <c r="U371" s="16">
        <f t="shared" ref="U371:BI371" si="107">U$231/U$46</f>
        <v>0.82334630350194549</v>
      </c>
      <c r="V371" s="16">
        <f t="shared" si="107"/>
        <v>0.8271798900235664</v>
      </c>
      <c r="W371" s="16">
        <f t="shared" si="107"/>
        <v>0.83140005395198269</v>
      </c>
      <c r="X371" s="16">
        <f t="shared" si="107"/>
        <v>0.83505154639175261</v>
      </c>
      <c r="Y371" s="16">
        <f t="shared" si="107"/>
        <v>0.8386301369863014</v>
      </c>
      <c r="Z371" s="16">
        <f t="shared" si="107"/>
        <v>0.84209039548022602</v>
      </c>
      <c r="AA371" s="16">
        <f t="shared" si="107"/>
        <v>0.84511237476306522</v>
      </c>
      <c r="AB371" s="16">
        <f t="shared" si="107"/>
        <v>0.84800437397484962</v>
      </c>
      <c r="AC371" s="16">
        <f t="shared" si="107"/>
        <v>0.85093340763443859</v>
      </c>
      <c r="AD371" s="16">
        <f t="shared" si="107"/>
        <v>0.85331846068042383</v>
      </c>
      <c r="AE371" s="16">
        <f t="shared" si="107"/>
        <v>0.85589994562262095</v>
      </c>
      <c r="AF371" s="16">
        <f t="shared" si="107"/>
        <v>0.85799457994579942</v>
      </c>
      <c r="AG371" s="16">
        <f t="shared" si="107"/>
        <v>0.85998937300743894</v>
      </c>
      <c r="AH371" s="16">
        <f t="shared" si="107"/>
        <v>0.86187845303867405</v>
      </c>
      <c r="AI371" s="16">
        <f t="shared" si="107"/>
        <v>0.86380278252379794</v>
      </c>
      <c r="AJ371" s="16">
        <f t="shared" si="107"/>
        <v>0.86547972304648868</v>
      </c>
      <c r="AK371" s="16">
        <f t="shared" si="107"/>
        <v>0.86698795180722887</v>
      </c>
      <c r="AL371" s="16">
        <f t="shared" si="107"/>
        <v>0.8684779995191152</v>
      </c>
      <c r="AM371" s="16">
        <f t="shared" si="107"/>
        <v>0.8699089602299952</v>
      </c>
      <c r="AN371" s="16">
        <f t="shared" si="107"/>
        <v>0.87108347285338439</v>
      </c>
      <c r="AO371" s="16">
        <f t="shared" si="107"/>
        <v>0.87204484523519377</v>
      </c>
      <c r="AP371" s="16">
        <f t="shared" si="107"/>
        <v>0.87299660029140358</v>
      </c>
      <c r="AQ371" s="16">
        <f t="shared" si="107"/>
        <v>0.87405047782406275</v>
      </c>
      <c r="AR371" s="16">
        <f t="shared" si="107"/>
        <v>0.87478849407783421</v>
      </c>
      <c r="AS371" s="16">
        <f t="shared" si="107"/>
        <v>0.87558168013715409</v>
      </c>
      <c r="AT371" s="16">
        <f t="shared" si="107"/>
        <v>0.87616023448949687</v>
      </c>
      <c r="AU371" s="16">
        <f t="shared" si="107"/>
        <v>0.87687392479724746</v>
      </c>
      <c r="AV371" s="16">
        <f t="shared" si="107"/>
        <v>0.87753605475433882</v>
      </c>
      <c r="AW371" s="16">
        <f t="shared" si="107"/>
        <v>0.87793654637926855</v>
      </c>
      <c r="AX371" s="16">
        <f t="shared" si="107"/>
        <v>0.87828777720474471</v>
      </c>
      <c r="AY371" s="16">
        <f t="shared" si="107"/>
        <v>0.87871794871794873</v>
      </c>
      <c r="AZ371" s="16">
        <f t="shared" si="107"/>
        <v>0.87904040404040407</v>
      </c>
      <c r="BA371" s="16">
        <f t="shared" si="107"/>
        <v>0.87940584088620344</v>
      </c>
      <c r="BB371" s="16">
        <f t="shared" si="107"/>
        <v>0.87967847274554134</v>
      </c>
      <c r="BC371" s="16">
        <f t="shared" si="107"/>
        <v>0.87988966900702104</v>
      </c>
      <c r="BD371" s="16">
        <f t="shared" si="107"/>
        <v>0.88007010515773665</v>
      </c>
      <c r="BE371" s="16">
        <f t="shared" si="107"/>
        <v>0.88024999999999998</v>
      </c>
      <c r="BF371" s="16">
        <f t="shared" si="107"/>
        <v>0.88023952095808389</v>
      </c>
      <c r="BG371" s="16">
        <f t="shared" si="107"/>
        <v>0.8805078416728902</v>
      </c>
      <c r="BH371" s="16">
        <f t="shared" si="107"/>
        <v>0.88039702233250616</v>
      </c>
      <c r="BI371" s="16">
        <f t="shared" si="107"/>
        <v>0.88059332509270705</v>
      </c>
    </row>
    <row r="372" spans="1:61" x14ac:dyDescent="0.25">
      <c r="A372" s="11">
        <f>$A$47</f>
        <v>32</v>
      </c>
      <c r="M372" s="11"/>
      <c r="N372" s="11"/>
      <c r="O372" s="11"/>
      <c r="P372" s="11"/>
      <c r="Q372" s="11"/>
      <c r="R372" s="11"/>
      <c r="S372" s="11"/>
      <c r="T372" s="16">
        <f>T$232/T$47</f>
        <v>0.82163742690058483</v>
      </c>
      <c r="U372" s="16">
        <f t="shared" ref="U372:BI372" si="108">U$232/U$47</f>
        <v>0.82612990861941216</v>
      </c>
      <c r="V372" s="16">
        <f t="shared" si="108"/>
        <v>0.83052147239263807</v>
      </c>
      <c r="W372" s="16">
        <f t="shared" si="108"/>
        <v>0.83445074780814854</v>
      </c>
      <c r="X372" s="16">
        <f t="shared" si="108"/>
        <v>0.83815335632793841</v>
      </c>
      <c r="Y372" s="16">
        <f t="shared" si="108"/>
        <v>0.84182448652974129</v>
      </c>
      <c r="Z372" s="16">
        <f t="shared" si="108"/>
        <v>0.84495289367429338</v>
      </c>
      <c r="AA372" s="16">
        <f t="shared" si="108"/>
        <v>0.84826629680998611</v>
      </c>
      <c r="AB372" s="16">
        <f t="shared" si="108"/>
        <v>0.85102420856610805</v>
      </c>
      <c r="AC372" s="16">
        <f t="shared" si="108"/>
        <v>0.85392051557465087</v>
      </c>
      <c r="AD372" s="16">
        <f t="shared" si="108"/>
        <v>0.85663474692202457</v>
      </c>
      <c r="AE372" s="16">
        <f t="shared" si="108"/>
        <v>0.85898138006571745</v>
      </c>
      <c r="AF372" s="16">
        <f t="shared" si="108"/>
        <v>0.86114819759679573</v>
      </c>
      <c r="AG372" s="16">
        <f t="shared" si="108"/>
        <v>0.86345488421612993</v>
      </c>
      <c r="AH372" s="16">
        <f t="shared" si="108"/>
        <v>0.86530931871574002</v>
      </c>
      <c r="AI372" s="16">
        <f t="shared" si="108"/>
        <v>0.86712768584835764</v>
      </c>
      <c r="AJ372" s="16">
        <f t="shared" si="108"/>
        <v>0.86887608069164268</v>
      </c>
      <c r="AK372" s="16">
        <f t="shared" si="108"/>
        <v>0.87013618677042803</v>
      </c>
      <c r="AL372" s="16">
        <f t="shared" si="108"/>
        <v>0.87174016121384545</v>
      </c>
      <c r="AM372" s="16">
        <f t="shared" si="108"/>
        <v>0.87295954577714696</v>
      </c>
      <c r="AN372" s="16">
        <f t="shared" si="108"/>
        <v>0.87414565166156022</v>
      </c>
      <c r="AO372" s="16">
        <f t="shared" si="108"/>
        <v>0.87529411764705878</v>
      </c>
      <c r="AP372" s="16">
        <f t="shared" si="108"/>
        <v>0.87631831255992332</v>
      </c>
      <c r="AQ372" s="16">
        <f t="shared" si="108"/>
        <v>0.87723907332218776</v>
      </c>
      <c r="AR372" s="16">
        <f t="shared" si="108"/>
        <v>0.87810166225006026</v>
      </c>
      <c r="AS372" s="16">
        <f t="shared" si="108"/>
        <v>0.87877347278345619</v>
      </c>
      <c r="AT372" s="16">
        <f t="shared" si="108"/>
        <v>0.87939335580163702</v>
      </c>
      <c r="AU372" s="16">
        <f t="shared" si="108"/>
        <v>0.87995198079231696</v>
      </c>
      <c r="AV372" s="16">
        <f t="shared" si="108"/>
        <v>0.88067632850241551</v>
      </c>
      <c r="AW372" s="16">
        <f t="shared" si="108"/>
        <v>0.88109536392024979</v>
      </c>
      <c r="AX372" s="16">
        <f t="shared" si="108"/>
        <v>0.88166666666666671</v>
      </c>
      <c r="AY372" s="16">
        <f t="shared" si="108"/>
        <v>0.88202531645569615</v>
      </c>
      <c r="AZ372" s="16">
        <f t="shared" si="108"/>
        <v>0.88242698892245719</v>
      </c>
      <c r="BA372" s="16">
        <f t="shared" si="108"/>
        <v>0.88246962558889164</v>
      </c>
      <c r="BB372" s="16">
        <f t="shared" si="108"/>
        <v>0.88281829419035851</v>
      </c>
      <c r="BC372" s="16">
        <f t="shared" si="108"/>
        <v>0.88307844104588062</v>
      </c>
      <c r="BD372" s="16">
        <f t="shared" si="108"/>
        <v>0.88327998030041865</v>
      </c>
      <c r="BE372" s="16">
        <f t="shared" si="108"/>
        <v>0.88348082595870203</v>
      </c>
      <c r="BF372" s="16">
        <f t="shared" si="108"/>
        <v>0.88365243004418259</v>
      </c>
      <c r="BG372" s="16">
        <f t="shared" si="108"/>
        <v>0.88363547280744736</v>
      </c>
      <c r="BH372" s="16">
        <f t="shared" si="108"/>
        <v>0.8836754643206256</v>
      </c>
      <c r="BI372" s="16">
        <f t="shared" si="108"/>
        <v>0.88401559454191037</v>
      </c>
    </row>
    <row r="373" spans="1:61" x14ac:dyDescent="0.25">
      <c r="A373" s="11">
        <f>$A$48</f>
        <v>33</v>
      </c>
      <c r="M373" s="11"/>
      <c r="N373" s="11"/>
      <c r="O373" s="11"/>
      <c r="P373" s="11"/>
      <c r="Q373" s="11"/>
      <c r="R373" s="11"/>
      <c r="S373" s="11"/>
      <c r="T373" s="16">
        <f>T$233/T$48</f>
        <v>0.82660332541567694</v>
      </c>
      <c r="U373" s="16">
        <f t="shared" ref="U373:BI373" si="109">U$233/U$48</f>
        <v>0.83104693140794228</v>
      </c>
      <c r="V373" s="16">
        <f t="shared" si="109"/>
        <v>0.83507917174177837</v>
      </c>
      <c r="W373" s="16">
        <f t="shared" si="109"/>
        <v>0.83908335431881143</v>
      </c>
      <c r="X373" s="16">
        <f t="shared" si="109"/>
        <v>0.84285351612084281</v>
      </c>
      <c r="Y373" s="16">
        <f t="shared" si="109"/>
        <v>0.84629436325678498</v>
      </c>
      <c r="Z373" s="16">
        <f t="shared" si="109"/>
        <v>0.84972462627852086</v>
      </c>
      <c r="AA373" s="16">
        <f t="shared" si="109"/>
        <v>0.85260650965863982</v>
      </c>
      <c r="AB373" s="16">
        <f t="shared" si="109"/>
        <v>0.85558583106267028</v>
      </c>
      <c r="AC373" s="16">
        <f t="shared" si="109"/>
        <v>0.85848809835207951</v>
      </c>
      <c r="AD373" s="16">
        <f t="shared" si="109"/>
        <v>0.86091316970176823</v>
      </c>
      <c r="AE373" s="16">
        <f t="shared" si="109"/>
        <v>0.86320881483472189</v>
      </c>
      <c r="AF373" s="16">
        <f t="shared" si="109"/>
        <v>0.86551909628832702</v>
      </c>
      <c r="AG373" s="16">
        <f t="shared" si="109"/>
        <v>0.86748884807137239</v>
      </c>
      <c r="AH373" s="16">
        <f t="shared" si="109"/>
        <v>0.86924686192468614</v>
      </c>
      <c r="AI373" s="16">
        <f t="shared" si="109"/>
        <v>0.87095946639302202</v>
      </c>
      <c r="AJ373" s="16">
        <f t="shared" si="109"/>
        <v>0.87269193391642375</v>
      </c>
      <c r="AK373" s="16">
        <f t="shared" si="109"/>
        <v>0.87426140392342233</v>
      </c>
      <c r="AL373" s="16">
        <f t="shared" si="109"/>
        <v>0.87580760947595115</v>
      </c>
      <c r="AM373" s="16">
        <f t="shared" si="109"/>
        <v>0.87680821278581433</v>
      </c>
      <c r="AN373" s="16">
        <f t="shared" si="109"/>
        <v>0.87823050058207219</v>
      </c>
      <c r="AO373" s="16">
        <f t="shared" si="109"/>
        <v>0.87914636975179772</v>
      </c>
      <c r="AP373" s="16">
        <f t="shared" si="109"/>
        <v>0.88026864289022699</v>
      </c>
      <c r="AQ373" s="16">
        <f t="shared" si="109"/>
        <v>0.8811601037491158</v>
      </c>
      <c r="AR373" s="16">
        <f t="shared" si="109"/>
        <v>0.88204887218045114</v>
      </c>
      <c r="AS373" s="16">
        <f t="shared" si="109"/>
        <v>0.88272921108742008</v>
      </c>
      <c r="AT373" s="16">
        <f t="shared" si="109"/>
        <v>0.88353601496725909</v>
      </c>
      <c r="AU373" s="16">
        <f t="shared" si="109"/>
        <v>0.88399621212121215</v>
      </c>
      <c r="AV373" s="16">
        <f t="shared" si="109"/>
        <v>0.88453364817001179</v>
      </c>
      <c r="AW373" s="16">
        <f t="shared" si="109"/>
        <v>0.88503562945368175</v>
      </c>
      <c r="AX373" s="16">
        <f t="shared" si="109"/>
        <v>0.88542404913772743</v>
      </c>
      <c r="AY373" s="16">
        <f t="shared" si="109"/>
        <v>0.88597518145633336</v>
      </c>
      <c r="AZ373" s="16">
        <f t="shared" si="109"/>
        <v>0.88609798557572739</v>
      </c>
      <c r="BA373" s="16">
        <f t="shared" si="109"/>
        <v>0.88649851632047483</v>
      </c>
      <c r="BB373" s="16">
        <f t="shared" si="109"/>
        <v>0.88647990255785625</v>
      </c>
      <c r="BC373" s="16">
        <f t="shared" si="109"/>
        <v>0.88681078455185813</v>
      </c>
      <c r="BD373" s="16">
        <f t="shared" si="109"/>
        <v>0.88705768298594279</v>
      </c>
      <c r="BE373" s="16">
        <f t="shared" si="109"/>
        <v>0.88727624576681186</v>
      </c>
      <c r="BF373" s="16">
        <f t="shared" si="109"/>
        <v>0.88722530789664333</v>
      </c>
      <c r="BG373" s="16">
        <f t="shared" si="109"/>
        <v>0.88741562198649948</v>
      </c>
      <c r="BH373" s="16">
        <f t="shared" si="109"/>
        <v>0.88739172281039458</v>
      </c>
      <c r="BI373" s="16">
        <f t="shared" si="109"/>
        <v>0.88766202592414789</v>
      </c>
    </row>
    <row r="374" spans="1:61" x14ac:dyDescent="0.25">
      <c r="A374" s="11">
        <f>$A$49</f>
        <v>34</v>
      </c>
      <c r="M374" s="11"/>
      <c r="N374" s="11"/>
      <c r="O374" s="11"/>
      <c r="P374" s="11"/>
      <c r="Q374" s="11"/>
      <c r="R374" s="11"/>
      <c r="S374" s="11"/>
      <c r="T374" s="16">
        <f>T$234/T$49</f>
        <v>0.83225960391314724</v>
      </c>
      <c r="U374" s="16">
        <f t="shared" ref="U374:BI374" si="110">U$234/U$49</f>
        <v>0.83630812588069514</v>
      </c>
      <c r="V374" s="16">
        <f t="shared" si="110"/>
        <v>0.84054182509505704</v>
      </c>
      <c r="W374" s="16">
        <f t="shared" si="110"/>
        <v>0.84426820475847153</v>
      </c>
      <c r="X374" s="16">
        <f t="shared" si="110"/>
        <v>0.84789081885856077</v>
      </c>
      <c r="Y374" s="16">
        <f t="shared" si="110"/>
        <v>0.85146286571642915</v>
      </c>
      <c r="Z374" s="16">
        <f t="shared" si="110"/>
        <v>0.85461083996917542</v>
      </c>
      <c r="AA374" s="16">
        <f t="shared" si="110"/>
        <v>0.85780645161290325</v>
      </c>
      <c r="AB374" s="16">
        <f t="shared" si="110"/>
        <v>0.8607133558969019</v>
      </c>
      <c r="AC374" s="16">
        <f t="shared" si="110"/>
        <v>0.86334405144694537</v>
      </c>
      <c r="AD374" s="16">
        <f t="shared" si="110"/>
        <v>0.86567164179104472</v>
      </c>
      <c r="AE374" s="16">
        <f t="shared" si="110"/>
        <v>0.86812045690550366</v>
      </c>
      <c r="AF374" s="16">
        <f t="shared" si="110"/>
        <v>0.8702431289640592</v>
      </c>
      <c r="AG374" s="16">
        <f t="shared" si="110"/>
        <v>0.87228979375991544</v>
      </c>
      <c r="AH374" s="16">
        <f t="shared" si="110"/>
        <v>0.87406451612903224</v>
      </c>
      <c r="AI374" s="16">
        <f t="shared" si="110"/>
        <v>0.87577160493827155</v>
      </c>
      <c r="AJ374" s="16">
        <f t="shared" si="110"/>
        <v>0.87758707723372031</v>
      </c>
      <c r="AK374" s="16">
        <f t="shared" si="110"/>
        <v>0.87918660287081341</v>
      </c>
      <c r="AL374" s="16">
        <f t="shared" si="110"/>
        <v>0.880586592178771</v>
      </c>
      <c r="AM374" s="16">
        <f t="shared" si="110"/>
        <v>0.88171536286522145</v>
      </c>
      <c r="AN374" s="16">
        <f t="shared" si="110"/>
        <v>0.883015398758906</v>
      </c>
      <c r="AO374" s="16">
        <f t="shared" si="110"/>
        <v>0.88397156615455175</v>
      </c>
      <c r="AP374" s="16">
        <f t="shared" si="110"/>
        <v>0.88485263879369436</v>
      </c>
      <c r="AQ374" s="16">
        <f t="shared" si="110"/>
        <v>0.88574686431014826</v>
      </c>
      <c r="AR374" s="16">
        <f t="shared" si="110"/>
        <v>0.88672237697307332</v>
      </c>
      <c r="AS374" s="16">
        <f t="shared" si="110"/>
        <v>0.88734674994216978</v>
      </c>
      <c r="AT374" s="16">
        <f t="shared" si="110"/>
        <v>0.88805970149253732</v>
      </c>
      <c r="AU374" s="16">
        <f t="shared" si="110"/>
        <v>0.88858195211786373</v>
      </c>
      <c r="AV374" s="16">
        <f t="shared" si="110"/>
        <v>0.88909599254426841</v>
      </c>
      <c r="AW374" s="16">
        <f t="shared" si="110"/>
        <v>0.88961189867534274</v>
      </c>
      <c r="AX374" s="16">
        <f t="shared" si="110"/>
        <v>0.88992755316662775</v>
      </c>
      <c r="AY374" s="16">
        <f t="shared" si="110"/>
        <v>0.89051603905160392</v>
      </c>
      <c r="AZ374" s="16">
        <f t="shared" si="110"/>
        <v>0.89057820778622432</v>
      </c>
      <c r="BA374" s="16">
        <f t="shared" si="110"/>
        <v>0.89098020043999027</v>
      </c>
      <c r="BB374" s="16">
        <f t="shared" si="110"/>
        <v>0.89134662129314535</v>
      </c>
      <c r="BC374" s="16">
        <f t="shared" si="110"/>
        <v>0.89149700598802395</v>
      </c>
      <c r="BD374" s="16">
        <f t="shared" si="110"/>
        <v>0.89156914258418918</v>
      </c>
      <c r="BE374" s="16">
        <f t="shared" si="110"/>
        <v>0.89182749583035503</v>
      </c>
      <c r="BF374" s="16">
        <f t="shared" si="110"/>
        <v>0.89203329369797857</v>
      </c>
      <c r="BG374" s="16">
        <f t="shared" si="110"/>
        <v>0.89197530864197527</v>
      </c>
      <c r="BH374" s="16">
        <f t="shared" si="110"/>
        <v>0.89215453899028208</v>
      </c>
      <c r="BI374" s="16">
        <f t="shared" si="110"/>
        <v>0.8923586467944169</v>
      </c>
    </row>
    <row r="375" spans="1:61" x14ac:dyDescent="0.25">
      <c r="A375" s="11">
        <f>$A$50</f>
        <v>35</v>
      </c>
      <c r="M375" s="11"/>
      <c r="N375" s="11"/>
      <c r="O375" s="11"/>
      <c r="P375" s="11"/>
      <c r="Q375" s="11"/>
      <c r="R375" s="11"/>
      <c r="S375" s="11"/>
      <c r="T375" s="16">
        <f>T$235/T$50</f>
        <v>0.83594899460519867</v>
      </c>
      <c r="U375" s="16">
        <f t="shared" ref="U375:BI375" si="111">U$235/U$50</f>
        <v>0.84021713476516402</v>
      </c>
      <c r="V375" s="16">
        <f t="shared" si="111"/>
        <v>0.84447539461467036</v>
      </c>
      <c r="W375" s="16">
        <f t="shared" si="111"/>
        <v>0.8481933364617551</v>
      </c>
      <c r="X375" s="16">
        <f t="shared" si="111"/>
        <v>0.85179037230258481</v>
      </c>
      <c r="Y375" s="16">
        <f t="shared" si="111"/>
        <v>0.85539515537068755</v>
      </c>
      <c r="Z375" s="16">
        <f t="shared" si="111"/>
        <v>0.85855101034992609</v>
      </c>
      <c r="AA375" s="16">
        <f t="shared" si="111"/>
        <v>0.86162408297495574</v>
      </c>
      <c r="AB375" s="16">
        <f t="shared" si="111"/>
        <v>0.86454891994917404</v>
      </c>
      <c r="AC375" s="16">
        <f t="shared" si="111"/>
        <v>0.86721353499102793</v>
      </c>
      <c r="AD375" s="16">
        <f t="shared" si="111"/>
        <v>0.86976008436593721</v>
      </c>
      <c r="AE375" s="16">
        <f t="shared" si="111"/>
        <v>0.87205472510767668</v>
      </c>
      <c r="AF375" s="16">
        <f t="shared" si="111"/>
        <v>0.87426526961410678</v>
      </c>
      <c r="AG375" s="16">
        <f t="shared" si="111"/>
        <v>0.87623504940197605</v>
      </c>
      <c r="AH375" s="16">
        <f t="shared" si="111"/>
        <v>0.87799167533818934</v>
      </c>
      <c r="AI375" s="16">
        <f t="shared" si="111"/>
        <v>0.87985775971551938</v>
      </c>
      <c r="AJ375" s="16">
        <f t="shared" si="111"/>
        <v>0.88151898734177214</v>
      </c>
      <c r="AK375" s="16">
        <f t="shared" si="111"/>
        <v>0.88298136645962733</v>
      </c>
      <c r="AL375" s="16">
        <f t="shared" si="111"/>
        <v>0.88451567287296728</v>
      </c>
      <c r="AM375" s="16">
        <f t="shared" si="111"/>
        <v>0.88575361321403989</v>
      </c>
      <c r="AN375" s="16">
        <f t="shared" si="111"/>
        <v>0.88695450324976788</v>
      </c>
      <c r="AO375" s="16">
        <f t="shared" si="111"/>
        <v>0.88788221970554926</v>
      </c>
      <c r="AP375" s="16">
        <f t="shared" si="111"/>
        <v>0.88881355932203387</v>
      </c>
      <c r="AQ375" s="16">
        <f t="shared" si="111"/>
        <v>0.88968932913102206</v>
      </c>
      <c r="AR375" s="16">
        <f t="shared" si="111"/>
        <v>0.89056179775280897</v>
      </c>
      <c r="AS375" s="16">
        <f t="shared" si="111"/>
        <v>0.89137891607592046</v>
      </c>
      <c r="AT375" s="16">
        <f t="shared" si="111"/>
        <v>0.89200273410799724</v>
      </c>
      <c r="AU375" s="16">
        <f t="shared" si="111"/>
        <v>0.89251263206247133</v>
      </c>
      <c r="AV375" s="16">
        <f t="shared" si="111"/>
        <v>0.89319727891156464</v>
      </c>
      <c r="AW375" s="16">
        <f t="shared" si="111"/>
        <v>0.89352914180816889</v>
      </c>
      <c r="AX375" s="16">
        <f t="shared" si="111"/>
        <v>0.89405034324942789</v>
      </c>
      <c r="AY375" s="16">
        <f t="shared" si="111"/>
        <v>0.89438564196962722</v>
      </c>
      <c r="AZ375" s="16">
        <f t="shared" si="111"/>
        <v>0.89494163424124518</v>
      </c>
      <c r="BA375" s="16">
        <f t="shared" si="111"/>
        <v>0.89496370235934664</v>
      </c>
      <c r="BB375" s="16">
        <f t="shared" si="111"/>
        <v>0.89516710747775907</v>
      </c>
      <c r="BC375" s="16">
        <f t="shared" si="111"/>
        <v>0.89550454328072693</v>
      </c>
      <c r="BD375" s="16">
        <f t="shared" si="111"/>
        <v>0.89582842328541123</v>
      </c>
      <c r="BE375" s="16">
        <f t="shared" si="111"/>
        <v>0.89591165413533835</v>
      </c>
      <c r="BF375" s="16">
        <f t="shared" si="111"/>
        <v>0.8959212376933896</v>
      </c>
      <c r="BG375" s="16">
        <f t="shared" si="111"/>
        <v>0.89611605053813759</v>
      </c>
      <c r="BH375" s="16">
        <f t="shared" si="111"/>
        <v>0.89607659971975717</v>
      </c>
      <c r="BI375" s="16">
        <f t="shared" si="111"/>
        <v>0.89624621123805082</v>
      </c>
    </row>
    <row r="376" spans="1:61" x14ac:dyDescent="0.25">
      <c r="A376" s="11">
        <f>$A$51</f>
        <v>36</v>
      </c>
      <c r="M376" s="11"/>
      <c r="N376" s="11"/>
      <c r="O376" s="11"/>
      <c r="P376" s="11"/>
      <c r="Q376" s="11"/>
      <c r="R376" s="11"/>
      <c r="S376" s="11"/>
      <c r="T376" s="16">
        <f>T$236/T$51</f>
        <v>0.83932556409620629</v>
      </c>
      <c r="U376" s="16">
        <f t="shared" ref="U376:BI376" si="112">U$236/U$51</f>
        <v>0.84348459111866048</v>
      </c>
      <c r="V376" s="16">
        <f t="shared" si="112"/>
        <v>0.847607934655776</v>
      </c>
      <c r="W376" s="16">
        <f t="shared" si="112"/>
        <v>0.85137614678899087</v>
      </c>
      <c r="X376" s="16">
        <f t="shared" si="112"/>
        <v>0.85515643105446115</v>
      </c>
      <c r="Y376" s="16">
        <f t="shared" si="112"/>
        <v>0.85838014981273403</v>
      </c>
      <c r="Z376" s="16">
        <f t="shared" si="112"/>
        <v>0.86172779922779918</v>
      </c>
      <c r="AA376" s="16">
        <f t="shared" si="112"/>
        <v>0.86464155528554065</v>
      </c>
      <c r="AB376" s="16">
        <f t="shared" si="112"/>
        <v>0.86758104738154618</v>
      </c>
      <c r="AC376" s="16">
        <f t="shared" si="112"/>
        <v>0.87002253944402708</v>
      </c>
      <c r="AD376" s="16">
        <f t="shared" si="112"/>
        <v>0.87269512503157365</v>
      </c>
      <c r="AE376" s="16">
        <f t="shared" si="112"/>
        <v>0.87509737730459625</v>
      </c>
      <c r="AF376" s="16">
        <f t="shared" si="112"/>
        <v>0.87693459810284569</v>
      </c>
      <c r="AG376" s="16">
        <f t="shared" si="112"/>
        <v>0.87915407854984895</v>
      </c>
      <c r="AH376" s="16">
        <f t="shared" si="112"/>
        <v>0.88092189500640206</v>
      </c>
      <c r="AI376" s="16">
        <f t="shared" si="112"/>
        <v>0.88265436843453748</v>
      </c>
      <c r="AJ376" s="16">
        <f t="shared" si="112"/>
        <v>0.88416312234175631</v>
      </c>
      <c r="AK376" s="16">
        <f t="shared" si="112"/>
        <v>0.88578553615960098</v>
      </c>
      <c r="AL376" s="16">
        <f t="shared" si="112"/>
        <v>0.88714810281517753</v>
      </c>
      <c r="AM376" s="16">
        <f t="shared" si="112"/>
        <v>0.8882434944237918</v>
      </c>
      <c r="AN376" s="16">
        <f t="shared" si="112"/>
        <v>0.88959276018099542</v>
      </c>
      <c r="AO376" s="16">
        <f t="shared" si="112"/>
        <v>0.8905928130006866</v>
      </c>
      <c r="AP376" s="16">
        <f t="shared" si="112"/>
        <v>0.89144516417243691</v>
      </c>
      <c r="AQ376" s="16">
        <f t="shared" si="112"/>
        <v>0.89235569422776906</v>
      </c>
      <c r="AR376" s="16">
        <f t="shared" si="112"/>
        <v>0.8929840142095915</v>
      </c>
      <c r="AS376" s="16">
        <f t="shared" si="112"/>
        <v>0.89383865248226946</v>
      </c>
      <c r="AT376" s="16">
        <f t="shared" si="112"/>
        <v>0.89449954914337237</v>
      </c>
      <c r="AU376" s="16">
        <f t="shared" si="112"/>
        <v>0.8951033243486074</v>
      </c>
      <c r="AV376" s="16">
        <f t="shared" si="112"/>
        <v>0.8956305184514376</v>
      </c>
      <c r="AW376" s="16">
        <f t="shared" si="112"/>
        <v>0.89606616003576223</v>
      </c>
      <c r="AX376" s="16">
        <f t="shared" si="112"/>
        <v>0.89642695612844869</v>
      </c>
      <c r="AY376" s="16">
        <f t="shared" si="112"/>
        <v>0.89693279206134413</v>
      </c>
      <c r="AZ376" s="16">
        <f t="shared" si="112"/>
        <v>0.8972789115646258</v>
      </c>
      <c r="BA376" s="16">
        <f t="shared" si="112"/>
        <v>0.89760938204781238</v>
      </c>
      <c r="BB376" s="16">
        <f t="shared" si="112"/>
        <v>0.89783143304270063</v>
      </c>
      <c r="BC376" s="16">
        <f t="shared" si="112"/>
        <v>0.89796401515151514</v>
      </c>
      <c r="BD376" s="16">
        <f t="shared" si="112"/>
        <v>0.89806967984934083</v>
      </c>
      <c r="BE376" s="16">
        <f t="shared" si="112"/>
        <v>0.89835228591320493</v>
      </c>
      <c r="BF376" s="16">
        <f t="shared" si="112"/>
        <v>0.89842665432670055</v>
      </c>
      <c r="BG376" s="16">
        <f t="shared" si="112"/>
        <v>0.89845372720978534</v>
      </c>
      <c r="BH376" s="16">
        <f t="shared" si="112"/>
        <v>0.89864086615987104</v>
      </c>
      <c r="BI376" s="16">
        <f t="shared" si="112"/>
        <v>0.89859737870774892</v>
      </c>
    </row>
    <row r="377" spans="1:61" x14ac:dyDescent="0.25">
      <c r="A377" s="11">
        <f>$A$52</f>
        <v>37</v>
      </c>
      <c r="M377" s="11"/>
      <c r="N377" s="11"/>
      <c r="O377" s="11"/>
      <c r="P377" s="11"/>
      <c r="Q377" s="11"/>
      <c r="R377" s="11"/>
      <c r="S377" s="11"/>
      <c r="T377" s="16">
        <f>T$237/T$52</f>
        <v>0.84232365145228216</v>
      </c>
      <c r="U377" s="16">
        <f t="shared" ref="U377:BI377" si="113">U$237/U$52</f>
        <v>0.8467583497053045</v>
      </c>
      <c r="V377" s="16">
        <f t="shared" si="113"/>
        <v>0.85045607297167547</v>
      </c>
      <c r="W377" s="16">
        <f t="shared" si="113"/>
        <v>0.85414262635587357</v>
      </c>
      <c r="X377" s="16">
        <f t="shared" si="113"/>
        <v>0.85759637188208615</v>
      </c>
      <c r="Y377" s="16">
        <f t="shared" si="113"/>
        <v>0.86100297687199445</v>
      </c>
      <c r="Z377" s="16">
        <f t="shared" si="113"/>
        <v>0.86381502890173412</v>
      </c>
      <c r="AA377" s="16">
        <f t="shared" si="113"/>
        <v>0.86680962592327848</v>
      </c>
      <c r="AB377" s="16">
        <f t="shared" si="113"/>
        <v>0.86951307267929956</v>
      </c>
      <c r="AC377" s="16">
        <f t="shared" si="113"/>
        <v>0.87204724409448819</v>
      </c>
      <c r="AD377" s="16">
        <f t="shared" si="113"/>
        <v>0.87447491969360025</v>
      </c>
      <c r="AE377" s="16">
        <f t="shared" si="113"/>
        <v>0.87668161434977576</v>
      </c>
      <c r="AF377" s="16">
        <f t="shared" si="113"/>
        <v>0.87867929357563346</v>
      </c>
      <c r="AG377" s="16">
        <f t="shared" si="113"/>
        <v>0.88081753262743168</v>
      </c>
      <c r="AH377" s="16">
        <f t="shared" si="113"/>
        <v>0.88257199602780534</v>
      </c>
      <c r="AI377" s="16">
        <f t="shared" si="113"/>
        <v>0.88412017167381973</v>
      </c>
      <c r="AJ377" s="16">
        <f t="shared" si="113"/>
        <v>0.88560606060606062</v>
      </c>
      <c r="AK377" s="16">
        <f t="shared" si="113"/>
        <v>0.88724401677769549</v>
      </c>
      <c r="AL377" s="16">
        <f t="shared" si="113"/>
        <v>0.88861568723875095</v>
      </c>
      <c r="AM377" s="16">
        <f t="shared" si="113"/>
        <v>0.88966682761950744</v>
      </c>
      <c r="AN377" s="16">
        <f t="shared" si="113"/>
        <v>0.8908507223113965</v>
      </c>
      <c r="AO377" s="16">
        <f t="shared" si="113"/>
        <v>0.8916927199642698</v>
      </c>
      <c r="AP377" s="16">
        <f t="shared" si="113"/>
        <v>0.89270386266094426</v>
      </c>
      <c r="AQ377" s="16">
        <f t="shared" si="113"/>
        <v>0.89349503858875412</v>
      </c>
      <c r="AR377" s="16">
        <f t="shared" si="113"/>
        <v>0.89438943894389444</v>
      </c>
      <c r="AS377" s="16">
        <f t="shared" si="113"/>
        <v>0.89500219202104336</v>
      </c>
      <c r="AT377" s="16">
        <f t="shared" si="113"/>
        <v>0.89564646685626781</v>
      </c>
      <c r="AU377" s="16">
        <f t="shared" si="113"/>
        <v>0.89632925472747493</v>
      </c>
      <c r="AV377" s="16">
        <f t="shared" si="113"/>
        <v>0.89669696297938373</v>
      </c>
      <c r="AW377" s="16">
        <f t="shared" si="113"/>
        <v>0.89725262452535182</v>
      </c>
      <c r="AX377" s="16">
        <f t="shared" si="113"/>
        <v>0.89744155271283632</v>
      </c>
      <c r="AY377" s="16">
        <f t="shared" si="113"/>
        <v>0.89803659080767517</v>
      </c>
      <c r="AZ377" s="16">
        <f t="shared" si="113"/>
        <v>0.89810901001112342</v>
      </c>
      <c r="BA377" s="16">
        <f t="shared" si="113"/>
        <v>0.89847942754919496</v>
      </c>
      <c r="BB377" s="16">
        <f t="shared" si="113"/>
        <v>0.89857651245551606</v>
      </c>
      <c r="BC377" s="16">
        <f t="shared" si="113"/>
        <v>0.89900771775082688</v>
      </c>
      <c r="BD377" s="16">
        <f t="shared" si="113"/>
        <v>0.89920671955202991</v>
      </c>
      <c r="BE377" s="16">
        <f t="shared" si="113"/>
        <v>0.89930394431554528</v>
      </c>
      <c r="BF377" s="16">
        <f t="shared" si="113"/>
        <v>0.89935956084172008</v>
      </c>
      <c r="BG377" s="16">
        <f t="shared" si="113"/>
        <v>0.89942987457240597</v>
      </c>
      <c r="BH377" s="16">
        <f t="shared" si="113"/>
        <v>0.89968152866242035</v>
      </c>
      <c r="BI377" s="16">
        <f t="shared" si="113"/>
        <v>0.89965947786606126</v>
      </c>
    </row>
    <row r="378" spans="1:61" x14ac:dyDescent="0.25">
      <c r="A378" s="11">
        <f>$A$53</f>
        <v>38</v>
      </c>
      <c r="M378" s="11"/>
      <c r="N378" s="11"/>
      <c r="O378" s="11"/>
      <c r="P378" s="11"/>
      <c r="Q378" s="11"/>
      <c r="R378" s="11"/>
      <c r="S378" s="11"/>
      <c r="T378" s="16">
        <f>T$238/T$53</f>
        <v>0.84444444444444444</v>
      </c>
      <c r="U378" s="16">
        <f t="shared" ref="U378:BI378" si="114">U$238/U$53</f>
        <v>0.84836802878437423</v>
      </c>
      <c r="V378" s="16">
        <f t="shared" si="114"/>
        <v>0.85238326848249024</v>
      </c>
      <c r="W378" s="16">
        <f t="shared" si="114"/>
        <v>0.85598859315589348</v>
      </c>
      <c r="X378" s="16">
        <f t="shared" si="114"/>
        <v>0.85949280328992461</v>
      </c>
      <c r="Y378" s="16">
        <f t="shared" si="114"/>
        <v>0.86265709156193893</v>
      </c>
      <c r="Z378" s="16">
        <f t="shared" si="114"/>
        <v>0.86588128681468057</v>
      </c>
      <c r="AA378" s="16">
        <f t="shared" si="114"/>
        <v>0.86851131946032467</v>
      </c>
      <c r="AB378" s="16">
        <f t="shared" si="114"/>
        <v>0.871172868582195</v>
      </c>
      <c r="AC378" s="16">
        <f t="shared" si="114"/>
        <v>0.87387387387387383</v>
      </c>
      <c r="AD378" s="16">
        <f t="shared" si="114"/>
        <v>0.87624604911256987</v>
      </c>
      <c r="AE378" s="16">
        <f t="shared" si="114"/>
        <v>0.87841796875</v>
      </c>
      <c r="AF378" s="16">
        <f t="shared" si="114"/>
        <v>0.88041338582677164</v>
      </c>
      <c r="AG378" s="16">
        <f t="shared" si="114"/>
        <v>0.88245702730030329</v>
      </c>
      <c r="AH378" s="16">
        <f t="shared" si="114"/>
        <v>0.88421308684018485</v>
      </c>
      <c r="AI378" s="16">
        <f t="shared" si="114"/>
        <v>0.88597351642962241</v>
      </c>
      <c r="AJ378" s="16">
        <f t="shared" si="114"/>
        <v>0.88733798604187442</v>
      </c>
      <c r="AK378" s="16">
        <f t="shared" si="114"/>
        <v>0.88855646970830215</v>
      </c>
      <c r="AL378" s="16">
        <f t="shared" si="114"/>
        <v>0.88989037758830691</v>
      </c>
      <c r="AM378" s="16">
        <f t="shared" si="114"/>
        <v>0.89123573682932755</v>
      </c>
      <c r="AN378" s="16">
        <f t="shared" si="114"/>
        <v>0.8924654268001907</v>
      </c>
      <c r="AO378" s="16">
        <f t="shared" si="114"/>
        <v>0.89349648765012468</v>
      </c>
      <c r="AP378" s="16">
        <f t="shared" si="114"/>
        <v>0.89426048565121408</v>
      </c>
      <c r="AQ378" s="16">
        <f t="shared" si="114"/>
        <v>0.8950892857142857</v>
      </c>
      <c r="AR378" s="16">
        <f t="shared" si="114"/>
        <v>0.89601046435578813</v>
      </c>
      <c r="AS378" s="16">
        <f t="shared" si="114"/>
        <v>0.89669421487603307</v>
      </c>
      <c r="AT378" s="16">
        <f t="shared" si="114"/>
        <v>0.89709705372616988</v>
      </c>
      <c r="AU378" s="16">
        <f t="shared" si="114"/>
        <v>0.89772972972972975</v>
      </c>
      <c r="AV378" s="16">
        <f t="shared" si="114"/>
        <v>0.89821938887667618</v>
      </c>
      <c r="AW378" s="16">
        <f t="shared" si="114"/>
        <v>0.89859833552343404</v>
      </c>
      <c r="AX378" s="16">
        <f t="shared" si="114"/>
        <v>0.89894086496028247</v>
      </c>
      <c r="AY378" s="16">
        <f t="shared" si="114"/>
        <v>0.89932447156243189</v>
      </c>
      <c r="AZ378" s="16">
        <f t="shared" si="114"/>
        <v>0.89993387701124095</v>
      </c>
      <c r="BA378" s="16">
        <f t="shared" si="114"/>
        <v>0.9</v>
      </c>
      <c r="BB378" s="16">
        <f t="shared" si="114"/>
        <v>0.90037552462999781</v>
      </c>
      <c r="BC378" s="16">
        <f t="shared" si="114"/>
        <v>0.90048330404217924</v>
      </c>
      <c r="BD378" s="16">
        <f t="shared" si="114"/>
        <v>0.90067523415377915</v>
      </c>
      <c r="BE378" s="16">
        <f t="shared" si="114"/>
        <v>0.90075984342620308</v>
      </c>
      <c r="BF378" s="16">
        <f t="shared" si="114"/>
        <v>0.90107625372109001</v>
      </c>
      <c r="BG378" s="16">
        <f t="shared" si="114"/>
        <v>0.90110634454730187</v>
      </c>
      <c r="BH378" s="16">
        <f t="shared" si="114"/>
        <v>0.90096781453972541</v>
      </c>
      <c r="BI378" s="16">
        <f t="shared" si="114"/>
        <v>0.90121239335428827</v>
      </c>
    </row>
    <row r="379" spans="1:61" x14ac:dyDescent="0.25">
      <c r="A379" s="11">
        <f>$A$54</f>
        <v>39</v>
      </c>
      <c r="M379" s="11"/>
      <c r="N379" s="11"/>
      <c r="O379" s="11"/>
      <c r="P379" s="11"/>
      <c r="Q379" s="11"/>
      <c r="R379" s="11"/>
      <c r="S379" s="11"/>
      <c r="T379" s="16">
        <f>T$239/T$54</f>
        <v>0.84578053383661367</v>
      </c>
      <c r="U379" s="16">
        <f t="shared" ref="U379:BI379" si="115">U$239/U$54</f>
        <v>0.85001327316166708</v>
      </c>
      <c r="V379" s="16">
        <f t="shared" si="115"/>
        <v>0.85383244206773623</v>
      </c>
      <c r="W379" s="16">
        <f t="shared" si="115"/>
        <v>0.85738376294868701</v>
      </c>
      <c r="X379" s="16">
        <f t="shared" si="115"/>
        <v>0.8609084490468345</v>
      </c>
      <c r="Y379" s="16">
        <f t="shared" si="115"/>
        <v>0.86402714932126701</v>
      </c>
      <c r="Z379" s="16">
        <f t="shared" si="115"/>
        <v>0.86708157368304073</v>
      </c>
      <c r="AA379" s="16">
        <f t="shared" si="115"/>
        <v>0.87012113055181695</v>
      </c>
      <c r="AB379" s="16">
        <f t="shared" si="115"/>
        <v>0.8725379216662893</v>
      </c>
      <c r="AC379" s="16">
        <f t="shared" si="115"/>
        <v>0.87529137529137524</v>
      </c>
      <c r="AD379" s="16">
        <f t="shared" si="115"/>
        <v>0.87775692163303609</v>
      </c>
      <c r="AE379" s="16">
        <f t="shared" si="115"/>
        <v>0.87974987974987973</v>
      </c>
      <c r="AF379" s="16">
        <f t="shared" si="115"/>
        <v>0.88169966199903427</v>
      </c>
      <c r="AG379" s="16">
        <f t="shared" si="115"/>
        <v>0.88391336091506445</v>
      </c>
      <c r="AH379" s="16">
        <f t="shared" si="115"/>
        <v>0.88555722138930537</v>
      </c>
      <c r="AI379" s="16">
        <f t="shared" si="115"/>
        <v>0.88717825354823188</v>
      </c>
      <c r="AJ379" s="16">
        <f t="shared" si="115"/>
        <v>0.8887272727272727</v>
      </c>
      <c r="AK379" s="16">
        <f t="shared" si="115"/>
        <v>0.89012071938901205</v>
      </c>
      <c r="AL379" s="16">
        <f t="shared" si="115"/>
        <v>0.89132577624445541</v>
      </c>
      <c r="AM379" s="16">
        <f t="shared" si="115"/>
        <v>0.8925818882466281</v>
      </c>
      <c r="AN379" s="16">
        <f t="shared" si="115"/>
        <v>0.89390302448391745</v>
      </c>
      <c r="AO379" s="16">
        <f t="shared" si="115"/>
        <v>0.8946251768033946</v>
      </c>
      <c r="AP379" s="16">
        <f t="shared" si="115"/>
        <v>0.89576328177538667</v>
      </c>
      <c r="AQ379" s="16">
        <f t="shared" si="115"/>
        <v>0.89667977282656186</v>
      </c>
      <c r="AR379" s="16">
        <f t="shared" si="115"/>
        <v>0.8973056537102474</v>
      </c>
      <c r="AS379" s="16">
        <f t="shared" si="115"/>
        <v>0.89797238999137186</v>
      </c>
      <c r="AT379" s="16">
        <f t="shared" si="115"/>
        <v>0.89864428663653972</v>
      </c>
      <c r="AU379" s="16">
        <f t="shared" si="115"/>
        <v>0.89924973204715974</v>
      </c>
      <c r="AV379" s="16">
        <f t="shared" si="115"/>
        <v>0.89965768078733421</v>
      </c>
      <c r="AW379" s="16">
        <f t="shared" si="115"/>
        <v>0.89997825614263971</v>
      </c>
      <c r="AX379" s="16">
        <f t="shared" si="115"/>
        <v>0.90034662045060654</v>
      </c>
      <c r="AY379" s="16">
        <f t="shared" si="115"/>
        <v>0.90091663029244873</v>
      </c>
      <c r="AZ379" s="16">
        <f t="shared" si="115"/>
        <v>0.90127182582453114</v>
      </c>
      <c r="BA379" s="16">
        <f t="shared" si="115"/>
        <v>0.9014821272885789</v>
      </c>
      <c r="BB379" s="16">
        <f t="shared" si="115"/>
        <v>0.90176048685068466</v>
      </c>
      <c r="BC379" s="16">
        <f t="shared" si="115"/>
        <v>0.90172526752566062</v>
      </c>
      <c r="BD379" s="16">
        <f t="shared" si="115"/>
        <v>0.90182450043440487</v>
      </c>
      <c r="BE379" s="16">
        <f t="shared" si="115"/>
        <v>0.90221839328020681</v>
      </c>
      <c r="BF379" s="16">
        <f t="shared" si="115"/>
        <v>0.90238907849829353</v>
      </c>
      <c r="BG379" s="16">
        <f t="shared" si="115"/>
        <v>0.90226244343891404</v>
      </c>
      <c r="BH379" s="16">
        <f t="shared" si="115"/>
        <v>0.90249888442659532</v>
      </c>
      <c r="BI379" s="16">
        <f t="shared" si="115"/>
        <v>0.90258007117437722</v>
      </c>
    </row>
    <row r="380" spans="1:61" x14ac:dyDescent="0.25">
      <c r="A380" s="11">
        <f>$A$55</f>
        <v>40</v>
      </c>
      <c r="M380" s="11"/>
      <c r="N380" s="11"/>
      <c r="O380" s="11"/>
      <c r="P380" s="11"/>
      <c r="Q380" s="11"/>
      <c r="R380" s="11"/>
      <c r="S380" s="11"/>
      <c r="T380" s="16">
        <f>T$240/T$55</f>
        <v>0.84815738431698529</v>
      </c>
      <c r="U380" s="16">
        <f t="shared" ref="U380:BI380" si="116">U$240/U$55</f>
        <v>0.85228793149585225</v>
      </c>
      <c r="V380" s="16">
        <f t="shared" si="116"/>
        <v>0.8560147407212424</v>
      </c>
      <c r="W380" s="16">
        <f t="shared" si="116"/>
        <v>0.8596314062105529</v>
      </c>
      <c r="X380" s="16">
        <f t="shared" si="116"/>
        <v>0.86314783854788635</v>
      </c>
      <c r="Y380" s="16">
        <f t="shared" si="116"/>
        <v>0.8661068346162818</v>
      </c>
      <c r="Z380" s="16">
        <f t="shared" si="116"/>
        <v>0.86899955136832663</v>
      </c>
      <c r="AA380" s="16">
        <f t="shared" si="116"/>
        <v>0.87174966945791099</v>
      </c>
      <c r="AB380" s="16">
        <f t="shared" si="116"/>
        <v>0.87458305537024683</v>
      </c>
      <c r="AC380" s="16">
        <f t="shared" si="116"/>
        <v>0.87701974865350085</v>
      </c>
      <c r="AD380" s="16">
        <f t="shared" si="116"/>
        <v>0.87921478060046188</v>
      </c>
      <c r="AE380" s="16">
        <f t="shared" si="116"/>
        <v>0.88145048814504878</v>
      </c>
      <c r="AF380" s="16">
        <f t="shared" si="116"/>
        <v>0.88351595998094334</v>
      </c>
      <c r="AG380" s="16">
        <f t="shared" si="116"/>
        <v>0.8854615016738403</v>
      </c>
      <c r="AH380" s="16">
        <f t="shared" si="116"/>
        <v>0.88722891566265061</v>
      </c>
      <c r="AI380" s="16">
        <f t="shared" si="116"/>
        <v>0.88847675568743822</v>
      </c>
      <c r="AJ380" s="16">
        <f t="shared" si="116"/>
        <v>0.89021195522743513</v>
      </c>
      <c r="AK380" s="16">
        <f t="shared" si="116"/>
        <v>0.89152867770578359</v>
      </c>
      <c r="AL380" s="16">
        <f t="shared" si="116"/>
        <v>0.8929268292682927</v>
      </c>
      <c r="AM380" s="16">
        <f t="shared" si="116"/>
        <v>0.89390243902439026</v>
      </c>
      <c r="AN380" s="16">
        <f t="shared" si="116"/>
        <v>0.89508822126847876</v>
      </c>
      <c r="AO380" s="16">
        <f t="shared" si="116"/>
        <v>0.89617486338797814</v>
      </c>
      <c r="AP380" s="16">
        <f t="shared" si="116"/>
        <v>0.89684947491248546</v>
      </c>
      <c r="AQ380" s="16">
        <f t="shared" si="116"/>
        <v>0.89766925638179795</v>
      </c>
      <c r="AR380" s="16">
        <f t="shared" si="116"/>
        <v>0.89852877542189524</v>
      </c>
      <c r="AS380" s="16">
        <f t="shared" si="116"/>
        <v>0.89916885389326329</v>
      </c>
      <c r="AT380" s="16">
        <f t="shared" si="116"/>
        <v>0.89978632478632481</v>
      </c>
      <c r="AU380" s="16">
        <f t="shared" si="116"/>
        <v>0.90044766574291191</v>
      </c>
      <c r="AV380" s="16">
        <f t="shared" si="116"/>
        <v>0.90082820131662777</v>
      </c>
      <c r="AW380" s="16">
        <f t="shared" si="116"/>
        <v>0.90125026488662852</v>
      </c>
      <c r="AX380" s="16">
        <f t="shared" si="116"/>
        <v>0.90159345391903534</v>
      </c>
      <c r="AY380" s="16">
        <f t="shared" si="116"/>
        <v>0.90195237073589363</v>
      </c>
      <c r="AZ380" s="16">
        <f t="shared" si="116"/>
        <v>0.90231251350767239</v>
      </c>
      <c r="BA380" s="16">
        <f t="shared" si="116"/>
        <v>0.90245464247598717</v>
      </c>
      <c r="BB380" s="16">
        <f t="shared" si="116"/>
        <v>0.90289167026327144</v>
      </c>
      <c r="BC380" s="16">
        <f t="shared" si="116"/>
        <v>0.9029690189328744</v>
      </c>
      <c r="BD380" s="16">
        <f t="shared" si="116"/>
        <v>0.9031351351351351</v>
      </c>
      <c r="BE380" s="16">
        <f t="shared" si="116"/>
        <v>0.90322580645161288</v>
      </c>
      <c r="BF380" s="16">
        <f t="shared" si="116"/>
        <v>0.90341151385927509</v>
      </c>
      <c r="BG380" s="16">
        <f t="shared" si="116"/>
        <v>0.90344361917623228</v>
      </c>
      <c r="BH380" s="16">
        <f t="shared" si="116"/>
        <v>0.90373852697559887</v>
      </c>
      <c r="BI380" s="16">
        <f t="shared" si="116"/>
        <v>0.90353200883002205</v>
      </c>
    </row>
    <row r="381" spans="1:61" x14ac:dyDescent="0.25">
      <c r="A381" s="11">
        <f>$A$56</f>
        <v>41</v>
      </c>
      <c r="M381" s="11"/>
      <c r="N381" s="11"/>
      <c r="O381" s="11"/>
      <c r="P381" s="11"/>
      <c r="Q381" s="11"/>
      <c r="R381" s="11"/>
      <c r="S381" s="11"/>
      <c r="T381" s="16">
        <f>T$241/T$56</f>
        <v>0.85197645079899076</v>
      </c>
      <c r="U381" s="16">
        <f t="shared" ref="U381:BI381" si="117">U$241/U$56</f>
        <v>0.85572687224669608</v>
      </c>
      <c r="V381" s="16">
        <f t="shared" si="117"/>
        <v>0.85919234856535598</v>
      </c>
      <c r="W381" s="16">
        <f t="shared" si="117"/>
        <v>0.86262731783755553</v>
      </c>
      <c r="X381" s="16">
        <f t="shared" si="117"/>
        <v>0.86576508890558479</v>
      </c>
      <c r="Y381" s="16">
        <f t="shared" si="117"/>
        <v>0.86895734597156393</v>
      </c>
      <c r="Z381" s="16">
        <f t="shared" si="117"/>
        <v>0.87175925925925923</v>
      </c>
      <c r="AA381" s="16">
        <f t="shared" si="117"/>
        <v>0.87444345503116649</v>
      </c>
      <c r="AB381" s="16">
        <f t="shared" si="117"/>
        <v>0.87685914260717412</v>
      </c>
      <c r="AC381" s="16">
        <f t="shared" si="117"/>
        <v>0.87949679982343854</v>
      </c>
      <c r="AD381" s="16">
        <f t="shared" si="117"/>
        <v>0.88173719376391979</v>
      </c>
      <c r="AE381" s="16">
        <f t="shared" si="117"/>
        <v>0.88359303391384048</v>
      </c>
      <c r="AF381" s="16">
        <f t="shared" si="117"/>
        <v>0.88563523172700021</v>
      </c>
      <c r="AG381" s="16">
        <f t="shared" si="117"/>
        <v>0.88734057628719887</v>
      </c>
      <c r="AH381" s="16">
        <f t="shared" si="117"/>
        <v>0.88904694167852061</v>
      </c>
      <c r="AI381" s="16">
        <f t="shared" si="117"/>
        <v>0.89058767319636889</v>
      </c>
      <c r="AJ381" s="16">
        <f t="shared" si="117"/>
        <v>0.8919117647058824</v>
      </c>
      <c r="AK381" s="16">
        <f t="shared" si="117"/>
        <v>0.89327036599763876</v>
      </c>
      <c r="AL381" s="16">
        <f t="shared" si="117"/>
        <v>0.89459909588389241</v>
      </c>
      <c r="AM381" s="16">
        <f t="shared" si="117"/>
        <v>0.89581822576746439</v>
      </c>
      <c r="AN381" s="16">
        <f t="shared" si="117"/>
        <v>0.89678510998307948</v>
      </c>
      <c r="AO381" s="16">
        <f t="shared" si="117"/>
        <v>0.89744801512287331</v>
      </c>
      <c r="AP381" s="16">
        <f t="shared" si="117"/>
        <v>0.89851659995290789</v>
      </c>
      <c r="AQ381" s="16">
        <f t="shared" si="117"/>
        <v>0.89914411288457086</v>
      </c>
      <c r="AR381" s="16">
        <f t="shared" si="117"/>
        <v>0.89984591679506931</v>
      </c>
      <c r="AS381" s="16">
        <f t="shared" si="117"/>
        <v>0.90064377682403429</v>
      </c>
      <c r="AT381" s="16">
        <f t="shared" si="117"/>
        <v>0.90130151843817785</v>
      </c>
      <c r="AU381" s="16">
        <f t="shared" si="117"/>
        <v>0.9016740834922653</v>
      </c>
      <c r="AV381" s="16">
        <f t="shared" si="117"/>
        <v>0.90211416490486263</v>
      </c>
      <c r="AW381" s="16">
        <f t="shared" si="117"/>
        <v>0.90250579069277748</v>
      </c>
      <c r="AX381" s="16">
        <f t="shared" si="117"/>
        <v>0.90290037831021441</v>
      </c>
      <c r="AY381" s="16">
        <f t="shared" si="117"/>
        <v>0.90328778821520073</v>
      </c>
      <c r="AZ381" s="16">
        <f t="shared" si="117"/>
        <v>0.90363752393107855</v>
      </c>
      <c r="BA381" s="16">
        <f t="shared" si="117"/>
        <v>0.90381319622964862</v>
      </c>
      <c r="BB381" s="16">
        <f t="shared" si="117"/>
        <v>0.90412698412698411</v>
      </c>
      <c r="BC381" s="16">
        <f t="shared" si="117"/>
        <v>0.90417112299465241</v>
      </c>
      <c r="BD381" s="16">
        <f t="shared" si="117"/>
        <v>0.90443686006825941</v>
      </c>
      <c r="BE381" s="16">
        <f t="shared" si="117"/>
        <v>0.90462923274753537</v>
      </c>
      <c r="BF381" s="16">
        <f t="shared" si="117"/>
        <v>0.90451832907075869</v>
      </c>
      <c r="BG381" s="16">
        <f t="shared" si="117"/>
        <v>0.90469146238377007</v>
      </c>
      <c r="BH381" s="16">
        <f t="shared" si="117"/>
        <v>0.90479375696767006</v>
      </c>
      <c r="BI381" s="16">
        <f t="shared" si="117"/>
        <v>0.90487804878048783</v>
      </c>
    </row>
    <row r="382" spans="1:61" x14ac:dyDescent="0.25">
      <c r="A382" s="11">
        <f>$A$57</f>
        <v>42</v>
      </c>
      <c r="M382" s="11"/>
      <c r="N382" s="11"/>
      <c r="O382" s="11"/>
      <c r="P382" s="11"/>
      <c r="Q382" s="11"/>
      <c r="R382" s="11"/>
      <c r="S382" s="11"/>
      <c r="T382" s="16">
        <f>T$242/T$57</f>
        <v>0.85578856650387825</v>
      </c>
      <c r="U382" s="16">
        <f t="shared" ref="U382:BI382" si="118">U$242/U$57</f>
        <v>0.85921382771117927</v>
      </c>
      <c r="V382" s="16">
        <f t="shared" si="118"/>
        <v>0.86296498905908092</v>
      </c>
      <c r="W382" s="16">
        <f t="shared" si="118"/>
        <v>0.86596306068601581</v>
      </c>
      <c r="X382" s="16">
        <f t="shared" si="118"/>
        <v>0.86929460580912865</v>
      </c>
      <c r="Y382" s="16">
        <f t="shared" si="118"/>
        <v>0.87217110171599099</v>
      </c>
      <c r="Z382" s="16">
        <f t="shared" si="118"/>
        <v>0.87479406919275127</v>
      </c>
      <c r="AA382" s="16">
        <f t="shared" si="118"/>
        <v>0.87744309036560131</v>
      </c>
      <c r="AB382" s="16">
        <f t="shared" si="118"/>
        <v>0.87967263879672641</v>
      </c>
      <c r="AC382" s="16">
        <f t="shared" si="118"/>
        <v>0.88198217778743748</v>
      </c>
      <c r="AD382" s="16">
        <f t="shared" si="118"/>
        <v>0.88423591317693484</v>
      </c>
      <c r="AE382" s="16">
        <f t="shared" si="118"/>
        <v>0.88608714886087148</v>
      </c>
      <c r="AF382" s="16">
        <f t="shared" si="118"/>
        <v>0.88782707622298063</v>
      </c>
      <c r="AG382" s="16">
        <f t="shared" si="118"/>
        <v>0.8896520146520146</v>
      </c>
      <c r="AH382" s="16">
        <f t="shared" si="118"/>
        <v>0.8912075029308324</v>
      </c>
      <c r="AI382" s="16">
        <f t="shared" si="118"/>
        <v>0.89268063073664394</v>
      </c>
      <c r="AJ382" s="16">
        <f t="shared" si="118"/>
        <v>0.89402560455192037</v>
      </c>
      <c r="AK382" s="16">
        <f t="shared" si="118"/>
        <v>0.89542801556420237</v>
      </c>
      <c r="AL382" s="16">
        <f t="shared" si="118"/>
        <v>0.89664869932036562</v>
      </c>
      <c r="AM382" s="16">
        <f t="shared" si="118"/>
        <v>0.89754485363550518</v>
      </c>
      <c r="AN382" s="16">
        <f t="shared" si="118"/>
        <v>0.8985611510791367</v>
      </c>
      <c r="AO382" s="16">
        <f t="shared" si="118"/>
        <v>0.89952038369304554</v>
      </c>
      <c r="AP382" s="16">
        <f t="shared" si="118"/>
        <v>0.90035169988276675</v>
      </c>
      <c r="AQ382" s="16">
        <f t="shared" si="118"/>
        <v>0.9011682242990654</v>
      </c>
      <c r="AR382" s="16">
        <f t="shared" si="118"/>
        <v>0.90174471992653815</v>
      </c>
      <c r="AS382" s="16">
        <f t="shared" si="118"/>
        <v>0.90231643356643354</v>
      </c>
      <c r="AT382" s="16">
        <f t="shared" si="118"/>
        <v>0.90285470813804858</v>
      </c>
      <c r="AU382" s="16">
        <f t="shared" si="118"/>
        <v>0.90353143841515937</v>
      </c>
      <c r="AV382" s="16">
        <f t="shared" si="118"/>
        <v>0.90385019987376392</v>
      </c>
      <c r="AW382" s="16">
        <f t="shared" si="118"/>
        <v>0.90409233997901362</v>
      </c>
      <c r="AX382" s="16">
        <f t="shared" si="118"/>
        <v>0.90466234580807026</v>
      </c>
      <c r="AY382" s="16">
        <f t="shared" si="118"/>
        <v>0.90486125599833089</v>
      </c>
      <c r="AZ382" s="16">
        <f t="shared" si="118"/>
        <v>0.90506463233735956</v>
      </c>
      <c r="BA382" s="16">
        <f t="shared" si="118"/>
        <v>0.90540540540540537</v>
      </c>
      <c r="BB382" s="16">
        <f t="shared" si="118"/>
        <v>0.90580480544333408</v>
      </c>
      <c r="BC382" s="16">
        <f t="shared" si="118"/>
        <v>0.90590212140306658</v>
      </c>
      <c r="BD382" s="16">
        <f t="shared" si="118"/>
        <v>0.90596476331988962</v>
      </c>
      <c r="BE382" s="16">
        <f t="shared" si="118"/>
        <v>0.90603174603174608</v>
      </c>
      <c r="BF382" s="16">
        <f t="shared" si="118"/>
        <v>0.90623006591537314</v>
      </c>
      <c r="BG382" s="16">
        <f t="shared" si="118"/>
        <v>0.90611122858955384</v>
      </c>
      <c r="BH382" s="16">
        <f t="shared" si="118"/>
        <v>0.90647934577479561</v>
      </c>
      <c r="BI382" s="16">
        <f t="shared" si="118"/>
        <v>0.90645731977001331</v>
      </c>
    </row>
    <row r="383" spans="1:61" x14ac:dyDescent="0.25">
      <c r="A383" s="11">
        <f>$A$58</f>
        <v>43</v>
      </c>
      <c r="M383" s="11"/>
      <c r="N383" s="11"/>
      <c r="O383" s="11"/>
      <c r="P383" s="11"/>
      <c r="Q383" s="11"/>
      <c r="R383" s="11"/>
      <c r="S383" s="11"/>
      <c r="T383" s="16">
        <f>T$243/T$58</f>
        <v>0.86036169581974509</v>
      </c>
      <c r="U383" s="16">
        <f t="shared" ref="U383:BI383" si="119">U$243/U$58</f>
        <v>0.86363636363636365</v>
      </c>
      <c r="V383" s="16">
        <f t="shared" si="119"/>
        <v>0.86692542278902129</v>
      </c>
      <c r="W383" s="16">
        <f t="shared" si="119"/>
        <v>0.87003806416530727</v>
      </c>
      <c r="X383" s="16">
        <f t="shared" si="119"/>
        <v>0.87306582743246786</v>
      </c>
      <c r="Y383" s="16">
        <f t="shared" si="119"/>
        <v>0.87603092783505154</v>
      </c>
      <c r="Z383" s="16">
        <f t="shared" si="119"/>
        <v>0.87839841819080577</v>
      </c>
      <c r="AA383" s="16">
        <f t="shared" si="119"/>
        <v>0.88090781469349555</v>
      </c>
      <c r="AB383" s="16">
        <f t="shared" si="119"/>
        <v>0.88319999999999999</v>
      </c>
      <c r="AC383" s="16">
        <f t="shared" si="119"/>
        <v>0.88539375274967003</v>
      </c>
      <c r="AD383" s="16">
        <f t="shared" si="119"/>
        <v>0.88740004322455157</v>
      </c>
      <c r="AE383" s="16">
        <f t="shared" si="119"/>
        <v>0.88925223457597558</v>
      </c>
      <c r="AF383" s="16">
        <f t="shared" si="119"/>
        <v>0.89091708819001536</v>
      </c>
      <c r="AG383" s="16">
        <f t="shared" si="119"/>
        <v>0.89258254183627317</v>
      </c>
      <c r="AH383" s="16">
        <f t="shared" si="119"/>
        <v>0.89419795221843001</v>
      </c>
      <c r="AI383" s="16">
        <f t="shared" si="119"/>
        <v>0.89561975768872326</v>
      </c>
      <c r="AJ383" s="16">
        <f t="shared" si="119"/>
        <v>0.89689034369885434</v>
      </c>
      <c r="AK383" s="16">
        <f t="shared" si="119"/>
        <v>0.8980216674517193</v>
      </c>
      <c r="AL383" s="16">
        <f t="shared" si="119"/>
        <v>0.89927536231884053</v>
      </c>
      <c r="AM383" s="16">
        <f t="shared" si="119"/>
        <v>0.90034924330616994</v>
      </c>
      <c r="AN383" s="16">
        <f t="shared" si="119"/>
        <v>0.90126641651031891</v>
      </c>
      <c r="AO383" s="16">
        <f t="shared" si="119"/>
        <v>0.90188140033341269</v>
      </c>
      <c r="AP383" s="16">
        <f t="shared" si="119"/>
        <v>0.90283400809716596</v>
      </c>
      <c r="AQ383" s="16">
        <f t="shared" si="119"/>
        <v>0.90358639962738707</v>
      </c>
      <c r="AR383" s="16">
        <f t="shared" si="119"/>
        <v>0.90417633410672849</v>
      </c>
      <c r="AS383" s="16">
        <f t="shared" si="119"/>
        <v>0.90469676242590058</v>
      </c>
      <c r="AT383" s="16">
        <f t="shared" si="119"/>
        <v>0.90534085974815459</v>
      </c>
      <c r="AU383" s="16">
        <f t="shared" si="119"/>
        <v>0.90558848433530903</v>
      </c>
      <c r="AV383" s="16">
        <f t="shared" si="119"/>
        <v>0.90629011553273431</v>
      </c>
      <c r="AW383" s="16">
        <f t="shared" si="119"/>
        <v>0.90654401003554252</v>
      </c>
      <c r="AX383" s="16">
        <f t="shared" si="119"/>
        <v>0.90698644421272157</v>
      </c>
      <c r="AY383" s="16">
        <f t="shared" si="119"/>
        <v>0.90714582467802241</v>
      </c>
      <c r="AZ383" s="16">
        <f t="shared" si="119"/>
        <v>0.90754560530679929</v>
      </c>
      <c r="BA383" s="16">
        <f t="shared" si="119"/>
        <v>0.90778947368421048</v>
      </c>
      <c r="BB383" s="16">
        <f t="shared" si="119"/>
        <v>0.90792785234899331</v>
      </c>
      <c r="BC383" s="16">
        <f t="shared" si="119"/>
        <v>0.9081309398099261</v>
      </c>
      <c r="BD383" s="16">
        <f t="shared" si="119"/>
        <v>0.90819945754224907</v>
      </c>
      <c r="BE383" s="16">
        <f t="shared" si="119"/>
        <v>0.90849673202614378</v>
      </c>
      <c r="BF383" s="16">
        <f t="shared" si="119"/>
        <v>0.90855581248686146</v>
      </c>
      <c r="BG383" s="16">
        <f t="shared" si="119"/>
        <v>0.90857263513513509</v>
      </c>
      <c r="BH383" s="16">
        <f t="shared" si="119"/>
        <v>0.90863264020163836</v>
      </c>
      <c r="BI383" s="16">
        <f t="shared" si="119"/>
        <v>0.90857975843398586</v>
      </c>
    </row>
    <row r="384" spans="1:61" x14ac:dyDescent="0.25">
      <c r="A384" s="11">
        <f>$A$59</f>
        <v>44</v>
      </c>
      <c r="M384" s="11"/>
      <c r="N384" s="11"/>
      <c r="O384" s="11"/>
      <c r="P384" s="11"/>
      <c r="Q384" s="11"/>
      <c r="R384" s="11"/>
      <c r="S384" s="11"/>
      <c r="T384" s="16">
        <f>T$244/T$59</f>
        <v>0.86568065197706001</v>
      </c>
      <c r="U384" s="16">
        <f t="shared" ref="U384:BI384" si="120">U$244/U$59</f>
        <v>0.86908983451536648</v>
      </c>
      <c r="V384" s="16">
        <f t="shared" si="120"/>
        <v>0.87190435525192145</v>
      </c>
      <c r="W384" s="16">
        <f t="shared" si="120"/>
        <v>0.87524151255865301</v>
      </c>
      <c r="X384" s="16">
        <f t="shared" si="120"/>
        <v>0.87770562770562766</v>
      </c>
      <c r="Y384" s="16">
        <f t="shared" si="120"/>
        <v>0.88048016701461373</v>
      </c>
      <c r="Z384" s="16">
        <f t="shared" si="120"/>
        <v>0.88307692307692309</v>
      </c>
      <c r="AA384" s="16">
        <f t="shared" si="120"/>
        <v>0.8853910477127398</v>
      </c>
      <c r="AB384" s="16">
        <f t="shared" si="120"/>
        <v>0.8875174662319516</v>
      </c>
      <c r="AC384" s="16">
        <f t="shared" si="120"/>
        <v>0.889419795221843</v>
      </c>
      <c r="AD384" s="16">
        <f t="shared" si="120"/>
        <v>0.89139478870155464</v>
      </c>
      <c r="AE384" s="16">
        <f t="shared" si="120"/>
        <v>0.89326447170217349</v>
      </c>
      <c r="AF384" s="16">
        <f t="shared" si="120"/>
        <v>0.89496527777777779</v>
      </c>
      <c r="AG384" s="16">
        <f t="shared" si="120"/>
        <v>0.89645359019264448</v>
      </c>
      <c r="AH384" s="16">
        <f t="shared" si="120"/>
        <v>0.89781679045689844</v>
      </c>
      <c r="AI384" s="16">
        <f t="shared" si="120"/>
        <v>0.89925288657459812</v>
      </c>
      <c r="AJ384" s="16">
        <f t="shared" si="120"/>
        <v>0.90055632823365783</v>
      </c>
      <c r="AK384" s="16">
        <f t="shared" si="120"/>
        <v>0.9016050244242847</v>
      </c>
      <c r="AL384" s="16">
        <f t="shared" si="120"/>
        <v>0.90276476101218373</v>
      </c>
      <c r="AM384" s="16">
        <f t="shared" si="120"/>
        <v>0.90389235944257573</v>
      </c>
      <c r="AN384" s="16">
        <f t="shared" si="120"/>
        <v>0.90458545622973596</v>
      </c>
      <c r="AO384" s="16">
        <f t="shared" si="120"/>
        <v>0.90552834149755068</v>
      </c>
      <c r="AP384" s="16">
        <f t="shared" si="120"/>
        <v>0.90620558976788257</v>
      </c>
      <c r="AQ384" s="16">
        <f t="shared" si="120"/>
        <v>0.90691615348176224</v>
      </c>
      <c r="AR384" s="16">
        <f t="shared" si="120"/>
        <v>0.90736452061139417</v>
      </c>
      <c r="AS384" s="16">
        <f t="shared" si="120"/>
        <v>0.9081467805215786</v>
      </c>
      <c r="AT384" s="16">
        <f t="shared" si="120"/>
        <v>0.90861678004535151</v>
      </c>
      <c r="AU384" s="16">
        <f t="shared" si="120"/>
        <v>0.90907127429805612</v>
      </c>
      <c r="AV384" s="16">
        <f t="shared" si="120"/>
        <v>0.90943555181128899</v>
      </c>
      <c r="AW384" s="16">
        <f t="shared" si="120"/>
        <v>0.90976803575228771</v>
      </c>
      <c r="AX384" s="16">
        <f t="shared" si="120"/>
        <v>0.91014975041597335</v>
      </c>
      <c r="AY384" s="16">
        <f t="shared" si="120"/>
        <v>0.91037344398340247</v>
      </c>
      <c r="AZ384" s="16">
        <f t="shared" si="120"/>
        <v>0.9107253564786113</v>
      </c>
      <c r="BA384" s="16">
        <f t="shared" si="120"/>
        <v>0.91090946586925137</v>
      </c>
      <c r="BB384" s="16">
        <f t="shared" si="120"/>
        <v>0.91101340033500833</v>
      </c>
      <c r="BC384" s="16">
        <f t="shared" si="120"/>
        <v>0.91113892365456817</v>
      </c>
      <c r="BD384" s="16">
        <f t="shared" si="120"/>
        <v>0.91136315900021003</v>
      </c>
      <c r="BE384" s="16">
        <f t="shared" si="120"/>
        <v>0.91141078838174272</v>
      </c>
      <c r="BF384" s="16">
        <f t="shared" si="120"/>
        <v>0.9115303983228511</v>
      </c>
      <c r="BG384" s="16">
        <f t="shared" si="120"/>
        <v>0.91158026755852839</v>
      </c>
      <c r="BH384" s="16">
        <f t="shared" si="120"/>
        <v>0.91161032962418642</v>
      </c>
      <c r="BI384" s="16">
        <f t="shared" si="120"/>
        <v>0.91186299081035926</v>
      </c>
    </row>
    <row r="385" spans="1:61" x14ac:dyDescent="0.25">
      <c r="A385" s="11">
        <f>$A$60</f>
        <v>45</v>
      </c>
      <c r="M385" s="11"/>
      <c r="N385" s="11"/>
      <c r="O385" s="11"/>
      <c r="P385" s="11"/>
      <c r="Q385" s="11"/>
      <c r="R385" s="11"/>
      <c r="S385" s="11"/>
      <c r="T385" s="16">
        <f>T$245/T$60</f>
        <v>0.8716216216216216</v>
      </c>
      <c r="U385" s="16">
        <f t="shared" ref="U385:BI385" si="121">U$245/U$60</f>
        <v>0.87469879518072291</v>
      </c>
      <c r="V385" s="16">
        <f t="shared" si="121"/>
        <v>0.87776141384388806</v>
      </c>
      <c r="W385" s="16">
        <f t="shared" si="121"/>
        <v>0.88081725312145287</v>
      </c>
      <c r="X385" s="16">
        <f t="shared" si="121"/>
        <v>0.88338833883388335</v>
      </c>
      <c r="Y385" s="16">
        <f t="shared" si="121"/>
        <v>0.88595308708546783</v>
      </c>
      <c r="Z385" s="16">
        <f t="shared" si="121"/>
        <v>0.8884555382215289</v>
      </c>
      <c r="AA385" s="16">
        <f t="shared" si="121"/>
        <v>0.89064895247828313</v>
      </c>
      <c r="AB385" s="16">
        <f t="shared" si="121"/>
        <v>0.89264705882352946</v>
      </c>
      <c r="AC385" s="16">
        <f t="shared" si="121"/>
        <v>0.89461467038068709</v>
      </c>
      <c r="AD385" s="16">
        <f t="shared" si="121"/>
        <v>0.89657518711726014</v>
      </c>
      <c r="AE385" s="16">
        <f t="shared" si="121"/>
        <v>0.89827548570181182</v>
      </c>
      <c r="AF385" s="16">
        <f t="shared" si="121"/>
        <v>0.89982839982839979</v>
      </c>
      <c r="AG385" s="16">
        <f t="shared" si="121"/>
        <v>0.90136275146009082</v>
      </c>
      <c r="AH385" s="16">
        <f t="shared" si="121"/>
        <v>0.90268383155138554</v>
      </c>
      <c r="AI385" s="16">
        <f t="shared" si="121"/>
        <v>0.90379008746355682</v>
      </c>
      <c r="AJ385" s="16">
        <f t="shared" si="121"/>
        <v>0.90503045341755017</v>
      </c>
      <c r="AK385" s="16">
        <f t="shared" si="121"/>
        <v>0.90623556581986142</v>
      </c>
      <c r="AL385" s="16">
        <f t="shared" si="121"/>
        <v>0.90730011587485515</v>
      </c>
      <c r="AM385" s="16">
        <f t="shared" si="121"/>
        <v>0.90828471411901979</v>
      </c>
      <c r="AN385" s="16">
        <f t="shared" si="121"/>
        <v>0.90909090909090906</v>
      </c>
      <c r="AO385" s="16">
        <f t="shared" si="121"/>
        <v>0.91003460207612452</v>
      </c>
      <c r="AP385" s="16">
        <f t="shared" si="121"/>
        <v>0.91056910569105687</v>
      </c>
      <c r="AQ385" s="16">
        <f t="shared" si="121"/>
        <v>0.91132075471698115</v>
      </c>
      <c r="AR385" s="16">
        <f t="shared" si="121"/>
        <v>0.91181325159160576</v>
      </c>
      <c r="AS385" s="16">
        <f t="shared" si="121"/>
        <v>0.91236162361623618</v>
      </c>
      <c r="AT385" s="16">
        <f t="shared" si="121"/>
        <v>0.91291360294117652</v>
      </c>
      <c r="AU385" s="16">
        <f t="shared" si="121"/>
        <v>0.9135049683830172</v>
      </c>
      <c r="AV385" s="16">
        <f t="shared" si="121"/>
        <v>0.91372633390705682</v>
      </c>
      <c r="AW385" s="16">
        <f t="shared" si="121"/>
        <v>0.91418380193033988</v>
      </c>
      <c r="AX385" s="16">
        <f t="shared" si="121"/>
        <v>0.9143704959728699</v>
      </c>
      <c r="AY385" s="16">
        <f t="shared" si="121"/>
        <v>0.91464677853739385</v>
      </c>
      <c r="AZ385" s="16">
        <f t="shared" si="121"/>
        <v>0.91485844182682374</v>
      </c>
      <c r="BA385" s="16">
        <f t="shared" si="121"/>
        <v>0.91500308705494959</v>
      </c>
      <c r="BB385" s="16">
        <f t="shared" si="121"/>
        <v>0.91538303553090983</v>
      </c>
      <c r="BC385" s="16">
        <f t="shared" si="121"/>
        <v>0.91534612176814012</v>
      </c>
      <c r="BD385" s="16">
        <f t="shared" si="121"/>
        <v>0.91545492314083921</v>
      </c>
      <c r="BE385" s="16">
        <f t="shared" si="121"/>
        <v>0.91570801087638565</v>
      </c>
      <c r="BF385" s="16">
        <f t="shared" si="121"/>
        <v>0.91570247933884297</v>
      </c>
      <c r="BG385" s="16">
        <f t="shared" si="121"/>
        <v>0.91567522437904403</v>
      </c>
      <c r="BH385" s="16">
        <f t="shared" si="121"/>
        <v>0.91592091571279921</v>
      </c>
      <c r="BI385" s="16">
        <f t="shared" si="121"/>
        <v>0.91596989966555187</v>
      </c>
    </row>
    <row r="386" spans="1:61" x14ac:dyDescent="0.25">
      <c r="A386" s="11">
        <f>$A$61</f>
        <v>46</v>
      </c>
      <c r="M386" s="11"/>
      <c r="N386" s="11"/>
      <c r="O386" s="11"/>
      <c r="P386" s="11"/>
      <c r="Q386" s="11"/>
      <c r="R386" s="11"/>
      <c r="S386" s="11"/>
      <c r="T386" s="16">
        <f>T$246/T$61</f>
        <v>0.8741637464160561</v>
      </c>
      <c r="U386" s="16">
        <f t="shared" ref="U386:BI386" si="122">U$246/U$61</f>
        <v>0.87722529158993245</v>
      </c>
      <c r="V386" s="16">
        <f t="shared" si="122"/>
        <v>0.88026474127557164</v>
      </c>
      <c r="W386" s="16">
        <f t="shared" si="122"/>
        <v>0.88323529411764701</v>
      </c>
      <c r="X386" s="16">
        <f t="shared" si="122"/>
        <v>0.88586802605494197</v>
      </c>
      <c r="Y386" s="16">
        <f t="shared" si="122"/>
        <v>0.88803512623490666</v>
      </c>
      <c r="Z386" s="16">
        <f t="shared" si="122"/>
        <v>0.89053254437869822</v>
      </c>
      <c r="AA386" s="16">
        <f t="shared" si="122"/>
        <v>0.89283860923715619</v>
      </c>
      <c r="AB386" s="16">
        <f t="shared" si="122"/>
        <v>0.89497833290848838</v>
      </c>
      <c r="AC386" s="16">
        <f t="shared" si="122"/>
        <v>0.89679628270970901</v>
      </c>
      <c r="AD386" s="16">
        <f t="shared" si="122"/>
        <v>0.89877229557563121</v>
      </c>
      <c r="AE386" s="16">
        <f t="shared" si="122"/>
        <v>0.90040742417383435</v>
      </c>
      <c r="AF386" s="16">
        <f t="shared" si="122"/>
        <v>0.90196078431372551</v>
      </c>
      <c r="AG386" s="16">
        <f t="shared" si="122"/>
        <v>0.90344679940055661</v>
      </c>
      <c r="AH386" s="16">
        <f t="shared" si="122"/>
        <v>0.90479274611398963</v>
      </c>
      <c r="AI386" s="16">
        <f t="shared" si="122"/>
        <v>0.90614111498257843</v>
      </c>
      <c r="AJ386" s="16">
        <f t="shared" si="122"/>
        <v>0.90734109221128023</v>
      </c>
      <c r="AK386" s="16">
        <f t="shared" si="122"/>
        <v>0.90859972985141824</v>
      </c>
      <c r="AL386" s="16">
        <f t="shared" si="122"/>
        <v>0.90944700460829497</v>
      </c>
      <c r="AM386" s="16">
        <f t="shared" si="122"/>
        <v>0.91030975496994915</v>
      </c>
      <c r="AN386" s="16">
        <f t="shared" si="122"/>
        <v>0.91108007448789574</v>
      </c>
      <c r="AO386" s="16">
        <f t="shared" si="122"/>
        <v>0.91195418754473878</v>
      </c>
      <c r="AP386" s="16">
        <f t="shared" si="122"/>
        <v>0.91279337321675103</v>
      </c>
      <c r="AQ386" s="16">
        <f t="shared" si="122"/>
        <v>0.91334569045412417</v>
      </c>
      <c r="AR386" s="16">
        <f t="shared" si="122"/>
        <v>0.91413784991766645</v>
      </c>
      <c r="AS386" s="16">
        <f t="shared" si="122"/>
        <v>0.91462841015992469</v>
      </c>
      <c r="AT386" s="16">
        <f t="shared" si="122"/>
        <v>0.9149034038638455</v>
      </c>
      <c r="AU386" s="16">
        <f t="shared" si="122"/>
        <v>0.91544454628780936</v>
      </c>
      <c r="AV386" s="16">
        <f t="shared" si="122"/>
        <v>0.91578473316820541</v>
      </c>
      <c r="AW386" s="16">
        <f t="shared" si="122"/>
        <v>0.91611242222698996</v>
      </c>
      <c r="AX386" s="16">
        <f t="shared" si="122"/>
        <v>0.91630048127223274</v>
      </c>
      <c r="AY386" s="16">
        <f t="shared" si="122"/>
        <v>0.91670190274841434</v>
      </c>
      <c r="AZ386" s="16">
        <f t="shared" si="122"/>
        <v>0.91694214876033053</v>
      </c>
      <c r="BA386" s="16">
        <f t="shared" si="122"/>
        <v>0.91714756801319042</v>
      </c>
      <c r="BB386" s="16">
        <f t="shared" si="122"/>
        <v>0.91728243021346467</v>
      </c>
      <c r="BC386" s="16">
        <f t="shared" si="122"/>
        <v>0.91765669807455963</v>
      </c>
      <c r="BD386" s="16">
        <f t="shared" si="122"/>
        <v>0.91765439800374293</v>
      </c>
      <c r="BE386" s="16">
        <f t="shared" si="122"/>
        <v>0.91775429873627512</v>
      </c>
      <c r="BF386" s="16">
        <f t="shared" si="122"/>
        <v>0.91783107403545361</v>
      </c>
      <c r="BG386" s="16">
        <f t="shared" si="122"/>
        <v>0.91800576843840132</v>
      </c>
      <c r="BH386" s="16">
        <f t="shared" si="122"/>
        <v>0.91800208116545268</v>
      </c>
      <c r="BI386" s="16">
        <f t="shared" si="122"/>
        <v>0.91803278688524592</v>
      </c>
    </row>
    <row r="387" spans="1:61" x14ac:dyDescent="0.25">
      <c r="A387" s="11">
        <f>$A$62</f>
        <v>47</v>
      </c>
      <c r="M387" s="11"/>
      <c r="N387" s="11"/>
      <c r="O387" s="11"/>
      <c r="P387" s="11"/>
      <c r="Q387" s="11"/>
      <c r="R387" s="11"/>
      <c r="S387" s="11"/>
      <c r="T387" s="16">
        <f>T$247/T$62</f>
        <v>0.87515923566878984</v>
      </c>
      <c r="U387" s="16">
        <f t="shared" ref="U387:BI387" si="123">U$247/U$62</f>
        <v>0.87822760599298688</v>
      </c>
      <c r="V387" s="16">
        <f t="shared" si="123"/>
        <v>0.88117899907890695</v>
      </c>
      <c r="W387" s="16">
        <f t="shared" si="123"/>
        <v>0.88421052631578945</v>
      </c>
      <c r="X387" s="16">
        <f t="shared" si="123"/>
        <v>0.88683127572016462</v>
      </c>
      <c r="Y387" s="16">
        <f t="shared" si="123"/>
        <v>0.88961222756863856</v>
      </c>
      <c r="Z387" s="16">
        <f t="shared" si="123"/>
        <v>0.89193636862314862</v>
      </c>
      <c r="AA387" s="16">
        <f t="shared" si="123"/>
        <v>0.8940860215053763</v>
      </c>
      <c r="AB387" s="16">
        <f t="shared" si="123"/>
        <v>0.89629245527612134</v>
      </c>
      <c r="AC387" s="16">
        <f t="shared" si="123"/>
        <v>0.89811512990320941</v>
      </c>
      <c r="AD387" s="16">
        <f t="shared" si="123"/>
        <v>0.90004887585532745</v>
      </c>
      <c r="AE387" s="16">
        <f t="shared" si="123"/>
        <v>0.90162037037037035</v>
      </c>
      <c r="AF387" s="16">
        <f t="shared" si="123"/>
        <v>0.90318932368242477</v>
      </c>
      <c r="AG387" s="16">
        <f t="shared" si="123"/>
        <v>0.90485521445678208</v>
      </c>
      <c r="AH387" s="16">
        <f t="shared" si="123"/>
        <v>0.90607616602481811</v>
      </c>
      <c r="AI387" s="16">
        <f t="shared" si="123"/>
        <v>0.90744336569579287</v>
      </c>
      <c r="AJ387" s="16">
        <f t="shared" si="123"/>
        <v>0.90861618798955612</v>
      </c>
      <c r="AK387" s="16">
        <f t="shared" si="123"/>
        <v>0.90988372093023251</v>
      </c>
      <c r="AL387" s="16">
        <f t="shared" si="123"/>
        <v>0.91072633235889366</v>
      </c>
      <c r="AM387" s="16">
        <f t="shared" si="123"/>
        <v>0.91185270425776754</v>
      </c>
      <c r="AN387" s="16">
        <f t="shared" si="123"/>
        <v>0.91249134149157241</v>
      </c>
      <c r="AO387" s="16">
        <f t="shared" si="123"/>
        <v>0.91327598232969076</v>
      </c>
      <c r="AP387" s="16">
        <f t="shared" si="123"/>
        <v>0.91420400381315536</v>
      </c>
      <c r="AQ387" s="16">
        <f t="shared" si="123"/>
        <v>0.91475183823529416</v>
      </c>
      <c r="AR387" s="16">
        <f t="shared" si="123"/>
        <v>0.9153169828782971</v>
      </c>
      <c r="AS387" s="16">
        <f t="shared" si="123"/>
        <v>0.91590321822879961</v>
      </c>
      <c r="AT387" s="16">
        <f t="shared" si="123"/>
        <v>0.91639267261625179</v>
      </c>
      <c r="AU387" s="16">
        <f t="shared" si="123"/>
        <v>0.9168580615525953</v>
      </c>
      <c r="AV387" s="16">
        <f t="shared" si="123"/>
        <v>0.91716247139588103</v>
      </c>
      <c r="AW387" s="16">
        <f t="shared" si="123"/>
        <v>0.91769732403867776</v>
      </c>
      <c r="AX387" s="16">
        <f t="shared" si="123"/>
        <v>0.91793443325476753</v>
      </c>
      <c r="AY387" s="16">
        <f t="shared" si="123"/>
        <v>0.91828631138975969</v>
      </c>
      <c r="AZ387" s="16">
        <f t="shared" si="123"/>
        <v>0.91851382731686726</v>
      </c>
      <c r="BA387" s="16">
        <f t="shared" si="123"/>
        <v>0.91850629255209404</v>
      </c>
      <c r="BB387" s="16">
        <f t="shared" si="123"/>
        <v>0.91891335665774854</v>
      </c>
      <c r="BC387" s="16">
        <f t="shared" si="123"/>
        <v>0.91883582701373234</v>
      </c>
      <c r="BD387" s="16">
        <f t="shared" si="123"/>
        <v>0.91901840490797548</v>
      </c>
      <c r="BE387" s="16">
        <f t="shared" si="123"/>
        <v>0.91924434295204482</v>
      </c>
      <c r="BF387" s="16">
        <f t="shared" si="123"/>
        <v>0.91933815925542917</v>
      </c>
      <c r="BG387" s="16">
        <f t="shared" si="123"/>
        <v>0.91923397169025811</v>
      </c>
      <c r="BH387" s="16">
        <f t="shared" si="123"/>
        <v>0.91958041958041958</v>
      </c>
      <c r="BI387" s="16">
        <f t="shared" si="123"/>
        <v>0.91959276958238101</v>
      </c>
    </row>
    <row r="388" spans="1:61" x14ac:dyDescent="0.25">
      <c r="A388" s="11">
        <f>$A$63</f>
        <v>48</v>
      </c>
      <c r="M388" s="11"/>
      <c r="N388" s="11"/>
      <c r="O388" s="11"/>
      <c r="P388" s="11"/>
      <c r="Q388" s="11"/>
      <c r="R388" s="11"/>
      <c r="S388" s="11"/>
      <c r="T388" s="16">
        <f>T$248/T$63</f>
        <v>0.87366720516962848</v>
      </c>
      <c r="U388" s="16">
        <f t="shared" ref="U388:BI388" si="124">U$248/U$63</f>
        <v>0.87679540376635812</v>
      </c>
      <c r="V388" s="16">
        <f t="shared" si="124"/>
        <v>0.879948914431673</v>
      </c>
      <c r="W388" s="16">
        <f t="shared" si="124"/>
        <v>0.88287734399016293</v>
      </c>
      <c r="X388" s="16">
        <f t="shared" si="124"/>
        <v>0.88561107766405778</v>
      </c>
      <c r="Y388" s="16">
        <f t="shared" si="124"/>
        <v>0.88820241247425713</v>
      </c>
      <c r="Z388" s="16">
        <f t="shared" si="124"/>
        <v>0.89039932030586233</v>
      </c>
      <c r="AA388" s="16">
        <f t="shared" si="124"/>
        <v>0.89270032930845222</v>
      </c>
      <c r="AB388" s="16">
        <f t="shared" si="124"/>
        <v>0.8948359332974718</v>
      </c>
      <c r="AC388" s="16">
        <f t="shared" si="124"/>
        <v>0.89675745784695204</v>
      </c>
      <c r="AD388" s="16">
        <f t="shared" si="124"/>
        <v>0.89857288481141695</v>
      </c>
      <c r="AE388" s="16">
        <f t="shared" si="124"/>
        <v>0.90024449877750612</v>
      </c>
      <c r="AF388" s="16">
        <f t="shared" si="124"/>
        <v>0.90180639184807776</v>
      </c>
      <c r="AG388" s="16">
        <f t="shared" si="124"/>
        <v>0.90337180357546953</v>
      </c>
      <c r="AH388" s="16">
        <f t="shared" si="124"/>
        <v>0.90481376606403829</v>
      </c>
      <c r="AI388" s="16">
        <f t="shared" si="124"/>
        <v>0.9060359589041096</v>
      </c>
      <c r="AJ388" s="16">
        <f t="shared" si="124"/>
        <v>0.90720759602934831</v>
      </c>
      <c r="AK388" s="16">
        <f t="shared" si="124"/>
        <v>0.9083786724700762</v>
      </c>
      <c r="AL388" s="16">
        <f t="shared" si="124"/>
        <v>0.90941623797808102</v>
      </c>
      <c r="AM388" s="16">
        <f t="shared" si="124"/>
        <v>0.91048133153396316</v>
      </c>
      <c r="AN388" s="16">
        <f t="shared" si="124"/>
        <v>0.91116225546605289</v>
      </c>
      <c r="AO388" s="16">
        <f t="shared" si="124"/>
        <v>0.91202955437543287</v>
      </c>
      <c r="AP388" s="16">
        <f t="shared" si="124"/>
        <v>0.91257847012322713</v>
      </c>
      <c r="AQ388" s="16">
        <f t="shared" si="124"/>
        <v>0.91348903717826502</v>
      </c>
      <c r="AR388" s="16">
        <f t="shared" si="124"/>
        <v>0.9140625</v>
      </c>
      <c r="AS388" s="16">
        <f t="shared" si="124"/>
        <v>0.91462285978713553</v>
      </c>
      <c r="AT388" s="16">
        <f t="shared" si="124"/>
        <v>0.91498356035697515</v>
      </c>
      <c r="AU388" s="16">
        <f t="shared" si="124"/>
        <v>0.915473115754872</v>
      </c>
      <c r="AV388" s="16">
        <f t="shared" si="124"/>
        <v>0.91595866819747418</v>
      </c>
      <c r="AW388" s="16">
        <f t="shared" si="124"/>
        <v>0.91626630061770764</v>
      </c>
      <c r="AX388" s="16">
        <f t="shared" si="124"/>
        <v>0.91638570465273095</v>
      </c>
      <c r="AY388" s="16">
        <f t="shared" si="124"/>
        <v>0.91668451488541447</v>
      </c>
      <c r="AZ388" s="16">
        <f t="shared" si="124"/>
        <v>0.91706705661165655</v>
      </c>
      <c r="BA388" s="16">
        <f t="shared" si="124"/>
        <v>0.91728212703101919</v>
      </c>
      <c r="BB388" s="16">
        <f t="shared" si="124"/>
        <v>0.91749174917491749</v>
      </c>
      <c r="BC388" s="16">
        <f t="shared" si="124"/>
        <v>0.91771240485496808</v>
      </c>
      <c r="BD388" s="16">
        <f t="shared" si="124"/>
        <v>0.91763982790411802</v>
      </c>
      <c r="BE388" s="16">
        <f t="shared" si="124"/>
        <v>0.91782502044153724</v>
      </c>
      <c r="BF388" s="16">
        <f t="shared" si="124"/>
        <v>0.91803278688524592</v>
      </c>
      <c r="BG388" s="16">
        <f t="shared" si="124"/>
        <v>0.91794129805704838</v>
      </c>
      <c r="BH388" s="16">
        <f t="shared" si="124"/>
        <v>0.91822721598002499</v>
      </c>
      <c r="BI388" s="16">
        <f t="shared" si="124"/>
        <v>0.91819116135662904</v>
      </c>
    </row>
    <row r="389" spans="1:61" x14ac:dyDescent="0.25">
      <c r="A389" s="11">
        <f>$A$64</f>
        <v>49</v>
      </c>
      <c r="M389" s="11"/>
      <c r="N389" s="11"/>
      <c r="O389" s="11"/>
      <c r="P389" s="11"/>
      <c r="Q389" s="11"/>
      <c r="R389" s="11"/>
      <c r="S389" s="11"/>
      <c r="T389" s="16">
        <f>T$249/T$64</f>
        <v>0.87160262417994372</v>
      </c>
      <c r="U389" s="16">
        <f t="shared" ref="U389:BI389" si="125">U$249/U$64</f>
        <v>0.87487844408427873</v>
      </c>
      <c r="V389" s="16">
        <f t="shared" si="125"/>
        <v>0.87775999999999998</v>
      </c>
      <c r="W389" s="16">
        <f t="shared" si="125"/>
        <v>0.88063999999999998</v>
      </c>
      <c r="X389" s="16">
        <f t="shared" si="125"/>
        <v>0.88327687095780716</v>
      </c>
      <c r="Y389" s="16">
        <f t="shared" si="125"/>
        <v>0.88600723763570566</v>
      </c>
      <c r="Z389" s="16">
        <f t="shared" si="125"/>
        <v>0.88833235120801413</v>
      </c>
      <c r="AA389" s="16">
        <f t="shared" si="125"/>
        <v>0.89052750992626206</v>
      </c>
      <c r="AB389" s="16">
        <f t="shared" si="125"/>
        <v>0.89255289914811764</v>
      </c>
      <c r="AC389" s="16">
        <f t="shared" si="125"/>
        <v>0.89469431726366822</v>
      </c>
      <c r="AD389" s="16">
        <f t="shared" si="125"/>
        <v>0.89636363636363636</v>
      </c>
      <c r="AE389" s="16">
        <f t="shared" si="125"/>
        <v>0.89818831334524118</v>
      </c>
      <c r="AF389" s="16">
        <f t="shared" si="125"/>
        <v>0.89963280293757653</v>
      </c>
      <c r="AG389" s="16">
        <f t="shared" si="125"/>
        <v>0.90120593692022266</v>
      </c>
      <c r="AH389" s="16">
        <f t="shared" si="125"/>
        <v>0.90258269143633896</v>
      </c>
      <c r="AI389" s="16">
        <f t="shared" si="125"/>
        <v>0.90383776711731356</v>
      </c>
      <c r="AJ389" s="16">
        <f t="shared" si="125"/>
        <v>0.90507820869937861</v>
      </c>
      <c r="AK389" s="16">
        <f t="shared" si="125"/>
        <v>0.90624324908187515</v>
      </c>
      <c r="AL389" s="16">
        <f t="shared" si="125"/>
        <v>0.90718954248366013</v>
      </c>
      <c r="AM389" s="16">
        <f t="shared" si="125"/>
        <v>0.90821580479068731</v>
      </c>
      <c r="AN389" s="16">
        <f t="shared" si="125"/>
        <v>0.90904997748761818</v>
      </c>
      <c r="AO389" s="16">
        <f t="shared" si="125"/>
        <v>0.90969822621515783</v>
      </c>
      <c r="AP389" s="16">
        <f t="shared" si="125"/>
        <v>0.91056159001617754</v>
      </c>
      <c r="AQ389" s="16">
        <f t="shared" si="125"/>
        <v>0.91110076797765882</v>
      </c>
      <c r="AR389" s="16">
        <f t="shared" si="125"/>
        <v>0.91175769139041263</v>
      </c>
      <c r="AS389" s="16">
        <f t="shared" si="125"/>
        <v>0.91239365371349734</v>
      </c>
      <c r="AT389" s="16">
        <f t="shared" si="125"/>
        <v>0.91294281083584161</v>
      </c>
      <c r="AU389" s="16">
        <f t="shared" si="125"/>
        <v>0.91306390977443608</v>
      </c>
      <c r="AV389" s="16">
        <f t="shared" si="125"/>
        <v>0.91355414611228569</v>
      </c>
      <c r="AW389" s="16">
        <f t="shared" si="125"/>
        <v>0.91385251550654722</v>
      </c>
      <c r="AX389" s="16">
        <f t="shared" si="125"/>
        <v>0.91439688715953304</v>
      </c>
      <c r="AY389" s="16">
        <f t="shared" si="125"/>
        <v>0.91432426354845964</v>
      </c>
      <c r="AZ389" s="16">
        <f t="shared" si="125"/>
        <v>0.91491641663094725</v>
      </c>
      <c r="BA389" s="16">
        <f t="shared" si="125"/>
        <v>0.9149425287356322</v>
      </c>
      <c r="BB389" s="16">
        <f t="shared" si="125"/>
        <v>0.91513616212792903</v>
      </c>
      <c r="BC389" s="16">
        <f t="shared" si="125"/>
        <v>0.91520528161749537</v>
      </c>
      <c r="BD389" s="16">
        <f t="shared" si="125"/>
        <v>0.91543209876543208</v>
      </c>
      <c r="BE389" s="16">
        <f t="shared" si="125"/>
        <v>0.91557377049180333</v>
      </c>
      <c r="BF389" s="16">
        <f t="shared" si="125"/>
        <v>0.91555919034962174</v>
      </c>
      <c r="BG389" s="16">
        <f t="shared" si="125"/>
        <v>0.91573266915732665</v>
      </c>
      <c r="BH389" s="16">
        <f t="shared" si="125"/>
        <v>0.91585693611742813</v>
      </c>
      <c r="BI389" s="16">
        <f t="shared" si="125"/>
        <v>0.9157303370786517</v>
      </c>
    </row>
    <row r="390" spans="1:61" x14ac:dyDescent="0.25">
      <c r="A390" s="11">
        <f>$A$65</f>
        <v>50</v>
      </c>
      <c r="M390" s="11"/>
      <c r="N390" s="11"/>
      <c r="O390" s="11"/>
      <c r="P390" s="11"/>
      <c r="Q390" s="11"/>
      <c r="R390" s="11"/>
      <c r="S390" s="11"/>
      <c r="T390" s="16">
        <f>T$250/T$65</f>
        <v>0.86866848650288142</v>
      </c>
      <c r="U390" s="16">
        <f t="shared" ref="U390:BI390" si="126">U$250/U$65</f>
        <v>0.87174662903731581</v>
      </c>
      <c r="V390" s="16">
        <f t="shared" si="126"/>
        <v>0.87479674796747964</v>
      </c>
      <c r="W390" s="16">
        <f t="shared" si="126"/>
        <v>0.87768860353130018</v>
      </c>
      <c r="X390" s="16">
        <f t="shared" si="126"/>
        <v>0.88029525032092426</v>
      </c>
      <c r="Y390" s="16">
        <f t="shared" si="126"/>
        <v>0.88295243977764049</v>
      </c>
      <c r="Z390" s="16">
        <f t="shared" si="126"/>
        <v>0.88512696493349452</v>
      </c>
      <c r="AA390" s="16">
        <f t="shared" si="126"/>
        <v>0.88747784997046664</v>
      </c>
      <c r="AB390" s="16">
        <f t="shared" si="126"/>
        <v>0.88942581011938604</v>
      </c>
      <c r="AC390" s="16">
        <f t="shared" si="126"/>
        <v>0.89121454144863677</v>
      </c>
      <c r="AD390" s="16">
        <f t="shared" si="126"/>
        <v>0.8931462493254182</v>
      </c>
      <c r="AE390" s="16">
        <f t="shared" si="126"/>
        <v>0.89484643414888076</v>
      </c>
      <c r="AF390" s="16">
        <f t="shared" si="126"/>
        <v>0.89644592175914084</v>
      </c>
      <c r="AG390" s="16">
        <f t="shared" si="126"/>
        <v>0.89796418935491784</v>
      </c>
      <c r="AH390" s="16">
        <f t="shared" si="126"/>
        <v>0.89918699186991868</v>
      </c>
      <c r="AI390" s="16">
        <f t="shared" si="126"/>
        <v>0.90059010440308673</v>
      </c>
      <c r="AJ390" s="16">
        <f t="shared" si="126"/>
        <v>0.90170380078636958</v>
      </c>
      <c r="AK390" s="16">
        <f t="shared" si="126"/>
        <v>0.90276883451384415</v>
      </c>
      <c r="AL390" s="16">
        <f t="shared" si="126"/>
        <v>0.90391690110365719</v>
      </c>
      <c r="AM390" s="16">
        <f t="shared" si="126"/>
        <v>0.90464761073532618</v>
      </c>
      <c r="AN390" s="16">
        <f t="shared" si="126"/>
        <v>0.90560538116591927</v>
      </c>
      <c r="AO390" s="16">
        <f t="shared" si="126"/>
        <v>0.90642615558060879</v>
      </c>
      <c r="AP390" s="16">
        <f t="shared" si="126"/>
        <v>0.907035755478662</v>
      </c>
      <c r="AQ390" s="16">
        <f t="shared" si="126"/>
        <v>0.90766026382781761</v>
      </c>
      <c r="AR390" s="16">
        <f t="shared" si="126"/>
        <v>0.90820130475302885</v>
      </c>
      <c r="AS390" s="16">
        <f t="shared" si="126"/>
        <v>0.90878701050620825</v>
      </c>
      <c r="AT390" s="16">
        <f t="shared" si="126"/>
        <v>0.9093001841620626</v>
      </c>
      <c r="AU390" s="16">
        <f t="shared" si="126"/>
        <v>0.90982846546128882</v>
      </c>
      <c r="AV390" s="16">
        <f t="shared" si="126"/>
        <v>0.91013879087273586</v>
      </c>
      <c r="AW390" s="16">
        <f t="shared" si="126"/>
        <v>0.91063029162746945</v>
      </c>
      <c r="AX390" s="16">
        <f t="shared" si="126"/>
        <v>0.9107635694572217</v>
      </c>
      <c r="AY390" s="16">
        <f t="shared" si="126"/>
        <v>0.91111111111111109</v>
      </c>
      <c r="AZ390" s="16">
        <f t="shared" si="126"/>
        <v>0.91130121566861777</v>
      </c>
      <c r="BA390" s="16">
        <f t="shared" si="126"/>
        <v>0.91141141141141147</v>
      </c>
      <c r="BB390" s="16">
        <f t="shared" si="126"/>
        <v>0.9117154811715481</v>
      </c>
      <c r="BC390" s="16">
        <f t="shared" si="126"/>
        <v>0.91189520388759771</v>
      </c>
      <c r="BD390" s="16">
        <f t="shared" si="126"/>
        <v>0.91201982651796776</v>
      </c>
      <c r="BE390" s="16">
        <f t="shared" si="126"/>
        <v>0.91206754530477763</v>
      </c>
      <c r="BF390" s="16">
        <f t="shared" si="126"/>
        <v>0.91222313371616082</v>
      </c>
      <c r="BG390" s="16">
        <f t="shared" si="126"/>
        <v>0.91221608348680172</v>
      </c>
      <c r="BH390" s="16">
        <f t="shared" si="126"/>
        <v>0.91235721703011419</v>
      </c>
      <c r="BI390" s="16">
        <f t="shared" si="126"/>
        <v>0.91228796028134052</v>
      </c>
    </row>
    <row r="391" spans="1:61" x14ac:dyDescent="0.25">
      <c r="A391" s="11">
        <f>$A$66</f>
        <v>51</v>
      </c>
      <c r="M391" s="11"/>
      <c r="N391" s="11"/>
      <c r="O391" s="11"/>
      <c r="P391" s="11"/>
      <c r="Q391" s="11"/>
      <c r="R391" s="11"/>
      <c r="S391" s="11"/>
      <c r="T391" s="16">
        <f>T$251/T$66</f>
        <v>0.86429629629629634</v>
      </c>
      <c r="U391" s="16">
        <f t="shared" ref="U391:BI391" si="127">U$251/U$66</f>
        <v>0.86757990867579904</v>
      </c>
      <c r="V391" s="16">
        <f t="shared" si="127"/>
        <v>0.87067337948395218</v>
      </c>
      <c r="W391" s="16">
        <f t="shared" si="127"/>
        <v>0.87340946166394784</v>
      </c>
      <c r="X391" s="16">
        <f t="shared" si="127"/>
        <v>0.87604636188023177</v>
      </c>
      <c r="Y391" s="16">
        <f t="shared" si="127"/>
        <v>0.8783783783783784</v>
      </c>
      <c r="Z391" s="16">
        <f t="shared" si="127"/>
        <v>0.88080495356037147</v>
      </c>
      <c r="AA391" s="16">
        <f t="shared" si="127"/>
        <v>0.88303030303030305</v>
      </c>
      <c r="AB391" s="16">
        <f t="shared" si="127"/>
        <v>0.88513913558318535</v>
      </c>
      <c r="AC391" s="16">
        <f t="shared" si="127"/>
        <v>0.88689458689458689</v>
      </c>
      <c r="AD391" s="16">
        <f t="shared" si="127"/>
        <v>0.88876621584322379</v>
      </c>
      <c r="AE391" s="16">
        <f t="shared" si="127"/>
        <v>0.8904517176088721</v>
      </c>
      <c r="AF391" s="16">
        <f t="shared" si="127"/>
        <v>0.892018779342723</v>
      </c>
      <c r="AG391" s="16">
        <f t="shared" si="127"/>
        <v>0.89341532154752756</v>
      </c>
      <c r="AH391" s="16">
        <f t="shared" si="127"/>
        <v>0.89481445072499388</v>
      </c>
      <c r="AI391" s="16">
        <f t="shared" si="127"/>
        <v>0.89618249534450656</v>
      </c>
      <c r="AJ391" s="16">
        <f t="shared" si="127"/>
        <v>0.89722601182355621</v>
      </c>
      <c r="AK391" s="16">
        <f t="shared" si="127"/>
        <v>0.89824945295404812</v>
      </c>
      <c r="AL391" s="16">
        <f t="shared" si="127"/>
        <v>0.89937647817673616</v>
      </c>
      <c r="AM391" s="16">
        <f t="shared" si="127"/>
        <v>0.90008669267446906</v>
      </c>
      <c r="AN391" s="16">
        <f t="shared" si="127"/>
        <v>0.90120218579234967</v>
      </c>
      <c r="AO391" s="16">
        <f t="shared" si="127"/>
        <v>0.90186391196945881</v>
      </c>
      <c r="AP391" s="16">
        <f t="shared" si="127"/>
        <v>0.90266485998193313</v>
      </c>
      <c r="AQ391" s="16">
        <f t="shared" si="127"/>
        <v>0.90318853974121993</v>
      </c>
      <c r="AR391" s="16">
        <f t="shared" si="127"/>
        <v>0.90380157626332869</v>
      </c>
      <c r="AS391" s="16">
        <f t="shared" si="127"/>
        <v>0.90431738623103852</v>
      </c>
      <c r="AT391" s="16">
        <f t="shared" si="127"/>
        <v>0.90483022477283592</v>
      </c>
      <c r="AU391" s="16">
        <f t="shared" si="127"/>
        <v>0.90525587828492393</v>
      </c>
      <c r="AV391" s="16">
        <f t="shared" si="127"/>
        <v>0.90575673166202419</v>
      </c>
      <c r="AW391" s="16">
        <f t="shared" si="127"/>
        <v>0.90600706713780921</v>
      </c>
      <c r="AX391" s="16">
        <f t="shared" si="127"/>
        <v>0.90628679067577111</v>
      </c>
      <c r="AY391" s="16">
        <f t="shared" si="127"/>
        <v>0.9065162330186507</v>
      </c>
      <c r="AZ391" s="16">
        <f t="shared" si="127"/>
        <v>0.90665137614678903</v>
      </c>
      <c r="BA391" s="16">
        <f t="shared" si="127"/>
        <v>0.90691908947487043</v>
      </c>
      <c r="BB391" s="16">
        <f t="shared" si="127"/>
        <v>0.90702168778183379</v>
      </c>
      <c r="BC391" s="16">
        <f t="shared" si="127"/>
        <v>0.90743455497382197</v>
      </c>
      <c r="BD391" s="16">
        <f t="shared" si="127"/>
        <v>0.90736040609137059</v>
      </c>
      <c r="BE391" s="16">
        <f t="shared" si="127"/>
        <v>0.90758734752946046</v>
      </c>
      <c r="BF391" s="16">
        <f t="shared" si="127"/>
        <v>0.90764790764790759</v>
      </c>
      <c r="BG391" s="16">
        <f t="shared" si="127"/>
        <v>0.90782180250461919</v>
      </c>
      <c r="BH391" s="16">
        <f t="shared" si="127"/>
        <v>0.90763874667212774</v>
      </c>
      <c r="BI391" s="16">
        <f t="shared" si="127"/>
        <v>0.90771149449178967</v>
      </c>
    </row>
    <row r="392" spans="1:61" x14ac:dyDescent="0.25">
      <c r="A392" s="11">
        <f>$A$67</f>
        <v>52</v>
      </c>
      <c r="M392" s="11"/>
      <c r="N392" s="11"/>
      <c r="O392" s="11"/>
      <c r="P392" s="11"/>
      <c r="Q392" s="11"/>
      <c r="R392" s="11"/>
      <c r="S392" s="11"/>
      <c r="T392" s="16">
        <f>T$252/T$67</f>
        <v>0.85859171254708777</v>
      </c>
      <c r="U392" s="16">
        <f t="shared" ref="U392:BI392" si="128">U$252/U$67</f>
        <v>0.8619869125520524</v>
      </c>
      <c r="V392" s="16">
        <f t="shared" si="128"/>
        <v>0.86499694563225416</v>
      </c>
      <c r="W392" s="16">
        <f t="shared" si="128"/>
        <v>0.86778163458504265</v>
      </c>
      <c r="X392" s="16">
        <f t="shared" si="128"/>
        <v>0.87074607329842935</v>
      </c>
      <c r="Y392" s="16">
        <f t="shared" si="128"/>
        <v>0.87314396384764359</v>
      </c>
      <c r="Z392" s="16">
        <f t="shared" si="128"/>
        <v>0.87516129032258061</v>
      </c>
      <c r="AA392" s="16">
        <f t="shared" si="128"/>
        <v>0.87771570453134695</v>
      </c>
      <c r="AB392" s="16">
        <f t="shared" si="128"/>
        <v>0.87970838396111783</v>
      </c>
      <c r="AC392" s="16">
        <f t="shared" si="128"/>
        <v>0.88160237388724039</v>
      </c>
      <c r="AD392" s="16">
        <f t="shared" si="128"/>
        <v>0.88349514563106801</v>
      </c>
      <c r="AE392" s="16">
        <f t="shared" si="128"/>
        <v>0.88520055325034575</v>
      </c>
      <c r="AF392" s="16">
        <f t="shared" si="128"/>
        <v>0.88672086720867205</v>
      </c>
      <c r="AG392" s="16">
        <f t="shared" si="128"/>
        <v>0.8883951907997909</v>
      </c>
      <c r="AH392" s="16">
        <f t="shared" si="128"/>
        <v>0.88963039014373713</v>
      </c>
      <c r="AI392" s="16">
        <f t="shared" si="128"/>
        <v>0.89091356808667821</v>
      </c>
      <c r="AJ392" s="16">
        <f t="shared" si="128"/>
        <v>0.89225746268656714</v>
      </c>
      <c r="AK392" s="16">
        <f t="shared" si="128"/>
        <v>0.89316628701594536</v>
      </c>
      <c r="AL392" s="16">
        <f t="shared" si="128"/>
        <v>0.89412538360368254</v>
      </c>
      <c r="AM392" s="16">
        <f t="shared" si="128"/>
        <v>0.89511091966401035</v>
      </c>
      <c r="AN392" s="16">
        <f t="shared" si="128"/>
        <v>0.89600521059487626</v>
      </c>
      <c r="AO392" s="16">
        <f t="shared" si="128"/>
        <v>0.89667250437828372</v>
      </c>
      <c r="AP392" s="16">
        <f t="shared" si="128"/>
        <v>0.89743589743589747</v>
      </c>
      <c r="AQ392" s="16">
        <f t="shared" si="128"/>
        <v>0.89800995024875618</v>
      </c>
      <c r="AR392" s="16">
        <f t="shared" si="128"/>
        <v>0.89886600323999077</v>
      </c>
      <c r="AS392" s="16">
        <f t="shared" si="128"/>
        <v>0.89925719591457753</v>
      </c>
      <c r="AT392" s="16">
        <f t="shared" si="128"/>
        <v>0.89974293059125965</v>
      </c>
      <c r="AU392" s="16">
        <f t="shared" si="128"/>
        <v>0.90014367816091956</v>
      </c>
      <c r="AV392" s="16">
        <f t="shared" si="128"/>
        <v>0.9005078485687904</v>
      </c>
      <c r="AW392" s="16">
        <f t="shared" si="128"/>
        <v>0.90076690680920291</v>
      </c>
      <c r="AX392" s="16">
        <f t="shared" si="128"/>
        <v>0.90117924528301885</v>
      </c>
      <c r="AY392" s="16">
        <f t="shared" si="128"/>
        <v>0.90146157472890143</v>
      </c>
      <c r="AZ392" s="16">
        <f t="shared" si="128"/>
        <v>0.90156754264638084</v>
      </c>
      <c r="BA392" s="16">
        <f t="shared" si="128"/>
        <v>0.90172215843857639</v>
      </c>
      <c r="BB392" s="16">
        <f t="shared" si="128"/>
        <v>0.90207581227436828</v>
      </c>
      <c r="BC392" s="16">
        <f t="shared" si="128"/>
        <v>0.9021926053310404</v>
      </c>
      <c r="BD392" s="16">
        <f t="shared" si="128"/>
        <v>0.90251572327044027</v>
      </c>
      <c r="BE392" s="16">
        <f t="shared" si="128"/>
        <v>0.90260427694262124</v>
      </c>
      <c r="BF392" s="16">
        <f t="shared" si="128"/>
        <v>0.90254500310366237</v>
      </c>
      <c r="BG392" s="16">
        <f t="shared" si="128"/>
        <v>0.90280643829962859</v>
      </c>
      <c r="BH392" s="16">
        <f t="shared" si="128"/>
        <v>0.90260941031436204</v>
      </c>
      <c r="BI392" s="16">
        <f t="shared" si="128"/>
        <v>0.90282902829028289</v>
      </c>
    </row>
    <row r="393" spans="1:61" x14ac:dyDescent="0.25">
      <c r="A393" s="11">
        <f>$A$68</f>
        <v>53</v>
      </c>
      <c r="M393" s="11"/>
      <c r="N393" s="11"/>
      <c r="O393" s="11"/>
      <c r="P393" s="11"/>
      <c r="Q393" s="11"/>
      <c r="R393" s="11"/>
      <c r="S393" s="11"/>
      <c r="T393" s="16">
        <f>T$253/T$68</f>
        <v>0.85300028710881426</v>
      </c>
      <c r="U393" s="16">
        <f t="shared" ref="U393:BI393" si="129">U$253/U$68</f>
        <v>0.85635359116022103</v>
      </c>
      <c r="V393" s="16">
        <f t="shared" si="129"/>
        <v>0.85948687350835318</v>
      </c>
      <c r="W393" s="16">
        <f t="shared" si="129"/>
        <v>0.86217457886676874</v>
      </c>
      <c r="X393" s="16">
        <f t="shared" si="129"/>
        <v>0.86487341772151893</v>
      </c>
      <c r="Y393" s="16">
        <f t="shared" si="129"/>
        <v>0.86749754017710723</v>
      </c>
      <c r="Z393" s="16">
        <f t="shared" si="129"/>
        <v>0.86962148172112586</v>
      </c>
      <c r="AA393" s="16">
        <f t="shared" si="129"/>
        <v>0.87196896217264797</v>
      </c>
      <c r="AB393" s="16">
        <f t="shared" si="129"/>
        <v>0.87433903576982896</v>
      </c>
      <c r="AC393" s="16">
        <f t="shared" si="129"/>
        <v>0.87610350076103505</v>
      </c>
      <c r="AD393" s="16">
        <f t="shared" si="129"/>
        <v>0.87808504311626523</v>
      </c>
      <c r="AE393" s="16">
        <f t="shared" si="129"/>
        <v>0.87982832618025753</v>
      </c>
      <c r="AF393" s="16">
        <f t="shared" si="129"/>
        <v>0.88137472283813745</v>
      </c>
      <c r="AG393" s="16">
        <f t="shared" si="129"/>
        <v>0.8827043171327722</v>
      </c>
      <c r="AH393" s="16">
        <f t="shared" si="129"/>
        <v>0.88452474469756481</v>
      </c>
      <c r="AI393" s="16">
        <f t="shared" si="129"/>
        <v>0.88557469786577525</v>
      </c>
      <c r="AJ393" s="16">
        <f t="shared" si="129"/>
        <v>0.88677849037987178</v>
      </c>
      <c r="AK393" s="16">
        <f t="shared" si="129"/>
        <v>0.88787666433076384</v>
      </c>
      <c r="AL393" s="16">
        <f t="shared" si="129"/>
        <v>0.88909173893199456</v>
      </c>
      <c r="AM393" s="16">
        <f t="shared" si="129"/>
        <v>0.88998682476943347</v>
      </c>
      <c r="AN393" s="16">
        <f t="shared" si="129"/>
        <v>0.8906384814495254</v>
      </c>
      <c r="AO393" s="16">
        <f t="shared" si="129"/>
        <v>0.89149815177212433</v>
      </c>
      <c r="AP393" s="16">
        <f t="shared" si="129"/>
        <v>0.89234816926112692</v>
      </c>
      <c r="AQ393" s="16">
        <f t="shared" si="129"/>
        <v>0.89279279279279278</v>
      </c>
      <c r="AR393" s="16">
        <f t="shared" si="129"/>
        <v>0.89354473386183464</v>
      </c>
      <c r="AS393" s="16">
        <f t="shared" si="129"/>
        <v>0.89411492122335501</v>
      </c>
      <c r="AT393" s="16">
        <f t="shared" si="129"/>
        <v>0.89449221473390661</v>
      </c>
      <c r="AU393" s="16">
        <f t="shared" si="129"/>
        <v>0.89494618624239586</v>
      </c>
      <c r="AV393" s="16">
        <f t="shared" si="129"/>
        <v>0.89546871253895943</v>
      </c>
      <c r="AW393" s="16">
        <f t="shared" si="129"/>
        <v>0.89577074185347816</v>
      </c>
      <c r="AX393" s="16">
        <f t="shared" si="129"/>
        <v>0.89599813866914846</v>
      </c>
      <c r="AY393" s="16">
        <f t="shared" si="129"/>
        <v>0.89634002361275089</v>
      </c>
      <c r="AZ393" s="16">
        <f t="shared" si="129"/>
        <v>0.89662497049799383</v>
      </c>
      <c r="BA393" s="16">
        <f t="shared" si="129"/>
        <v>0.89683821832448651</v>
      </c>
      <c r="BB393" s="16">
        <f t="shared" si="129"/>
        <v>0.89701149425287352</v>
      </c>
      <c r="BC393" s="16">
        <f t="shared" si="129"/>
        <v>0.89701897018970189</v>
      </c>
      <c r="BD393" s="16">
        <f t="shared" si="129"/>
        <v>0.89735313105229175</v>
      </c>
      <c r="BE393" s="16">
        <f t="shared" si="129"/>
        <v>0.89739823751573644</v>
      </c>
      <c r="BF393" s="16">
        <f t="shared" si="129"/>
        <v>0.89743589743589747</v>
      </c>
      <c r="BG393" s="16">
        <f t="shared" si="129"/>
        <v>0.89749430523917995</v>
      </c>
      <c r="BH393" s="16">
        <f t="shared" si="129"/>
        <v>0.89776951672862448</v>
      </c>
      <c r="BI393" s="16">
        <f t="shared" si="129"/>
        <v>0.89779971211186516</v>
      </c>
    </row>
    <row r="394" spans="1:61" x14ac:dyDescent="0.25">
      <c r="A394" s="11">
        <f>$A$69</f>
        <v>54</v>
      </c>
      <c r="M394" s="11"/>
      <c r="N394" s="11"/>
      <c r="O394" s="11"/>
      <c r="P394" s="11"/>
      <c r="Q394" s="11"/>
      <c r="R394" s="11"/>
      <c r="S394" s="11"/>
      <c r="T394" s="16">
        <f>T$254/T$69</f>
        <v>0.84670874661857531</v>
      </c>
      <c r="U394" s="16">
        <f t="shared" ref="U394:BI394" si="130">U$254/U$69</f>
        <v>0.85027353872732503</v>
      </c>
      <c r="V394" s="16">
        <f t="shared" si="130"/>
        <v>0.85335276967930029</v>
      </c>
      <c r="W394" s="16">
        <f t="shared" si="130"/>
        <v>0.8564593301435407</v>
      </c>
      <c r="X394" s="16">
        <f t="shared" si="130"/>
        <v>0.85911602209944748</v>
      </c>
      <c r="Y394" s="16">
        <f t="shared" si="130"/>
        <v>0.86176284083703236</v>
      </c>
      <c r="Z394" s="16">
        <f t="shared" si="130"/>
        <v>0.86427867236279987</v>
      </c>
      <c r="AA394" s="16">
        <f t="shared" si="130"/>
        <v>0.86677471636952996</v>
      </c>
      <c r="AB394" s="16">
        <f t="shared" si="130"/>
        <v>0.86912860382248136</v>
      </c>
      <c r="AC394" s="16">
        <f t="shared" si="130"/>
        <v>0.87102803738317758</v>
      </c>
      <c r="AD394" s="16">
        <f t="shared" si="130"/>
        <v>0.87286585365853664</v>
      </c>
      <c r="AE394" s="16">
        <f t="shared" si="130"/>
        <v>0.87462775461584275</v>
      </c>
      <c r="AF394" s="16">
        <f t="shared" si="130"/>
        <v>0.87646890226425911</v>
      </c>
      <c r="AG394" s="16">
        <f t="shared" si="130"/>
        <v>0.87812326485285952</v>
      </c>
      <c r="AH394" s="16">
        <f t="shared" si="130"/>
        <v>0.87952134892575473</v>
      </c>
      <c r="AI394" s="16">
        <f t="shared" si="130"/>
        <v>0.88070267435762983</v>
      </c>
      <c r="AJ394" s="16">
        <f t="shared" si="130"/>
        <v>0.88204996137007463</v>
      </c>
      <c r="AK394" s="16">
        <f t="shared" si="130"/>
        <v>0.88318103235366763</v>
      </c>
      <c r="AL394" s="16">
        <f t="shared" si="130"/>
        <v>0.88444444444444448</v>
      </c>
      <c r="AM394" s="16">
        <f t="shared" si="130"/>
        <v>0.88530957276673516</v>
      </c>
      <c r="AN394" s="16">
        <f t="shared" si="130"/>
        <v>0.88632365875109942</v>
      </c>
      <c r="AO394" s="16">
        <f t="shared" si="130"/>
        <v>0.88704103671706258</v>
      </c>
      <c r="AP394" s="16">
        <f t="shared" si="130"/>
        <v>0.88787284998911387</v>
      </c>
      <c r="AQ394" s="16">
        <f t="shared" si="130"/>
        <v>0.88849868305531166</v>
      </c>
      <c r="AR394" s="16">
        <f t="shared" si="130"/>
        <v>0.88906426155580609</v>
      </c>
      <c r="AS394" s="16">
        <f t="shared" si="130"/>
        <v>0.88959419632736336</v>
      </c>
      <c r="AT394" s="16">
        <f t="shared" si="130"/>
        <v>0.89028067733704475</v>
      </c>
      <c r="AU394" s="16">
        <f t="shared" si="130"/>
        <v>0.89043963712491281</v>
      </c>
      <c r="AV394" s="16">
        <f t="shared" si="130"/>
        <v>0.89086651053864163</v>
      </c>
      <c r="AW394" s="16">
        <f t="shared" si="130"/>
        <v>0.89131477927063341</v>
      </c>
      <c r="AX394" s="16">
        <f t="shared" si="130"/>
        <v>0.89174184594031924</v>
      </c>
      <c r="AY394" s="16">
        <f t="shared" si="130"/>
        <v>0.89217512808570099</v>
      </c>
      <c r="AZ394" s="16">
        <f t="shared" si="130"/>
        <v>0.89224952741020791</v>
      </c>
      <c r="BA394" s="16">
        <f t="shared" si="130"/>
        <v>0.89253660840812465</v>
      </c>
      <c r="BB394" s="16">
        <f t="shared" si="130"/>
        <v>0.89260969976905313</v>
      </c>
      <c r="BC394" s="16">
        <f t="shared" si="130"/>
        <v>0.89279963193006673</v>
      </c>
      <c r="BD394" s="16">
        <f t="shared" si="130"/>
        <v>0.89288135593220341</v>
      </c>
      <c r="BE394" s="16">
        <f t="shared" si="130"/>
        <v>0.89319552110249789</v>
      </c>
      <c r="BF394" s="16">
        <f t="shared" si="130"/>
        <v>0.89313457904681925</v>
      </c>
      <c r="BG394" s="16">
        <f t="shared" si="130"/>
        <v>0.89334181509754029</v>
      </c>
      <c r="BH394" s="16">
        <f t="shared" si="130"/>
        <v>0.89328636552009943</v>
      </c>
      <c r="BI394" s="16">
        <f t="shared" si="130"/>
        <v>0.89338842975206612</v>
      </c>
    </row>
    <row r="395" spans="1:61" x14ac:dyDescent="0.25">
      <c r="A395" s="11">
        <f>$A$70</f>
        <v>55</v>
      </c>
      <c r="M395" s="11"/>
      <c r="N395" s="11"/>
      <c r="O395" s="11"/>
      <c r="P395" s="11"/>
      <c r="Q395" s="11"/>
      <c r="R395" s="11"/>
      <c r="S395" s="11"/>
      <c r="T395" s="16">
        <f>T$255/T$70</f>
        <v>0.83840820018088635</v>
      </c>
      <c r="U395" s="16">
        <f t="shared" ref="U395:BI395" si="131">U$255/U$70</f>
        <v>0.8420735382760699</v>
      </c>
      <c r="V395" s="16">
        <f t="shared" si="131"/>
        <v>0.84531024531024535</v>
      </c>
      <c r="W395" s="16">
        <f t="shared" si="131"/>
        <v>0.84837861524978087</v>
      </c>
      <c r="X395" s="16">
        <f t="shared" si="131"/>
        <v>0.85140802875973642</v>
      </c>
      <c r="Y395" s="16">
        <f t="shared" si="131"/>
        <v>0.85398094067015062</v>
      </c>
      <c r="Z395" s="16">
        <f t="shared" si="131"/>
        <v>0.85677993013655129</v>
      </c>
      <c r="AA395" s="16">
        <f t="shared" si="131"/>
        <v>0.85916419874958871</v>
      </c>
      <c r="AB395" s="16">
        <f t="shared" si="131"/>
        <v>0.86140863356053232</v>
      </c>
      <c r="AC395" s="16">
        <f t="shared" si="131"/>
        <v>0.86348897535667968</v>
      </c>
      <c r="AD395" s="16">
        <f t="shared" si="131"/>
        <v>0.8655645664379289</v>
      </c>
      <c r="AE395" s="16">
        <f t="shared" si="131"/>
        <v>0.86752136752136755</v>
      </c>
      <c r="AF395" s="16">
        <f t="shared" si="131"/>
        <v>0.86911150864639242</v>
      </c>
      <c r="AG395" s="16">
        <f t="shared" si="131"/>
        <v>0.87062535857716583</v>
      </c>
      <c r="AH395" s="16">
        <f t="shared" si="131"/>
        <v>0.87218671853292584</v>
      </c>
      <c r="AI395" s="16">
        <f t="shared" si="131"/>
        <v>0.87394500408385511</v>
      </c>
      <c r="AJ395" s="16">
        <f t="shared" si="131"/>
        <v>0.87506561679790029</v>
      </c>
      <c r="AK395" s="16">
        <f t="shared" si="131"/>
        <v>0.87625676720804335</v>
      </c>
      <c r="AL395" s="16">
        <f t="shared" si="131"/>
        <v>0.87737948084054385</v>
      </c>
      <c r="AM395" s="16">
        <f t="shared" si="131"/>
        <v>0.87848279091547643</v>
      </c>
      <c r="AN395" s="16">
        <f t="shared" si="131"/>
        <v>0.87925908986965473</v>
      </c>
      <c r="AO395" s="16">
        <f t="shared" si="131"/>
        <v>0.88028169014084512</v>
      </c>
      <c r="AP395" s="16">
        <f t="shared" si="131"/>
        <v>0.88089061824470383</v>
      </c>
      <c r="AQ395" s="16">
        <f t="shared" si="131"/>
        <v>0.88189147962519066</v>
      </c>
      <c r="AR395" s="16">
        <f t="shared" si="131"/>
        <v>0.88246924428822493</v>
      </c>
      <c r="AS395" s="16">
        <f t="shared" si="131"/>
        <v>0.8828971119133574</v>
      </c>
      <c r="AT395" s="16">
        <f t="shared" si="131"/>
        <v>0.8833938294010889</v>
      </c>
      <c r="AU395" s="16">
        <f t="shared" si="131"/>
        <v>0.88396379670457181</v>
      </c>
      <c r="AV395" s="16">
        <f t="shared" si="131"/>
        <v>0.8843109869646183</v>
      </c>
      <c r="AW395" s="16">
        <f t="shared" si="131"/>
        <v>0.88472352389878162</v>
      </c>
      <c r="AX395" s="16">
        <f t="shared" si="131"/>
        <v>0.88502160345655301</v>
      </c>
      <c r="AY395" s="16">
        <f t="shared" si="131"/>
        <v>0.88544318444804448</v>
      </c>
      <c r="AZ395" s="16">
        <f t="shared" si="131"/>
        <v>0.88562776613091077</v>
      </c>
      <c r="BA395" s="16">
        <f t="shared" si="131"/>
        <v>0.8858425904041598</v>
      </c>
      <c r="BB395" s="16">
        <f t="shared" si="131"/>
        <v>0.88613276635955585</v>
      </c>
      <c r="BC395" s="16">
        <f t="shared" si="131"/>
        <v>0.8863478863478863</v>
      </c>
      <c r="BD395" s="16">
        <f t="shared" si="131"/>
        <v>0.88656235618959967</v>
      </c>
      <c r="BE395" s="16">
        <f t="shared" si="131"/>
        <v>0.88652802893309224</v>
      </c>
      <c r="BF395" s="16">
        <f t="shared" si="131"/>
        <v>0.88671117811759637</v>
      </c>
      <c r="BG395" s="16">
        <f t="shared" si="131"/>
        <v>0.88681226375472488</v>
      </c>
      <c r="BH395" s="16">
        <f t="shared" si="131"/>
        <v>0.88676844783715014</v>
      </c>
      <c r="BI395" s="16">
        <f t="shared" si="131"/>
        <v>0.88683937823834202</v>
      </c>
    </row>
    <row r="396" spans="1:61" x14ac:dyDescent="0.25">
      <c r="A396" s="11">
        <f>$A$71</f>
        <v>56</v>
      </c>
      <c r="M396" s="11"/>
      <c r="N396" s="11"/>
      <c r="O396" s="11"/>
      <c r="P396" s="11"/>
      <c r="Q396" s="11"/>
      <c r="R396" s="11"/>
      <c r="S396" s="11"/>
      <c r="T396" s="16">
        <f>T$256/T$71</f>
        <v>0.82931354359925791</v>
      </c>
      <c r="U396" s="16">
        <f t="shared" ref="U396:BI396" si="132">U$256/U$71</f>
        <v>0.83293051359516612</v>
      </c>
      <c r="V396" s="16">
        <f t="shared" si="132"/>
        <v>0.83665458937198067</v>
      </c>
      <c r="W396" s="16">
        <f t="shared" si="132"/>
        <v>0.83983810349812082</v>
      </c>
      <c r="X396" s="16">
        <f t="shared" si="132"/>
        <v>0.8428905792861322</v>
      </c>
      <c r="Y396" s="16">
        <f t="shared" si="132"/>
        <v>0.84583083383323332</v>
      </c>
      <c r="Z396" s="16">
        <f t="shared" si="132"/>
        <v>0.84826100338565713</v>
      </c>
      <c r="AA396" s="16">
        <f t="shared" si="132"/>
        <v>0.85092180546726004</v>
      </c>
      <c r="AB396" s="16">
        <f t="shared" si="132"/>
        <v>0.85342555994729907</v>
      </c>
      <c r="AC396" s="16">
        <f t="shared" si="132"/>
        <v>0.85547255602468331</v>
      </c>
      <c r="AD396" s="16">
        <f t="shared" si="132"/>
        <v>0.85783836416747805</v>
      </c>
      <c r="AE396" s="16">
        <f t="shared" si="132"/>
        <v>0.8598189197627224</v>
      </c>
      <c r="AF396" s="16">
        <f t="shared" si="132"/>
        <v>0.86163714111178991</v>
      </c>
      <c r="AG396" s="16">
        <f t="shared" si="132"/>
        <v>0.86336515513126488</v>
      </c>
      <c r="AH396" s="16">
        <f t="shared" si="132"/>
        <v>0.86505885730691934</v>
      </c>
      <c r="AI396" s="16">
        <f t="shared" si="132"/>
        <v>0.86651835372636266</v>
      </c>
      <c r="AJ396" s="16">
        <f t="shared" si="132"/>
        <v>0.86788341051484608</v>
      </c>
      <c r="AK396" s="16">
        <f t="shared" si="132"/>
        <v>0.86918833727344369</v>
      </c>
      <c r="AL396" s="16">
        <f t="shared" si="132"/>
        <v>0.87026051070415267</v>
      </c>
      <c r="AM396" s="16">
        <f t="shared" si="132"/>
        <v>0.87135081642751111</v>
      </c>
      <c r="AN396" s="16">
        <f t="shared" si="132"/>
        <v>0.87230552952202434</v>
      </c>
      <c r="AO396" s="16">
        <f t="shared" si="132"/>
        <v>0.87322654462242566</v>
      </c>
      <c r="AP396" s="16">
        <f t="shared" si="132"/>
        <v>0.87403655582470818</v>
      </c>
      <c r="AQ396" s="16">
        <f t="shared" si="132"/>
        <v>0.87475665152498383</v>
      </c>
      <c r="AR396" s="16">
        <f t="shared" si="132"/>
        <v>0.8755177676040985</v>
      </c>
      <c r="AS396" s="16">
        <f t="shared" si="132"/>
        <v>0.87604395604395602</v>
      </c>
      <c r="AT396" s="16">
        <f t="shared" si="132"/>
        <v>0.87652370203160268</v>
      </c>
      <c r="AU396" s="16">
        <f t="shared" si="132"/>
        <v>0.87721289151157511</v>
      </c>
      <c r="AV396" s="16">
        <f t="shared" si="132"/>
        <v>0.87743732590529244</v>
      </c>
      <c r="AW396" s="16">
        <f t="shared" si="132"/>
        <v>0.87799767171129217</v>
      </c>
      <c r="AX396" s="16">
        <f t="shared" si="132"/>
        <v>0.87836887743145065</v>
      </c>
      <c r="AY396" s="16">
        <f t="shared" si="132"/>
        <v>0.8787515006002401</v>
      </c>
      <c r="AZ396" s="16">
        <f t="shared" si="132"/>
        <v>0.87896320296227726</v>
      </c>
      <c r="BA396" s="16">
        <f t="shared" si="132"/>
        <v>0.87910552061495462</v>
      </c>
      <c r="BB396" s="16">
        <f t="shared" si="132"/>
        <v>0.87946112030252899</v>
      </c>
      <c r="BC396" s="16">
        <f t="shared" si="132"/>
        <v>0.87975431136309945</v>
      </c>
      <c r="BD396" s="16">
        <f t="shared" si="132"/>
        <v>0.87987987987987992</v>
      </c>
      <c r="BE396" s="16">
        <f t="shared" si="132"/>
        <v>0.87991718426501031</v>
      </c>
      <c r="BF396" s="16">
        <f t="shared" si="132"/>
        <v>0.87997287522603973</v>
      </c>
      <c r="BG396" s="16">
        <f t="shared" si="132"/>
        <v>0.88006029285099052</v>
      </c>
      <c r="BH396" s="16">
        <f t="shared" si="132"/>
        <v>0.88009239815203699</v>
      </c>
      <c r="BI396" s="16">
        <f t="shared" si="132"/>
        <v>0.88019508057675999</v>
      </c>
    </row>
    <row r="397" spans="1:61" x14ac:dyDescent="0.25">
      <c r="A397" s="11">
        <f>$A$72</f>
        <v>57</v>
      </c>
      <c r="M397" s="11"/>
      <c r="N397" s="11"/>
      <c r="O397" s="11"/>
      <c r="P397" s="11"/>
      <c r="Q397" s="11"/>
      <c r="R397" s="11"/>
      <c r="S397" s="11"/>
      <c r="T397" s="16">
        <f>T$257/T$72</f>
        <v>0.82015065913370999</v>
      </c>
      <c r="U397" s="16">
        <f t="shared" ref="U397:BI397" si="133">U$257/U$72</f>
        <v>0.82403965303593552</v>
      </c>
      <c r="V397" s="16">
        <f t="shared" si="133"/>
        <v>0.82783661119515883</v>
      </c>
      <c r="W397" s="16">
        <f t="shared" si="133"/>
        <v>0.83131801692865781</v>
      </c>
      <c r="X397" s="16">
        <f t="shared" si="133"/>
        <v>0.83473227206946454</v>
      </c>
      <c r="Y397" s="16">
        <f t="shared" si="133"/>
        <v>0.83777452415812592</v>
      </c>
      <c r="Z397" s="16">
        <f t="shared" si="133"/>
        <v>0.84058841188832178</v>
      </c>
      <c r="AA397" s="16">
        <f t="shared" si="133"/>
        <v>0.84349969192852747</v>
      </c>
      <c r="AB397" s="16">
        <f t="shared" si="133"/>
        <v>0.84605597964376589</v>
      </c>
      <c r="AC397" s="16">
        <f t="shared" si="133"/>
        <v>0.84843492586490943</v>
      </c>
      <c r="AD397" s="16">
        <f t="shared" si="133"/>
        <v>0.850828729281768</v>
      </c>
      <c r="AE397" s="16">
        <f t="shared" si="133"/>
        <v>0.85292207792207797</v>
      </c>
      <c r="AF397" s="16">
        <f t="shared" si="133"/>
        <v>0.85477826358525921</v>
      </c>
      <c r="AG397" s="16">
        <f t="shared" si="133"/>
        <v>0.85640085548426526</v>
      </c>
      <c r="AH397" s="16">
        <f t="shared" si="133"/>
        <v>0.85825126827812592</v>
      </c>
      <c r="AI397" s="16">
        <f t="shared" si="133"/>
        <v>0.85985066053991954</v>
      </c>
      <c r="AJ397" s="16">
        <f t="shared" si="133"/>
        <v>0.86119610570236438</v>
      </c>
      <c r="AK397" s="16">
        <f t="shared" si="133"/>
        <v>0.86267029972752041</v>
      </c>
      <c r="AL397" s="16">
        <f t="shared" si="133"/>
        <v>0.8638991066736732</v>
      </c>
      <c r="AM397" s="16">
        <f t="shared" si="133"/>
        <v>0.86506707946336425</v>
      </c>
      <c r="AN397" s="16">
        <f t="shared" si="133"/>
        <v>0.8661222469685721</v>
      </c>
      <c r="AO397" s="16">
        <f t="shared" si="133"/>
        <v>0.86711975626904148</v>
      </c>
      <c r="AP397" s="16">
        <f t="shared" si="133"/>
        <v>0.86813186813186816</v>
      </c>
      <c r="AQ397" s="16">
        <f t="shared" si="133"/>
        <v>0.86872246696035238</v>
      </c>
      <c r="AR397" s="16">
        <f t="shared" si="133"/>
        <v>0.86932064041540458</v>
      </c>
      <c r="AS397" s="16">
        <f t="shared" si="133"/>
        <v>0.87003924989097248</v>
      </c>
      <c r="AT397" s="16">
        <f t="shared" si="133"/>
        <v>0.87074082215871618</v>
      </c>
      <c r="AU397" s="16">
        <f t="shared" si="133"/>
        <v>0.87130277715059834</v>
      </c>
      <c r="AV397" s="16">
        <f t="shared" si="133"/>
        <v>0.87176577394462096</v>
      </c>
      <c r="AW397" s="16">
        <f t="shared" si="133"/>
        <v>0.87209842154131845</v>
      </c>
      <c r="AX397" s="16">
        <f t="shared" si="133"/>
        <v>0.87243947858473003</v>
      </c>
      <c r="AY397" s="16">
        <f t="shared" si="133"/>
        <v>0.87277413308341145</v>
      </c>
      <c r="AZ397" s="16">
        <f t="shared" si="133"/>
        <v>0.873050155987521</v>
      </c>
      <c r="BA397" s="16">
        <f t="shared" si="133"/>
        <v>0.87343822304488661</v>
      </c>
      <c r="BB397" s="16">
        <f t="shared" si="133"/>
        <v>0.87354448067070334</v>
      </c>
      <c r="BC397" s="16">
        <f t="shared" si="133"/>
        <v>0.87381852551984873</v>
      </c>
      <c r="BD397" s="16">
        <f t="shared" si="133"/>
        <v>0.87390791027154668</v>
      </c>
      <c r="BE397" s="16">
        <f t="shared" si="133"/>
        <v>0.87416301085199721</v>
      </c>
      <c r="BF397" s="16">
        <f t="shared" si="133"/>
        <v>0.87422395953092669</v>
      </c>
      <c r="BG397" s="16">
        <f t="shared" si="133"/>
        <v>0.8743786714866697</v>
      </c>
      <c r="BH397" s="16">
        <f t="shared" si="133"/>
        <v>0.87448869752421954</v>
      </c>
      <c r="BI397" s="16">
        <f t="shared" si="133"/>
        <v>0.87447523089840473</v>
      </c>
    </row>
    <row r="398" spans="1:61" x14ac:dyDescent="0.25">
      <c r="A398" s="11">
        <f>$A$73</f>
        <v>58</v>
      </c>
      <c r="M398" s="11"/>
      <c r="N398" s="11"/>
      <c r="O398" s="11"/>
      <c r="P398" s="11"/>
      <c r="Q398" s="11"/>
      <c r="R398" s="11"/>
      <c r="S398" s="11"/>
      <c r="T398" s="16">
        <f>T$258/T$73</f>
        <v>0.80786589297227596</v>
      </c>
      <c r="U398" s="16">
        <f t="shared" ref="U398:BI398" si="134">U$258/U$73</f>
        <v>0.81200880226343919</v>
      </c>
      <c r="V398" s="16">
        <f t="shared" si="134"/>
        <v>0.81575682382133996</v>
      </c>
      <c r="W398" s="16">
        <f t="shared" si="134"/>
        <v>0.8197515904271433</v>
      </c>
      <c r="X398" s="16">
        <f t="shared" si="134"/>
        <v>0.82329803328290474</v>
      </c>
      <c r="Y398" s="16">
        <f t="shared" si="134"/>
        <v>0.82647740440324446</v>
      </c>
      <c r="Z398" s="16">
        <f t="shared" si="134"/>
        <v>0.8297186400937866</v>
      </c>
      <c r="AA398" s="16">
        <f t="shared" si="134"/>
        <v>0.83268248723340343</v>
      </c>
      <c r="AB398" s="16">
        <f t="shared" si="134"/>
        <v>0.83543913713405238</v>
      </c>
      <c r="AC398" s="16">
        <f t="shared" si="134"/>
        <v>0.83805281578110091</v>
      </c>
      <c r="AD398" s="16">
        <f t="shared" si="134"/>
        <v>0.84052718286655681</v>
      </c>
      <c r="AE398" s="16">
        <f t="shared" si="134"/>
        <v>0.84243014944769334</v>
      </c>
      <c r="AF398" s="16">
        <f t="shared" si="134"/>
        <v>0.84485556637455372</v>
      </c>
      <c r="AG398" s="16">
        <f t="shared" si="134"/>
        <v>0.84670621292538251</v>
      </c>
      <c r="AH398" s="16">
        <f t="shared" si="134"/>
        <v>0.8484570730216926</v>
      </c>
      <c r="AI398" s="16">
        <f t="shared" si="134"/>
        <v>0.85049239033124435</v>
      </c>
      <c r="AJ398" s="16">
        <f t="shared" si="134"/>
        <v>0.85209649626651351</v>
      </c>
      <c r="AK398" s="16">
        <f t="shared" si="134"/>
        <v>0.85340751043115437</v>
      </c>
      <c r="AL398" s="16">
        <f t="shared" si="134"/>
        <v>0.85476839237057223</v>
      </c>
      <c r="AM398" s="16">
        <f t="shared" si="134"/>
        <v>0.8560168155543878</v>
      </c>
      <c r="AN398" s="16">
        <f t="shared" si="134"/>
        <v>0.85706914344685248</v>
      </c>
      <c r="AO398" s="16">
        <f t="shared" si="134"/>
        <v>0.85820341499628805</v>
      </c>
      <c r="AP398" s="16">
        <f t="shared" si="134"/>
        <v>0.85891727208811808</v>
      </c>
      <c r="AQ398" s="16">
        <f t="shared" si="134"/>
        <v>0.85989010989010994</v>
      </c>
      <c r="AR398" s="16">
        <f t="shared" si="134"/>
        <v>0.86057268722466962</v>
      </c>
      <c r="AS398" s="16">
        <f t="shared" si="134"/>
        <v>0.86150183942869507</v>
      </c>
      <c r="AT398" s="16">
        <f t="shared" si="134"/>
        <v>0.86197121674662014</v>
      </c>
      <c r="AU398" s="16">
        <f t="shared" si="134"/>
        <v>0.86263736263736268</v>
      </c>
      <c r="AV398" s="16">
        <f t="shared" si="134"/>
        <v>0.86320541760722347</v>
      </c>
      <c r="AW398" s="16">
        <f t="shared" si="134"/>
        <v>0.86362604946675747</v>
      </c>
      <c r="AX398" s="16">
        <f t="shared" si="134"/>
        <v>0.86400556973775822</v>
      </c>
      <c r="AY398" s="16">
        <f t="shared" si="134"/>
        <v>0.86455666744240167</v>
      </c>
      <c r="AZ398" s="16">
        <f t="shared" si="134"/>
        <v>0.86463700234192042</v>
      </c>
      <c r="BA398" s="16">
        <f t="shared" si="134"/>
        <v>0.86495562485008393</v>
      </c>
      <c r="BB398" s="16">
        <f t="shared" si="134"/>
        <v>0.86517113783533761</v>
      </c>
      <c r="BC398" s="16">
        <f t="shared" si="134"/>
        <v>0.86545623836126628</v>
      </c>
      <c r="BD398" s="16">
        <f t="shared" si="134"/>
        <v>0.86564344746162925</v>
      </c>
      <c r="BE398" s="16">
        <f t="shared" si="134"/>
        <v>0.86573855592260496</v>
      </c>
      <c r="BF398" s="16">
        <f t="shared" si="134"/>
        <v>0.86594370096908169</v>
      </c>
      <c r="BG398" s="16">
        <f t="shared" si="134"/>
        <v>0.86603860294117652</v>
      </c>
      <c r="BH398" s="16">
        <f t="shared" si="134"/>
        <v>0.86591422121896167</v>
      </c>
      <c r="BI398" s="16">
        <f t="shared" si="134"/>
        <v>0.86599268659926865</v>
      </c>
    </row>
    <row r="399" spans="1:61" x14ac:dyDescent="0.25">
      <c r="A399" s="11">
        <f>$A$74</f>
        <v>59</v>
      </c>
      <c r="M399" s="11"/>
      <c r="N399" s="11"/>
      <c r="O399" s="11"/>
      <c r="P399" s="11"/>
      <c r="Q399" s="11"/>
      <c r="R399" s="11"/>
      <c r="S399" s="11"/>
      <c r="T399" s="16">
        <f>T$259/T$74</f>
        <v>0.78826530612244894</v>
      </c>
      <c r="U399" s="16">
        <f t="shared" ref="U399:BI399" si="135">U$259/U$74</f>
        <v>0.79276952872821171</v>
      </c>
      <c r="V399" s="16">
        <f t="shared" si="135"/>
        <v>0.7969782813975449</v>
      </c>
      <c r="W399" s="16">
        <f t="shared" si="135"/>
        <v>0.80099348028562556</v>
      </c>
      <c r="X399" s="16">
        <f t="shared" si="135"/>
        <v>0.80478933010003029</v>
      </c>
      <c r="Y399" s="16">
        <f t="shared" si="135"/>
        <v>0.80835603996366934</v>
      </c>
      <c r="Z399" s="16">
        <f t="shared" si="135"/>
        <v>0.81159420289855078</v>
      </c>
      <c r="AA399" s="16">
        <f t="shared" si="135"/>
        <v>0.81471709176194662</v>
      </c>
      <c r="AB399" s="16">
        <f t="shared" si="135"/>
        <v>0.81760817307692313</v>
      </c>
      <c r="AC399" s="16">
        <f t="shared" si="135"/>
        <v>0.8203389830508474</v>
      </c>
      <c r="AD399" s="16">
        <f t="shared" si="135"/>
        <v>0.82283715012722647</v>
      </c>
      <c r="AE399" s="16">
        <f t="shared" si="135"/>
        <v>0.82542819499341236</v>
      </c>
      <c r="AF399" s="16">
        <f t="shared" si="135"/>
        <v>0.82754140954855471</v>
      </c>
      <c r="AG399" s="16">
        <f t="shared" si="135"/>
        <v>0.82965606748864373</v>
      </c>
      <c r="AH399" s="16">
        <f t="shared" si="135"/>
        <v>0.83177278401997501</v>
      </c>
      <c r="AI399" s="16">
        <f t="shared" si="135"/>
        <v>0.83353695784972515</v>
      </c>
      <c r="AJ399" s="16">
        <f t="shared" si="135"/>
        <v>0.8353221957040573</v>
      </c>
      <c r="AK399" s="16">
        <f t="shared" si="135"/>
        <v>0.83692219351134078</v>
      </c>
      <c r="AL399" s="16">
        <f t="shared" si="135"/>
        <v>0.83815350389321464</v>
      </c>
      <c r="AM399" s="16">
        <f t="shared" si="135"/>
        <v>0.83955325524380275</v>
      </c>
      <c r="AN399" s="16">
        <f t="shared" si="135"/>
        <v>0.84059873949579833</v>
      </c>
      <c r="AO399" s="16">
        <f t="shared" si="135"/>
        <v>0.84188805777663145</v>
      </c>
      <c r="AP399" s="16">
        <f t="shared" si="135"/>
        <v>0.84289955467590305</v>
      </c>
      <c r="AQ399" s="16">
        <f t="shared" si="135"/>
        <v>0.8437207122774133</v>
      </c>
      <c r="AR399" s="16">
        <f t="shared" si="135"/>
        <v>0.84458686198214694</v>
      </c>
      <c r="AS399" s="16">
        <f t="shared" si="135"/>
        <v>0.84537444933920702</v>
      </c>
      <c r="AT399" s="16">
        <f t="shared" si="135"/>
        <v>0.845954132410212</v>
      </c>
      <c r="AU399" s="16">
        <f t="shared" si="135"/>
        <v>0.84652278177458029</v>
      </c>
      <c r="AV399" s="16">
        <f t="shared" si="135"/>
        <v>0.84728631070094484</v>
      </c>
      <c r="AW399" s="16">
        <f t="shared" si="135"/>
        <v>0.84769855595667865</v>
      </c>
      <c r="AX399" s="16">
        <f t="shared" si="135"/>
        <v>0.84807256235827666</v>
      </c>
      <c r="AY399" s="16">
        <f t="shared" si="135"/>
        <v>0.84856215213358066</v>
      </c>
      <c r="AZ399" s="16">
        <f t="shared" si="135"/>
        <v>0.84883720930232553</v>
      </c>
      <c r="BA399" s="16">
        <f t="shared" si="135"/>
        <v>0.84905218815820271</v>
      </c>
      <c r="BB399" s="16">
        <f t="shared" si="135"/>
        <v>0.84926911095135393</v>
      </c>
      <c r="BC399" s="16">
        <f t="shared" si="135"/>
        <v>0.84958410351201474</v>
      </c>
      <c r="BD399" s="16">
        <f t="shared" si="135"/>
        <v>0.84976744186046516</v>
      </c>
      <c r="BE399" s="16">
        <f t="shared" si="135"/>
        <v>0.84996461429582448</v>
      </c>
      <c r="BF399" s="16">
        <f t="shared" si="135"/>
        <v>0.85007072135785011</v>
      </c>
      <c r="BG399" s="16">
        <f t="shared" si="135"/>
        <v>0.85016136468418624</v>
      </c>
      <c r="BH399" s="16">
        <f t="shared" si="135"/>
        <v>0.85032139577594124</v>
      </c>
      <c r="BI399" s="16">
        <f t="shared" si="135"/>
        <v>0.85047361299052771</v>
      </c>
    </row>
    <row r="400" spans="1:61" x14ac:dyDescent="0.25">
      <c r="A400" s="11">
        <f>$A$75</f>
        <v>60</v>
      </c>
      <c r="M400" s="11"/>
      <c r="N400" s="11"/>
      <c r="O400" s="11"/>
      <c r="P400" s="11"/>
      <c r="Q400" s="11"/>
      <c r="R400" s="11"/>
      <c r="S400" s="11"/>
      <c r="T400" s="16">
        <f>T$260/T$75</f>
        <v>0.76211180124223599</v>
      </c>
      <c r="U400" s="16">
        <f t="shared" ref="U400:BI400" si="136">U$260/U$75</f>
        <v>0.76677316293929709</v>
      </c>
      <c r="V400" s="16">
        <f t="shared" si="136"/>
        <v>0.77117000646412415</v>
      </c>
      <c r="W400" s="16">
        <f t="shared" si="136"/>
        <v>0.77536231884057971</v>
      </c>
      <c r="X400" s="16">
        <f t="shared" si="136"/>
        <v>0.77936606587942825</v>
      </c>
      <c r="Y400" s="16">
        <f t="shared" si="136"/>
        <v>0.78307038834951459</v>
      </c>
      <c r="Z400" s="16">
        <f t="shared" si="136"/>
        <v>0.78642835504392605</v>
      </c>
      <c r="AA400" s="16">
        <f t="shared" si="136"/>
        <v>0.78973317865429238</v>
      </c>
      <c r="AB400" s="16">
        <f t="shared" si="136"/>
        <v>0.79290114403050749</v>
      </c>
      <c r="AC400" s="16">
        <f t="shared" si="136"/>
        <v>0.79591223324316196</v>
      </c>
      <c r="AD400" s="16">
        <f t="shared" si="136"/>
        <v>0.79870530209617752</v>
      </c>
      <c r="AE400" s="16">
        <f t="shared" si="136"/>
        <v>0.80120865139949105</v>
      </c>
      <c r="AF400" s="16">
        <f t="shared" si="136"/>
        <v>0.80342443200526836</v>
      </c>
      <c r="AG400" s="16">
        <f t="shared" si="136"/>
        <v>0.80578109775901263</v>
      </c>
      <c r="AH400" s="16">
        <f t="shared" si="136"/>
        <v>0.80765488160882259</v>
      </c>
      <c r="AI400" s="16">
        <f t="shared" si="136"/>
        <v>0.80967238689547583</v>
      </c>
      <c r="AJ400" s="16">
        <f t="shared" si="136"/>
        <v>0.81160305343511452</v>
      </c>
      <c r="AK400" s="16">
        <f t="shared" si="136"/>
        <v>0.8130590339892666</v>
      </c>
      <c r="AL400" s="16">
        <f t="shared" si="136"/>
        <v>0.81434720229555235</v>
      </c>
      <c r="AM400" s="16">
        <f t="shared" si="136"/>
        <v>0.81595774256324716</v>
      </c>
      <c r="AN400" s="16">
        <f t="shared" si="136"/>
        <v>0.81726579520697162</v>
      </c>
      <c r="AO400" s="16">
        <f t="shared" si="136"/>
        <v>0.81832501969020743</v>
      </c>
      <c r="AP400" s="16">
        <f t="shared" si="136"/>
        <v>0.81949458483754511</v>
      </c>
      <c r="AQ400" s="16">
        <f t="shared" si="136"/>
        <v>0.82043037348503589</v>
      </c>
      <c r="AR400" s="16">
        <f t="shared" si="136"/>
        <v>0.8214620431115276</v>
      </c>
      <c r="AS400" s="16">
        <f t="shared" si="136"/>
        <v>0.82196796338672773</v>
      </c>
      <c r="AT400" s="16">
        <f t="shared" si="136"/>
        <v>0.82272627174631141</v>
      </c>
      <c r="AU400" s="16">
        <f t="shared" si="136"/>
        <v>0.82349123945489944</v>
      </c>
      <c r="AV400" s="16">
        <f t="shared" si="136"/>
        <v>0.82410636442894503</v>
      </c>
      <c r="AW400" s="16">
        <f t="shared" si="136"/>
        <v>0.82451131122336918</v>
      </c>
      <c r="AX400" s="16">
        <f t="shared" si="136"/>
        <v>0.82498872350022556</v>
      </c>
      <c r="AY400" s="16">
        <f t="shared" si="136"/>
        <v>0.82524932003626472</v>
      </c>
      <c r="AZ400" s="16">
        <f t="shared" si="136"/>
        <v>0.82572421784472771</v>
      </c>
      <c r="BA400" s="16">
        <f t="shared" si="136"/>
        <v>0.82616778991401352</v>
      </c>
      <c r="BB400" s="16">
        <f t="shared" si="136"/>
        <v>0.82623947614593074</v>
      </c>
      <c r="BC400" s="16">
        <f t="shared" si="136"/>
        <v>0.82662835249042144</v>
      </c>
      <c r="BD400" s="16">
        <f t="shared" si="136"/>
        <v>0.82682983144770261</v>
      </c>
      <c r="BE400" s="16">
        <f t="shared" si="136"/>
        <v>0.82690520446096649</v>
      </c>
      <c r="BF400" s="16">
        <f t="shared" si="136"/>
        <v>0.82700919160971009</v>
      </c>
      <c r="BG400" s="16">
        <f t="shared" si="136"/>
        <v>0.82736693358455016</v>
      </c>
      <c r="BH400" s="16">
        <f t="shared" si="136"/>
        <v>0.82730831222657153</v>
      </c>
      <c r="BI400" s="16">
        <f t="shared" si="136"/>
        <v>0.82733318046319648</v>
      </c>
    </row>
    <row r="401" spans="1:61" x14ac:dyDescent="0.25">
      <c r="A401" s="11">
        <f>$A$76</f>
        <v>61</v>
      </c>
      <c r="M401" s="11"/>
      <c r="N401" s="11"/>
      <c r="O401" s="11"/>
      <c r="P401" s="11"/>
      <c r="Q401" s="11"/>
      <c r="R401" s="11"/>
      <c r="S401" s="11"/>
      <c r="T401" s="16">
        <f>T$261/T$76</f>
        <v>0.73140243902439028</v>
      </c>
      <c r="U401" s="16">
        <f t="shared" ref="U401:BI401" si="137">U$261/U$76</f>
        <v>0.73615432482887366</v>
      </c>
      <c r="V401" s="16">
        <f t="shared" si="137"/>
        <v>0.74088291746641077</v>
      </c>
      <c r="W401" s="16">
        <f t="shared" si="137"/>
        <v>0.74506632157877706</v>
      </c>
      <c r="X401" s="16">
        <f t="shared" si="137"/>
        <v>0.74960580258593501</v>
      </c>
      <c r="Y401" s="16">
        <f t="shared" si="137"/>
        <v>0.75310945273631846</v>
      </c>
      <c r="Z401" s="16">
        <f t="shared" si="137"/>
        <v>0.75713418336369154</v>
      </c>
      <c r="AA401" s="16">
        <f t="shared" si="137"/>
        <v>0.76053349499848444</v>
      </c>
      <c r="AB401" s="16">
        <f t="shared" si="137"/>
        <v>0.76349390597794542</v>
      </c>
      <c r="AC401" s="16">
        <f t="shared" si="137"/>
        <v>0.76672535211267601</v>
      </c>
      <c r="AD401" s="16">
        <f t="shared" si="137"/>
        <v>0.76969332531569457</v>
      </c>
      <c r="AE401" s="16">
        <f t="shared" si="137"/>
        <v>0.77219482120838467</v>
      </c>
      <c r="AF401" s="16">
        <f t="shared" si="137"/>
        <v>0.77480916030534353</v>
      </c>
      <c r="AG401" s="16">
        <f t="shared" si="137"/>
        <v>0.7768268597761685</v>
      </c>
      <c r="AH401" s="16">
        <f t="shared" si="137"/>
        <v>0.77896786757546255</v>
      </c>
      <c r="AI401" s="16">
        <f t="shared" si="137"/>
        <v>0.78087520259319287</v>
      </c>
      <c r="AJ401" s="16">
        <f t="shared" si="137"/>
        <v>0.78290704928259514</v>
      </c>
      <c r="AK401" s="16">
        <f t="shared" si="137"/>
        <v>0.78455904790967346</v>
      </c>
      <c r="AL401" s="16">
        <f t="shared" si="137"/>
        <v>0.78628912071535018</v>
      </c>
      <c r="AM401" s="16">
        <f t="shared" si="137"/>
        <v>0.78772231784279978</v>
      </c>
      <c r="AN401" s="16">
        <f t="shared" si="137"/>
        <v>0.78883023061961655</v>
      </c>
      <c r="AO401" s="16">
        <f t="shared" si="137"/>
        <v>0.79014697876973328</v>
      </c>
      <c r="AP401" s="16">
        <f t="shared" si="137"/>
        <v>0.79133858267716539</v>
      </c>
      <c r="AQ401" s="16">
        <f t="shared" si="137"/>
        <v>0.79226804123711336</v>
      </c>
      <c r="AR401" s="16">
        <f t="shared" si="137"/>
        <v>0.79307787391841778</v>
      </c>
      <c r="AS401" s="16">
        <f t="shared" si="137"/>
        <v>0.79409697821503866</v>
      </c>
      <c r="AT401" s="16">
        <f t="shared" si="137"/>
        <v>0.79478380233356216</v>
      </c>
      <c r="AU401" s="16">
        <f t="shared" si="137"/>
        <v>0.79546455306032582</v>
      </c>
      <c r="AV401" s="16">
        <f t="shared" si="137"/>
        <v>0.79606401384083048</v>
      </c>
      <c r="AW401" s="16">
        <f t="shared" si="137"/>
        <v>0.79651416122004359</v>
      </c>
      <c r="AX401" s="16">
        <f t="shared" si="137"/>
        <v>0.79710144927536231</v>
      </c>
      <c r="AY401" s="16">
        <f t="shared" si="137"/>
        <v>0.79756537421100093</v>
      </c>
      <c r="AZ401" s="16">
        <f t="shared" si="137"/>
        <v>0.79791572270049838</v>
      </c>
      <c r="BA401" s="16">
        <f t="shared" si="137"/>
        <v>0.79828624363131084</v>
      </c>
      <c r="BB401" s="16">
        <f t="shared" si="137"/>
        <v>0.79846761086603202</v>
      </c>
      <c r="BC401" s="16">
        <f t="shared" si="137"/>
        <v>0.79859813084112152</v>
      </c>
      <c r="BD401" s="16">
        <f t="shared" si="137"/>
        <v>0.79904306220095689</v>
      </c>
      <c r="BE401" s="16">
        <f t="shared" si="137"/>
        <v>0.79907727797001149</v>
      </c>
      <c r="BF401" s="16">
        <f t="shared" si="137"/>
        <v>0.79921077065923862</v>
      </c>
      <c r="BG401" s="16">
        <f t="shared" si="137"/>
        <v>0.79943502824858759</v>
      </c>
      <c r="BH401" s="16">
        <f t="shared" si="137"/>
        <v>0.79957657021877204</v>
      </c>
      <c r="BI401" s="16">
        <f t="shared" si="137"/>
        <v>0.7994480220791168</v>
      </c>
    </row>
    <row r="402" spans="1:61" x14ac:dyDescent="0.25">
      <c r="A402" s="11">
        <f>$A$77</f>
        <v>62</v>
      </c>
      <c r="M402" s="11"/>
      <c r="N402" s="11"/>
      <c r="O402" s="11"/>
      <c r="P402" s="11"/>
      <c r="Q402" s="11"/>
      <c r="R402" s="11"/>
      <c r="S402" s="11"/>
      <c r="T402" s="16">
        <f>T$262/T$77</f>
        <v>0.69522342064714948</v>
      </c>
      <c r="U402" s="16">
        <f t="shared" ref="U402:BI402" si="138">U$262/U$77</f>
        <v>0.70058050717995723</v>
      </c>
      <c r="V402" s="16">
        <f t="shared" si="138"/>
        <v>0.70542394014962595</v>
      </c>
      <c r="W402" s="16">
        <f t="shared" si="138"/>
        <v>0.71012171684817427</v>
      </c>
      <c r="X402" s="16">
        <f t="shared" si="138"/>
        <v>0.71460965338516358</v>
      </c>
      <c r="Y402" s="16">
        <f t="shared" si="138"/>
        <v>0.71875</v>
      </c>
      <c r="Z402" s="16">
        <f t="shared" si="138"/>
        <v>0.7223778400248988</v>
      </c>
      <c r="AA402" s="16">
        <f t="shared" si="138"/>
        <v>0.72622303251291398</v>
      </c>
      <c r="AB402" s="16">
        <f t="shared" si="138"/>
        <v>0.72945101607521989</v>
      </c>
      <c r="AC402" s="16">
        <f t="shared" si="138"/>
        <v>0.73279117049085096</v>
      </c>
      <c r="AD402" s="16">
        <f t="shared" si="138"/>
        <v>0.73576042278332354</v>
      </c>
      <c r="AE402" s="16">
        <f t="shared" si="138"/>
        <v>0.73864661654135333</v>
      </c>
      <c r="AF402" s="16">
        <f t="shared" si="138"/>
        <v>0.74106041923551169</v>
      </c>
      <c r="AG402" s="16">
        <f t="shared" si="138"/>
        <v>0.74363867684478369</v>
      </c>
      <c r="AH402" s="16">
        <f t="shared" si="138"/>
        <v>0.74596906877262259</v>
      </c>
      <c r="AI402" s="16">
        <f t="shared" si="138"/>
        <v>0.74789097988319275</v>
      </c>
      <c r="AJ402" s="16">
        <f t="shared" si="138"/>
        <v>0.74983797796500329</v>
      </c>
      <c r="AK402" s="16">
        <f t="shared" si="138"/>
        <v>0.7517929529154973</v>
      </c>
      <c r="AL402" s="16">
        <f t="shared" si="138"/>
        <v>0.75350823672971323</v>
      </c>
      <c r="AM402" s="16">
        <f t="shared" si="138"/>
        <v>0.75506555423122768</v>
      </c>
      <c r="AN402" s="16">
        <f t="shared" si="138"/>
        <v>0.75652423286492687</v>
      </c>
      <c r="AO402" s="16">
        <f t="shared" si="138"/>
        <v>0.75749999999999995</v>
      </c>
      <c r="AP402" s="16">
        <f t="shared" si="138"/>
        <v>0.7589115646258503</v>
      </c>
      <c r="AQ402" s="16">
        <f t="shared" si="138"/>
        <v>0.75990553660456572</v>
      </c>
      <c r="AR402" s="16">
        <f t="shared" si="138"/>
        <v>0.76088636949239885</v>
      </c>
      <c r="AS402" s="16">
        <f t="shared" si="138"/>
        <v>0.76192830655129795</v>
      </c>
      <c r="AT402" s="16">
        <f t="shared" si="138"/>
        <v>0.76252927400468384</v>
      </c>
      <c r="AU402" s="16">
        <f t="shared" si="138"/>
        <v>0.76326623970722784</v>
      </c>
      <c r="AV402" s="16">
        <f t="shared" si="138"/>
        <v>0.76398062527520916</v>
      </c>
      <c r="AW402" s="16">
        <f t="shared" si="138"/>
        <v>0.76432432432432429</v>
      </c>
      <c r="AX402" s="16">
        <f t="shared" si="138"/>
        <v>0.76514161220043575</v>
      </c>
      <c r="AY402" s="16">
        <f t="shared" si="138"/>
        <v>0.76536435469710273</v>
      </c>
      <c r="AZ402" s="16">
        <f t="shared" si="138"/>
        <v>0.76588553402433523</v>
      </c>
      <c r="BA402" s="16">
        <f t="shared" si="138"/>
        <v>0.76613085804844916</v>
      </c>
      <c r="BB402" s="16">
        <f t="shared" si="138"/>
        <v>0.76643518518518516</v>
      </c>
      <c r="BC402" s="16">
        <f t="shared" si="138"/>
        <v>0.76658932714617167</v>
      </c>
      <c r="BD402" s="16">
        <f t="shared" si="138"/>
        <v>0.76698575764650945</v>
      </c>
      <c r="BE402" s="16">
        <f t="shared" si="138"/>
        <v>0.767208413001912</v>
      </c>
      <c r="BF402" s="16">
        <f t="shared" si="138"/>
        <v>0.76722747176768846</v>
      </c>
      <c r="BG402" s="16">
        <f t="shared" si="138"/>
        <v>0.76739332096474955</v>
      </c>
      <c r="BH402" s="16">
        <f t="shared" si="138"/>
        <v>0.76763875823142047</v>
      </c>
      <c r="BI402" s="16">
        <f t="shared" si="138"/>
        <v>0.76762218045112784</v>
      </c>
    </row>
    <row r="403" spans="1:61" x14ac:dyDescent="0.25">
      <c r="A403" s="11">
        <f>$A$78</f>
        <v>63</v>
      </c>
      <c r="M403" s="11"/>
      <c r="N403" s="11"/>
      <c r="O403" s="11"/>
      <c r="P403" s="11"/>
      <c r="Q403" s="11"/>
      <c r="R403" s="11"/>
      <c r="S403" s="11"/>
      <c r="T403" s="16">
        <f>T$263/T$78</f>
        <v>0.6420146636914249</v>
      </c>
      <c r="U403" s="16">
        <f t="shared" ref="U403:BI403" si="139">U$263/U$78</f>
        <v>0.64771322620519156</v>
      </c>
      <c r="V403" s="16">
        <f t="shared" si="139"/>
        <v>0.65298621745788665</v>
      </c>
      <c r="W403" s="16">
        <f t="shared" si="139"/>
        <v>0.65771392879450341</v>
      </c>
      <c r="X403" s="16">
        <f t="shared" si="139"/>
        <v>0.66217516843118385</v>
      </c>
      <c r="Y403" s="16">
        <f t="shared" si="139"/>
        <v>0.66655854686993188</v>
      </c>
      <c r="Z403" s="16">
        <f t="shared" si="139"/>
        <v>0.67067003792667512</v>
      </c>
      <c r="AA403" s="16">
        <f t="shared" si="139"/>
        <v>0.67435338111561238</v>
      </c>
      <c r="AB403" s="16">
        <f t="shared" si="139"/>
        <v>0.67812595071493764</v>
      </c>
      <c r="AC403" s="16">
        <f t="shared" si="139"/>
        <v>0.68144549043425451</v>
      </c>
      <c r="AD403" s="16">
        <f t="shared" si="139"/>
        <v>0.68479209072404768</v>
      </c>
      <c r="AE403" s="16">
        <f t="shared" si="139"/>
        <v>0.68753674309229862</v>
      </c>
      <c r="AF403" s="16">
        <f t="shared" si="139"/>
        <v>0.69003912127595546</v>
      </c>
      <c r="AG403" s="16">
        <f t="shared" si="139"/>
        <v>0.69278223318938925</v>
      </c>
      <c r="AH403" s="16">
        <f t="shared" si="139"/>
        <v>0.69519567292395801</v>
      </c>
      <c r="AI403" s="16">
        <f t="shared" si="139"/>
        <v>0.69749835418038186</v>
      </c>
      <c r="AJ403" s="16">
        <f t="shared" si="139"/>
        <v>0.69944823109380072</v>
      </c>
      <c r="AK403" s="16">
        <f t="shared" si="139"/>
        <v>0.70123136746597536</v>
      </c>
      <c r="AL403" s="16">
        <f t="shared" si="139"/>
        <v>0.70314936077330836</v>
      </c>
      <c r="AM403" s="16">
        <f t="shared" si="139"/>
        <v>0.70469798657718119</v>
      </c>
      <c r="AN403" s="16">
        <f t="shared" si="139"/>
        <v>0.70619785458879614</v>
      </c>
      <c r="AO403" s="16">
        <f t="shared" si="139"/>
        <v>0.707484944078004</v>
      </c>
      <c r="AP403" s="16">
        <f t="shared" si="139"/>
        <v>0.70861111111111108</v>
      </c>
      <c r="AQ403" s="16">
        <f t="shared" si="139"/>
        <v>0.70993197278911568</v>
      </c>
      <c r="AR403" s="16">
        <f t="shared" si="139"/>
        <v>0.71083705064287583</v>
      </c>
      <c r="AS403" s="16">
        <f t="shared" si="139"/>
        <v>0.71167224942025253</v>
      </c>
      <c r="AT403" s="16">
        <f t="shared" si="139"/>
        <v>0.71248454882571077</v>
      </c>
      <c r="AU403" s="16">
        <f t="shared" si="139"/>
        <v>0.71328179901616307</v>
      </c>
      <c r="AV403" s="16">
        <f t="shared" si="139"/>
        <v>0.71402425074353693</v>
      </c>
      <c r="AW403" s="16">
        <f t="shared" si="139"/>
        <v>0.71444297666226331</v>
      </c>
      <c r="AX403" s="16">
        <f t="shared" si="139"/>
        <v>0.71518166089965396</v>
      </c>
      <c r="AY403" s="16">
        <f t="shared" si="139"/>
        <v>0.71568627450980393</v>
      </c>
      <c r="AZ403" s="16">
        <f t="shared" si="139"/>
        <v>0.71597892888498682</v>
      </c>
      <c r="BA403" s="16">
        <f t="shared" si="139"/>
        <v>0.7163775625140798</v>
      </c>
      <c r="BB403" s="16">
        <f t="shared" si="139"/>
        <v>0.71661385242191034</v>
      </c>
      <c r="BC403" s="16">
        <f t="shared" si="139"/>
        <v>0.71702915316982874</v>
      </c>
      <c r="BD403" s="16">
        <f t="shared" si="139"/>
        <v>0.71723498028299704</v>
      </c>
      <c r="BE403" s="16">
        <f t="shared" si="139"/>
        <v>0.71738623103850641</v>
      </c>
      <c r="BF403" s="16">
        <f t="shared" si="139"/>
        <v>0.71763019589106547</v>
      </c>
      <c r="BG403" s="16">
        <f t="shared" si="139"/>
        <v>0.71780695692236807</v>
      </c>
      <c r="BH403" s="16">
        <f t="shared" si="139"/>
        <v>0.71772885283893395</v>
      </c>
      <c r="BI403" s="16">
        <f t="shared" si="139"/>
        <v>0.71797884841363102</v>
      </c>
    </row>
    <row r="404" spans="1:61" x14ac:dyDescent="0.25">
      <c r="A404" s="11">
        <f>$A$79</f>
        <v>64</v>
      </c>
      <c r="M404" s="11"/>
      <c r="N404" s="11"/>
      <c r="O404" s="11"/>
      <c r="P404" s="11"/>
      <c r="Q404" s="11"/>
      <c r="R404" s="11"/>
      <c r="S404" s="11"/>
      <c r="T404" s="16">
        <f>T$264/T$79</f>
        <v>0.58644859813084116</v>
      </c>
      <c r="U404" s="16">
        <f t="shared" ref="U404:BI404" si="140">U$264/U$79</f>
        <v>0.59213051823416507</v>
      </c>
      <c r="V404" s="16">
        <f t="shared" si="140"/>
        <v>0.59733415995040295</v>
      </c>
      <c r="W404" s="16">
        <f t="shared" si="140"/>
        <v>0.60257985257985258</v>
      </c>
      <c r="X404" s="16">
        <f t="shared" si="140"/>
        <v>0.60707576706324362</v>
      </c>
      <c r="Y404" s="16">
        <f t="shared" si="140"/>
        <v>0.61177227404310064</v>
      </c>
      <c r="Z404" s="16">
        <f t="shared" si="140"/>
        <v>0.61605981794538367</v>
      </c>
      <c r="AA404" s="16">
        <f t="shared" si="140"/>
        <v>0.6198923028191321</v>
      </c>
      <c r="AB404" s="16">
        <f t="shared" si="140"/>
        <v>0.62367270455965018</v>
      </c>
      <c r="AC404" s="16">
        <f t="shared" si="140"/>
        <v>0.62724779030783295</v>
      </c>
      <c r="AD404" s="16">
        <f t="shared" si="140"/>
        <v>0.63066626102829326</v>
      </c>
      <c r="AE404" s="16">
        <f t="shared" si="140"/>
        <v>0.63355665598601807</v>
      </c>
      <c r="AF404" s="16">
        <f t="shared" si="140"/>
        <v>0.63644392110685899</v>
      </c>
      <c r="AG404" s="16">
        <f t="shared" si="140"/>
        <v>0.63893911995177821</v>
      </c>
      <c r="AH404" s="16">
        <f t="shared" si="140"/>
        <v>0.64144533662754788</v>
      </c>
      <c r="AI404" s="16">
        <f t="shared" si="140"/>
        <v>0.64394904458598723</v>
      </c>
      <c r="AJ404" s="16">
        <f t="shared" si="140"/>
        <v>0.64591567852437415</v>
      </c>
      <c r="AK404" s="16">
        <f t="shared" si="140"/>
        <v>0.64793764209158822</v>
      </c>
      <c r="AL404" s="16">
        <f t="shared" si="140"/>
        <v>0.64980544747081714</v>
      </c>
      <c r="AM404" s="16">
        <f t="shared" si="140"/>
        <v>0.65148205928237124</v>
      </c>
      <c r="AN404" s="16">
        <f t="shared" si="140"/>
        <v>0.65293040293040294</v>
      </c>
      <c r="AO404" s="16">
        <f t="shared" si="140"/>
        <v>0.65444245676803814</v>
      </c>
      <c r="AP404" s="16">
        <f t="shared" si="140"/>
        <v>0.65566714490674316</v>
      </c>
      <c r="AQ404" s="16">
        <f t="shared" si="140"/>
        <v>0.65693633583541844</v>
      </c>
      <c r="AR404" s="16">
        <f t="shared" si="140"/>
        <v>0.6577729376531446</v>
      </c>
      <c r="AS404" s="16">
        <f t="shared" si="140"/>
        <v>0.65887605042016806</v>
      </c>
      <c r="AT404" s="16">
        <f t="shared" si="140"/>
        <v>0.65961835997937079</v>
      </c>
      <c r="AU404" s="16">
        <f t="shared" si="140"/>
        <v>0.66040069255503342</v>
      </c>
      <c r="AV404" s="16">
        <f t="shared" si="140"/>
        <v>0.66127519924988276</v>
      </c>
      <c r="AW404" s="16">
        <f t="shared" si="140"/>
        <v>0.66185897435897434</v>
      </c>
      <c r="AX404" s="16">
        <f t="shared" si="140"/>
        <v>0.66226040978189027</v>
      </c>
      <c r="AY404" s="16">
        <f t="shared" si="140"/>
        <v>0.66284354035922965</v>
      </c>
      <c r="AZ404" s="16">
        <f t="shared" si="140"/>
        <v>0.66325196163905842</v>
      </c>
      <c r="BA404" s="16">
        <f t="shared" si="140"/>
        <v>0.66359244620114188</v>
      </c>
      <c r="BB404" s="16">
        <f t="shared" si="140"/>
        <v>0.66396213657876946</v>
      </c>
      <c r="BC404" s="16">
        <f t="shared" si="140"/>
        <v>0.66417572463768115</v>
      </c>
      <c r="BD404" s="16">
        <f t="shared" si="140"/>
        <v>0.66442953020134232</v>
      </c>
      <c r="BE404" s="16">
        <f t="shared" si="140"/>
        <v>0.66457898399443283</v>
      </c>
      <c r="BF404" s="16">
        <f t="shared" si="140"/>
        <v>0.66487747957993004</v>
      </c>
      <c r="BG404" s="16">
        <f t="shared" si="140"/>
        <v>0.66491521375686646</v>
      </c>
      <c r="BH404" s="16">
        <f t="shared" si="140"/>
        <v>0.66490096729617687</v>
      </c>
      <c r="BI404" s="16">
        <f t="shared" si="140"/>
        <v>0.66512166859791422</v>
      </c>
    </row>
    <row r="405" spans="1:61" x14ac:dyDescent="0.25">
      <c r="A405" s="11">
        <f>$A$80</f>
        <v>65</v>
      </c>
      <c r="M405" s="11"/>
      <c r="N405" s="11"/>
      <c r="O405" s="11"/>
      <c r="P405" s="11"/>
      <c r="Q405" s="11"/>
      <c r="R405" s="11"/>
      <c r="S405" s="11"/>
      <c r="T405" s="16">
        <f>T$265/T$80</f>
        <v>0.52803261977573901</v>
      </c>
      <c r="U405" s="16">
        <f t="shared" ref="U405:BI405" si="141">U$265/U$80</f>
        <v>0.53384718498659522</v>
      </c>
      <c r="V405" s="16">
        <f t="shared" si="141"/>
        <v>0.53917790622992934</v>
      </c>
      <c r="W405" s="16">
        <f t="shared" si="141"/>
        <v>0.54449284380833851</v>
      </c>
      <c r="X405" s="16">
        <f t="shared" si="141"/>
        <v>0.54932182490752157</v>
      </c>
      <c r="Y405" s="16">
        <f t="shared" si="141"/>
        <v>0.55387998743323907</v>
      </c>
      <c r="Z405" s="16">
        <f t="shared" si="141"/>
        <v>0.5580645161290323</v>
      </c>
      <c r="AA405" s="16">
        <f t="shared" si="141"/>
        <v>0.56225554106910036</v>
      </c>
      <c r="AB405" s="16">
        <f t="shared" si="141"/>
        <v>0.56589393458240711</v>
      </c>
      <c r="AC405" s="16">
        <f t="shared" si="141"/>
        <v>0.56950532247964936</v>
      </c>
      <c r="AD405" s="16">
        <f t="shared" si="141"/>
        <v>0.57286892758936758</v>
      </c>
      <c r="AE405" s="16">
        <f t="shared" si="141"/>
        <v>0.57609027142421465</v>
      </c>
      <c r="AF405" s="16">
        <f t="shared" si="141"/>
        <v>0.57897810218978107</v>
      </c>
      <c r="AG405" s="16">
        <f t="shared" si="141"/>
        <v>0.58158748893478907</v>
      </c>
      <c r="AH405" s="16">
        <f t="shared" si="141"/>
        <v>0.58411356085774691</v>
      </c>
      <c r="AI405" s="16">
        <f t="shared" si="141"/>
        <v>0.58632425742574257</v>
      </c>
      <c r="AJ405" s="16">
        <f t="shared" si="141"/>
        <v>0.58851674641148322</v>
      </c>
      <c r="AK405" s="16">
        <f t="shared" si="141"/>
        <v>0.59056417024084462</v>
      </c>
      <c r="AL405" s="16">
        <f t="shared" si="141"/>
        <v>0.59219512195121948</v>
      </c>
      <c r="AM405" s="16">
        <f t="shared" si="141"/>
        <v>0.5941558441558441</v>
      </c>
      <c r="AN405" s="16">
        <f t="shared" si="141"/>
        <v>0.59575132771009065</v>
      </c>
      <c r="AO405" s="16">
        <f t="shared" si="141"/>
        <v>0.59688264058679708</v>
      </c>
      <c r="AP405" s="16">
        <f t="shared" si="141"/>
        <v>0.59850746268656718</v>
      </c>
      <c r="AQ405" s="16">
        <f t="shared" si="141"/>
        <v>0.59971264367816091</v>
      </c>
      <c r="AR405" s="16">
        <f t="shared" si="141"/>
        <v>0.6006123016977456</v>
      </c>
      <c r="AS405" s="16">
        <f t="shared" si="141"/>
        <v>0.60169029443838606</v>
      </c>
      <c r="AT405" s="16">
        <f t="shared" si="141"/>
        <v>0.60252365930599372</v>
      </c>
      <c r="AU405" s="16">
        <f t="shared" si="141"/>
        <v>0.60325245224574087</v>
      </c>
      <c r="AV405" s="16">
        <f t="shared" si="141"/>
        <v>0.60401188707280828</v>
      </c>
      <c r="AW405" s="16">
        <f t="shared" si="141"/>
        <v>0.60464570624120129</v>
      </c>
      <c r="AX405" s="16">
        <f t="shared" si="141"/>
        <v>0.6053174421269768</v>
      </c>
      <c r="AY405" s="16">
        <f t="shared" si="141"/>
        <v>0.6056462284958094</v>
      </c>
      <c r="AZ405" s="16">
        <f t="shared" si="141"/>
        <v>0.60615251299826689</v>
      </c>
      <c r="BA405" s="16">
        <f t="shared" si="141"/>
        <v>0.60658957015055637</v>
      </c>
      <c r="BB405" s="16">
        <f t="shared" si="141"/>
        <v>0.60681318681318686</v>
      </c>
      <c r="BC405" s="16">
        <f t="shared" si="141"/>
        <v>0.60712674785746501</v>
      </c>
      <c r="BD405" s="16">
        <f t="shared" si="141"/>
        <v>0.60729662361205528</v>
      </c>
      <c r="BE405" s="16">
        <f t="shared" si="141"/>
        <v>0.60754804352859459</v>
      </c>
      <c r="BF405" s="16">
        <f t="shared" si="141"/>
        <v>0.60756556045486187</v>
      </c>
      <c r="BG405" s="16">
        <f t="shared" si="141"/>
        <v>0.6079850572028952</v>
      </c>
      <c r="BH405" s="16">
        <f t="shared" si="141"/>
        <v>0.60812425328554365</v>
      </c>
      <c r="BI405" s="16">
        <f t="shared" si="141"/>
        <v>0.60806451612903223</v>
      </c>
    </row>
    <row r="406" spans="1:61" x14ac:dyDescent="0.25">
      <c r="A406" s="11">
        <f>$A$81</f>
        <v>66</v>
      </c>
      <c r="M406" s="11"/>
      <c r="N406" s="11"/>
      <c r="O406" s="11"/>
      <c r="P406" s="11"/>
      <c r="Q406" s="11"/>
      <c r="R406" s="11"/>
      <c r="S406" s="11"/>
      <c r="T406" s="16">
        <f>T$266/T$81</f>
        <v>0.46560846560846558</v>
      </c>
      <c r="U406" s="16">
        <f t="shared" ref="U406:BI406" si="142">U$266/U$81</f>
        <v>0.47131147540983609</v>
      </c>
      <c r="V406" s="16">
        <f t="shared" si="142"/>
        <v>0.47643097643097643</v>
      </c>
      <c r="W406" s="16">
        <f t="shared" si="142"/>
        <v>0.48161290322580647</v>
      </c>
      <c r="X406" s="16">
        <f t="shared" si="142"/>
        <v>0.48656250000000001</v>
      </c>
      <c r="Y406" s="16">
        <f t="shared" si="142"/>
        <v>0.49086969978334882</v>
      </c>
      <c r="Z406" s="16">
        <f t="shared" si="142"/>
        <v>0.49511195206559444</v>
      </c>
      <c r="AA406" s="16">
        <f t="shared" si="142"/>
        <v>0.49886694723211394</v>
      </c>
      <c r="AB406" s="16">
        <f t="shared" si="142"/>
        <v>0.50278050376185801</v>
      </c>
      <c r="AC406" s="16">
        <f t="shared" si="142"/>
        <v>0.50637348629700452</v>
      </c>
      <c r="AD406" s="16">
        <f t="shared" si="142"/>
        <v>0.50942211055276387</v>
      </c>
      <c r="AE406" s="16">
        <f t="shared" si="142"/>
        <v>0.5124118908979467</v>
      </c>
      <c r="AF406" s="16">
        <f t="shared" si="142"/>
        <v>0.5154481492811257</v>
      </c>
      <c r="AG406" s="16">
        <f t="shared" si="142"/>
        <v>0.51800878477306</v>
      </c>
      <c r="AH406" s="16">
        <f t="shared" si="142"/>
        <v>0.52041420118343196</v>
      </c>
      <c r="AI406" s="16">
        <f t="shared" si="142"/>
        <v>0.52271350696547547</v>
      </c>
      <c r="AJ406" s="16">
        <f t="shared" si="142"/>
        <v>0.52481389578163773</v>
      </c>
      <c r="AK406" s="16">
        <f t="shared" si="142"/>
        <v>0.52702270546850016</v>
      </c>
      <c r="AL406" s="16">
        <f t="shared" si="142"/>
        <v>0.52859504132231405</v>
      </c>
      <c r="AM406" s="16">
        <f t="shared" si="142"/>
        <v>0.53031290743155146</v>
      </c>
      <c r="AN406" s="16">
        <f t="shared" si="142"/>
        <v>0.53155497722836698</v>
      </c>
      <c r="AO406" s="16">
        <f t="shared" si="142"/>
        <v>0.53302034428794998</v>
      </c>
      <c r="AP406" s="16">
        <f t="shared" si="142"/>
        <v>0.53445635528330782</v>
      </c>
      <c r="AQ406" s="16">
        <f t="shared" si="142"/>
        <v>0.53558612440191389</v>
      </c>
      <c r="AR406" s="16">
        <f t="shared" si="142"/>
        <v>0.53655728267127234</v>
      </c>
      <c r="AS406" s="16">
        <f t="shared" si="142"/>
        <v>0.53764640267707753</v>
      </c>
      <c r="AT406" s="16">
        <f t="shared" si="142"/>
        <v>0.53850354997269256</v>
      </c>
      <c r="AU406" s="16">
        <f t="shared" si="142"/>
        <v>0.5393731893600211</v>
      </c>
      <c r="AV406" s="16">
        <f t="shared" si="142"/>
        <v>0.5398138572905895</v>
      </c>
      <c r="AW406" s="16">
        <f t="shared" si="142"/>
        <v>0.54056065492433636</v>
      </c>
      <c r="AX406" s="16">
        <f t="shared" si="142"/>
        <v>0.54101057579318446</v>
      </c>
      <c r="AY406" s="16">
        <f t="shared" si="142"/>
        <v>0.54155188246097341</v>
      </c>
      <c r="AZ406" s="16">
        <f t="shared" si="142"/>
        <v>0.54197967300044192</v>
      </c>
      <c r="BA406" s="16">
        <f t="shared" si="142"/>
        <v>0.54241701019743982</v>
      </c>
      <c r="BB406" s="16">
        <f t="shared" si="142"/>
        <v>0.542713567839196</v>
      </c>
      <c r="BC406" s="16">
        <f t="shared" si="142"/>
        <v>0.54303323794849223</v>
      </c>
      <c r="BD406" s="16">
        <f t="shared" si="142"/>
        <v>0.54336043360433606</v>
      </c>
      <c r="BE406" s="16">
        <f t="shared" si="142"/>
        <v>0.54333030852994557</v>
      </c>
      <c r="BF406" s="16">
        <f t="shared" si="142"/>
        <v>0.54357904496986553</v>
      </c>
      <c r="BG406" s="16">
        <f t="shared" si="142"/>
        <v>0.54368029739776946</v>
      </c>
      <c r="BH406" s="16">
        <f t="shared" si="142"/>
        <v>0.54381864921710676</v>
      </c>
      <c r="BI406" s="16">
        <f t="shared" si="142"/>
        <v>0.54399808703969388</v>
      </c>
    </row>
    <row r="407" spans="1:61" x14ac:dyDescent="0.25">
      <c r="A407" s="11">
        <f>$A$82</f>
        <v>67</v>
      </c>
      <c r="M407" s="11"/>
      <c r="N407" s="11"/>
      <c r="O407" s="11"/>
      <c r="P407" s="11"/>
      <c r="Q407" s="11"/>
      <c r="R407" s="11"/>
      <c r="S407" s="11"/>
      <c r="T407" s="16">
        <f>T$267/T$82</f>
        <v>0.4139941690962099</v>
      </c>
      <c r="U407" s="16">
        <f t="shared" ref="U407:BI407" si="143">U$267/U$82</f>
        <v>0.41944641589779985</v>
      </c>
      <c r="V407" s="16">
        <f t="shared" si="143"/>
        <v>0.42479395604395603</v>
      </c>
      <c r="W407" s="16">
        <f t="shared" si="143"/>
        <v>0.42958700067704808</v>
      </c>
      <c r="X407" s="16">
        <f t="shared" si="143"/>
        <v>0.43417639429312582</v>
      </c>
      <c r="Y407" s="16">
        <f t="shared" si="143"/>
        <v>0.43844221105527637</v>
      </c>
      <c r="Z407" s="16">
        <f t="shared" si="143"/>
        <v>0.44247512437810943</v>
      </c>
      <c r="AA407" s="16">
        <f t="shared" si="143"/>
        <v>0.44645120405576677</v>
      </c>
      <c r="AB407" s="16">
        <f t="shared" si="143"/>
        <v>0.45008130081300812</v>
      </c>
      <c r="AC407" s="16">
        <f t="shared" si="143"/>
        <v>0.45335085413929038</v>
      </c>
      <c r="AD407" s="16">
        <f t="shared" si="143"/>
        <v>0.45663999999999999</v>
      </c>
      <c r="AE407" s="16">
        <f t="shared" si="143"/>
        <v>0.45947650583412175</v>
      </c>
      <c r="AF407" s="16">
        <f t="shared" si="143"/>
        <v>0.46215384615384614</v>
      </c>
      <c r="AG407" s="16">
        <f t="shared" si="143"/>
        <v>0.46484494933988335</v>
      </c>
      <c r="AH407" s="16">
        <f t="shared" si="143"/>
        <v>0.46737213403880068</v>
      </c>
      <c r="AI407" s="16">
        <f t="shared" si="143"/>
        <v>0.46941805225653205</v>
      </c>
      <c r="AJ407" s="16">
        <f t="shared" si="143"/>
        <v>0.47158918261926464</v>
      </c>
      <c r="AK407" s="16">
        <f t="shared" si="143"/>
        <v>0.4733893557422969</v>
      </c>
      <c r="AL407" s="16">
        <f t="shared" si="143"/>
        <v>0.47530468248877483</v>
      </c>
      <c r="AM407" s="16">
        <f t="shared" si="143"/>
        <v>0.47679045092838196</v>
      </c>
      <c r="AN407" s="16">
        <f t="shared" si="143"/>
        <v>0.47810457516339872</v>
      </c>
      <c r="AO407" s="16">
        <f t="shared" si="143"/>
        <v>0.47960848287112562</v>
      </c>
      <c r="AP407" s="16">
        <f t="shared" si="143"/>
        <v>0.48085373509102325</v>
      </c>
      <c r="AQ407" s="16">
        <f t="shared" si="143"/>
        <v>0.48203868590727661</v>
      </c>
      <c r="AR407" s="16">
        <f t="shared" si="143"/>
        <v>0.4829136690647482</v>
      </c>
      <c r="AS407" s="16">
        <f t="shared" si="143"/>
        <v>0.48384304673975764</v>
      </c>
      <c r="AT407" s="16">
        <f t="shared" si="143"/>
        <v>0.48462828395751817</v>
      </c>
      <c r="AU407" s="16">
        <f t="shared" si="143"/>
        <v>0.48562825075280591</v>
      </c>
      <c r="AV407" s="16">
        <f t="shared" si="143"/>
        <v>0.48614410134600156</v>
      </c>
      <c r="AW407" s="16">
        <f t="shared" si="143"/>
        <v>0.48665457372376264</v>
      </c>
      <c r="AX407" s="16">
        <f t="shared" si="143"/>
        <v>0.48731974142217804</v>
      </c>
      <c r="AY407" s="16">
        <f t="shared" si="143"/>
        <v>0.4878680800942285</v>
      </c>
      <c r="AZ407" s="16">
        <f t="shared" si="143"/>
        <v>0.48815274902231426</v>
      </c>
      <c r="BA407" s="16">
        <f t="shared" si="143"/>
        <v>0.48859862740757137</v>
      </c>
      <c r="BB407" s="16">
        <f t="shared" si="143"/>
        <v>0.48880191345944768</v>
      </c>
      <c r="BC407" s="16">
        <f t="shared" si="143"/>
        <v>0.48905429071803852</v>
      </c>
      <c r="BD407" s="16">
        <f t="shared" si="143"/>
        <v>0.48930540242557885</v>
      </c>
      <c r="BE407" s="16">
        <f t="shared" si="143"/>
        <v>0.4894820176430672</v>
      </c>
      <c r="BF407" s="16">
        <f t="shared" si="143"/>
        <v>0.48966144058168598</v>
      </c>
      <c r="BG407" s="16">
        <f t="shared" si="143"/>
        <v>0.48990016252612029</v>
      </c>
      <c r="BH407" s="16">
        <f t="shared" si="143"/>
        <v>0.48999534667287109</v>
      </c>
      <c r="BI407" s="16">
        <f t="shared" si="143"/>
        <v>0.49005382635150946</v>
      </c>
    </row>
    <row r="408" spans="1:61" x14ac:dyDescent="0.25">
      <c r="A408" s="11">
        <f>$A$83</f>
        <v>68</v>
      </c>
      <c r="M408" s="11"/>
      <c r="N408" s="11"/>
      <c r="O408" s="11"/>
      <c r="P408" s="11"/>
      <c r="Q408" s="11"/>
      <c r="R408" s="11"/>
      <c r="S408" s="11"/>
      <c r="T408" s="16">
        <f>T$268/T$83</f>
        <v>0.36527621195039461</v>
      </c>
      <c r="U408" s="16">
        <f t="shared" ref="U408:BI408" si="144">U$268/U$83</f>
        <v>0.37064220183486241</v>
      </c>
      <c r="V408" s="16">
        <f t="shared" si="144"/>
        <v>0.37535714285714283</v>
      </c>
      <c r="W408" s="16">
        <f t="shared" si="144"/>
        <v>0.38022813688212925</v>
      </c>
      <c r="X408" s="16">
        <f t="shared" si="144"/>
        <v>0.38453678474114439</v>
      </c>
      <c r="Y408" s="16">
        <f t="shared" si="144"/>
        <v>0.38858075040783036</v>
      </c>
      <c r="Z408" s="16">
        <f t="shared" si="144"/>
        <v>0.39229311433986103</v>
      </c>
      <c r="AA408" s="16">
        <f t="shared" si="144"/>
        <v>0.39599624648107601</v>
      </c>
      <c r="AB408" s="16">
        <f t="shared" si="144"/>
        <v>0.39949028352978655</v>
      </c>
      <c r="AC408" s="16">
        <f t="shared" si="144"/>
        <v>0.40274599542334094</v>
      </c>
      <c r="AD408" s="16">
        <f t="shared" si="144"/>
        <v>0.40574447012215253</v>
      </c>
      <c r="AE408" s="16">
        <f t="shared" si="144"/>
        <v>0.40836012861736337</v>
      </c>
      <c r="AF408" s="16">
        <f t="shared" si="144"/>
        <v>0.41096324461343475</v>
      </c>
      <c r="AG408" s="16">
        <f t="shared" si="144"/>
        <v>0.4132921174652241</v>
      </c>
      <c r="AH408" s="16">
        <f t="shared" si="144"/>
        <v>0.41579272054287475</v>
      </c>
      <c r="AI408" s="16">
        <f t="shared" si="144"/>
        <v>0.41777384115736638</v>
      </c>
      <c r="AJ408" s="16">
        <f t="shared" si="144"/>
        <v>0.41992245750074558</v>
      </c>
      <c r="AK408" s="16">
        <f t="shared" si="144"/>
        <v>0.42172718950259386</v>
      </c>
      <c r="AL408" s="16">
        <f t="shared" si="144"/>
        <v>0.42312499999999997</v>
      </c>
      <c r="AM408" s="16">
        <f t="shared" si="144"/>
        <v>0.42466194462330975</v>
      </c>
      <c r="AN408" s="16">
        <f t="shared" si="144"/>
        <v>0.42628951747088184</v>
      </c>
      <c r="AO408" s="16">
        <f t="shared" si="144"/>
        <v>0.42735323056739916</v>
      </c>
      <c r="AP408" s="16">
        <f t="shared" si="144"/>
        <v>0.42847790507364975</v>
      </c>
      <c r="AQ408" s="16">
        <f t="shared" si="144"/>
        <v>0.42960629921259841</v>
      </c>
      <c r="AR408" s="16">
        <f t="shared" si="144"/>
        <v>0.43068391866913125</v>
      </c>
      <c r="AS408" s="16">
        <f t="shared" si="144"/>
        <v>0.43157894736842106</v>
      </c>
      <c r="AT408" s="16">
        <f t="shared" si="144"/>
        <v>0.4321273516642547</v>
      </c>
      <c r="AU408" s="16">
        <f t="shared" si="144"/>
        <v>0.43285674236052707</v>
      </c>
      <c r="AV408" s="16">
        <f t="shared" si="144"/>
        <v>0.43382756727073035</v>
      </c>
      <c r="AW408" s="16">
        <f t="shared" si="144"/>
        <v>0.43420704262642307</v>
      </c>
      <c r="AX408" s="16">
        <f t="shared" si="144"/>
        <v>0.43477130977130979</v>
      </c>
      <c r="AY408" s="16">
        <f t="shared" si="144"/>
        <v>0.43505360259286963</v>
      </c>
      <c r="AZ408" s="16">
        <f t="shared" si="144"/>
        <v>0.4356248523505788</v>
      </c>
      <c r="BA408" s="16">
        <f t="shared" si="144"/>
        <v>0.43598615916955019</v>
      </c>
      <c r="BB408" s="16">
        <f t="shared" si="144"/>
        <v>0.43618201997780243</v>
      </c>
      <c r="BC408" s="16">
        <f t="shared" si="144"/>
        <v>0.43645083932853718</v>
      </c>
      <c r="BD408" s="16">
        <f t="shared" si="144"/>
        <v>0.43656716417910446</v>
      </c>
      <c r="BE408" s="16">
        <f t="shared" si="144"/>
        <v>0.43678160919540232</v>
      </c>
      <c r="BF408" s="16">
        <f t="shared" si="144"/>
        <v>0.43696145124716551</v>
      </c>
      <c r="BG408" s="16">
        <f t="shared" si="144"/>
        <v>0.43703028922796627</v>
      </c>
      <c r="BH408" s="16">
        <f t="shared" si="144"/>
        <v>0.43718008375988832</v>
      </c>
      <c r="BI408" s="16">
        <f t="shared" si="144"/>
        <v>0.43739799487059922</v>
      </c>
    </row>
    <row r="409" spans="1:61" x14ac:dyDescent="0.25">
      <c r="A409" s="11">
        <f>$A$84</f>
        <v>69</v>
      </c>
      <c r="M409" s="11"/>
      <c r="N409" s="11"/>
      <c r="O409" s="11"/>
      <c r="P409" s="11"/>
      <c r="Q409" s="11"/>
      <c r="R409" s="11"/>
      <c r="S409" s="11"/>
      <c r="T409" s="16">
        <f>T$269/T$84</f>
        <v>0.31924882629107981</v>
      </c>
      <c r="U409" s="16">
        <f t="shared" ref="U409:BI409" si="145">U$269/U$84</f>
        <v>0.32386363636363635</v>
      </c>
      <c r="V409" s="16">
        <f t="shared" si="145"/>
        <v>0.32840236686390534</v>
      </c>
      <c r="W409" s="16">
        <f t="shared" si="145"/>
        <v>0.33285354444044618</v>
      </c>
      <c r="X409" s="16">
        <f t="shared" si="145"/>
        <v>0.33669916434540392</v>
      </c>
      <c r="Y409" s="16">
        <f t="shared" si="145"/>
        <v>0.34053497942386829</v>
      </c>
      <c r="Z409" s="16">
        <f t="shared" si="145"/>
        <v>0.34417077175697863</v>
      </c>
      <c r="AA409" s="16">
        <f t="shared" si="145"/>
        <v>0.34753577106518285</v>
      </c>
      <c r="AB409" s="16">
        <f t="shared" si="145"/>
        <v>0.35064526282656594</v>
      </c>
      <c r="AC409" s="16">
        <f t="shared" si="145"/>
        <v>0.35352564102564105</v>
      </c>
      <c r="AD409" s="16">
        <f t="shared" si="145"/>
        <v>0.35613285103584347</v>
      </c>
      <c r="AE409" s="16">
        <f t="shared" si="145"/>
        <v>0.35901693789438727</v>
      </c>
      <c r="AF409" s="16">
        <f t="shared" si="145"/>
        <v>0.36125485122897799</v>
      </c>
      <c r="AG409" s="16">
        <f t="shared" si="145"/>
        <v>0.3634915578209621</v>
      </c>
      <c r="AH409" s="16">
        <f t="shared" si="145"/>
        <v>0.36555797326701894</v>
      </c>
      <c r="AI409" s="16">
        <f t="shared" si="145"/>
        <v>0.36732796032238063</v>
      </c>
      <c r="AJ409" s="16">
        <f t="shared" si="145"/>
        <v>0.36913946587537094</v>
      </c>
      <c r="AK409" s="16">
        <f t="shared" si="145"/>
        <v>0.37099190890020978</v>
      </c>
      <c r="AL409" s="16">
        <f t="shared" si="145"/>
        <v>0.37247087676272228</v>
      </c>
      <c r="AM409" s="16">
        <f t="shared" si="145"/>
        <v>0.37382297551789079</v>
      </c>
      <c r="AN409" s="16">
        <f t="shared" si="145"/>
        <v>0.37516170763260026</v>
      </c>
      <c r="AO409" s="16">
        <f t="shared" si="145"/>
        <v>0.37633689839572193</v>
      </c>
      <c r="AP409" s="16">
        <f t="shared" si="145"/>
        <v>0.37747035573122528</v>
      </c>
      <c r="AQ409" s="16">
        <f t="shared" si="145"/>
        <v>0.37836949375410917</v>
      </c>
      <c r="AR409" s="16">
        <f t="shared" si="145"/>
        <v>0.37938665823585205</v>
      </c>
      <c r="AS409" s="16">
        <f t="shared" si="145"/>
        <v>0.38002473716759433</v>
      </c>
      <c r="AT409" s="16">
        <f t="shared" si="145"/>
        <v>0.38073671497584544</v>
      </c>
      <c r="AU409" s="16">
        <f t="shared" si="145"/>
        <v>0.38146426496223124</v>
      </c>
      <c r="AV409" s="16">
        <f t="shared" si="145"/>
        <v>0.38210467079347216</v>
      </c>
      <c r="AW409" s="16">
        <f t="shared" si="145"/>
        <v>0.38264462809917354</v>
      </c>
      <c r="AX409" s="16">
        <f t="shared" si="145"/>
        <v>0.3831030818278427</v>
      </c>
      <c r="AY409" s="16">
        <f t="shared" si="145"/>
        <v>0.3833116036505867</v>
      </c>
      <c r="AZ409" s="16">
        <f t="shared" si="145"/>
        <v>0.38369184592296146</v>
      </c>
      <c r="BA409" s="16">
        <f t="shared" si="145"/>
        <v>0.38412322274881516</v>
      </c>
      <c r="BB409" s="16">
        <f t="shared" si="145"/>
        <v>0.38440175885211758</v>
      </c>
      <c r="BC409" s="16">
        <f t="shared" si="145"/>
        <v>0.3845468715208194</v>
      </c>
      <c r="BD409" s="16">
        <f t="shared" si="145"/>
        <v>0.38486770172753115</v>
      </c>
      <c r="BE409" s="16">
        <f t="shared" si="145"/>
        <v>0.38498789346246975</v>
      </c>
      <c r="BF409" s="16">
        <f t="shared" si="145"/>
        <v>0.38505874528929285</v>
      </c>
      <c r="BG409" s="16">
        <f t="shared" si="145"/>
        <v>0.385175079581628</v>
      </c>
      <c r="BH409" s="16">
        <f t="shared" si="145"/>
        <v>0.38524777346426126</v>
      </c>
      <c r="BI409" s="16">
        <f t="shared" si="145"/>
        <v>0.38535106134826219</v>
      </c>
    </row>
    <row r="410" spans="1:61" x14ac:dyDescent="0.25">
      <c r="A410" s="11">
        <f>$A$85</f>
        <v>70</v>
      </c>
      <c r="M410" s="11"/>
      <c r="N410" s="11"/>
      <c r="O410" s="11"/>
      <c r="P410" s="11"/>
      <c r="Q410" s="11"/>
      <c r="R410" s="11"/>
      <c r="S410" s="11"/>
      <c r="T410" s="16">
        <f>T$270/T$85</f>
        <v>0.27541514783313081</v>
      </c>
      <c r="U410" s="16">
        <f t="shared" ref="U410:BI410" si="146">U$270/U$85</f>
        <v>0.27979479084451458</v>
      </c>
      <c r="V410" s="16">
        <f t="shared" si="146"/>
        <v>0.28380443086325441</v>
      </c>
      <c r="W410" s="16">
        <f t="shared" si="146"/>
        <v>0.28747203579418346</v>
      </c>
      <c r="X410" s="16">
        <f t="shared" si="146"/>
        <v>0.29125861443598111</v>
      </c>
      <c r="Y410" s="16">
        <f t="shared" si="146"/>
        <v>0.29463346194317785</v>
      </c>
      <c r="Z410" s="16">
        <f t="shared" si="146"/>
        <v>0.2978576364892882</v>
      </c>
      <c r="AA410" s="16">
        <f t="shared" si="146"/>
        <v>0.300694674164737</v>
      </c>
      <c r="AB410" s="16">
        <f t="shared" si="146"/>
        <v>0.30355427473583091</v>
      </c>
      <c r="AC410" s="16">
        <f t="shared" si="146"/>
        <v>0.30649762282091919</v>
      </c>
      <c r="AD410" s="16">
        <f t="shared" si="146"/>
        <v>0.30880929332042595</v>
      </c>
      <c r="AE410" s="16">
        <f t="shared" si="146"/>
        <v>0.31115524660708377</v>
      </c>
      <c r="AF410" s="16">
        <f t="shared" si="146"/>
        <v>0.31316844919786097</v>
      </c>
      <c r="AG410" s="16">
        <f t="shared" si="146"/>
        <v>0.31532704197852263</v>
      </c>
      <c r="AH410" s="16">
        <f t="shared" si="146"/>
        <v>0.31698717948717947</v>
      </c>
      <c r="AI410" s="16">
        <f t="shared" si="146"/>
        <v>0.31894934333958724</v>
      </c>
      <c r="AJ410" s="16">
        <f t="shared" si="146"/>
        <v>0.32054879950109139</v>
      </c>
      <c r="AK410" s="16">
        <f t="shared" si="146"/>
        <v>0.3219934347955834</v>
      </c>
      <c r="AL410" s="16">
        <f t="shared" si="146"/>
        <v>0.32338758288125374</v>
      </c>
      <c r="AM410" s="16">
        <f t="shared" si="146"/>
        <v>0.32449922958397537</v>
      </c>
      <c r="AN410" s="16">
        <f t="shared" si="146"/>
        <v>0.32597033764594507</v>
      </c>
      <c r="AO410" s="16">
        <f t="shared" si="146"/>
        <v>0.32694182645433867</v>
      </c>
      <c r="AP410" s="16">
        <f t="shared" si="146"/>
        <v>0.32773673606447279</v>
      </c>
      <c r="AQ410" s="16">
        <f t="shared" si="146"/>
        <v>0.32859033752481798</v>
      </c>
      <c r="AR410" s="16">
        <f t="shared" si="146"/>
        <v>0.32948167712116211</v>
      </c>
      <c r="AS410" s="16">
        <f t="shared" si="146"/>
        <v>0.33026357573832965</v>
      </c>
      <c r="AT410" s="16">
        <f t="shared" si="146"/>
        <v>0.33074534161490682</v>
      </c>
      <c r="AU410" s="16">
        <f t="shared" si="146"/>
        <v>0.33141297756215887</v>
      </c>
      <c r="AV410" s="16">
        <f t="shared" si="146"/>
        <v>0.33197199533255545</v>
      </c>
      <c r="AW410" s="16">
        <f t="shared" si="146"/>
        <v>0.33257982480926818</v>
      </c>
      <c r="AX410" s="16">
        <f t="shared" si="146"/>
        <v>0.33305670816044258</v>
      </c>
      <c r="AY410" s="16">
        <f t="shared" si="146"/>
        <v>0.33333333333333331</v>
      </c>
      <c r="AZ410" s="16">
        <f t="shared" si="146"/>
        <v>0.33350785340314137</v>
      </c>
      <c r="BA410" s="16">
        <f t="shared" si="146"/>
        <v>0.33391915641476272</v>
      </c>
      <c r="BB410" s="16">
        <f t="shared" si="146"/>
        <v>0.33420551855375835</v>
      </c>
      <c r="BC410" s="16">
        <f t="shared" si="146"/>
        <v>0.33441709242916862</v>
      </c>
      <c r="BD410" s="16">
        <f t="shared" si="146"/>
        <v>0.33452513966480446</v>
      </c>
      <c r="BE410" s="16">
        <f t="shared" si="146"/>
        <v>0.33457656867046953</v>
      </c>
      <c r="BF410" s="16">
        <f t="shared" si="146"/>
        <v>0.33487961122155951</v>
      </c>
      <c r="BG410" s="16">
        <f t="shared" si="146"/>
        <v>0.33496441281138789</v>
      </c>
      <c r="BH410" s="16">
        <f t="shared" si="146"/>
        <v>0.33508211678832117</v>
      </c>
      <c r="BI410" s="16">
        <f t="shared" si="146"/>
        <v>0.33508932661475033</v>
      </c>
    </row>
    <row r="411" spans="1:61" x14ac:dyDescent="0.25">
      <c r="A411" s="11">
        <f>$A$86</f>
        <v>71</v>
      </c>
      <c r="M411" s="11"/>
      <c r="N411" s="11"/>
      <c r="O411" s="11"/>
      <c r="P411" s="11"/>
      <c r="Q411" s="11"/>
      <c r="R411" s="11"/>
      <c r="S411" s="11"/>
      <c r="T411" s="16">
        <f>T$271/T$86</f>
        <v>0.23491928632115547</v>
      </c>
      <c r="U411" s="16">
        <f t="shared" ref="U411:BI411" si="147">U$271/U$86</f>
        <v>0.23895253682487724</v>
      </c>
      <c r="V411" s="16">
        <f t="shared" si="147"/>
        <v>0.24272618573136709</v>
      </c>
      <c r="W411" s="16">
        <f t="shared" si="147"/>
        <v>0.24604704974932512</v>
      </c>
      <c r="X411" s="16">
        <f t="shared" si="147"/>
        <v>0.24905944319036868</v>
      </c>
      <c r="Y411" s="16">
        <f t="shared" si="147"/>
        <v>0.25210391511159896</v>
      </c>
      <c r="Z411" s="16">
        <f t="shared" si="147"/>
        <v>0.25513092710544938</v>
      </c>
      <c r="AA411" s="16">
        <f t="shared" si="147"/>
        <v>0.25783972125435539</v>
      </c>
      <c r="AB411" s="16">
        <f t="shared" si="147"/>
        <v>0.26017344896597733</v>
      </c>
      <c r="AC411" s="16">
        <f t="shared" si="147"/>
        <v>0.26275016139444801</v>
      </c>
      <c r="AD411" s="16">
        <f t="shared" si="147"/>
        <v>0.26477163845416801</v>
      </c>
      <c r="AE411" s="16">
        <f t="shared" si="147"/>
        <v>0.26699186991869917</v>
      </c>
      <c r="AF411" s="16">
        <f t="shared" si="147"/>
        <v>0.26875625208402804</v>
      </c>
      <c r="AG411" s="16">
        <f t="shared" si="147"/>
        <v>0.27061595422416695</v>
      </c>
      <c r="AH411" s="16">
        <f t="shared" si="147"/>
        <v>0.27228047182175624</v>
      </c>
      <c r="AI411" s="16">
        <f t="shared" si="147"/>
        <v>0.27372498386055522</v>
      </c>
      <c r="AJ411" s="16">
        <f t="shared" si="147"/>
        <v>0.2751022977651873</v>
      </c>
      <c r="AK411" s="16">
        <f t="shared" si="147"/>
        <v>0.27652228499686127</v>
      </c>
      <c r="AL411" s="16">
        <f t="shared" si="147"/>
        <v>0.27777777777777779</v>
      </c>
      <c r="AM411" s="16">
        <f t="shared" si="147"/>
        <v>0.27895694360218315</v>
      </c>
      <c r="AN411" s="16">
        <f t="shared" si="147"/>
        <v>0.28000000000000003</v>
      </c>
      <c r="AO411" s="16">
        <f t="shared" si="147"/>
        <v>0.28095238095238095</v>
      </c>
      <c r="AP411" s="16">
        <f t="shared" si="147"/>
        <v>0.28179143510951293</v>
      </c>
      <c r="AQ411" s="16">
        <f t="shared" si="147"/>
        <v>0.28267477203647418</v>
      </c>
      <c r="AR411" s="16">
        <f t="shared" si="147"/>
        <v>0.28310046573519626</v>
      </c>
      <c r="AS411" s="16">
        <f t="shared" si="147"/>
        <v>0.28377032857616991</v>
      </c>
      <c r="AT411" s="16">
        <f t="shared" si="147"/>
        <v>0.28448275862068967</v>
      </c>
      <c r="AU411" s="16">
        <f t="shared" si="147"/>
        <v>0.2850452700593194</v>
      </c>
      <c r="AV411" s="16">
        <f t="shared" si="147"/>
        <v>0.285496648385131</v>
      </c>
      <c r="AW411" s="16">
        <f t="shared" si="147"/>
        <v>0.28583992963940191</v>
      </c>
      <c r="AX411" s="16">
        <f t="shared" si="147"/>
        <v>0.28611978427476581</v>
      </c>
      <c r="AY411" s="16">
        <f t="shared" si="147"/>
        <v>0.28654808226792661</v>
      </c>
      <c r="AZ411" s="16">
        <f t="shared" si="147"/>
        <v>0.28690061612643986</v>
      </c>
      <c r="BA411" s="16">
        <f t="shared" si="147"/>
        <v>0.28714173021298972</v>
      </c>
      <c r="BB411" s="16">
        <f t="shared" si="147"/>
        <v>0.28719112455874934</v>
      </c>
      <c r="BC411" s="16">
        <f t="shared" si="147"/>
        <v>0.28738652651696128</v>
      </c>
      <c r="BD411" s="16">
        <f t="shared" si="147"/>
        <v>0.28754664179104478</v>
      </c>
      <c r="BE411" s="16">
        <f t="shared" si="147"/>
        <v>0.28792639138240572</v>
      </c>
      <c r="BF411" s="16">
        <f t="shared" si="147"/>
        <v>0.28788546255506609</v>
      </c>
      <c r="BG411" s="16">
        <f t="shared" si="147"/>
        <v>0.28802660753880266</v>
      </c>
      <c r="BH411" s="16">
        <f t="shared" si="147"/>
        <v>0.28801071667782985</v>
      </c>
      <c r="BI411" s="16">
        <f t="shared" si="147"/>
        <v>0.28823260073260071</v>
      </c>
    </row>
    <row r="412" spans="1:61" x14ac:dyDescent="0.25">
      <c r="A412" s="11">
        <f>$A$87</f>
        <v>72</v>
      </c>
      <c r="M412" s="11"/>
      <c r="N412" s="11"/>
      <c r="O412" s="11"/>
      <c r="P412" s="11"/>
      <c r="Q412" s="11"/>
      <c r="R412" s="11"/>
      <c r="S412" s="11"/>
      <c r="T412" s="16">
        <f>T$272/T$87</f>
        <v>0.19772029811486191</v>
      </c>
      <c r="U412" s="16">
        <f t="shared" ref="U412:BI412" si="148">U$272/U$87</f>
        <v>0.2011173184357542</v>
      </c>
      <c r="V412" s="16">
        <f t="shared" si="148"/>
        <v>0.20430107526881722</v>
      </c>
      <c r="W412" s="16">
        <f t="shared" si="148"/>
        <v>0.20700765203383004</v>
      </c>
      <c r="X412" s="16">
        <f t="shared" si="148"/>
        <v>0.21005455962587685</v>
      </c>
      <c r="Y412" s="16">
        <f t="shared" si="148"/>
        <v>0.21284682630178639</v>
      </c>
      <c r="Z412" s="16">
        <f t="shared" si="148"/>
        <v>0.21507760532150777</v>
      </c>
      <c r="AA412" s="16">
        <f t="shared" si="148"/>
        <v>0.21757770632368703</v>
      </c>
      <c r="AB412" s="16">
        <f t="shared" si="148"/>
        <v>0.21983819908547308</v>
      </c>
      <c r="AC412" s="16">
        <f t="shared" si="148"/>
        <v>0.22181083810164928</v>
      </c>
      <c r="AD412" s="16">
        <f t="shared" si="148"/>
        <v>0.2237785016286645</v>
      </c>
      <c r="AE412" s="16">
        <f t="shared" si="148"/>
        <v>0.22558814050918466</v>
      </c>
      <c r="AF412" s="16">
        <f t="shared" si="148"/>
        <v>0.22728763529025911</v>
      </c>
      <c r="AG412" s="16">
        <f t="shared" si="148"/>
        <v>0.22898453261600538</v>
      </c>
      <c r="AH412" s="16">
        <f t="shared" si="148"/>
        <v>0.23040380047505937</v>
      </c>
      <c r="AI412" s="16">
        <f t="shared" si="148"/>
        <v>0.23150594451783355</v>
      </c>
      <c r="AJ412" s="16">
        <f t="shared" si="148"/>
        <v>0.23292127521145087</v>
      </c>
      <c r="AK412" s="16">
        <f t="shared" si="148"/>
        <v>0.2340627973358706</v>
      </c>
      <c r="AL412" s="16">
        <f t="shared" si="148"/>
        <v>0.23521972810622827</v>
      </c>
      <c r="AM412" s="16">
        <f t="shared" si="148"/>
        <v>0.23623714458560194</v>
      </c>
      <c r="AN412" s="16">
        <f t="shared" si="148"/>
        <v>0.23694656488549617</v>
      </c>
      <c r="AO412" s="16">
        <f t="shared" si="148"/>
        <v>0.23790196690602561</v>
      </c>
      <c r="AP412" s="16">
        <f t="shared" si="148"/>
        <v>0.23865814696485624</v>
      </c>
      <c r="AQ412" s="16">
        <f t="shared" si="148"/>
        <v>0.23922342875946034</v>
      </c>
      <c r="AR412" s="16">
        <f t="shared" si="148"/>
        <v>0.23997280761386811</v>
      </c>
      <c r="AS412" s="16">
        <f t="shared" si="148"/>
        <v>0.24037495815199197</v>
      </c>
      <c r="AT412" s="16">
        <f t="shared" si="148"/>
        <v>0.24114896459585838</v>
      </c>
      <c r="AU412" s="16">
        <f t="shared" si="148"/>
        <v>0.24149004495825305</v>
      </c>
      <c r="AV412" s="16">
        <f t="shared" si="148"/>
        <v>0.24175824175824176</v>
      </c>
      <c r="AW412" s="16">
        <f t="shared" si="148"/>
        <v>0.24241495556236592</v>
      </c>
      <c r="AX412" s="16">
        <f t="shared" si="148"/>
        <v>0.24262971698113209</v>
      </c>
      <c r="AY412" s="16">
        <f t="shared" si="148"/>
        <v>0.24286529680365296</v>
      </c>
      <c r="AZ412" s="16">
        <f t="shared" si="148"/>
        <v>0.24308466051969824</v>
      </c>
      <c r="BA412" s="16">
        <f t="shared" si="148"/>
        <v>0.24346889307837327</v>
      </c>
      <c r="BB412" s="16">
        <f t="shared" si="148"/>
        <v>0.24339323467230445</v>
      </c>
      <c r="BC412" s="16">
        <f t="shared" si="148"/>
        <v>0.24379118094272681</v>
      </c>
      <c r="BD412" s="16">
        <f t="shared" si="148"/>
        <v>0.24387902064330294</v>
      </c>
      <c r="BE412" s="16">
        <f t="shared" si="148"/>
        <v>0.24396531520974923</v>
      </c>
      <c r="BF412" s="16">
        <f t="shared" si="148"/>
        <v>0.24391343552750225</v>
      </c>
      <c r="BG412" s="16">
        <f t="shared" si="148"/>
        <v>0.24408054879398097</v>
      </c>
      <c r="BH412" s="16">
        <f t="shared" si="148"/>
        <v>0.244097995545657</v>
      </c>
      <c r="BI412" s="16">
        <f t="shared" si="148"/>
        <v>0.24417040358744393</v>
      </c>
    </row>
    <row r="413" spans="1:61" x14ac:dyDescent="0.25">
      <c r="A413" s="11">
        <f>$A$88</f>
        <v>73</v>
      </c>
      <c r="M413" s="11"/>
      <c r="N413" s="11"/>
      <c r="O413" s="11"/>
      <c r="P413" s="11"/>
      <c r="Q413" s="11"/>
      <c r="R413" s="11"/>
      <c r="S413" s="11"/>
      <c r="T413" s="16">
        <f>T$273/T$88</f>
        <v>0.16307833256985799</v>
      </c>
      <c r="U413" s="16">
        <f t="shared" ref="U413:BI413" si="149">U$273/U$88</f>
        <v>0.1660746003552398</v>
      </c>
      <c r="V413" s="16">
        <f t="shared" si="149"/>
        <v>0.16876903001304916</v>
      </c>
      <c r="W413" s="16">
        <f t="shared" si="149"/>
        <v>0.17161992465466722</v>
      </c>
      <c r="X413" s="16">
        <f t="shared" si="149"/>
        <v>0.17400162999185004</v>
      </c>
      <c r="Y413" s="16">
        <f t="shared" si="149"/>
        <v>0.17619235317303902</v>
      </c>
      <c r="Z413" s="16">
        <f t="shared" si="149"/>
        <v>0.17832436587240585</v>
      </c>
      <c r="AA413" s="16">
        <f t="shared" si="149"/>
        <v>0.18042584983190138</v>
      </c>
      <c r="AB413" s="16">
        <f t="shared" si="149"/>
        <v>0.18231046931407943</v>
      </c>
      <c r="AC413" s="16">
        <f t="shared" si="149"/>
        <v>0.18407960199004975</v>
      </c>
      <c r="AD413" s="16">
        <f t="shared" si="149"/>
        <v>0.18599115946956818</v>
      </c>
      <c r="AE413" s="16">
        <f t="shared" si="149"/>
        <v>0.1875</v>
      </c>
      <c r="AF413" s="16">
        <f t="shared" si="149"/>
        <v>0.18900455432661029</v>
      </c>
      <c r="AG413" s="16">
        <f t="shared" si="149"/>
        <v>0.19033432638199271</v>
      </c>
      <c r="AH413" s="16">
        <f t="shared" si="149"/>
        <v>0.19172039362063115</v>
      </c>
      <c r="AI413" s="16">
        <f t="shared" si="149"/>
        <v>0.19280821917808219</v>
      </c>
      <c r="AJ413" s="16">
        <f t="shared" si="149"/>
        <v>0.1939353548817061</v>
      </c>
      <c r="AK413" s="16">
        <f t="shared" si="149"/>
        <v>0.19488188976377951</v>
      </c>
      <c r="AL413" s="16">
        <f t="shared" si="149"/>
        <v>0.19571474256475854</v>
      </c>
      <c r="AM413" s="16">
        <f t="shared" si="149"/>
        <v>0.19668473063436404</v>
      </c>
      <c r="AN413" s="16">
        <f t="shared" si="149"/>
        <v>0.19762122598353157</v>
      </c>
      <c r="AO413" s="16">
        <f t="shared" si="149"/>
        <v>0.1982148353339489</v>
      </c>
      <c r="AP413" s="16">
        <f t="shared" si="149"/>
        <v>0.19886721208307112</v>
      </c>
      <c r="AQ413" s="16">
        <f t="shared" si="149"/>
        <v>0.19961365099806824</v>
      </c>
      <c r="AR413" s="16">
        <f t="shared" si="149"/>
        <v>0.20019887305270137</v>
      </c>
      <c r="AS413" s="16">
        <f t="shared" si="149"/>
        <v>0.20054757015742641</v>
      </c>
      <c r="AT413" s="16">
        <f t="shared" si="149"/>
        <v>0.20087630603303</v>
      </c>
      <c r="AU413" s="16">
        <f t="shared" si="149"/>
        <v>0.20141223940820444</v>
      </c>
      <c r="AV413" s="16">
        <f t="shared" si="149"/>
        <v>0.20168067226890757</v>
      </c>
      <c r="AW413" s="16">
        <f t="shared" si="149"/>
        <v>0.20195954487989887</v>
      </c>
      <c r="AX413" s="16">
        <f t="shared" si="149"/>
        <v>0.20228183780450201</v>
      </c>
      <c r="AY413" s="16">
        <f t="shared" si="149"/>
        <v>0.20261050133491545</v>
      </c>
      <c r="AZ413" s="16">
        <f t="shared" si="149"/>
        <v>0.20275703618609994</v>
      </c>
      <c r="BA413" s="16">
        <f t="shared" si="149"/>
        <v>0.2029229904440697</v>
      </c>
      <c r="BB413" s="16">
        <f t="shared" si="149"/>
        <v>0.20314192849404117</v>
      </c>
      <c r="BC413" s="16">
        <f t="shared" si="149"/>
        <v>0.20329524315705555</v>
      </c>
      <c r="BD413" s="16">
        <f t="shared" si="149"/>
        <v>0.20336391437308868</v>
      </c>
      <c r="BE413" s="16">
        <f t="shared" si="149"/>
        <v>0.20347574221578565</v>
      </c>
      <c r="BF413" s="16">
        <f t="shared" si="149"/>
        <v>0.20353356890459365</v>
      </c>
      <c r="BG413" s="16">
        <f t="shared" si="149"/>
        <v>0.20371629277135736</v>
      </c>
      <c r="BH413" s="16">
        <f t="shared" si="149"/>
        <v>0.20373665480427047</v>
      </c>
      <c r="BI413" s="16">
        <f t="shared" si="149"/>
        <v>0.20389435989256938</v>
      </c>
    </row>
    <row r="414" spans="1:61" x14ac:dyDescent="0.25">
      <c r="A414" s="11">
        <f>$A$89</f>
        <v>74</v>
      </c>
      <c r="M414" s="11"/>
      <c r="N414" s="11"/>
      <c r="O414" s="11"/>
      <c r="P414" s="11"/>
      <c r="Q414" s="11"/>
      <c r="R414" s="11"/>
      <c r="S414" s="11"/>
      <c r="T414" s="16">
        <f>T$274/T$89</f>
        <v>0.13446535107847638</v>
      </c>
      <c r="U414" s="16">
        <f t="shared" ref="U414:BI414" si="150">U$274/U$89</f>
        <v>0.13708178438661711</v>
      </c>
      <c r="V414" s="16">
        <f t="shared" si="150"/>
        <v>0.1395767672219721</v>
      </c>
      <c r="W414" s="16">
        <f t="shared" si="150"/>
        <v>0.1419753086419753</v>
      </c>
      <c r="X414" s="16">
        <f t="shared" si="150"/>
        <v>0.14382689859991515</v>
      </c>
      <c r="Y414" s="16">
        <f t="shared" si="150"/>
        <v>0.1460998761865456</v>
      </c>
      <c r="Z414" s="16">
        <f t="shared" si="150"/>
        <v>0.14804469273743018</v>
      </c>
      <c r="AA414" s="16">
        <f t="shared" si="150"/>
        <v>0.14980544747081712</v>
      </c>
      <c r="AB414" s="16">
        <f t="shared" si="150"/>
        <v>0.15160680529300566</v>
      </c>
      <c r="AC414" s="16">
        <f t="shared" si="150"/>
        <v>0.15308732188527585</v>
      </c>
      <c r="AD414" s="16">
        <f t="shared" si="150"/>
        <v>0.15462064005753326</v>
      </c>
      <c r="AE414" s="16">
        <f t="shared" si="150"/>
        <v>0.15577716643741404</v>
      </c>
      <c r="AF414" s="16">
        <f t="shared" si="150"/>
        <v>0.15729963418689724</v>
      </c>
      <c r="AG414" s="16">
        <f t="shared" si="150"/>
        <v>0.15850049325879645</v>
      </c>
      <c r="AH414" s="16">
        <f t="shared" si="150"/>
        <v>0.1595851455336233</v>
      </c>
      <c r="AI414" s="16">
        <f t="shared" si="150"/>
        <v>0.16043880699348645</v>
      </c>
      <c r="AJ414" s="16">
        <f t="shared" si="150"/>
        <v>0.16153580076098237</v>
      </c>
      <c r="AK414" s="16">
        <f t="shared" si="150"/>
        <v>0.16251682368775236</v>
      </c>
      <c r="AL414" s="16">
        <f t="shared" si="150"/>
        <v>0.1632991056641272</v>
      </c>
      <c r="AM414" s="16">
        <f t="shared" si="150"/>
        <v>0.16397675919948354</v>
      </c>
      <c r="AN414" s="16">
        <f t="shared" si="150"/>
        <v>0.16473616473616473</v>
      </c>
      <c r="AO414" s="16">
        <f t="shared" si="150"/>
        <v>0.16523076923076924</v>
      </c>
      <c r="AP414" s="16">
        <f t="shared" si="150"/>
        <v>0.16578702266376902</v>
      </c>
      <c r="AQ414" s="16">
        <f t="shared" si="150"/>
        <v>0.16629641383687718</v>
      </c>
      <c r="AR414" s="16">
        <f t="shared" si="150"/>
        <v>0.16682895163907821</v>
      </c>
      <c r="AS414" s="16">
        <f t="shared" si="150"/>
        <v>0.16739057801536919</v>
      </c>
      <c r="AT414" s="16">
        <f t="shared" si="150"/>
        <v>0.16764401517764746</v>
      </c>
      <c r="AU414" s="16">
        <f t="shared" si="150"/>
        <v>0.16819571865443425</v>
      </c>
      <c r="AV414" s="16">
        <f t="shared" si="150"/>
        <v>0.16836043360433606</v>
      </c>
      <c r="AW414" s="16">
        <f t="shared" si="150"/>
        <v>0.16867469879518071</v>
      </c>
      <c r="AX414" s="16">
        <f t="shared" si="150"/>
        <v>0.16905444126074498</v>
      </c>
      <c r="AY414" s="16">
        <f t="shared" si="150"/>
        <v>0.16925465838509315</v>
      </c>
      <c r="AZ414" s="16">
        <f t="shared" si="150"/>
        <v>0.16935483870967741</v>
      </c>
      <c r="BA414" s="16">
        <f t="shared" si="150"/>
        <v>0.16941312518068807</v>
      </c>
      <c r="BB414" s="16">
        <f t="shared" si="150"/>
        <v>0.1697792869269949</v>
      </c>
      <c r="BC414" s="16">
        <f t="shared" si="150"/>
        <v>0.16984732824427481</v>
      </c>
      <c r="BD414" s="16">
        <f t="shared" si="150"/>
        <v>0.16983150575020059</v>
      </c>
      <c r="BE414" s="16">
        <f t="shared" si="150"/>
        <v>0.17</v>
      </c>
      <c r="BF414" s="16">
        <f t="shared" si="150"/>
        <v>0.16998542982030113</v>
      </c>
      <c r="BG414" s="16">
        <f t="shared" si="150"/>
        <v>0.17018250770324722</v>
      </c>
      <c r="BH414" s="16">
        <f t="shared" si="150"/>
        <v>0.17027581490768179</v>
      </c>
      <c r="BI414" s="16">
        <f t="shared" si="150"/>
        <v>0.17024608501118568</v>
      </c>
    </row>
    <row r="415" spans="1:61" x14ac:dyDescent="0.25">
      <c r="A415" s="11">
        <f>$A$90</f>
        <v>75</v>
      </c>
      <c r="M415" s="11"/>
      <c r="N415" s="11"/>
      <c r="O415" s="11"/>
      <c r="P415" s="11"/>
      <c r="Q415" s="11"/>
      <c r="R415" s="11"/>
      <c r="S415" s="11"/>
      <c r="T415" s="16">
        <f>T$275/T$90</f>
        <v>0.1118133203694701</v>
      </c>
      <c r="U415" s="16">
        <f t="shared" ref="U415:BI415" si="151">U$275/U$90</f>
        <v>0.1142723880597015</v>
      </c>
      <c r="V415" s="16">
        <f t="shared" si="151"/>
        <v>0.11661945231350331</v>
      </c>
      <c r="W415" s="16">
        <f t="shared" si="151"/>
        <v>0.11842706904435299</v>
      </c>
      <c r="X415" s="16">
        <f t="shared" si="151"/>
        <v>0.12041181736794987</v>
      </c>
      <c r="Y415" s="16">
        <f t="shared" si="151"/>
        <v>0.12225570383125269</v>
      </c>
      <c r="Z415" s="16">
        <f t="shared" si="151"/>
        <v>0.12395309882747069</v>
      </c>
      <c r="AA415" s="16">
        <f t="shared" si="151"/>
        <v>0.12545528126264671</v>
      </c>
      <c r="AB415" s="16">
        <f t="shared" si="151"/>
        <v>0.12702169625246548</v>
      </c>
      <c r="AC415" s="16">
        <f t="shared" si="151"/>
        <v>0.12835249042145594</v>
      </c>
      <c r="AD415" s="16">
        <f t="shared" si="151"/>
        <v>0.12990377498149519</v>
      </c>
      <c r="AE415" s="16">
        <f t="shared" si="151"/>
        <v>0.13109978150036417</v>
      </c>
      <c r="AF415" s="16">
        <f t="shared" si="151"/>
        <v>0.13231197771587744</v>
      </c>
      <c r="AG415" s="16">
        <f t="shared" si="151"/>
        <v>0.13333333333333333</v>
      </c>
      <c r="AH415" s="16">
        <f t="shared" si="151"/>
        <v>0.13410981697171381</v>
      </c>
      <c r="AI415" s="16">
        <f t="shared" si="151"/>
        <v>0.13536379018612521</v>
      </c>
      <c r="AJ415" s="16">
        <f t="shared" si="151"/>
        <v>0.13592233009708737</v>
      </c>
      <c r="AK415" s="16">
        <f t="shared" si="151"/>
        <v>0.13676110528156699</v>
      </c>
      <c r="AL415" s="16">
        <f t="shared" si="151"/>
        <v>0.13741496598639455</v>
      </c>
      <c r="AM415" s="16">
        <f t="shared" si="151"/>
        <v>0.13826581854703715</v>
      </c>
      <c r="AN415" s="16">
        <f t="shared" si="151"/>
        <v>0.13898858075040782</v>
      </c>
      <c r="AO415" s="16">
        <f t="shared" si="151"/>
        <v>0.13942151446213844</v>
      </c>
      <c r="AP415" s="16">
        <f t="shared" si="151"/>
        <v>0.13983840894965818</v>
      </c>
      <c r="AQ415" s="16">
        <f t="shared" si="151"/>
        <v>0.14048291000313579</v>
      </c>
      <c r="AR415" s="16">
        <f t="shared" si="151"/>
        <v>0.14098045498237743</v>
      </c>
      <c r="AS415" s="16">
        <f t="shared" si="151"/>
        <v>0.14121887287024901</v>
      </c>
      <c r="AT415" s="16">
        <f t="shared" si="151"/>
        <v>0.14160485502360082</v>
      </c>
      <c r="AU415" s="16">
        <f t="shared" si="151"/>
        <v>0.14201183431952663</v>
      </c>
      <c r="AV415" s="16">
        <f t="shared" si="151"/>
        <v>0.14222069910897875</v>
      </c>
      <c r="AW415" s="16">
        <f t="shared" si="151"/>
        <v>0.14246668944311583</v>
      </c>
      <c r="AX415" s="16">
        <f t="shared" si="151"/>
        <v>0.14252873563218391</v>
      </c>
      <c r="AY415" s="16">
        <f t="shared" si="151"/>
        <v>0.14281129653401797</v>
      </c>
      <c r="AZ415" s="16">
        <f t="shared" si="151"/>
        <v>0.14308077645585474</v>
      </c>
      <c r="BA415" s="16">
        <f t="shared" si="151"/>
        <v>0.14333032219211081</v>
      </c>
      <c r="BB415" s="16">
        <f t="shared" si="151"/>
        <v>0.14335664335664336</v>
      </c>
      <c r="BC415" s="16">
        <f t="shared" si="151"/>
        <v>0.14338654503990877</v>
      </c>
      <c r="BD415" s="16">
        <f t="shared" si="151"/>
        <v>0.14364185663279319</v>
      </c>
      <c r="BE415" s="16">
        <f t="shared" si="151"/>
        <v>0.14358836206896552</v>
      </c>
      <c r="BF415" s="16">
        <f t="shared" si="151"/>
        <v>0.14359504132231404</v>
      </c>
      <c r="BG415" s="16">
        <f t="shared" si="151"/>
        <v>0.1438004402054292</v>
      </c>
      <c r="BH415" s="16">
        <f t="shared" si="151"/>
        <v>0.14387974230493916</v>
      </c>
      <c r="BI415" s="16">
        <f t="shared" si="151"/>
        <v>0.14387333639284075</v>
      </c>
    </row>
    <row r="416" spans="1:61" x14ac:dyDescent="0.25">
      <c r="A416" s="11">
        <f>$A$91</f>
        <v>76</v>
      </c>
      <c r="M416" s="11"/>
      <c r="N416" s="11"/>
      <c r="O416" s="11"/>
      <c r="P416" s="11"/>
      <c r="Q416" s="11"/>
      <c r="R416" s="11"/>
      <c r="S416" s="11"/>
      <c r="T416" s="16">
        <f>T$276/T$91</f>
        <v>9.4403892944038933E-2</v>
      </c>
      <c r="U416" s="16">
        <f t="shared" ref="U416:BI416" si="152">U$276/U$91</f>
        <v>9.6534653465346537E-2</v>
      </c>
      <c r="V416" s="16">
        <f t="shared" si="152"/>
        <v>9.8290598290598288E-2</v>
      </c>
      <c r="W416" s="16">
        <f t="shared" si="152"/>
        <v>0.10038424591738712</v>
      </c>
      <c r="X416" s="16">
        <f t="shared" si="152"/>
        <v>0.10186046511627907</v>
      </c>
      <c r="Y416" s="16">
        <f t="shared" si="152"/>
        <v>0.10377787892580792</v>
      </c>
      <c r="Z416" s="16">
        <f t="shared" si="152"/>
        <v>0.10498687664041995</v>
      </c>
      <c r="AA416" s="16">
        <f t="shared" si="152"/>
        <v>0.10676307954062102</v>
      </c>
      <c r="AB416" s="16">
        <f t="shared" si="152"/>
        <v>0.10809699958898479</v>
      </c>
      <c r="AC416" s="16">
        <f t="shared" si="152"/>
        <v>0.10933119743692431</v>
      </c>
      <c r="AD416" s="16">
        <f t="shared" si="152"/>
        <v>0.1104199066874028</v>
      </c>
      <c r="AE416" s="16">
        <f t="shared" si="152"/>
        <v>0.11152835148328952</v>
      </c>
      <c r="AF416" s="16">
        <f t="shared" si="152"/>
        <v>0.11262924667651403</v>
      </c>
      <c r="AG416" s="16">
        <f t="shared" si="152"/>
        <v>0.11370056497175141</v>
      </c>
      <c r="AH416" s="16">
        <f t="shared" si="152"/>
        <v>0.11433447098976109</v>
      </c>
      <c r="AI416" s="16">
        <f t="shared" si="152"/>
        <v>0.11534569983136593</v>
      </c>
      <c r="AJ416" s="16">
        <f t="shared" si="152"/>
        <v>0.11591220850480109</v>
      </c>
      <c r="AK416" s="16">
        <f t="shared" si="152"/>
        <v>0.11661397962767826</v>
      </c>
      <c r="AL416" s="16">
        <f t="shared" si="152"/>
        <v>0.11756373937677053</v>
      </c>
      <c r="AM416" s="16">
        <f t="shared" si="152"/>
        <v>0.1181129476584022</v>
      </c>
      <c r="AN416" s="16">
        <f t="shared" si="152"/>
        <v>0.11856368563685638</v>
      </c>
      <c r="AO416" s="16">
        <f t="shared" si="152"/>
        <v>0.11914191419141915</v>
      </c>
      <c r="AP416" s="16">
        <f t="shared" si="152"/>
        <v>0.11965811965811966</v>
      </c>
      <c r="AQ416" s="16">
        <f t="shared" si="152"/>
        <v>0.12005028284098052</v>
      </c>
      <c r="AR416" s="16">
        <f t="shared" si="152"/>
        <v>0.12044374009508717</v>
      </c>
      <c r="AS416" s="16">
        <f t="shared" si="152"/>
        <v>0.12079015544041451</v>
      </c>
      <c r="AT416" s="16">
        <f t="shared" si="152"/>
        <v>0.12119205298013246</v>
      </c>
      <c r="AU416" s="16">
        <f t="shared" si="152"/>
        <v>0.12129471890971039</v>
      </c>
      <c r="AV416" s="16">
        <f t="shared" si="152"/>
        <v>0.12165963431786217</v>
      </c>
      <c r="AW416" s="16">
        <f t="shared" si="152"/>
        <v>0.12184146763586017</v>
      </c>
      <c r="AX416" s="16">
        <f t="shared" si="152"/>
        <v>0.12211107278371852</v>
      </c>
      <c r="AY416" s="16">
        <f t="shared" si="152"/>
        <v>0.12234748010610079</v>
      </c>
      <c r="AZ416" s="16">
        <f t="shared" si="152"/>
        <v>0.12244897959183673</v>
      </c>
      <c r="BA416" s="16">
        <f t="shared" si="152"/>
        <v>0.1225908372827804</v>
      </c>
      <c r="BB416" s="16">
        <f t="shared" si="152"/>
        <v>0.1227217496962333</v>
      </c>
      <c r="BC416" s="16">
        <f t="shared" si="152"/>
        <v>0.12257495590828923</v>
      </c>
      <c r="BD416" s="16">
        <f t="shared" si="152"/>
        <v>0.12277170787809086</v>
      </c>
      <c r="BE416" s="16">
        <f t="shared" si="152"/>
        <v>0.12295762946552202</v>
      </c>
      <c r="BF416" s="16">
        <f t="shared" si="152"/>
        <v>0.12275936990765889</v>
      </c>
      <c r="BG416" s="16">
        <f t="shared" si="152"/>
        <v>0.12288466545170529</v>
      </c>
      <c r="BH416" s="16">
        <f t="shared" si="152"/>
        <v>0.12299728863692383</v>
      </c>
      <c r="BI416" s="16">
        <f t="shared" si="152"/>
        <v>0.12313612313612314</v>
      </c>
    </row>
    <row r="417" spans="1:61" x14ac:dyDescent="0.25">
      <c r="A417" s="11">
        <f>$A$92</f>
        <v>77</v>
      </c>
      <c r="M417" s="11"/>
      <c r="N417" s="11"/>
      <c r="O417" s="11"/>
      <c r="P417" s="11"/>
      <c r="Q417" s="11"/>
      <c r="R417" s="11"/>
      <c r="S417" s="11"/>
      <c r="T417" s="16">
        <f>T$277/T$92</f>
        <v>8.1470442126179834E-2</v>
      </c>
      <c r="U417" s="16">
        <f t="shared" ref="U417:BI417" si="153">U$277/U$92</f>
        <v>8.3457526080476907E-2</v>
      </c>
      <c r="V417" s="16">
        <f t="shared" si="153"/>
        <v>8.5353535353535348E-2</v>
      </c>
      <c r="W417" s="16">
        <f t="shared" si="153"/>
        <v>8.7167070217917669E-2</v>
      </c>
      <c r="X417" s="16">
        <f t="shared" si="153"/>
        <v>8.8638589618021554E-2</v>
      </c>
      <c r="Y417" s="16">
        <f t="shared" si="153"/>
        <v>9.004739336492891E-2</v>
      </c>
      <c r="Z417" s="16">
        <f t="shared" si="153"/>
        <v>9.1288229842446708E-2</v>
      </c>
      <c r="AA417" s="16">
        <f t="shared" si="153"/>
        <v>9.2650334075723831E-2</v>
      </c>
      <c r="AB417" s="16">
        <f t="shared" si="153"/>
        <v>9.3939393939393934E-2</v>
      </c>
      <c r="AC417" s="16">
        <f t="shared" si="153"/>
        <v>9.5317725752508367E-2</v>
      </c>
      <c r="AD417" s="16">
        <f t="shared" si="153"/>
        <v>9.6498371335504887E-2</v>
      </c>
      <c r="AE417" s="16">
        <f t="shared" si="153"/>
        <v>9.7233201581027662E-2</v>
      </c>
      <c r="AF417" s="16">
        <f t="shared" si="153"/>
        <v>9.8473282442748097E-2</v>
      </c>
      <c r="AG417" s="16">
        <f t="shared" si="153"/>
        <v>9.9437148217636023E-2</v>
      </c>
      <c r="AH417" s="16">
        <f t="shared" si="153"/>
        <v>0.10003585514521333</v>
      </c>
      <c r="AI417" s="16">
        <f t="shared" si="153"/>
        <v>0.10083160083160084</v>
      </c>
      <c r="AJ417" s="16">
        <f t="shared" si="153"/>
        <v>0.10167750770284149</v>
      </c>
      <c r="AK417" s="16">
        <f t="shared" si="153"/>
        <v>0.1022964509394572</v>
      </c>
      <c r="AL417" s="16">
        <f t="shared" si="153"/>
        <v>0.10295689348058425</v>
      </c>
      <c r="AM417" s="16">
        <f t="shared" si="153"/>
        <v>0.10341113105924596</v>
      </c>
      <c r="AN417" s="16">
        <f t="shared" si="153"/>
        <v>0.10401396160558464</v>
      </c>
      <c r="AO417" s="16">
        <f t="shared" si="153"/>
        <v>0.1043956043956044</v>
      </c>
      <c r="AP417" s="16">
        <f t="shared" si="153"/>
        <v>0.10501672240802676</v>
      </c>
      <c r="AQ417" s="16">
        <f t="shared" si="153"/>
        <v>0.10522810522810523</v>
      </c>
      <c r="AR417" s="16">
        <f t="shared" si="153"/>
        <v>0.10566518141311267</v>
      </c>
      <c r="AS417" s="16">
        <f t="shared" si="153"/>
        <v>0.10590500641848524</v>
      </c>
      <c r="AT417" s="16">
        <f t="shared" si="153"/>
        <v>0.10619469026548672</v>
      </c>
      <c r="AU417" s="16">
        <f t="shared" si="153"/>
        <v>0.10656836461126006</v>
      </c>
      <c r="AV417" s="16">
        <f t="shared" si="153"/>
        <v>0.10682288077188146</v>
      </c>
      <c r="AW417" s="16">
        <f t="shared" si="153"/>
        <v>0.10704125177809388</v>
      </c>
      <c r="AX417" s="16">
        <f t="shared" si="153"/>
        <v>0.10710535526776339</v>
      </c>
      <c r="AY417" s="16">
        <f t="shared" si="153"/>
        <v>0.10742936867806069</v>
      </c>
      <c r="AZ417" s="16">
        <f t="shared" si="153"/>
        <v>0.10757372654155496</v>
      </c>
      <c r="BA417" s="16">
        <f t="shared" si="153"/>
        <v>0.1076923076923077</v>
      </c>
      <c r="BB417" s="16">
        <f t="shared" si="153"/>
        <v>0.1075646345355889</v>
      </c>
      <c r="BC417" s="16">
        <f t="shared" si="153"/>
        <v>0.10770174900276158</v>
      </c>
      <c r="BD417" s="16">
        <f t="shared" si="153"/>
        <v>0.10774710596616206</v>
      </c>
      <c r="BE417" s="16">
        <f t="shared" si="153"/>
        <v>0.10798258345428156</v>
      </c>
      <c r="BF417" s="16">
        <f t="shared" si="153"/>
        <v>0.10794183445190157</v>
      </c>
      <c r="BG417" s="16">
        <f t="shared" si="153"/>
        <v>0.10800438596491228</v>
      </c>
      <c r="BH417" s="16">
        <f t="shared" si="153"/>
        <v>0.10798738833420915</v>
      </c>
      <c r="BI417" s="16">
        <f t="shared" si="153"/>
        <v>0.10818204426759513</v>
      </c>
    </row>
    <row r="418" spans="1:61" x14ac:dyDescent="0.25">
      <c r="A418" s="11">
        <f>$A$93</f>
        <v>78</v>
      </c>
      <c r="M418" s="11"/>
      <c r="N418" s="11"/>
      <c r="O418" s="11"/>
      <c r="P418" s="11"/>
      <c r="Q418" s="11"/>
      <c r="R418" s="11"/>
      <c r="S418" s="11"/>
      <c r="T418" s="16">
        <f>T$278/T$93</f>
        <v>7.1385359951603139E-2</v>
      </c>
      <c r="U418" s="16">
        <f t="shared" ref="U418:BI418" si="154">U$278/U$93</f>
        <v>7.2736520854526962E-2</v>
      </c>
      <c r="V418" s="16">
        <f t="shared" si="154"/>
        <v>7.4695121951219509E-2</v>
      </c>
      <c r="W418" s="16">
        <f t="shared" si="154"/>
        <v>7.6446280991735532E-2</v>
      </c>
      <c r="X418" s="16">
        <f t="shared" si="154"/>
        <v>7.76843146956952E-2</v>
      </c>
      <c r="Y418" s="16">
        <f t="shared" si="154"/>
        <v>7.9039519759879939E-2</v>
      </c>
      <c r="Z418" s="16">
        <f t="shared" si="154"/>
        <v>8.0309627479438803E-2</v>
      </c>
      <c r="AA418" s="16">
        <f t="shared" si="154"/>
        <v>8.1835383159886477E-2</v>
      </c>
      <c r="AB418" s="16">
        <f t="shared" si="154"/>
        <v>8.2689686506133578E-2</v>
      </c>
      <c r="AC418" s="16">
        <f t="shared" si="154"/>
        <v>8.3885209713024281E-2</v>
      </c>
      <c r="AD418" s="16">
        <f t="shared" si="154"/>
        <v>8.4825234441602726E-2</v>
      </c>
      <c r="AE418" s="16">
        <f t="shared" si="154"/>
        <v>8.5892116182572614E-2</v>
      </c>
      <c r="AF418" s="16">
        <f t="shared" si="154"/>
        <v>8.6991542488924684E-2</v>
      </c>
      <c r="AG418" s="16">
        <f t="shared" si="154"/>
        <v>8.7835211815001937E-2</v>
      </c>
      <c r="AH418" s="16">
        <f t="shared" si="154"/>
        <v>8.8617265087853322E-2</v>
      </c>
      <c r="AI418" s="16">
        <f t="shared" si="154"/>
        <v>8.901860634804816E-2</v>
      </c>
      <c r="AJ418" s="16">
        <f t="shared" si="154"/>
        <v>8.9883679943602399E-2</v>
      </c>
      <c r="AK418" s="16">
        <f t="shared" si="154"/>
        <v>9.0497737556561084E-2</v>
      </c>
      <c r="AL418" s="16">
        <f t="shared" si="154"/>
        <v>9.0876944837340878E-2</v>
      </c>
      <c r="AM418" s="16">
        <f t="shared" si="154"/>
        <v>9.1600289645184643E-2</v>
      </c>
      <c r="AN418" s="16">
        <f t="shared" si="154"/>
        <v>9.1937249179131708E-2</v>
      </c>
      <c r="AO418" s="16">
        <f t="shared" si="154"/>
        <v>9.2520382842963489E-2</v>
      </c>
      <c r="AP418" s="16">
        <f t="shared" si="154"/>
        <v>9.2715231788079472E-2</v>
      </c>
      <c r="AQ418" s="16">
        <f t="shared" si="154"/>
        <v>9.3346911065852009E-2</v>
      </c>
      <c r="AR418" s="16">
        <f t="shared" si="154"/>
        <v>9.3612706995606629E-2</v>
      </c>
      <c r="AS418" s="16">
        <f t="shared" si="154"/>
        <v>9.3961898611559569E-2</v>
      </c>
      <c r="AT418" s="16">
        <f t="shared" si="154"/>
        <v>9.4044907256752353E-2</v>
      </c>
      <c r="AU418" s="16">
        <f t="shared" si="154"/>
        <v>9.4383516118311736E-2</v>
      </c>
      <c r="AV418" s="16">
        <f t="shared" si="154"/>
        <v>9.4397283531409165E-2</v>
      </c>
      <c r="AW418" s="16">
        <f t="shared" si="154"/>
        <v>9.4622905027932955E-2</v>
      </c>
      <c r="AX418" s="16">
        <f t="shared" si="154"/>
        <v>9.5100864553314124E-2</v>
      </c>
      <c r="AY418" s="16">
        <f t="shared" si="154"/>
        <v>9.5001772421127256E-2</v>
      </c>
      <c r="AZ418" s="16">
        <f t="shared" si="154"/>
        <v>9.5338983050847453E-2</v>
      </c>
      <c r="BA418" s="16">
        <f t="shared" si="154"/>
        <v>9.5318860244233375E-2</v>
      </c>
      <c r="BB418" s="16">
        <f t="shared" si="154"/>
        <v>9.5395826432593575E-2</v>
      </c>
      <c r="BC418" s="16">
        <f t="shared" si="154"/>
        <v>9.5607235142118857E-2</v>
      </c>
      <c r="BD418" s="16">
        <f t="shared" si="154"/>
        <v>9.5592799503414025E-2</v>
      </c>
      <c r="BE418" s="16">
        <f t="shared" si="154"/>
        <v>9.5767036925848092E-2</v>
      </c>
      <c r="BF418" s="16">
        <f t="shared" si="154"/>
        <v>9.56853536835926E-2</v>
      </c>
      <c r="BG418" s="16">
        <f t="shared" si="154"/>
        <v>9.5816845675522899E-2</v>
      </c>
      <c r="BH418" s="16">
        <f t="shared" si="154"/>
        <v>9.5871432529786638E-2</v>
      </c>
      <c r="BI418" s="16">
        <f t="shared" si="154"/>
        <v>9.5832227236527748E-2</v>
      </c>
    </row>
    <row r="419" spans="1:61" x14ac:dyDescent="0.25">
      <c r="A419" s="11">
        <f>$A$94</f>
        <v>79</v>
      </c>
      <c r="M419" s="11"/>
      <c r="N419" s="11"/>
      <c r="O419" s="11"/>
      <c r="P419" s="11"/>
      <c r="Q419" s="11"/>
      <c r="R419" s="11"/>
      <c r="S419" s="11"/>
      <c r="T419" s="16">
        <f>T$279/T$94</f>
        <v>6.0646011865524062E-2</v>
      </c>
      <c r="U419" s="16">
        <f t="shared" ref="U419:BI419" si="155">U$279/U$94</f>
        <v>6.2150403977625855E-2</v>
      </c>
      <c r="V419" s="16">
        <f t="shared" si="155"/>
        <v>6.4229765013054829E-2</v>
      </c>
      <c r="W419" s="16">
        <f t="shared" si="155"/>
        <v>6.5172054223149117E-2</v>
      </c>
      <c r="X419" s="16">
        <f t="shared" si="155"/>
        <v>6.6737288135593223E-2</v>
      </c>
      <c r="Y419" s="16">
        <f t="shared" si="155"/>
        <v>6.7951318458417856E-2</v>
      </c>
      <c r="Z419" s="16">
        <f t="shared" si="155"/>
        <v>6.9159836065573771E-2</v>
      </c>
      <c r="AA419" s="16">
        <f t="shared" si="155"/>
        <v>7.0331847449232293E-2</v>
      </c>
      <c r="AB419" s="16">
        <f t="shared" si="155"/>
        <v>7.1636011616650536E-2</v>
      </c>
      <c r="AC419" s="16">
        <f t="shared" si="155"/>
        <v>7.24907063197026E-2</v>
      </c>
      <c r="AD419" s="16">
        <f t="shared" si="155"/>
        <v>7.3555956678700365E-2</v>
      </c>
      <c r="AE419" s="16">
        <f t="shared" si="155"/>
        <v>7.4041811846689898E-2</v>
      </c>
      <c r="AF419" s="16">
        <f t="shared" si="155"/>
        <v>7.5031793132683336E-2</v>
      </c>
      <c r="AG419" s="16">
        <f t="shared" si="155"/>
        <v>7.5657894736842105E-2</v>
      </c>
      <c r="AH419" s="16">
        <f t="shared" si="155"/>
        <v>7.6556921856406182E-2</v>
      </c>
      <c r="AI419" s="16">
        <f t="shared" si="155"/>
        <v>7.7162899454403744E-2</v>
      </c>
      <c r="AJ419" s="16">
        <f t="shared" si="155"/>
        <v>7.7781912914030513E-2</v>
      </c>
      <c r="AK419" s="16">
        <f t="shared" si="155"/>
        <v>7.8332734459216666E-2</v>
      </c>
      <c r="AL419" s="16">
        <f t="shared" si="155"/>
        <v>7.8751330258957072E-2</v>
      </c>
      <c r="AM419" s="16">
        <f t="shared" si="155"/>
        <v>7.9279279279279274E-2</v>
      </c>
      <c r="AN419" s="16">
        <f t="shared" si="155"/>
        <v>7.9646017699115043E-2</v>
      </c>
      <c r="AO419" s="16">
        <f t="shared" si="155"/>
        <v>8.0207946528035645E-2</v>
      </c>
      <c r="AP419" s="16">
        <f t="shared" si="155"/>
        <v>8.0476362324070738E-2</v>
      </c>
      <c r="AQ419" s="16">
        <f t="shared" si="155"/>
        <v>8.0879744590280245E-2</v>
      </c>
      <c r="AR419" s="16">
        <f t="shared" si="155"/>
        <v>8.111839834311356E-2</v>
      </c>
      <c r="AS419" s="16">
        <f t="shared" si="155"/>
        <v>8.1415321195465476E-2</v>
      </c>
      <c r="AT419" s="16">
        <f t="shared" si="155"/>
        <v>8.1719724319002304E-2</v>
      </c>
      <c r="AU419" s="16">
        <f t="shared" si="155"/>
        <v>8.2010582010582006E-2</v>
      </c>
      <c r="AV419" s="16">
        <f t="shared" si="155"/>
        <v>8.2039162727886569E-2</v>
      </c>
      <c r="AW419" s="16">
        <f t="shared" si="155"/>
        <v>8.2442221455674369E-2</v>
      </c>
      <c r="AX419" s="16">
        <f t="shared" si="155"/>
        <v>8.2594824530308406E-2</v>
      </c>
      <c r="AY419" s="16">
        <f t="shared" si="155"/>
        <v>8.2632541133455209E-2</v>
      </c>
      <c r="AZ419" s="16">
        <f t="shared" si="155"/>
        <v>8.2704063286587554E-2</v>
      </c>
      <c r="BA419" s="16">
        <f t="shared" si="155"/>
        <v>8.2736389684813755E-2</v>
      </c>
      <c r="BB419" s="16">
        <f t="shared" si="155"/>
        <v>8.2903336773305816E-2</v>
      </c>
      <c r="BC419" s="16">
        <f t="shared" si="155"/>
        <v>8.296943231441048E-2</v>
      </c>
      <c r="BD419" s="16">
        <f t="shared" si="155"/>
        <v>8.3142389525368246E-2</v>
      </c>
      <c r="BE419" s="16">
        <f t="shared" si="155"/>
        <v>8.3044982698961933E-2</v>
      </c>
      <c r="BF419" s="16">
        <f t="shared" si="155"/>
        <v>8.3029197080291967E-2</v>
      </c>
      <c r="BG419" s="16">
        <f t="shared" si="155"/>
        <v>8.3258994944989589E-2</v>
      </c>
      <c r="BH419" s="16">
        <f t="shared" si="155"/>
        <v>8.3309476095047241E-2</v>
      </c>
      <c r="BI419" s="16">
        <f t="shared" si="155"/>
        <v>8.3333333333333329E-2</v>
      </c>
    </row>
    <row r="420" spans="1:61" x14ac:dyDescent="0.25">
      <c r="A420" s="11" t="s">
        <v>13</v>
      </c>
      <c r="M420" s="11"/>
      <c r="N420" s="11"/>
      <c r="O420" s="11"/>
      <c r="P420" s="11"/>
      <c r="Q420" s="11"/>
      <c r="R420" s="11"/>
      <c r="S420" s="11"/>
      <c r="T420" s="16">
        <f>T$280/SUM(T$95:T$110)</f>
        <v>2.6992936427850656E-2</v>
      </c>
      <c r="U420" s="16">
        <f t="shared" ref="U420:BI420" si="156">U$280/SUM(U$95:U$110)</f>
        <v>2.7985074626865673E-2</v>
      </c>
      <c r="V420" s="16">
        <f t="shared" si="156"/>
        <v>2.8900833528082884E-2</v>
      </c>
      <c r="W420" s="16">
        <f t="shared" si="156"/>
        <v>3.0116057000146908E-2</v>
      </c>
      <c r="X420" s="16">
        <f t="shared" si="156"/>
        <v>3.1058495821727018E-2</v>
      </c>
      <c r="Y420" s="16">
        <f t="shared" si="156"/>
        <v>3.1672100605496044E-2</v>
      </c>
      <c r="Z420" s="16">
        <f t="shared" si="156"/>
        <v>3.2206835217888453E-2</v>
      </c>
      <c r="AA420" s="16">
        <f t="shared" si="156"/>
        <v>3.2511894595583749E-2</v>
      </c>
      <c r="AB420" s="16">
        <f t="shared" si="156"/>
        <v>3.2878157416632477E-2</v>
      </c>
      <c r="AC420" s="16">
        <f t="shared" si="156"/>
        <v>3.3213037103868276E-2</v>
      </c>
      <c r="AD420" s="16">
        <f t="shared" si="156"/>
        <v>3.3570150225066438E-2</v>
      </c>
      <c r="AE420" s="16">
        <f t="shared" si="156"/>
        <v>3.3937242207487076E-2</v>
      </c>
      <c r="AF420" s="16">
        <f t="shared" si="156"/>
        <v>3.4281692972755608E-2</v>
      </c>
      <c r="AG420" s="16">
        <f t="shared" si="156"/>
        <v>3.4536207314119639E-2</v>
      </c>
      <c r="AH420" s="16">
        <f t="shared" si="156"/>
        <v>3.4800074738415544E-2</v>
      </c>
      <c r="AI420" s="16">
        <f t="shared" si="156"/>
        <v>3.5080608844456455E-2</v>
      </c>
      <c r="AJ420" s="16">
        <f t="shared" si="156"/>
        <v>3.5277741528557137E-2</v>
      </c>
      <c r="AK420" s="16">
        <f t="shared" si="156"/>
        <v>3.5537467483427038E-2</v>
      </c>
      <c r="AL420" s="16">
        <f t="shared" si="156"/>
        <v>3.5805316179147957E-2</v>
      </c>
      <c r="AM420" s="16">
        <f t="shared" si="156"/>
        <v>3.5930719005356375E-2</v>
      </c>
      <c r="AN420" s="16">
        <f t="shared" si="156"/>
        <v>3.5961114908483333E-2</v>
      </c>
      <c r="AO420" s="16">
        <f t="shared" si="156"/>
        <v>3.5813591369146927E-2</v>
      </c>
      <c r="AP420" s="16">
        <f t="shared" si="156"/>
        <v>3.5653342046981083E-2</v>
      </c>
      <c r="AQ420" s="16">
        <f t="shared" si="156"/>
        <v>3.5569611257195648E-2</v>
      </c>
      <c r="AR420" s="16">
        <f t="shared" si="156"/>
        <v>3.5534054919430617E-2</v>
      </c>
      <c r="AS420" s="16">
        <f t="shared" si="156"/>
        <v>3.5568274734260018E-2</v>
      </c>
      <c r="AT420" s="16">
        <f t="shared" si="156"/>
        <v>3.5575895243185461E-2</v>
      </c>
      <c r="AU420" s="16">
        <f t="shared" si="156"/>
        <v>3.5681610247026534E-2</v>
      </c>
      <c r="AV420" s="16">
        <f t="shared" si="156"/>
        <v>3.5668504037943853E-2</v>
      </c>
      <c r="AW420" s="16">
        <f t="shared" si="156"/>
        <v>3.5556537102473501E-2</v>
      </c>
      <c r="AX420" s="16">
        <f t="shared" si="156"/>
        <v>3.5371478434305659E-2</v>
      </c>
      <c r="AY420" s="16">
        <f t="shared" si="156"/>
        <v>3.5124030768280252E-2</v>
      </c>
      <c r="AZ420" s="16">
        <f t="shared" si="156"/>
        <v>3.4860129111589304E-2</v>
      </c>
      <c r="BA420" s="16">
        <f t="shared" si="156"/>
        <v>3.4694626153940207E-2</v>
      </c>
      <c r="BB420" s="16">
        <f t="shared" si="156"/>
        <v>3.4578188674654828E-2</v>
      </c>
      <c r="BC420" s="16">
        <f t="shared" si="156"/>
        <v>3.460238928442138E-2</v>
      </c>
      <c r="BD420" s="16">
        <f t="shared" si="156"/>
        <v>3.4670332954749236E-2</v>
      </c>
      <c r="BE420" s="16">
        <f t="shared" si="156"/>
        <v>3.4795719269201206E-2</v>
      </c>
      <c r="BF420" s="16">
        <f t="shared" si="156"/>
        <v>3.4981343283582086E-2</v>
      </c>
      <c r="BG420" s="16">
        <f t="shared" si="156"/>
        <v>3.5190868156136174E-2</v>
      </c>
      <c r="BH420" s="16">
        <f t="shared" si="156"/>
        <v>3.5362073823612283E-2</v>
      </c>
      <c r="BI420" s="16">
        <f t="shared" si="156"/>
        <v>3.5586107890232456E-2</v>
      </c>
    </row>
    <row r="421" spans="1:61" x14ac:dyDescent="0.25">
      <c r="A421" s="9" t="str">
        <f>$A$111</f>
        <v>Female total</v>
      </c>
      <c r="M421" s="11"/>
      <c r="N421" s="11"/>
      <c r="O421" s="11"/>
      <c r="P421" s="11"/>
      <c r="Q421" s="11"/>
      <c r="R421" s="11"/>
      <c r="S421" s="11"/>
      <c r="T421" s="47">
        <f>SUM(T$215:T$280)/SUM(T$30:T$110)</f>
        <v>0.66566055045871564</v>
      </c>
      <c r="U421" s="47">
        <f t="shared" ref="U421:BI421" si="157">SUM(U$215:U$280)/SUM(U$30:U$110)</f>
        <v>0.66602789745262458</v>
      </c>
      <c r="V421" s="47">
        <f t="shared" si="157"/>
        <v>0.66635514018691588</v>
      </c>
      <c r="W421" s="47">
        <f t="shared" si="157"/>
        <v>0.6666431291898548</v>
      </c>
      <c r="X421" s="47">
        <f t="shared" si="157"/>
        <v>0.66689315736748112</v>
      </c>
      <c r="Y421" s="47">
        <f t="shared" si="157"/>
        <v>0.66724868293731854</v>
      </c>
      <c r="Z421" s="47">
        <f t="shared" si="157"/>
        <v>0.66743534208179389</v>
      </c>
      <c r="AA421" s="47">
        <f t="shared" si="157"/>
        <v>0.66760367194186654</v>
      </c>
      <c r="AB421" s="47">
        <f t="shared" si="157"/>
        <v>0.66758691588010233</v>
      </c>
      <c r="AC421" s="47">
        <f t="shared" si="157"/>
        <v>0.66760093590831049</v>
      </c>
      <c r="AD421" s="47">
        <f t="shared" si="157"/>
        <v>0.66754319146867203</v>
      </c>
      <c r="AE421" s="47">
        <f t="shared" si="157"/>
        <v>0.66743486050267931</v>
      </c>
      <c r="AF421" s="47">
        <f t="shared" si="157"/>
        <v>0.66724825029244406</v>
      </c>
      <c r="AG421" s="47">
        <f t="shared" si="157"/>
        <v>0.6670224287037182</v>
      </c>
      <c r="AH421" s="47">
        <f t="shared" si="157"/>
        <v>0.66723427416219583</v>
      </c>
      <c r="AI421" s="47">
        <f t="shared" si="157"/>
        <v>0.6672586827962167</v>
      </c>
      <c r="AJ421" s="47">
        <f t="shared" si="157"/>
        <v>0.66712100213423131</v>
      </c>
      <c r="AK421" s="47">
        <f t="shared" si="157"/>
        <v>0.66694671510747805</v>
      </c>
      <c r="AL421" s="47">
        <f t="shared" si="157"/>
        <v>0.66677171971845783</v>
      </c>
      <c r="AM421" s="47">
        <f t="shared" si="157"/>
        <v>0.66656745293548625</v>
      </c>
      <c r="AN421" s="47">
        <f t="shared" si="157"/>
        <v>0.66635054300696328</v>
      </c>
      <c r="AO421" s="47">
        <f t="shared" si="157"/>
        <v>0.66605775953903656</v>
      </c>
      <c r="AP421" s="47">
        <f t="shared" si="157"/>
        <v>0.66571984831534137</v>
      </c>
      <c r="AQ421" s="47">
        <f t="shared" si="157"/>
        <v>0.66529330766846173</v>
      </c>
      <c r="AR421" s="47">
        <f t="shared" si="157"/>
        <v>0.66476569375970462</v>
      </c>
      <c r="AS421" s="47">
        <f t="shared" si="157"/>
        <v>0.6641272344339908</v>
      </c>
      <c r="AT421" s="47">
        <f t="shared" si="157"/>
        <v>0.66332514113038299</v>
      </c>
      <c r="AU421" s="47">
        <f t="shared" si="157"/>
        <v>0.66241632355824442</v>
      </c>
      <c r="AV421" s="47">
        <f t="shared" si="157"/>
        <v>0.66128852826043127</v>
      </c>
      <c r="AW421" s="47">
        <f t="shared" si="157"/>
        <v>0.66000593803727159</v>
      </c>
      <c r="AX421" s="47">
        <f t="shared" si="157"/>
        <v>0.65856961634724176</v>
      </c>
      <c r="AY421" s="47">
        <f t="shared" si="157"/>
        <v>0.65698759244378468</v>
      </c>
      <c r="AZ421" s="47">
        <f t="shared" si="157"/>
        <v>0.65530978089946534</v>
      </c>
      <c r="BA421" s="47">
        <f t="shared" si="157"/>
        <v>0.65351765460584865</v>
      </c>
      <c r="BB421" s="47">
        <f t="shared" si="157"/>
        <v>0.65167527320763785</v>
      </c>
      <c r="BC421" s="47">
        <f t="shared" si="157"/>
        <v>0.64977867016553348</v>
      </c>
      <c r="BD421" s="47">
        <f t="shared" si="157"/>
        <v>0.64786961644538943</v>
      </c>
      <c r="BE421" s="47">
        <f t="shared" si="157"/>
        <v>0.64598092709862398</v>
      </c>
      <c r="BF421" s="47">
        <f t="shared" si="157"/>
        <v>0.64405227399680431</v>
      </c>
      <c r="BG421" s="47">
        <f t="shared" si="157"/>
        <v>0.64220840606175977</v>
      </c>
      <c r="BH421" s="47">
        <f t="shared" si="157"/>
        <v>0.64035323909350261</v>
      </c>
      <c r="BI421" s="47">
        <f t="shared" si="157"/>
        <v>0.63857482276054045</v>
      </c>
    </row>
    <row r="422" spans="1:61" x14ac:dyDescent="0.25">
      <c r="A422" s="9"/>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row>
    <row r="423" spans="1:61" x14ac:dyDescent="0.25">
      <c r="A423" s="9"/>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row>
    <row r="424" spans="1:61" x14ac:dyDescent="0.25">
      <c r="A424" s="9" t="s">
        <v>16</v>
      </c>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row>
    <row r="425" spans="1:61" x14ac:dyDescent="0.25">
      <c r="A425" s="11">
        <f>$A$30</f>
        <v>15</v>
      </c>
      <c r="M425" s="11"/>
      <c r="N425" s="11"/>
      <c r="O425" s="11"/>
      <c r="P425" s="11"/>
      <c r="Q425" s="11"/>
      <c r="R425" s="11"/>
      <c r="S425" s="11"/>
      <c r="T425" s="16">
        <f>T$285/T$130</f>
        <v>0.21332969134116361</v>
      </c>
      <c r="U425" s="16">
        <f t="shared" ref="U425:BI425" si="158">U$285/U$130</f>
        <v>0.21322537112010798</v>
      </c>
      <c r="V425" s="16">
        <f t="shared" si="158"/>
        <v>0.21331889550622632</v>
      </c>
      <c r="W425" s="16">
        <f t="shared" si="158"/>
        <v>0.21319934818033678</v>
      </c>
      <c r="X425" s="16">
        <f t="shared" si="158"/>
        <v>0.2132572670469981</v>
      </c>
      <c r="Y425" s="16">
        <f t="shared" si="158"/>
        <v>0.21309230347849903</v>
      </c>
      <c r="Z425" s="16">
        <f t="shared" si="158"/>
        <v>0.2133879781420765</v>
      </c>
      <c r="AA425" s="16">
        <f t="shared" si="158"/>
        <v>0.21324539708711185</v>
      </c>
      <c r="AB425" s="16">
        <f t="shared" si="158"/>
        <v>0.21333702268954066</v>
      </c>
      <c r="AC425" s="16">
        <f t="shared" si="158"/>
        <v>0.21337047353760447</v>
      </c>
      <c r="AD425" s="16">
        <f t="shared" si="158"/>
        <v>0.21335909467292299</v>
      </c>
      <c r="AE425" s="16">
        <f t="shared" si="158"/>
        <v>0.21325811001410439</v>
      </c>
      <c r="AF425" s="16">
        <f t="shared" si="158"/>
        <v>0.21323733037939629</v>
      </c>
      <c r="AG425" s="16">
        <f t="shared" si="158"/>
        <v>0.2130962461191081</v>
      </c>
      <c r="AH425" s="16">
        <f t="shared" si="158"/>
        <v>0.21316799527605551</v>
      </c>
      <c r="AI425" s="16">
        <f t="shared" si="158"/>
        <v>0.21322657176749704</v>
      </c>
      <c r="AJ425" s="16">
        <f t="shared" si="158"/>
        <v>0.21314335562663564</v>
      </c>
      <c r="AK425" s="16">
        <f t="shared" si="158"/>
        <v>0.21322889469103568</v>
      </c>
      <c r="AL425" s="16">
        <f t="shared" si="158"/>
        <v>0.21320973348783315</v>
      </c>
      <c r="AM425" s="16">
        <f t="shared" si="158"/>
        <v>0.21337579617834396</v>
      </c>
      <c r="AN425" s="16">
        <f t="shared" si="158"/>
        <v>0.21325231481481483</v>
      </c>
      <c r="AO425" s="16">
        <f t="shared" si="158"/>
        <v>0.21312897628687102</v>
      </c>
      <c r="AP425" s="16">
        <f t="shared" si="158"/>
        <v>0.21317157712305027</v>
      </c>
      <c r="AQ425" s="16">
        <f t="shared" si="158"/>
        <v>0.21315258148254976</v>
      </c>
      <c r="AR425" s="16">
        <f t="shared" si="158"/>
        <v>0.21323741007194244</v>
      </c>
      <c r="AS425" s="16">
        <f t="shared" si="158"/>
        <v>0.21336392314310296</v>
      </c>
      <c r="AT425" s="16">
        <f t="shared" si="158"/>
        <v>0.21324578932343705</v>
      </c>
      <c r="AU425" s="16">
        <f t="shared" si="158"/>
        <v>0.21323111868256672</v>
      </c>
      <c r="AV425" s="16">
        <f t="shared" si="158"/>
        <v>0.21325811001410439</v>
      </c>
      <c r="AW425" s="16">
        <f t="shared" si="158"/>
        <v>0.21322499299523676</v>
      </c>
      <c r="AX425" s="16">
        <f t="shared" si="158"/>
        <v>0.21329254727474972</v>
      </c>
      <c r="AY425" s="16">
        <f t="shared" si="158"/>
        <v>0.21314191054665929</v>
      </c>
      <c r="AZ425" s="16">
        <f t="shared" si="158"/>
        <v>0.21326754385964913</v>
      </c>
      <c r="BA425" s="16">
        <f t="shared" si="158"/>
        <v>0.21329338055025879</v>
      </c>
      <c r="BB425" s="16">
        <f t="shared" si="158"/>
        <v>0.21322134922785152</v>
      </c>
      <c r="BC425" s="16">
        <f t="shared" si="158"/>
        <v>0.21338009171837066</v>
      </c>
      <c r="BD425" s="16">
        <f t="shared" si="158"/>
        <v>0.21317204301075268</v>
      </c>
      <c r="BE425" s="16">
        <f t="shared" si="158"/>
        <v>0.21319388576025744</v>
      </c>
      <c r="BF425" s="16">
        <f t="shared" si="158"/>
        <v>0.21338688085676039</v>
      </c>
      <c r="BG425" s="16">
        <f t="shared" si="158"/>
        <v>0.21321562332798288</v>
      </c>
      <c r="BH425" s="16">
        <f t="shared" si="158"/>
        <v>0.21315859855576358</v>
      </c>
      <c r="BI425" s="16">
        <f t="shared" si="158"/>
        <v>0.21321562332798288</v>
      </c>
    </row>
    <row r="426" spans="1:61" x14ac:dyDescent="0.25">
      <c r="A426" s="11">
        <f>$A$31</f>
        <v>16</v>
      </c>
      <c r="M426" s="11"/>
      <c r="N426" s="11"/>
      <c r="O426" s="11"/>
      <c r="P426" s="11"/>
      <c r="Q426" s="11"/>
      <c r="R426" s="11"/>
      <c r="S426" s="11"/>
      <c r="T426" s="16">
        <f>T$286/T$131</f>
        <v>0.38403451995685006</v>
      </c>
      <c r="U426" s="16">
        <f t="shared" ref="U426:BI426" si="159">U$286/U$131</f>
        <v>0.38403451995685006</v>
      </c>
      <c r="V426" s="16">
        <f t="shared" si="159"/>
        <v>0.38391906283280086</v>
      </c>
      <c r="W426" s="16">
        <f t="shared" si="159"/>
        <v>0.38414308595835556</v>
      </c>
      <c r="X426" s="16">
        <f t="shared" si="159"/>
        <v>0.38410064239828695</v>
      </c>
      <c r="Y426" s="16">
        <f t="shared" si="159"/>
        <v>0.38399785924538399</v>
      </c>
      <c r="Z426" s="16">
        <f t="shared" si="159"/>
        <v>0.38413811707580253</v>
      </c>
      <c r="AA426" s="16">
        <f t="shared" si="159"/>
        <v>0.38418079096045199</v>
      </c>
      <c r="AB426" s="16">
        <f t="shared" si="159"/>
        <v>0.38392857142857145</v>
      </c>
      <c r="AC426" s="16">
        <f t="shared" si="159"/>
        <v>0.38409152819395259</v>
      </c>
      <c r="AD426" s="16">
        <f t="shared" si="159"/>
        <v>0.38404605263157893</v>
      </c>
      <c r="AE426" s="16">
        <f t="shared" si="159"/>
        <v>0.38386308068459657</v>
      </c>
      <c r="AF426" s="16">
        <f t="shared" si="159"/>
        <v>0.38412434082708852</v>
      </c>
      <c r="AG426" s="16">
        <f t="shared" si="159"/>
        <v>0.38402834559825566</v>
      </c>
      <c r="AH426" s="16">
        <f t="shared" si="159"/>
        <v>0.38405998333796165</v>
      </c>
      <c r="AI426" s="16">
        <f t="shared" si="159"/>
        <v>0.38403483309143688</v>
      </c>
      <c r="AJ426" s="16">
        <f t="shared" si="159"/>
        <v>0.38414456426697757</v>
      </c>
      <c r="AK426" s="16">
        <f t="shared" si="159"/>
        <v>0.38393367638650655</v>
      </c>
      <c r="AL426" s="16">
        <f t="shared" si="159"/>
        <v>0.38391329150028525</v>
      </c>
      <c r="AM426" s="16">
        <f t="shared" si="159"/>
        <v>0.38393620051267446</v>
      </c>
      <c r="AN426" s="16">
        <f t="shared" si="159"/>
        <v>0.3841775754126352</v>
      </c>
      <c r="AO426" s="16">
        <f t="shared" si="159"/>
        <v>0.38395904436860068</v>
      </c>
      <c r="AP426" s="16">
        <f t="shared" si="159"/>
        <v>0.38402501421262081</v>
      </c>
      <c r="AQ426" s="16">
        <f t="shared" si="159"/>
        <v>0.38415672913117549</v>
      </c>
      <c r="AR426" s="16">
        <f t="shared" si="159"/>
        <v>0.38407029478458049</v>
      </c>
      <c r="AS426" s="16">
        <f t="shared" si="159"/>
        <v>0.38404977375565613</v>
      </c>
      <c r="AT426" s="16">
        <f t="shared" si="159"/>
        <v>0.38416009019165726</v>
      </c>
      <c r="AU426" s="16">
        <f t="shared" si="159"/>
        <v>0.38411896745230079</v>
      </c>
      <c r="AV426" s="16">
        <f t="shared" si="159"/>
        <v>0.38392857142857145</v>
      </c>
      <c r="AW426" s="16">
        <f t="shared" si="159"/>
        <v>0.38408208541320021</v>
      </c>
      <c r="AX426" s="16">
        <f t="shared" si="159"/>
        <v>0.38419168273202975</v>
      </c>
      <c r="AY426" s="16">
        <f t="shared" si="159"/>
        <v>0.38408966648441772</v>
      </c>
      <c r="AZ426" s="16">
        <f t="shared" si="159"/>
        <v>0.38398914518317501</v>
      </c>
      <c r="BA426" s="16">
        <f t="shared" si="159"/>
        <v>0.38409703504043125</v>
      </c>
      <c r="BB426" s="16">
        <f t="shared" si="159"/>
        <v>0.38414144120010713</v>
      </c>
      <c r="BC426" s="16">
        <f t="shared" si="159"/>
        <v>0.38412360149174213</v>
      </c>
      <c r="BD426" s="16">
        <f t="shared" si="159"/>
        <v>0.38408488063660479</v>
      </c>
      <c r="BE426" s="16">
        <f t="shared" si="159"/>
        <v>0.38408670367433256</v>
      </c>
      <c r="BF426" s="16">
        <f t="shared" si="159"/>
        <v>0.38412865805431057</v>
      </c>
      <c r="BG426" s="16">
        <f t="shared" si="159"/>
        <v>0.38404843379836801</v>
      </c>
      <c r="BH426" s="16">
        <f t="shared" si="159"/>
        <v>0.38400841662283008</v>
      </c>
      <c r="BI426" s="16">
        <f t="shared" si="159"/>
        <v>0.38417039179595058</v>
      </c>
    </row>
    <row r="427" spans="1:61" x14ac:dyDescent="0.25">
      <c r="A427" s="11">
        <f>$A$32</f>
        <v>17</v>
      </c>
      <c r="M427" s="11"/>
      <c r="N427" s="11"/>
      <c r="O427" s="11"/>
      <c r="P427" s="11"/>
      <c r="Q427" s="11"/>
      <c r="R427" s="11"/>
      <c r="S427" s="11"/>
      <c r="T427" s="16">
        <f>T$287/T$132</f>
        <v>0.56548279689234182</v>
      </c>
      <c r="U427" s="16">
        <f t="shared" ref="U427:BI427" si="160">U$287/U$132</f>
        <v>0.5652404996013819</v>
      </c>
      <c r="V427" s="16">
        <f t="shared" si="160"/>
        <v>0.5652866242038217</v>
      </c>
      <c r="W427" s="16">
        <f t="shared" si="160"/>
        <v>0.56533123854412148</v>
      </c>
      <c r="X427" s="16">
        <f t="shared" si="160"/>
        <v>0.56532004197271768</v>
      </c>
      <c r="Y427" s="16">
        <f t="shared" si="160"/>
        <v>0.56534315014462266</v>
      </c>
      <c r="Z427" s="16">
        <f t="shared" si="160"/>
        <v>0.56530880420499341</v>
      </c>
      <c r="AA427" s="16">
        <f t="shared" si="160"/>
        <v>0.56541313559322037</v>
      </c>
      <c r="AB427" s="16">
        <f t="shared" si="160"/>
        <v>0.56524035921817217</v>
      </c>
      <c r="AC427" s="16">
        <f t="shared" si="160"/>
        <v>0.56532129580456714</v>
      </c>
      <c r="AD427" s="16">
        <f t="shared" si="160"/>
        <v>0.56535685645549316</v>
      </c>
      <c r="AE427" s="16">
        <f t="shared" si="160"/>
        <v>0.56535771920387301</v>
      </c>
      <c r="AF427" s="16">
        <f t="shared" si="160"/>
        <v>0.56544921354305522</v>
      </c>
      <c r="AG427" s="16">
        <f t="shared" si="160"/>
        <v>0.56532389765922697</v>
      </c>
      <c r="AH427" s="16">
        <f t="shared" si="160"/>
        <v>0.5652406417112299</v>
      </c>
      <c r="AI427" s="16">
        <f t="shared" si="160"/>
        <v>0.56520555404301664</v>
      </c>
      <c r="AJ427" s="16">
        <f t="shared" si="160"/>
        <v>0.56525447824850727</v>
      </c>
      <c r="AK427" s="16">
        <f t="shared" si="160"/>
        <v>0.5652298030259777</v>
      </c>
      <c r="AL427" s="16">
        <f t="shared" si="160"/>
        <v>0.56526610644257702</v>
      </c>
      <c r="AM427" s="16">
        <f t="shared" si="160"/>
        <v>0.56539966461710456</v>
      </c>
      <c r="AN427" s="16">
        <f t="shared" si="160"/>
        <v>0.5652901785714286</v>
      </c>
      <c r="AO427" s="16">
        <f t="shared" si="160"/>
        <v>0.56537496515193753</v>
      </c>
      <c r="AP427" s="16">
        <f t="shared" si="160"/>
        <v>0.56518105849582168</v>
      </c>
      <c r="AQ427" s="16">
        <f t="shared" si="160"/>
        <v>0.56542316258351888</v>
      </c>
      <c r="AR427" s="16">
        <f t="shared" si="160"/>
        <v>0.56535038932146831</v>
      </c>
      <c r="AS427" s="16">
        <f t="shared" si="160"/>
        <v>0.56524153248195452</v>
      </c>
      <c r="AT427" s="16">
        <f t="shared" si="160"/>
        <v>0.56521739130434778</v>
      </c>
      <c r="AU427" s="16">
        <f t="shared" si="160"/>
        <v>0.56527739442451008</v>
      </c>
      <c r="AV427" s="16">
        <f t="shared" si="160"/>
        <v>0.5652651827425117</v>
      </c>
      <c r="AW427" s="16">
        <f t="shared" si="160"/>
        <v>0.56545504236130095</v>
      </c>
      <c r="AX427" s="16">
        <f t="shared" si="160"/>
        <v>0.56545355784899509</v>
      </c>
      <c r="AY427" s="16">
        <f t="shared" si="160"/>
        <v>0.56541677906663068</v>
      </c>
      <c r="AZ427" s="16">
        <f t="shared" si="160"/>
        <v>0.56534547402249602</v>
      </c>
      <c r="BA427" s="16">
        <f t="shared" si="160"/>
        <v>0.56527519276788085</v>
      </c>
      <c r="BB427" s="16">
        <f t="shared" si="160"/>
        <v>0.56535516239767625</v>
      </c>
      <c r="BC427" s="16">
        <f t="shared" si="160"/>
        <v>0.56520598268171085</v>
      </c>
      <c r="BD427" s="16">
        <f t="shared" si="160"/>
        <v>0.56538762725137037</v>
      </c>
      <c r="BE427" s="16">
        <f t="shared" si="160"/>
        <v>0.56522869022869027</v>
      </c>
      <c r="BF427" s="16">
        <f t="shared" si="160"/>
        <v>0.56525116519937857</v>
      </c>
      <c r="BG427" s="16">
        <f t="shared" si="160"/>
        <v>0.56548695427538109</v>
      </c>
      <c r="BH427" s="16">
        <f t="shared" si="160"/>
        <v>0.56523981433728732</v>
      </c>
      <c r="BI427" s="16">
        <f t="shared" si="160"/>
        <v>0.56531821695439322</v>
      </c>
    </row>
    <row r="428" spans="1:61" x14ac:dyDescent="0.25">
      <c r="A428" s="11">
        <f>$A$33</f>
        <v>18</v>
      </c>
      <c r="M428" s="11"/>
      <c r="N428" s="11"/>
      <c r="O428" s="11"/>
      <c r="P428" s="11"/>
      <c r="Q428" s="11"/>
      <c r="R428" s="11"/>
      <c r="S428" s="11"/>
      <c r="T428" s="16">
        <f>T$288/T$133</f>
        <v>0.7111764705882353</v>
      </c>
      <c r="U428" s="16">
        <f t="shared" ref="U428:BI428" si="161">U$288/U$133</f>
        <v>0.71120218579234973</v>
      </c>
      <c r="V428" s="16">
        <f t="shared" si="161"/>
        <v>0.71137254901960789</v>
      </c>
      <c r="W428" s="16">
        <f t="shared" si="161"/>
        <v>0.71145316984085571</v>
      </c>
      <c r="X428" s="16">
        <f t="shared" si="161"/>
        <v>0.71108824286081806</v>
      </c>
      <c r="Y428" s="16">
        <f t="shared" si="161"/>
        <v>0.71123132405976297</v>
      </c>
      <c r="Z428" s="16">
        <f t="shared" si="161"/>
        <v>0.71122580645161293</v>
      </c>
      <c r="AA428" s="16">
        <f t="shared" si="161"/>
        <v>0.71137477431003349</v>
      </c>
      <c r="AB428" s="16">
        <f t="shared" si="161"/>
        <v>0.71127858627858631</v>
      </c>
      <c r="AC428" s="16">
        <f t="shared" si="161"/>
        <v>0.71132417724799168</v>
      </c>
      <c r="AD428" s="16">
        <f t="shared" si="161"/>
        <v>0.71112268820005209</v>
      </c>
      <c r="AE428" s="16">
        <f t="shared" si="161"/>
        <v>0.71132669113791291</v>
      </c>
      <c r="AF428" s="16">
        <f t="shared" si="161"/>
        <v>0.7114217884463202</v>
      </c>
      <c r="AG428" s="16">
        <f t="shared" si="161"/>
        <v>0.71137254901960789</v>
      </c>
      <c r="AH428" s="16">
        <f t="shared" si="161"/>
        <v>0.71131270010672354</v>
      </c>
      <c r="AI428" s="16">
        <f t="shared" si="161"/>
        <v>0.71114023591087816</v>
      </c>
      <c r="AJ428" s="16">
        <f t="shared" si="161"/>
        <v>0.71131270010672354</v>
      </c>
      <c r="AK428" s="16">
        <f t="shared" si="161"/>
        <v>0.71110492624547728</v>
      </c>
      <c r="AL428" s="16">
        <f t="shared" si="161"/>
        <v>0.71109248393405977</v>
      </c>
      <c r="AM428" s="16">
        <f t="shared" si="161"/>
        <v>0.71146461876028522</v>
      </c>
      <c r="AN428" s="16">
        <f t="shared" si="161"/>
        <v>0.71135430916552667</v>
      </c>
      <c r="AO428" s="16">
        <f t="shared" si="161"/>
        <v>0.71128107074569791</v>
      </c>
      <c r="AP428" s="16">
        <f t="shared" si="161"/>
        <v>0.71124454148471616</v>
      </c>
      <c r="AQ428" s="16">
        <f t="shared" si="161"/>
        <v>0.71120807199345515</v>
      </c>
      <c r="AR428" s="16">
        <f t="shared" si="161"/>
        <v>0.71117166212534055</v>
      </c>
      <c r="AS428" s="16">
        <f t="shared" si="161"/>
        <v>0.71121393576483394</v>
      </c>
      <c r="AT428" s="16">
        <f t="shared" si="161"/>
        <v>0.71121977723444718</v>
      </c>
      <c r="AU428" s="16">
        <f t="shared" si="161"/>
        <v>0.71111111111111114</v>
      </c>
      <c r="AV428" s="16">
        <f t="shared" si="161"/>
        <v>0.711237169097785</v>
      </c>
      <c r="AW428" s="16">
        <f t="shared" si="161"/>
        <v>0.7112126915837591</v>
      </c>
      <c r="AX428" s="16">
        <f t="shared" si="161"/>
        <v>0.71115271462958007</v>
      </c>
      <c r="AY428" s="16">
        <f t="shared" si="161"/>
        <v>0.71132376395534291</v>
      </c>
      <c r="AZ428" s="16">
        <f t="shared" si="161"/>
        <v>0.71119324181626187</v>
      </c>
      <c r="BA428" s="16">
        <f t="shared" si="161"/>
        <v>0.71114023591087816</v>
      </c>
      <c r="BB428" s="16">
        <f t="shared" si="161"/>
        <v>0.7113482561166059</v>
      </c>
      <c r="BC428" s="16">
        <f t="shared" si="161"/>
        <v>0.7112949082450245</v>
      </c>
      <c r="BD428" s="16">
        <f t="shared" si="161"/>
        <v>0.71127665039815058</v>
      </c>
      <c r="BE428" s="16">
        <f t="shared" si="161"/>
        <v>0.71121901354459494</v>
      </c>
      <c r="BF428" s="16">
        <f t="shared" si="161"/>
        <v>0.71126939709997461</v>
      </c>
      <c r="BG428" s="16">
        <f t="shared" si="161"/>
        <v>0.71146044624746452</v>
      </c>
      <c r="BH428" s="16">
        <f t="shared" si="161"/>
        <v>0.71125158027812896</v>
      </c>
      <c r="BI428" s="16">
        <f t="shared" si="161"/>
        <v>0.71143650593284524</v>
      </c>
    </row>
    <row r="429" spans="1:61" x14ac:dyDescent="0.25">
      <c r="A429" s="11">
        <f>$A$34</f>
        <v>19</v>
      </c>
      <c r="M429" s="11"/>
      <c r="N429" s="11"/>
      <c r="O429" s="11"/>
      <c r="P429" s="11"/>
      <c r="Q429" s="11"/>
      <c r="R429" s="11"/>
      <c r="S429" s="11"/>
      <c r="T429" s="16">
        <f>T$289/T$134</f>
        <v>0.75406925125776858</v>
      </c>
      <c r="U429" s="16">
        <f t="shared" ref="U429:BI429" si="162">U$289/U$134</f>
        <v>0.75391304347826082</v>
      </c>
      <c r="V429" s="16">
        <f t="shared" si="162"/>
        <v>0.75383373688458433</v>
      </c>
      <c r="W429" s="16">
        <f t="shared" si="162"/>
        <v>0.75392535392535398</v>
      </c>
      <c r="X429" s="16">
        <f t="shared" si="162"/>
        <v>0.7541067761806981</v>
      </c>
      <c r="Y429" s="16">
        <f t="shared" si="162"/>
        <v>0.7537955465587044</v>
      </c>
      <c r="Z429" s="16">
        <f t="shared" si="162"/>
        <v>0.75405268490374877</v>
      </c>
      <c r="AA429" s="16">
        <f t="shared" si="162"/>
        <v>0.75393201420598677</v>
      </c>
      <c r="AB429" s="16">
        <f t="shared" si="162"/>
        <v>0.7538656527249683</v>
      </c>
      <c r="AC429" s="16">
        <f t="shared" si="162"/>
        <v>0.75408580183861085</v>
      </c>
      <c r="AD429" s="16">
        <f t="shared" si="162"/>
        <v>0.75401069518716579</v>
      </c>
      <c r="AE429" s="16">
        <f t="shared" si="162"/>
        <v>0.75383828045035828</v>
      </c>
      <c r="AF429" s="16">
        <f t="shared" si="162"/>
        <v>0.75386199794026776</v>
      </c>
      <c r="AG429" s="16">
        <f t="shared" si="162"/>
        <v>0.75394975394975394</v>
      </c>
      <c r="AH429" s="16">
        <f t="shared" si="162"/>
        <v>0.75404364569961491</v>
      </c>
      <c r="AI429" s="16">
        <f t="shared" si="162"/>
        <v>0.75386226760932185</v>
      </c>
      <c r="AJ429" s="16">
        <f t="shared" si="162"/>
        <v>0.75373134328358204</v>
      </c>
      <c r="AK429" s="16">
        <f t="shared" si="162"/>
        <v>0.75386226760932185</v>
      </c>
      <c r="AL429" s="16">
        <f t="shared" si="162"/>
        <v>0.75409388646288211</v>
      </c>
      <c r="AM429" s="16">
        <f t="shared" si="162"/>
        <v>0.75376609148178586</v>
      </c>
      <c r="AN429" s="16">
        <f t="shared" si="162"/>
        <v>0.75396611992471096</v>
      </c>
      <c r="AO429" s="16">
        <f t="shared" si="162"/>
        <v>0.7540236051502146</v>
      </c>
      <c r="AP429" s="16">
        <f t="shared" si="162"/>
        <v>0.75388323513658273</v>
      </c>
      <c r="AQ429" s="16">
        <f t="shared" si="162"/>
        <v>0.75387907972177637</v>
      </c>
      <c r="AR429" s="16">
        <f t="shared" si="162"/>
        <v>0.75407645014701952</v>
      </c>
      <c r="AS429" s="16">
        <f t="shared" si="162"/>
        <v>0.75400641025641024</v>
      </c>
      <c r="AT429" s="16">
        <f t="shared" si="162"/>
        <v>0.75406775140037341</v>
      </c>
      <c r="AU429" s="16">
        <f t="shared" si="162"/>
        <v>0.7539936102236422</v>
      </c>
      <c r="AV429" s="16">
        <f t="shared" si="162"/>
        <v>0.75405046480743687</v>
      </c>
      <c r="AW429" s="16">
        <f t="shared" si="162"/>
        <v>0.75383800952885127</v>
      </c>
      <c r="AX429" s="16">
        <f t="shared" si="162"/>
        <v>0.75388669301712785</v>
      </c>
      <c r="AY429" s="16">
        <f t="shared" si="162"/>
        <v>0.75393081761006286</v>
      </c>
      <c r="AZ429" s="16">
        <f t="shared" si="162"/>
        <v>0.75384214639228964</v>
      </c>
      <c r="BA429" s="16">
        <f t="shared" si="162"/>
        <v>0.75394566623544634</v>
      </c>
      <c r="BB429" s="16">
        <f t="shared" si="162"/>
        <v>0.75391728743899311</v>
      </c>
      <c r="BC429" s="16">
        <f t="shared" si="162"/>
        <v>0.75408163265306127</v>
      </c>
      <c r="BD429" s="16">
        <f t="shared" si="162"/>
        <v>0.75399037243476053</v>
      </c>
      <c r="BE429" s="16">
        <f t="shared" si="162"/>
        <v>0.75396625535129691</v>
      </c>
      <c r="BF429" s="16">
        <f t="shared" si="162"/>
        <v>0.75400801603206413</v>
      </c>
      <c r="BG429" s="16">
        <f t="shared" si="162"/>
        <v>0.75386533665835409</v>
      </c>
      <c r="BH429" s="16">
        <f t="shared" si="162"/>
        <v>0.75397614314115313</v>
      </c>
      <c r="BI429" s="16">
        <f t="shared" si="162"/>
        <v>0.75390334572490703</v>
      </c>
    </row>
    <row r="430" spans="1:61" x14ac:dyDescent="0.25">
      <c r="A430" s="11">
        <f>$A$35</f>
        <v>20</v>
      </c>
      <c r="M430" s="11"/>
      <c r="N430" s="11"/>
      <c r="O430" s="11"/>
      <c r="P430" s="11"/>
      <c r="Q430" s="11"/>
      <c r="R430" s="11"/>
      <c r="S430" s="11"/>
      <c r="T430" s="16">
        <f>T$290/T$135</f>
        <v>0.79635615633264767</v>
      </c>
      <c r="U430" s="16">
        <f t="shared" ref="U430:BI430" si="163">U$290/U$135</f>
        <v>0.79625840397544578</v>
      </c>
      <c r="V430" s="16">
        <f t="shared" si="163"/>
        <v>0.79628571428571426</v>
      </c>
      <c r="W430" s="16">
        <f t="shared" si="163"/>
        <v>0.79628647214854109</v>
      </c>
      <c r="X430" s="16">
        <f t="shared" si="163"/>
        <v>0.79629629629629628</v>
      </c>
      <c r="Y430" s="16">
        <f t="shared" si="163"/>
        <v>0.79620733249051834</v>
      </c>
      <c r="Z430" s="16">
        <f t="shared" si="163"/>
        <v>0.7963609172482552</v>
      </c>
      <c r="AA430" s="16">
        <f t="shared" si="163"/>
        <v>0.79625935162094763</v>
      </c>
      <c r="AB430" s="16">
        <f t="shared" si="163"/>
        <v>0.79620379620379622</v>
      </c>
      <c r="AC430" s="16">
        <f t="shared" si="163"/>
        <v>0.79610681307711506</v>
      </c>
      <c r="AD430" s="16">
        <f t="shared" si="163"/>
        <v>0.79617994470972608</v>
      </c>
      <c r="AE430" s="16">
        <f t="shared" si="163"/>
        <v>0.79624060150375942</v>
      </c>
      <c r="AF430" s="16">
        <f t="shared" si="163"/>
        <v>0.79627297909846384</v>
      </c>
      <c r="AG430" s="16">
        <f t="shared" si="163"/>
        <v>0.79630098809222194</v>
      </c>
      <c r="AH430" s="16">
        <f t="shared" si="163"/>
        <v>0.79643312101910824</v>
      </c>
      <c r="AI430" s="16">
        <f t="shared" si="163"/>
        <v>0.79621212121212126</v>
      </c>
      <c r="AJ430" s="16">
        <f t="shared" si="163"/>
        <v>0.79634397528321321</v>
      </c>
      <c r="AK430" s="16">
        <f t="shared" si="163"/>
        <v>0.79625411288281445</v>
      </c>
      <c r="AL430" s="16">
        <f t="shared" si="163"/>
        <v>0.79613899613899619</v>
      </c>
      <c r="AM430" s="16">
        <f t="shared" si="163"/>
        <v>0.79630125971589383</v>
      </c>
      <c r="AN430" s="16">
        <f t="shared" si="163"/>
        <v>0.79634113532418616</v>
      </c>
      <c r="AO430" s="16">
        <f t="shared" si="163"/>
        <v>0.79635499207606975</v>
      </c>
      <c r="AP430" s="16">
        <f t="shared" si="163"/>
        <v>0.79631093544137022</v>
      </c>
      <c r="AQ430" s="16">
        <f t="shared" si="163"/>
        <v>0.79615991583377166</v>
      </c>
      <c r="AR430" s="16">
        <f t="shared" si="163"/>
        <v>0.7963741460851288</v>
      </c>
      <c r="AS430" s="16">
        <f t="shared" si="163"/>
        <v>0.79632545931758525</v>
      </c>
      <c r="AT430" s="16">
        <f t="shared" si="163"/>
        <v>0.79627687467226005</v>
      </c>
      <c r="AU430" s="16">
        <f t="shared" si="163"/>
        <v>0.79628174914899186</v>
      </c>
      <c r="AV430" s="16">
        <f t="shared" si="163"/>
        <v>0.796131730266597</v>
      </c>
      <c r="AW430" s="16">
        <f t="shared" si="163"/>
        <v>0.79614181438998954</v>
      </c>
      <c r="AX430" s="16">
        <f t="shared" si="163"/>
        <v>0.79631073005975583</v>
      </c>
      <c r="AY430" s="16">
        <f t="shared" si="163"/>
        <v>0.79643041903776512</v>
      </c>
      <c r="AZ430" s="16">
        <f t="shared" si="163"/>
        <v>0.79624388988937489</v>
      </c>
      <c r="BA430" s="16">
        <f t="shared" si="163"/>
        <v>0.79621580158527228</v>
      </c>
      <c r="BB430" s="16">
        <f t="shared" si="163"/>
        <v>0.7960893854748603</v>
      </c>
      <c r="BC430" s="16">
        <f t="shared" si="163"/>
        <v>0.7962682803832577</v>
      </c>
      <c r="BD430" s="16">
        <f t="shared" si="163"/>
        <v>0.7961942914371557</v>
      </c>
      <c r="BE430" s="16">
        <f t="shared" si="163"/>
        <v>0.79631932355135537</v>
      </c>
      <c r="BF430" s="16">
        <f t="shared" si="163"/>
        <v>0.79629171817058098</v>
      </c>
      <c r="BG430" s="16">
        <f t="shared" si="163"/>
        <v>0.79616424883206294</v>
      </c>
      <c r="BH430" s="16">
        <f t="shared" si="163"/>
        <v>0.79632802937576497</v>
      </c>
      <c r="BI430" s="16">
        <f t="shared" si="163"/>
        <v>0.7960975609756098</v>
      </c>
    </row>
    <row r="431" spans="1:61" x14ac:dyDescent="0.25">
      <c r="A431" s="11">
        <f>$A$36</f>
        <v>21</v>
      </c>
      <c r="M431" s="11"/>
      <c r="N431" s="11"/>
      <c r="O431" s="11"/>
      <c r="P431" s="11"/>
      <c r="Q431" s="11"/>
      <c r="R431" s="11"/>
      <c r="S431" s="11"/>
      <c r="T431" s="16">
        <f>T$291/T$136</f>
        <v>0.82106523040095747</v>
      </c>
      <c r="U431" s="16">
        <f t="shared" ref="U431:BI431" si="164">U$291/U$136</f>
        <v>0.82086499123319701</v>
      </c>
      <c r="V431" s="16">
        <f t="shared" si="164"/>
        <v>0.82100377139541625</v>
      </c>
      <c r="W431" s="16">
        <f t="shared" si="164"/>
        <v>0.82091243978464157</v>
      </c>
      <c r="X431" s="16">
        <f t="shared" si="164"/>
        <v>0.82093084407047068</v>
      </c>
      <c r="Y431" s="16">
        <f t="shared" si="164"/>
        <v>0.82092555331991957</v>
      </c>
      <c r="Z431" s="16">
        <f t="shared" si="164"/>
        <v>0.82109746930593841</v>
      </c>
      <c r="AA431" s="16">
        <f t="shared" si="164"/>
        <v>0.820943442825389</v>
      </c>
      <c r="AB431" s="16">
        <f t="shared" si="164"/>
        <v>0.82085495428712629</v>
      </c>
      <c r="AC431" s="16">
        <f t="shared" si="164"/>
        <v>0.82108389012620642</v>
      </c>
      <c r="AD431" s="16">
        <f t="shared" si="164"/>
        <v>0.82101359703337451</v>
      </c>
      <c r="AE431" s="16">
        <f t="shared" si="164"/>
        <v>0.82101070450585012</v>
      </c>
      <c r="AF431" s="16">
        <f t="shared" si="164"/>
        <v>0.82104740630429385</v>
      </c>
      <c r="AG431" s="16">
        <f t="shared" si="164"/>
        <v>0.82094763092269329</v>
      </c>
      <c r="AH431" s="16">
        <f t="shared" si="164"/>
        <v>0.82091798344620015</v>
      </c>
      <c r="AI431" s="16">
        <f t="shared" si="164"/>
        <v>0.82072617246596069</v>
      </c>
      <c r="AJ431" s="16">
        <f t="shared" si="164"/>
        <v>0.82099999999999995</v>
      </c>
      <c r="AK431" s="16">
        <f t="shared" si="164"/>
        <v>0.8208917197452229</v>
      </c>
      <c r="AL431" s="16">
        <f t="shared" si="164"/>
        <v>0.82114228456913829</v>
      </c>
      <c r="AM431" s="16">
        <f t="shared" si="164"/>
        <v>0.82098293862999749</v>
      </c>
      <c r="AN431" s="16">
        <f t="shared" si="164"/>
        <v>0.82083222899549435</v>
      </c>
      <c r="AO431" s="16">
        <f t="shared" si="164"/>
        <v>0.82101063829787235</v>
      </c>
      <c r="AP431" s="16">
        <f t="shared" si="164"/>
        <v>0.82084095063985374</v>
      </c>
      <c r="AQ431" s="16">
        <f t="shared" si="164"/>
        <v>0.82078666319353999</v>
      </c>
      <c r="AR431" s="16">
        <f t="shared" si="164"/>
        <v>0.82085283411336452</v>
      </c>
      <c r="AS431" s="16">
        <f t="shared" si="164"/>
        <v>0.82082575954297587</v>
      </c>
      <c r="AT431" s="16">
        <f t="shared" si="164"/>
        <v>0.8207522697795071</v>
      </c>
      <c r="AU431" s="16">
        <f t="shared" si="164"/>
        <v>0.82093806685669868</v>
      </c>
      <c r="AV431" s="16">
        <f t="shared" si="164"/>
        <v>0.82091097308488614</v>
      </c>
      <c r="AW431" s="16">
        <f t="shared" si="164"/>
        <v>0.82097649186256783</v>
      </c>
      <c r="AX431" s="16">
        <f t="shared" si="164"/>
        <v>0.82096857290056668</v>
      </c>
      <c r="AY431" s="16">
        <f t="shared" si="164"/>
        <v>0.82105263157894737</v>
      </c>
      <c r="AZ431" s="16">
        <f t="shared" si="164"/>
        <v>0.8208535650396116</v>
      </c>
      <c r="BA431" s="16">
        <f t="shared" si="164"/>
        <v>0.82083862770012705</v>
      </c>
      <c r="BB431" s="16">
        <f t="shared" si="164"/>
        <v>0.82091437231624143</v>
      </c>
      <c r="BC431" s="16">
        <f t="shared" si="164"/>
        <v>0.8208730556949323</v>
      </c>
      <c r="BD431" s="16">
        <f t="shared" si="164"/>
        <v>0.82087693074240164</v>
      </c>
      <c r="BE431" s="16">
        <f t="shared" si="164"/>
        <v>0.82112815437902031</v>
      </c>
      <c r="BF431" s="16">
        <f t="shared" si="164"/>
        <v>0.82088452088452091</v>
      </c>
      <c r="BG431" s="16">
        <f t="shared" si="164"/>
        <v>0.82100122100122097</v>
      </c>
      <c r="BH431" s="16">
        <f t="shared" si="164"/>
        <v>0.82098615496720917</v>
      </c>
      <c r="BI431" s="16">
        <f t="shared" si="164"/>
        <v>0.82103990326481258</v>
      </c>
    </row>
    <row r="432" spans="1:61" x14ac:dyDescent="0.25">
      <c r="A432" s="11">
        <f>$A$37</f>
        <v>22</v>
      </c>
      <c r="M432" s="11"/>
      <c r="N432" s="11"/>
      <c r="O432" s="11"/>
      <c r="P432" s="11"/>
      <c r="Q432" s="11"/>
      <c r="R432" s="11"/>
      <c r="S432" s="11"/>
      <c r="T432" s="16">
        <f>T$292/T$137</f>
        <v>0.84363636363636363</v>
      </c>
      <c r="U432" s="16">
        <f t="shared" ref="U432:BI432" si="165">U$292/U$137</f>
        <v>0.84362876753207994</v>
      </c>
      <c r="V432" s="16">
        <f t="shared" si="165"/>
        <v>0.84380453752181506</v>
      </c>
      <c r="W432" s="16">
        <f t="shared" si="165"/>
        <v>0.84366887799250068</v>
      </c>
      <c r="X432" s="16">
        <f t="shared" si="165"/>
        <v>0.84375</v>
      </c>
      <c r="Y432" s="16">
        <f t="shared" si="165"/>
        <v>0.84378265412748177</v>
      </c>
      <c r="Z432" s="16">
        <f t="shared" si="165"/>
        <v>0.84386709967524354</v>
      </c>
      <c r="AA432" s="16">
        <f t="shared" si="165"/>
        <v>0.84374222443393876</v>
      </c>
      <c r="AB432" s="16">
        <f t="shared" si="165"/>
        <v>0.84375766494971793</v>
      </c>
      <c r="AC432" s="16">
        <f t="shared" si="165"/>
        <v>0.84392638036809819</v>
      </c>
      <c r="AD432" s="16">
        <f t="shared" si="165"/>
        <v>0.84373464373464369</v>
      </c>
      <c r="AE432" s="16">
        <f t="shared" si="165"/>
        <v>0.8438880706921944</v>
      </c>
      <c r="AF432" s="16">
        <f t="shared" si="165"/>
        <v>0.84383493946132937</v>
      </c>
      <c r="AG432" s="16">
        <f t="shared" si="165"/>
        <v>0.84380389258438038</v>
      </c>
      <c r="AH432" s="16">
        <f t="shared" si="165"/>
        <v>0.84360306854738931</v>
      </c>
      <c r="AI432" s="16">
        <f t="shared" si="165"/>
        <v>0.84370333499253358</v>
      </c>
      <c r="AJ432" s="16">
        <f t="shared" si="165"/>
        <v>0.84363272454340754</v>
      </c>
      <c r="AK432" s="16">
        <f t="shared" si="165"/>
        <v>0.84375</v>
      </c>
      <c r="AL432" s="16">
        <f t="shared" si="165"/>
        <v>0.84382107657316152</v>
      </c>
      <c r="AM432" s="16">
        <f t="shared" si="165"/>
        <v>0.8437267080745342</v>
      </c>
      <c r="AN432" s="16">
        <f t="shared" si="165"/>
        <v>0.84368686868686871</v>
      </c>
      <c r="AO432" s="16">
        <f t="shared" si="165"/>
        <v>0.84393063583815031</v>
      </c>
      <c r="AP432" s="16">
        <f t="shared" si="165"/>
        <v>0.84370057986294145</v>
      </c>
      <c r="AQ432" s="16">
        <f t="shared" si="165"/>
        <v>0.84390370178617657</v>
      </c>
      <c r="AR432" s="16">
        <f t="shared" si="165"/>
        <v>0.84379034340304671</v>
      </c>
      <c r="AS432" s="16">
        <f t="shared" si="165"/>
        <v>0.84359701107961871</v>
      </c>
      <c r="AT432" s="16">
        <f t="shared" si="165"/>
        <v>0.84379825012866705</v>
      </c>
      <c r="AU432" s="16">
        <f t="shared" si="165"/>
        <v>0.84395886889460159</v>
      </c>
      <c r="AV432" s="16">
        <f t="shared" si="165"/>
        <v>0.84364569961489089</v>
      </c>
      <c r="AW432" s="16">
        <f t="shared" si="165"/>
        <v>0.84362983850294793</v>
      </c>
      <c r="AX432" s="16">
        <f t="shared" si="165"/>
        <v>0.84369403939626508</v>
      </c>
      <c r="AY432" s="16">
        <f t="shared" si="165"/>
        <v>0.84383771370247507</v>
      </c>
      <c r="AZ432" s="16">
        <f t="shared" si="165"/>
        <v>0.84388507500635646</v>
      </c>
      <c r="BA432" s="16">
        <f t="shared" si="165"/>
        <v>0.8438370032903062</v>
      </c>
      <c r="BB432" s="16">
        <f t="shared" si="165"/>
        <v>0.84369494085074248</v>
      </c>
      <c r="BC432" s="16">
        <f t="shared" si="165"/>
        <v>0.84367183591795902</v>
      </c>
      <c r="BD432" s="16">
        <f t="shared" si="165"/>
        <v>0.8437267080745342</v>
      </c>
      <c r="BE432" s="16">
        <f t="shared" si="165"/>
        <v>0.84361124814997535</v>
      </c>
      <c r="BF432" s="16">
        <f t="shared" si="165"/>
        <v>0.84374234631398481</v>
      </c>
      <c r="BG432" s="16">
        <f t="shared" si="165"/>
        <v>0.8437956204379562</v>
      </c>
      <c r="BH432" s="16">
        <f t="shared" si="165"/>
        <v>0.8438104448742747</v>
      </c>
      <c r="BI432" s="16">
        <f t="shared" si="165"/>
        <v>0.84391534391534395</v>
      </c>
    </row>
    <row r="433" spans="1:61" x14ac:dyDescent="0.25">
      <c r="A433" s="11">
        <f>$A$38</f>
        <v>23</v>
      </c>
      <c r="M433" s="11"/>
      <c r="N433" s="11"/>
      <c r="O433" s="11"/>
      <c r="P433" s="11"/>
      <c r="Q433" s="11"/>
      <c r="R433" s="11"/>
      <c r="S433" s="11"/>
      <c r="T433" s="16">
        <f>T$293/T$138</f>
        <v>0.86499999999999999</v>
      </c>
      <c r="U433" s="16">
        <f t="shared" ref="U433:BI433" si="166">U$293/U$138</f>
        <v>0.86475037821482603</v>
      </c>
      <c r="V433" s="16">
        <f t="shared" si="166"/>
        <v>0.8647443519619501</v>
      </c>
      <c r="W433" s="16">
        <f t="shared" si="166"/>
        <v>0.86458333333333337</v>
      </c>
      <c r="X433" s="16">
        <f t="shared" si="166"/>
        <v>0.86467889908256879</v>
      </c>
      <c r="Y433" s="16">
        <f t="shared" si="166"/>
        <v>0.8648951048951049</v>
      </c>
      <c r="Z433" s="16">
        <f t="shared" si="166"/>
        <v>0.86478069037113936</v>
      </c>
      <c r="AA433" s="16">
        <f t="shared" si="166"/>
        <v>0.86469712015888778</v>
      </c>
      <c r="AB433" s="16">
        <f t="shared" si="166"/>
        <v>0.86477132262051915</v>
      </c>
      <c r="AC433" s="16">
        <f t="shared" si="166"/>
        <v>0.86473312210577624</v>
      </c>
      <c r="AD433" s="16">
        <f t="shared" si="166"/>
        <v>0.86470014627011216</v>
      </c>
      <c r="AE433" s="16">
        <f t="shared" si="166"/>
        <v>0.86477910666341229</v>
      </c>
      <c r="AF433" s="16">
        <f t="shared" si="166"/>
        <v>0.86491099731772736</v>
      </c>
      <c r="AG433" s="16">
        <f t="shared" si="166"/>
        <v>0.86478527607361966</v>
      </c>
      <c r="AH433" s="16">
        <f t="shared" si="166"/>
        <v>0.86472602739726023</v>
      </c>
      <c r="AI433" s="16">
        <f t="shared" si="166"/>
        <v>0.86483165396903416</v>
      </c>
      <c r="AJ433" s="16">
        <f t="shared" si="166"/>
        <v>0.86483815171732148</v>
      </c>
      <c r="AK433" s="16">
        <f t="shared" si="166"/>
        <v>0.86487829110779935</v>
      </c>
      <c r="AL433" s="16">
        <f t="shared" si="166"/>
        <v>0.86484490398818314</v>
      </c>
      <c r="AM433" s="16">
        <f t="shared" si="166"/>
        <v>0.86459378134403209</v>
      </c>
      <c r="AN433" s="16">
        <f t="shared" si="166"/>
        <v>0.86464497041420119</v>
      </c>
      <c r="AO433" s="16">
        <f t="shared" si="166"/>
        <v>0.86469556502129796</v>
      </c>
      <c r="AP433" s="16">
        <f t="shared" si="166"/>
        <v>0.86477331943720692</v>
      </c>
      <c r="AQ433" s="16">
        <f t="shared" si="166"/>
        <v>0.86487192890747522</v>
      </c>
      <c r="AR433" s="16">
        <f t="shared" si="166"/>
        <v>0.86473305954825463</v>
      </c>
      <c r="AS433" s="16">
        <f t="shared" si="166"/>
        <v>0.86482334869431643</v>
      </c>
      <c r="AT433" s="16">
        <f t="shared" si="166"/>
        <v>0.86484414920797137</v>
      </c>
      <c r="AU433" s="16">
        <f t="shared" si="166"/>
        <v>0.86479591836734693</v>
      </c>
      <c r="AV433" s="16">
        <f t="shared" si="166"/>
        <v>0.86471337579617835</v>
      </c>
      <c r="AW433" s="16">
        <f t="shared" si="166"/>
        <v>0.86463104325699747</v>
      </c>
      <c r="AX433" s="16">
        <f t="shared" si="166"/>
        <v>0.86483739837398377</v>
      </c>
      <c r="AY433" s="16">
        <f t="shared" si="166"/>
        <v>0.86485801217038538</v>
      </c>
      <c r="AZ433" s="16">
        <f t="shared" si="166"/>
        <v>0.86472819216182051</v>
      </c>
      <c r="BA433" s="16">
        <f t="shared" si="166"/>
        <v>0.864735516372796</v>
      </c>
      <c r="BB433" s="16">
        <f t="shared" si="166"/>
        <v>0.86484453360080238</v>
      </c>
      <c r="BC433" s="16">
        <f t="shared" si="166"/>
        <v>0.86483790523690773</v>
      </c>
      <c r="BD433" s="16">
        <f t="shared" si="166"/>
        <v>0.86471754212091179</v>
      </c>
      <c r="BE433" s="16">
        <f t="shared" si="166"/>
        <v>0.86487816884075808</v>
      </c>
      <c r="BF433" s="16">
        <f t="shared" si="166"/>
        <v>0.86485826001955035</v>
      </c>
      <c r="BG433" s="16">
        <f t="shared" si="166"/>
        <v>0.86462882096069871</v>
      </c>
      <c r="BH433" s="16">
        <f t="shared" si="166"/>
        <v>0.86481927710843376</v>
      </c>
      <c r="BI433" s="16">
        <f t="shared" si="166"/>
        <v>0.86470306513409967</v>
      </c>
    </row>
    <row r="434" spans="1:61" x14ac:dyDescent="0.25">
      <c r="A434" s="11">
        <f>$A$39</f>
        <v>24</v>
      </c>
      <c r="M434" s="11"/>
      <c r="N434" s="11"/>
      <c r="O434" s="11"/>
      <c r="P434" s="11"/>
      <c r="Q434" s="11"/>
      <c r="R434" s="11"/>
      <c r="S434" s="11"/>
      <c r="T434" s="16">
        <f>T$294/T$139</f>
        <v>0.88445984979780479</v>
      </c>
      <c r="U434" s="16">
        <f t="shared" ref="U434:BI434" si="167">U$294/U$139</f>
        <v>0.88458149779735684</v>
      </c>
      <c r="V434" s="16">
        <f t="shared" si="167"/>
        <v>0.88456901748040984</v>
      </c>
      <c r="W434" s="16">
        <f t="shared" si="167"/>
        <v>0.88464951197870456</v>
      </c>
      <c r="X434" s="16">
        <f t="shared" si="167"/>
        <v>0.88460431654676264</v>
      </c>
      <c r="Y434" s="16">
        <f t="shared" si="167"/>
        <v>0.88461538461538458</v>
      </c>
      <c r="Z434" s="16">
        <f t="shared" si="167"/>
        <v>0.88469019171992225</v>
      </c>
      <c r="AA434" s="16">
        <f t="shared" si="167"/>
        <v>0.88470466855816354</v>
      </c>
      <c r="AB434" s="16">
        <f t="shared" si="167"/>
        <v>0.88452997779422649</v>
      </c>
      <c r="AC434" s="16">
        <f t="shared" si="167"/>
        <v>0.88452088452088451</v>
      </c>
      <c r="AD434" s="16">
        <f t="shared" si="167"/>
        <v>0.88447565996609345</v>
      </c>
      <c r="AE434" s="16">
        <f t="shared" si="167"/>
        <v>0.88444767441860461</v>
      </c>
      <c r="AF434" s="16">
        <f t="shared" si="167"/>
        <v>0.88479262672811065</v>
      </c>
      <c r="AG434" s="16">
        <f t="shared" si="167"/>
        <v>0.88468992248062017</v>
      </c>
      <c r="AH434" s="16">
        <f t="shared" si="167"/>
        <v>0.88469039492930279</v>
      </c>
      <c r="AI434" s="16">
        <f t="shared" si="167"/>
        <v>0.88456865127582018</v>
      </c>
      <c r="AJ434" s="16">
        <f t="shared" si="167"/>
        <v>0.88457784285017083</v>
      </c>
      <c r="AK434" s="16">
        <f t="shared" si="167"/>
        <v>0.88444553483807653</v>
      </c>
      <c r="AL434" s="16">
        <f t="shared" si="167"/>
        <v>0.88458692971639952</v>
      </c>
      <c r="AM434" s="16">
        <f t="shared" si="167"/>
        <v>0.88462478611586404</v>
      </c>
      <c r="AN434" s="16">
        <f t="shared" si="167"/>
        <v>0.88473985561364199</v>
      </c>
      <c r="AO434" s="16">
        <f t="shared" si="167"/>
        <v>0.88448360254527658</v>
      </c>
      <c r="AP434" s="16">
        <f t="shared" si="167"/>
        <v>0.88463451019393335</v>
      </c>
      <c r="AQ434" s="16">
        <f t="shared" si="167"/>
        <v>0.88472473507366245</v>
      </c>
      <c r="AR434" s="16">
        <f t="shared" si="167"/>
        <v>0.88465526179367548</v>
      </c>
      <c r="AS434" s="16">
        <f t="shared" si="167"/>
        <v>0.88467413441955189</v>
      </c>
      <c r="AT434" s="16">
        <f t="shared" si="167"/>
        <v>0.88448844884488453</v>
      </c>
      <c r="AU434" s="16">
        <f t="shared" si="167"/>
        <v>0.88472257410691668</v>
      </c>
      <c r="AV434" s="16">
        <f t="shared" si="167"/>
        <v>0.88464457374146221</v>
      </c>
      <c r="AW434" s="16">
        <f t="shared" si="167"/>
        <v>0.88479029813036891</v>
      </c>
      <c r="AX434" s="16">
        <f t="shared" si="167"/>
        <v>0.88446014127144301</v>
      </c>
      <c r="AY434" s="16">
        <f t="shared" si="167"/>
        <v>0.88463476070528968</v>
      </c>
      <c r="AZ434" s="16">
        <f t="shared" si="167"/>
        <v>0.88464438301080672</v>
      </c>
      <c r="BA434" s="16">
        <f t="shared" si="167"/>
        <v>0.88449010273114503</v>
      </c>
      <c r="BB434" s="16">
        <f t="shared" si="167"/>
        <v>0.88464419475655431</v>
      </c>
      <c r="BC434" s="16">
        <f t="shared" si="167"/>
        <v>0.88469184890656061</v>
      </c>
      <c r="BD434" s="16">
        <f t="shared" si="167"/>
        <v>0.88460588089943171</v>
      </c>
      <c r="BE434" s="16">
        <f t="shared" si="167"/>
        <v>0.88482318271119842</v>
      </c>
      <c r="BF434" s="16">
        <f t="shared" si="167"/>
        <v>0.88463414634146342</v>
      </c>
      <c r="BG434" s="16">
        <f t="shared" si="167"/>
        <v>0.88450363196125903</v>
      </c>
      <c r="BH434" s="16">
        <f t="shared" si="167"/>
        <v>0.88461538461538458</v>
      </c>
      <c r="BI434" s="16">
        <f t="shared" si="167"/>
        <v>0.88467048710601714</v>
      </c>
    </row>
    <row r="435" spans="1:61" x14ac:dyDescent="0.25">
      <c r="A435" s="11">
        <f>$A$40</f>
        <v>25</v>
      </c>
      <c r="M435" s="11"/>
      <c r="N435" s="11"/>
      <c r="O435" s="11"/>
      <c r="P435" s="11"/>
      <c r="Q435" s="11"/>
      <c r="R435" s="11"/>
      <c r="S435" s="11"/>
      <c r="T435" s="16">
        <f>T$295/T$140</f>
        <v>0.90457902511078292</v>
      </c>
      <c r="U435" s="16">
        <f t="shared" ref="U435:BI435" si="168">U$295/U$140</f>
        <v>0.90450086555106757</v>
      </c>
      <c r="V435" s="16">
        <f t="shared" si="168"/>
        <v>0.90459467369037172</v>
      </c>
      <c r="W435" s="16">
        <f t="shared" si="168"/>
        <v>0.90459045904590463</v>
      </c>
      <c r="X435" s="16">
        <f t="shared" si="168"/>
        <v>0.90467784642541926</v>
      </c>
      <c r="Y435" s="16">
        <f t="shared" si="168"/>
        <v>0.90446224256292906</v>
      </c>
      <c r="Z435" s="16">
        <f t="shared" si="168"/>
        <v>0.90458663646659121</v>
      </c>
      <c r="AA435" s="16">
        <f t="shared" si="168"/>
        <v>0.90474875759249029</v>
      </c>
      <c r="AB435" s="16">
        <f t="shared" si="168"/>
        <v>0.9046153846153846</v>
      </c>
      <c r="AC435" s="16">
        <f t="shared" si="168"/>
        <v>0.90480863591756622</v>
      </c>
      <c r="AD435" s="16">
        <f t="shared" si="168"/>
        <v>0.90471536770095284</v>
      </c>
      <c r="AE435" s="16">
        <f t="shared" si="168"/>
        <v>0.90464724295689858</v>
      </c>
      <c r="AF435" s="16">
        <f t="shared" si="168"/>
        <v>0.90462427745664742</v>
      </c>
      <c r="AG435" s="16">
        <f t="shared" si="168"/>
        <v>0.90477338476374158</v>
      </c>
      <c r="AH435" s="16">
        <f t="shared" si="168"/>
        <v>0.90467019740009624</v>
      </c>
      <c r="AI435" s="16">
        <f t="shared" si="168"/>
        <v>0.90455426356589153</v>
      </c>
      <c r="AJ435" s="16">
        <f t="shared" si="168"/>
        <v>0.90485390002414878</v>
      </c>
      <c r="AK435" s="16">
        <f t="shared" si="168"/>
        <v>0.90470417070805043</v>
      </c>
      <c r="AL435" s="16">
        <f t="shared" si="168"/>
        <v>0.90470387521325857</v>
      </c>
      <c r="AM435" s="16">
        <f t="shared" si="168"/>
        <v>0.90472691648297821</v>
      </c>
      <c r="AN435" s="16">
        <f t="shared" si="168"/>
        <v>0.90458849235251271</v>
      </c>
      <c r="AO435" s="16">
        <f t="shared" si="168"/>
        <v>0.90459713297083544</v>
      </c>
      <c r="AP435" s="16">
        <f t="shared" si="168"/>
        <v>0.9044957472660996</v>
      </c>
      <c r="AQ435" s="16">
        <f t="shared" si="168"/>
        <v>0.9047148852135275</v>
      </c>
      <c r="AR435" s="16">
        <f t="shared" si="168"/>
        <v>0.90459092074891001</v>
      </c>
      <c r="AS435" s="16">
        <f t="shared" si="168"/>
        <v>0.90457818930041156</v>
      </c>
      <c r="AT435" s="16">
        <f t="shared" si="168"/>
        <v>0.90474987367357251</v>
      </c>
      <c r="AU435" s="16">
        <f t="shared" si="168"/>
        <v>0.90453400503778336</v>
      </c>
      <c r="AV435" s="16">
        <f t="shared" si="168"/>
        <v>0.90472599296128708</v>
      </c>
      <c r="AW435" s="16">
        <f t="shared" si="168"/>
        <v>0.90464240903387705</v>
      </c>
      <c r="AX435" s="16">
        <f t="shared" si="168"/>
        <v>0.90476190476190477</v>
      </c>
      <c r="AY435" s="16">
        <f t="shared" si="168"/>
        <v>0.90465465465465467</v>
      </c>
      <c r="AZ435" s="16">
        <f t="shared" si="168"/>
        <v>0.90457157132150889</v>
      </c>
      <c r="BA435" s="16">
        <f t="shared" si="168"/>
        <v>0.90478564307078768</v>
      </c>
      <c r="BB435" s="16">
        <f t="shared" si="168"/>
        <v>0.90457256461232605</v>
      </c>
      <c r="BC435" s="16">
        <f t="shared" si="168"/>
        <v>0.90467937608318894</v>
      </c>
      <c r="BD435" s="16">
        <f t="shared" si="168"/>
        <v>0.90465631929046564</v>
      </c>
      <c r="BE435" s="16">
        <f t="shared" si="168"/>
        <v>0.90445859872611467</v>
      </c>
      <c r="BF435" s="16">
        <f t="shared" si="168"/>
        <v>0.9045764362220059</v>
      </c>
      <c r="BG435" s="16">
        <f t="shared" si="168"/>
        <v>0.90449709864603478</v>
      </c>
      <c r="BH435" s="16">
        <f t="shared" si="168"/>
        <v>0.90470475276044171</v>
      </c>
      <c r="BI435" s="16">
        <f t="shared" si="168"/>
        <v>0.90467111534795042</v>
      </c>
    </row>
    <row r="436" spans="1:61" x14ac:dyDescent="0.25">
      <c r="A436" s="11">
        <f>$A$41</f>
        <v>26</v>
      </c>
      <c r="M436" s="11"/>
      <c r="N436" s="11"/>
      <c r="O436" s="11"/>
      <c r="P436" s="11"/>
      <c r="Q436" s="11"/>
      <c r="R436" s="11"/>
      <c r="S436" s="11"/>
      <c r="T436" s="16">
        <f>T$296/T$141</f>
        <v>0.91978148361127088</v>
      </c>
      <c r="U436" s="16">
        <f t="shared" ref="U436:BI436" si="169">U$296/U$141</f>
        <v>0.91951650943396224</v>
      </c>
      <c r="V436" s="16">
        <f t="shared" si="169"/>
        <v>0.91980454153492386</v>
      </c>
      <c r="W436" s="16">
        <f t="shared" si="169"/>
        <v>0.91960384503349835</v>
      </c>
      <c r="X436" s="16">
        <f t="shared" si="169"/>
        <v>0.91947509692812401</v>
      </c>
      <c r="Y436" s="16">
        <f t="shared" si="169"/>
        <v>0.91961414790996787</v>
      </c>
      <c r="Z436" s="16">
        <f t="shared" si="169"/>
        <v>0.9195794259732879</v>
      </c>
      <c r="AA436" s="16">
        <f t="shared" si="169"/>
        <v>0.91957255343082112</v>
      </c>
      <c r="AB436" s="16">
        <f t="shared" si="169"/>
        <v>0.91963795940756998</v>
      </c>
      <c r="AC436" s="16">
        <f t="shared" si="169"/>
        <v>0.91972477064220182</v>
      </c>
      <c r="AD436" s="16">
        <f t="shared" si="169"/>
        <v>0.91953182150694956</v>
      </c>
      <c r="AE436" s="16">
        <f t="shared" si="169"/>
        <v>0.91964068948773969</v>
      </c>
      <c r="AF436" s="16">
        <f t="shared" si="169"/>
        <v>0.91957874581139298</v>
      </c>
      <c r="AG436" s="16">
        <f t="shared" si="169"/>
        <v>0.91957874581139298</v>
      </c>
      <c r="AH436" s="16">
        <f t="shared" si="169"/>
        <v>0.91952095808383238</v>
      </c>
      <c r="AI436" s="16">
        <f t="shared" si="169"/>
        <v>0.91961722488038278</v>
      </c>
      <c r="AJ436" s="16">
        <f t="shared" si="169"/>
        <v>0.9196149217809868</v>
      </c>
      <c r="AK436" s="16">
        <f t="shared" si="169"/>
        <v>0.91964499880067163</v>
      </c>
      <c r="AL436" s="16">
        <f t="shared" si="169"/>
        <v>0.91955684007707128</v>
      </c>
      <c r="AM436" s="16">
        <f t="shared" si="169"/>
        <v>0.91963205035100459</v>
      </c>
      <c r="AN436" s="16">
        <f t="shared" si="169"/>
        <v>0.91950389105058361</v>
      </c>
      <c r="AO436" s="16">
        <f t="shared" si="169"/>
        <v>0.91972034715525552</v>
      </c>
      <c r="AP436" s="16">
        <f t="shared" si="169"/>
        <v>0.91975460122699382</v>
      </c>
      <c r="AQ436" s="16">
        <f t="shared" si="169"/>
        <v>0.9196428571428571</v>
      </c>
      <c r="AR436" s="16">
        <f t="shared" si="169"/>
        <v>0.91962754226905175</v>
      </c>
      <c r="AS436" s="16">
        <f t="shared" si="169"/>
        <v>0.91959287531806611</v>
      </c>
      <c r="AT436" s="16">
        <f t="shared" si="169"/>
        <v>0.9196223526409798</v>
      </c>
      <c r="AU436" s="16">
        <f t="shared" si="169"/>
        <v>0.91954887218045112</v>
      </c>
      <c r="AV436" s="16">
        <f t="shared" si="169"/>
        <v>0.91977005748562857</v>
      </c>
      <c r="AW436" s="16">
        <f t="shared" si="169"/>
        <v>0.91970074812967584</v>
      </c>
      <c r="AX436" s="16">
        <f t="shared" si="169"/>
        <v>0.91959173512571568</v>
      </c>
      <c r="AY436" s="16">
        <f t="shared" si="169"/>
        <v>0.91971165796669152</v>
      </c>
      <c r="AZ436" s="16">
        <f t="shared" si="169"/>
        <v>0.91958302308265083</v>
      </c>
      <c r="BA436" s="16">
        <f t="shared" si="169"/>
        <v>0.91949467426306664</v>
      </c>
      <c r="BB436" s="16">
        <f t="shared" si="169"/>
        <v>0.91967375185368261</v>
      </c>
      <c r="BC436" s="16">
        <f t="shared" si="169"/>
        <v>0.91966485953671762</v>
      </c>
      <c r="BD436" s="16">
        <f t="shared" si="169"/>
        <v>0.9197349042709867</v>
      </c>
      <c r="BE436" s="16">
        <f t="shared" si="169"/>
        <v>0.91963849535906206</v>
      </c>
      <c r="BF436" s="16">
        <f t="shared" si="169"/>
        <v>0.91960165168812247</v>
      </c>
      <c r="BG436" s="16">
        <f t="shared" si="169"/>
        <v>0.91962346125995653</v>
      </c>
      <c r="BH436" s="16">
        <f t="shared" si="169"/>
        <v>0.91970278044103548</v>
      </c>
      <c r="BI436" s="16">
        <f t="shared" si="169"/>
        <v>0.91956211327939075</v>
      </c>
    </row>
    <row r="437" spans="1:61" x14ac:dyDescent="0.25">
      <c r="A437" s="11">
        <f>$A$42</f>
        <v>27</v>
      </c>
      <c r="M437" s="11"/>
      <c r="N437" s="11"/>
      <c r="O437" s="11"/>
      <c r="P437" s="11"/>
      <c r="Q437" s="11"/>
      <c r="R437" s="11"/>
      <c r="S437" s="11"/>
      <c r="T437" s="16">
        <f>T$297/T$142</f>
        <v>0.92966534316505955</v>
      </c>
      <c r="U437" s="16">
        <f t="shared" ref="U437:BI437" si="170">U$297/U$142</f>
        <v>0.92981953594958466</v>
      </c>
      <c r="V437" s="16">
        <f t="shared" si="170"/>
        <v>0.92993257109352101</v>
      </c>
      <c r="W437" s="16">
        <f t="shared" si="170"/>
        <v>0.92975442604226155</v>
      </c>
      <c r="X437" s="16">
        <f t="shared" si="170"/>
        <v>0.92974848222029494</v>
      </c>
      <c r="Y437" s="16">
        <f t="shared" si="170"/>
        <v>0.92988165680473378</v>
      </c>
      <c r="Z437" s="16">
        <f t="shared" si="170"/>
        <v>0.92956521739130438</v>
      </c>
      <c r="AA437" s="16">
        <f t="shared" si="170"/>
        <v>0.92981961668545654</v>
      </c>
      <c r="AB437" s="16">
        <f t="shared" si="170"/>
        <v>0.92998605299860526</v>
      </c>
      <c r="AC437" s="16">
        <f t="shared" si="170"/>
        <v>0.92981501632208918</v>
      </c>
      <c r="AD437" s="16">
        <f t="shared" si="170"/>
        <v>0.92970922882427309</v>
      </c>
      <c r="AE437" s="16">
        <f t="shared" si="170"/>
        <v>0.92979908012587753</v>
      </c>
      <c r="AF437" s="16">
        <f t="shared" si="170"/>
        <v>0.92986261749819232</v>
      </c>
      <c r="AG437" s="16">
        <f t="shared" si="170"/>
        <v>0.929912093133761</v>
      </c>
      <c r="AH437" s="16">
        <f t="shared" si="170"/>
        <v>0.92969121140142519</v>
      </c>
      <c r="AI437" s="16">
        <f t="shared" si="170"/>
        <v>0.92986210175939132</v>
      </c>
      <c r="AJ437" s="16">
        <f t="shared" si="170"/>
        <v>0.92996201329534667</v>
      </c>
      <c r="AK437" s="16">
        <f t="shared" si="170"/>
        <v>0.92979942693409745</v>
      </c>
      <c r="AL437" s="16">
        <f t="shared" si="170"/>
        <v>0.92979533555449789</v>
      </c>
      <c r="AM437" s="16">
        <f t="shared" si="170"/>
        <v>0.92998805256869777</v>
      </c>
      <c r="AN437" s="16">
        <f t="shared" si="170"/>
        <v>0.92965186074429773</v>
      </c>
      <c r="AO437" s="16">
        <f t="shared" si="170"/>
        <v>0.92981186685962369</v>
      </c>
      <c r="AP437" s="16">
        <f t="shared" si="170"/>
        <v>0.92971551518049245</v>
      </c>
      <c r="AQ437" s="16">
        <f t="shared" si="170"/>
        <v>0.92968369829683695</v>
      </c>
      <c r="AR437" s="16">
        <f t="shared" si="170"/>
        <v>0.92988753290260828</v>
      </c>
      <c r="AS437" s="16">
        <f t="shared" si="170"/>
        <v>0.92978620019436342</v>
      </c>
      <c r="AT437" s="16">
        <f t="shared" si="170"/>
        <v>0.92965204236006049</v>
      </c>
      <c r="AU437" s="16">
        <f t="shared" si="170"/>
        <v>0.92970922882427309</v>
      </c>
      <c r="AV437" s="16">
        <f t="shared" si="170"/>
        <v>0.92995529061102833</v>
      </c>
      <c r="AW437" s="16">
        <f t="shared" si="170"/>
        <v>0.92991579990094109</v>
      </c>
      <c r="AX437" s="16">
        <f t="shared" si="170"/>
        <v>0.92982456140350878</v>
      </c>
      <c r="AY437" s="16">
        <f t="shared" si="170"/>
        <v>0.92971639950678175</v>
      </c>
      <c r="AZ437" s="16">
        <f t="shared" si="170"/>
        <v>0.92982024131987195</v>
      </c>
      <c r="BA437" s="16">
        <f t="shared" si="170"/>
        <v>0.92992377673961146</v>
      </c>
      <c r="BB437" s="16">
        <f t="shared" si="170"/>
        <v>0.92981595092024538</v>
      </c>
      <c r="BC437" s="16">
        <f t="shared" si="170"/>
        <v>0.92974296205630358</v>
      </c>
      <c r="BD437" s="16">
        <f t="shared" si="170"/>
        <v>0.92972181551976574</v>
      </c>
      <c r="BE437" s="16">
        <f t="shared" si="170"/>
        <v>0.92975206611570249</v>
      </c>
      <c r="BF437" s="16">
        <f t="shared" si="170"/>
        <v>0.9298500241896468</v>
      </c>
      <c r="BG437" s="16">
        <f t="shared" si="170"/>
        <v>0.92999759441905216</v>
      </c>
      <c r="BH437" s="16">
        <f t="shared" si="170"/>
        <v>0.92973231357552577</v>
      </c>
      <c r="BI437" s="16">
        <f t="shared" si="170"/>
        <v>0.92974127699976261</v>
      </c>
    </row>
    <row r="438" spans="1:61" x14ac:dyDescent="0.25">
      <c r="A438" s="11">
        <f>$A$43</f>
        <v>28</v>
      </c>
      <c r="M438" s="11"/>
      <c r="N438" s="11"/>
      <c r="O438" s="11"/>
      <c r="P438" s="11"/>
      <c r="Q438" s="11"/>
      <c r="R438" s="11"/>
      <c r="S438" s="11"/>
      <c r="T438" s="16">
        <f>T$298/T$143</f>
        <v>0.93529253167969806</v>
      </c>
      <c r="U438" s="16">
        <f t="shared" ref="U438:BI438" si="171">U$298/U$143</f>
        <v>0.93515647025655479</v>
      </c>
      <c r="V438" s="16">
        <f t="shared" si="171"/>
        <v>0.93547470153496304</v>
      </c>
      <c r="W438" s="16">
        <f t="shared" si="171"/>
        <v>0.93521208599651362</v>
      </c>
      <c r="X438" s="16">
        <f t="shared" si="171"/>
        <v>0.93521923620933523</v>
      </c>
      <c r="Y438" s="16">
        <f t="shared" si="171"/>
        <v>0.93531768746422439</v>
      </c>
      <c r="Z438" s="16">
        <f t="shared" si="171"/>
        <v>0.93532338308457708</v>
      </c>
      <c r="AA438" s="16">
        <f t="shared" si="171"/>
        <v>0.93518784055061654</v>
      </c>
      <c r="AB438" s="16">
        <f t="shared" si="171"/>
        <v>0.93530395984383718</v>
      </c>
      <c r="AC438" s="16">
        <f t="shared" si="171"/>
        <v>0.9351545253863135</v>
      </c>
      <c r="AD438" s="16">
        <f t="shared" si="171"/>
        <v>0.93512786002691795</v>
      </c>
      <c r="AE438" s="16">
        <f t="shared" si="171"/>
        <v>0.9353869271224643</v>
      </c>
      <c r="AF438" s="16">
        <f t="shared" si="171"/>
        <v>0.93525179856115104</v>
      </c>
      <c r="AG438" s="16">
        <f t="shared" si="171"/>
        <v>0.93506803533062788</v>
      </c>
      <c r="AH438" s="16">
        <f t="shared" si="171"/>
        <v>0.93527888915038837</v>
      </c>
      <c r="AI438" s="16">
        <f t="shared" si="171"/>
        <v>0.93505882352941172</v>
      </c>
      <c r="AJ438" s="16">
        <f t="shared" si="171"/>
        <v>0.93524841064280673</v>
      </c>
      <c r="AK438" s="16">
        <f t="shared" si="171"/>
        <v>0.93533976016929221</v>
      </c>
      <c r="AL438" s="16">
        <f t="shared" si="171"/>
        <v>0.93520926933081105</v>
      </c>
      <c r="AM438" s="16">
        <f t="shared" si="171"/>
        <v>0.93518736742870612</v>
      </c>
      <c r="AN438" s="16">
        <f t="shared" si="171"/>
        <v>0.93517861367400046</v>
      </c>
      <c r="AO438" s="16">
        <f t="shared" si="171"/>
        <v>0.93510815307820294</v>
      </c>
      <c r="AP438" s="16">
        <f t="shared" si="171"/>
        <v>0.93529130850047759</v>
      </c>
      <c r="AQ438" s="16">
        <f t="shared" si="171"/>
        <v>0.93538461538461537</v>
      </c>
      <c r="AR438" s="16">
        <f t="shared" si="171"/>
        <v>0.93522754635203464</v>
      </c>
      <c r="AS438" s="16">
        <f t="shared" si="171"/>
        <v>0.93535401373431215</v>
      </c>
      <c r="AT438" s="16">
        <f t="shared" si="171"/>
        <v>0.93533653846153841</v>
      </c>
      <c r="AU438" s="16">
        <f t="shared" si="171"/>
        <v>0.93516209476309231</v>
      </c>
      <c r="AV438" s="16">
        <f t="shared" si="171"/>
        <v>0.93525000000000003</v>
      </c>
      <c r="AW438" s="16">
        <f t="shared" si="171"/>
        <v>0.93515106853352981</v>
      </c>
      <c r="AX438" s="16">
        <f t="shared" si="171"/>
        <v>0.93511263467189032</v>
      </c>
      <c r="AY438" s="16">
        <f t="shared" si="171"/>
        <v>0.93525531395064743</v>
      </c>
      <c r="AZ438" s="16">
        <f t="shared" si="171"/>
        <v>0.93513777127529873</v>
      </c>
      <c r="BA438" s="16">
        <f t="shared" si="171"/>
        <v>0.93523252982712446</v>
      </c>
      <c r="BB438" s="16">
        <f t="shared" si="171"/>
        <v>0.93534273213417596</v>
      </c>
      <c r="BC438" s="16">
        <f t="shared" si="171"/>
        <v>0.93522561863173215</v>
      </c>
      <c r="BD438" s="16">
        <f t="shared" si="171"/>
        <v>0.93538238141335917</v>
      </c>
      <c r="BE438" s="16">
        <f t="shared" si="171"/>
        <v>0.93534378769601934</v>
      </c>
      <c r="BF438" s="16">
        <f t="shared" si="171"/>
        <v>0.93512734262373853</v>
      </c>
      <c r="BG438" s="16">
        <f t="shared" si="171"/>
        <v>0.93519846963175512</v>
      </c>
      <c r="BH438" s="16">
        <f t="shared" si="171"/>
        <v>0.93533048026628629</v>
      </c>
      <c r="BI438" s="16">
        <f t="shared" si="171"/>
        <v>0.93527049373966453</v>
      </c>
    </row>
    <row r="439" spans="1:61" x14ac:dyDescent="0.25">
      <c r="A439" s="11">
        <f>$A$44</f>
        <v>29</v>
      </c>
      <c r="M439" s="11"/>
      <c r="N439" s="11"/>
      <c r="O439" s="11"/>
      <c r="P439" s="11"/>
      <c r="Q439" s="11"/>
      <c r="R439" s="11"/>
      <c r="S439" s="11"/>
      <c r="T439" s="16">
        <f>T$299/T$144</f>
        <v>0.93638275499474233</v>
      </c>
      <c r="U439" s="16">
        <f t="shared" ref="U439:BI439" si="172">U$299/U$144</f>
        <v>0.9365971107544141</v>
      </c>
      <c r="V439" s="16">
        <f t="shared" si="172"/>
        <v>0.93634840871021774</v>
      </c>
      <c r="W439" s="16">
        <f t="shared" si="172"/>
        <v>0.936726659167604</v>
      </c>
      <c r="X439" s="16">
        <f t="shared" si="172"/>
        <v>0.93681792073520964</v>
      </c>
      <c r="Y439" s="16">
        <f t="shared" si="172"/>
        <v>0.93655673560648411</v>
      </c>
      <c r="Z439" s="16">
        <f t="shared" si="172"/>
        <v>0.93640474844544941</v>
      </c>
      <c r="AA439" s="16">
        <f t="shared" si="172"/>
        <v>0.93672349032071656</v>
      </c>
      <c r="AB439" s="16">
        <f t="shared" si="172"/>
        <v>0.9365798414496036</v>
      </c>
      <c r="AC439" s="16">
        <f t="shared" si="172"/>
        <v>0.93665656843844669</v>
      </c>
      <c r="AD439" s="16">
        <f t="shared" si="172"/>
        <v>0.93649495775415648</v>
      </c>
      <c r="AE439" s="16">
        <f t="shared" si="172"/>
        <v>0.9367021276595745</v>
      </c>
      <c r="AF439" s="16">
        <f t="shared" si="172"/>
        <v>0.93661797474622432</v>
      </c>
      <c r="AG439" s="16">
        <f t="shared" si="172"/>
        <v>0.93666982922201136</v>
      </c>
      <c r="AH439" s="16">
        <f t="shared" si="172"/>
        <v>0.93648170011806375</v>
      </c>
      <c r="AI439" s="16">
        <f t="shared" si="172"/>
        <v>0.93645251396648044</v>
      </c>
      <c r="AJ439" s="16">
        <f t="shared" si="172"/>
        <v>0.93646730276937395</v>
      </c>
      <c r="AK439" s="16">
        <f t="shared" si="172"/>
        <v>0.93665579878900795</v>
      </c>
      <c r="AL439" s="16">
        <f t="shared" si="172"/>
        <v>0.93652638921181119</v>
      </c>
      <c r="AM439" s="16">
        <f t="shared" si="172"/>
        <v>0.93640402151040447</v>
      </c>
      <c r="AN439" s="16">
        <f t="shared" si="172"/>
        <v>0.93662628145386762</v>
      </c>
      <c r="AO439" s="16">
        <f t="shared" si="172"/>
        <v>0.93662301216089805</v>
      </c>
      <c r="AP439" s="16">
        <f t="shared" si="172"/>
        <v>0.93656015037593987</v>
      </c>
      <c r="AQ439" s="16">
        <f t="shared" si="172"/>
        <v>0.93674769884352138</v>
      </c>
      <c r="AR439" s="16">
        <f t="shared" si="172"/>
        <v>0.93660818713450289</v>
      </c>
      <c r="AS439" s="16">
        <f t="shared" si="172"/>
        <v>0.93671187247204379</v>
      </c>
      <c r="AT439" s="16">
        <f t="shared" si="172"/>
        <v>0.93681254388017787</v>
      </c>
      <c r="AU439" s="16">
        <f t="shared" si="172"/>
        <v>0.93659463310377578</v>
      </c>
      <c r="AV439" s="16">
        <f t="shared" si="172"/>
        <v>0.93671509480423543</v>
      </c>
      <c r="AW439" s="16">
        <f t="shared" si="172"/>
        <v>0.93655887435201179</v>
      </c>
      <c r="AX439" s="16">
        <f t="shared" si="172"/>
        <v>0.93669658016007762</v>
      </c>
      <c r="AY439" s="16">
        <f t="shared" si="172"/>
        <v>0.93665377176015474</v>
      </c>
      <c r="AZ439" s="16">
        <f t="shared" si="172"/>
        <v>0.93656536420646408</v>
      </c>
      <c r="BA439" s="16">
        <f t="shared" si="172"/>
        <v>0.93667228509511202</v>
      </c>
      <c r="BB439" s="16">
        <f t="shared" si="172"/>
        <v>0.9367788461538461</v>
      </c>
      <c r="BC439" s="16">
        <f t="shared" si="172"/>
        <v>0.93642034548944342</v>
      </c>
      <c r="BD439" s="16">
        <f t="shared" si="172"/>
        <v>0.93654214559386972</v>
      </c>
      <c r="BE439" s="16">
        <f t="shared" si="172"/>
        <v>0.93669374104156711</v>
      </c>
      <c r="BF439" s="16">
        <f t="shared" si="172"/>
        <v>0.93666666666666665</v>
      </c>
      <c r="BG439" s="16">
        <f t="shared" si="172"/>
        <v>0.93666982922201136</v>
      </c>
      <c r="BH439" s="16">
        <f t="shared" si="172"/>
        <v>0.93674769884352138</v>
      </c>
      <c r="BI439" s="16">
        <f t="shared" si="172"/>
        <v>0.93663459281858719</v>
      </c>
    </row>
    <row r="440" spans="1:61" x14ac:dyDescent="0.25">
      <c r="A440" s="11">
        <f>$A$45</f>
        <v>30</v>
      </c>
      <c r="M440" s="11"/>
      <c r="N440" s="11"/>
      <c r="O440" s="11"/>
      <c r="P440" s="11"/>
      <c r="Q440" s="11"/>
      <c r="R440" s="11"/>
      <c r="S440" s="11"/>
      <c r="T440" s="16">
        <f>T$300/T$145</f>
        <v>0.93653648509763621</v>
      </c>
      <c r="U440" s="16">
        <f t="shared" ref="U440:BI440" si="173">U$300/U$145</f>
        <v>0.93668577384054197</v>
      </c>
      <c r="V440" s="16">
        <f t="shared" si="173"/>
        <v>0.93647432503970351</v>
      </c>
      <c r="W440" s="16">
        <f t="shared" si="173"/>
        <v>0.93655172413793109</v>
      </c>
      <c r="X440" s="16">
        <f t="shared" si="173"/>
        <v>0.93670183231538029</v>
      </c>
      <c r="Y440" s="16">
        <f t="shared" si="173"/>
        <v>0.93654390934844189</v>
      </c>
      <c r="Z440" s="16">
        <f t="shared" si="173"/>
        <v>0.93658671078025912</v>
      </c>
      <c r="AA440" s="16">
        <f t="shared" si="173"/>
        <v>0.93671591859492609</v>
      </c>
      <c r="AB440" s="16">
        <f t="shared" si="173"/>
        <v>0.93648533181429794</v>
      </c>
      <c r="AC440" s="16">
        <f t="shared" si="173"/>
        <v>0.93662758235622556</v>
      </c>
      <c r="AD440" s="16">
        <f t="shared" si="173"/>
        <v>0.93670198315675091</v>
      </c>
      <c r="AE440" s="16">
        <f t="shared" si="173"/>
        <v>0.9365591397849462</v>
      </c>
      <c r="AF440" s="16">
        <f t="shared" si="173"/>
        <v>0.93649960640251906</v>
      </c>
      <c r="AG440" s="16">
        <f t="shared" si="173"/>
        <v>0.9366748166259169</v>
      </c>
      <c r="AH440" s="16">
        <f t="shared" si="173"/>
        <v>0.93650421743205248</v>
      </c>
      <c r="AI440" s="16">
        <f t="shared" si="173"/>
        <v>0.93655236762304639</v>
      </c>
      <c r="AJ440" s="16">
        <f t="shared" si="173"/>
        <v>0.93652253909843608</v>
      </c>
      <c r="AK440" s="16">
        <f t="shared" si="173"/>
        <v>0.93653713497355717</v>
      </c>
      <c r="AL440" s="16">
        <f t="shared" si="173"/>
        <v>0.93650793650793651</v>
      </c>
      <c r="AM440" s="16">
        <f t="shared" si="173"/>
        <v>0.93661001378043174</v>
      </c>
      <c r="AN440" s="16">
        <f t="shared" si="173"/>
        <v>0.93648960739030018</v>
      </c>
      <c r="AO440" s="16">
        <f t="shared" si="173"/>
        <v>0.93670886075949367</v>
      </c>
      <c r="AP440" s="16">
        <f t="shared" si="173"/>
        <v>0.93648960739030018</v>
      </c>
      <c r="AQ440" s="16">
        <f t="shared" si="173"/>
        <v>0.9366589327146172</v>
      </c>
      <c r="AR440" s="16">
        <f t="shared" si="173"/>
        <v>0.93662628145386762</v>
      </c>
      <c r="AS440" s="16">
        <f t="shared" si="173"/>
        <v>0.93672055427251733</v>
      </c>
      <c r="AT440" s="16">
        <f t="shared" si="173"/>
        <v>0.93637003991547307</v>
      </c>
      <c r="AU440" s="16">
        <f t="shared" si="173"/>
        <v>0.93670593670593671</v>
      </c>
      <c r="AV440" s="16">
        <f t="shared" si="173"/>
        <v>0.93648933677056478</v>
      </c>
      <c r="AW440" s="16">
        <f t="shared" si="173"/>
        <v>0.93660432353655576</v>
      </c>
      <c r="AX440" s="16">
        <f t="shared" si="173"/>
        <v>0.93646543330087639</v>
      </c>
      <c r="AY440" s="16">
        <f t="shared" si="173"/>
        <v>0.9366028708133971</v>
      </c>
      <c r="AZ440" s="16">
        <f t="shared" si="173"/>
        <v>0.93656093489148584</v>
      </c>
      <c r="BA440" s="16">
        <f t="shared" si="173"/>
        <v>0.93671187247204379</v>
      </c>
      <c r="BB440" s="16">
        <f t="shared" si="173"/>
        <v>0.93659463310377578</v>
      </c>
      <c r="BC440" s="16">
        <f t="shared" si="173"/>
        <v>0.93647783835031995</v>
      </c>
      <c r="BD440" s="16">
        <f t="shared" si="173"/>
        <v>0.93658305726455282</v>
      </c>
      <c r="BE440" s="16">
        <f t="shared" si="173"/>
        <v>0.93648170011806375</v>
      </c>
      <c r="BF440" s="16">
        <f t="shared" si="173"/>
        <v>0.93641073951954779</v>
      </c>
      <c r="BG440" s="16">
        <f t="shared" si="173"/>
        <v>0.93660483681615403</v>
      </c>
      <c r="BH440" s="16">
        <f t="shared" si="173"/>
        <v>0.93662301216089805</v>
      </c>
      <c r="BI440" s="16">
        <f t="shared" si="173"/>
        <v>0.93670002327205026</v>
      </c>
    </row>
    <row r="441" spans="1:61" x14ac:dyDescent="0.25">
      <c r="A441" s="11">
        <f>$A$46</f>
        <v>31</v>
      </c>
      <c r="M441" s="11"/>
      <c r="N441" s="11"/>
      <c r="O441" s="11"/>
      <c r="P441" s="11"/>
      <c r="Q441" s="11"/>
      <c r="R441" s="11"/>
      <c r="S441" s="11"/>
      <c r="T441" s="16">
        <f>T$301/T$146</f>
        <v>0.93785450061652276</v>
      </c>
      <c r="U441" s="16">
        <f t="shared" ref="U441:BI441" si="174">U$301/U$146</f>
        <v>0.9376114081996435</v>
      </c>
      <c r="V441" s="16">
        <f t="shared" si="174"/>
        <v>0.93785456420835478</v>
      </c>
      <c r="W441" s="16">
        <f t="shared" si="174"/>
        <v>0.93771264066998172</v>
      </c>
      <c r="X441" s="16">
        <f t="shared" si="174"/>
        <v>0.93787465940054493</v>
      </c>
      <c r="Y441" s="16">
        <f t="shared" si="174"/>
        <v>0.9377911756645656</v>
      </c>
      <c r="Z441" s="16">
        <f t="shared" si="174"/>
        <v>0.93767467859139186</v>
      </c>
      <c r="AA441" s="16">
        <f t="shared" si="174"/>
        <v>0.93768707482993197</v>
      </c>
      <c r="AB441" s="16">
        <f t="shared" si="174"/>
        <v>0.93784378437843785</v>
      </c>
      <c r="AC441" s="16">
        <f t="shared" si="174"/>
        <v>0.93792134831460672</v>
      </c>
      <c r="AD441" s="16">
        <f t="shared" si="174"/>
        <v>0.93775819333516941</v>
      </c>
      <c r="AE441" s="16">
        <f t="shared" si="174"/>
        <v>0.93781827928169392</v>
      </c>
      <c r="AF441" s="16">
        <f t="shared" si="174"/>
        <v>0.93791456619793045</v>
      </c>
      <c r="AG441" s="16">
        <f t="shared" si="174"/>
        <v>0.9378399378399378</v>
      </c>
      <c r="AH441" s="16">
        <f t="shared" si="174"/>
        <v>0.93769620864525471</v>
      </c>
      <c r="AI441" s="16">
        <f t="shared" si="174"/>
        <v>0.93793422880963406</v>
      </c>
      <c r="AJ441" s="16">
        <f t="shared" si="174"/>
        <v>0.93797555914226427</v>
      </c>
      <c r="AK441" s="16">
        <f t="shared" si="174"/>
        <v>0.93771311661741308</v>
      </c>
      <c r="AL441" s="16">
        <f t="shared" si="174"/>
        <v>0.93795454545454549</v>
      </c>
      <c r="AM441" s="16">
        <f t="shared" si="174"/>
        <v>0.93771311661741308</v>
      </c>
      <c r="AN441" s="16">
        <f t="shared" si="174"/>
        <v>0.9378120744439401</v>
      </c>
      <c r="AO441" s="16">
        <f t="shared" si="174"/>
        <v>0.93792788680967598</v>
      </c>
      <c r="AP441" s="16">
        <f t="shared" si="174"/>
        <v>0.93769895407003179</v>
      </c>
      <c r="AQ441" s="16">
        <f t="shared" si="174"/>
        <v>0.93771389459274468</v>
      </c>
      <c r="AR441" s="16">
        <f t="shared" si="174"/>
        <v>0.93788677515471008</v>
      </c>
      <c r="AS441" s="16">
        <f t="shared" si="174"/>
        <v>0.93764381040036815</v>
      </c>
      <c r="AT441" s="16">
        <f t="shared" si="174"/>
        <v>0.93772810218978098</v>
      </c>
      <c r="AU441" s="16">
        <f t="shared" si="174"/>
        <v>0.93763041966148852</v>
      </c>
      <c r="AV441" s="16">
        <f t="shared" si="174"/>
        <v>0.93794204882500576</v>
      </c>
      <c r="AW441" s="16">
        <f t="shared" si="174"/>
        <v>0.93776029615918555</v>
      </c>
      <c r="AX441" s="16">
        <f t="shared" si="174"/>
        <v>0.93791946308724827</v>
      </c>
      <c r="AY441" s="16">
        <f t="shared" si="174"/>
        <v>0.93778525102089838</v>
      </c>
      <c r="AZ441" s="16">
        <f t="shared" si="174"/>
        <v>0.93767705382436262</v>
      </c>
      <c r="BA441" s="16">
        <f t="shared" si="174"/>
        <v>0.93786773358437281</v>
      </c>
      <c r="BB441" s="16">
        <f t="shared" si="174"/>
        <v>0.93777882131955859</v>
      </c>
      <c r="BC441" s="16">
        <f t="shared" si="174"/>
        <v>0.9376757263355201</v>
      </c>
      <c r="BD441" s="16">
        <f t="shared" si="174"/>
        <v>0.93779232927970069</v>
      </c>
      <c r="BE441" s="16">
        <f t="shared" si="174"/>
        <v>0.93789399953303754</v>
      </c>
      <c r="BF441" s="16">
        <f t="shared" si="174"/>
        <v>0.93779123951537746</v>
      </c>
      <c r="BG441" s="16">
        <f t="shared" si="174"/>
        <v>0.9379502672554032</v>
      </c>
      <c r="BH441" s="16">
        <f t="shared" si="174"/>
        <v>0.93791985174889969</v>
      </c>
      <c r="BI441" s="16">
        <f t="shared" si="174"/>
        <v>0.93771626297577859</v>
      </c>
    </row>
    <row r="442" spans="1:61" x14ac:dyDescent="0.25">
      <c r="A442" s="11">
        <f>$A$47</f>
        <v>32</v>
      </c>
      <c r="M442" s="11"/>
      <c r="N442" s="11"/>
      <c r="O442" s="11"/>
      <c r="P442" s="11"/>
      <c r="Q442" s="11"/>
      <c r="R442" s="11"/>
      <c r="S442" s="11"/>
      <c r="T442" s="16">
        <f>T$302/T$147</f>
        <v>0.94012404580152675</v>
      </c>
      <c r="U442" s="16">
        <f t="shared" ref="U442:BI442" si="175">U$302/U$147</f>
        <v>0.94008314991440445</v>
      </c>
      <c r="V442" s="16">
        <f t="shared" si="175"/>
        <v>0.93998991427130607</v>
      </c>
      <c r="W442" s="16">
        <f t="shared" si="175"/>
        <v>0.94005102040816324</v>
      </c>
      <c r="X442" s="16">
        <f t="shared" si="175"/>
        <v>0.94021739130434778</v>
      </c>
      <c r="Y442" s="16">
        <f t="shared" si="175"/>
        <v>0.94024226110363396</v>
      </c>
      <c r="Z442" s="16">
        <f t="shared" si="175"/>
        <v>0.94018944519621106</v>
      </c>
      <c r="AA442" s="16">
        <f t="shared" si="175"/>
        <v>0.94013793103448273</v>
      </c>
      <c r="AB442" s="16">
        <f t="shared" si="175"/>
        <v>0.94008597528210636</v>
      </c>
      <c r="AC442" s="16">
        <f t="shared" si="175"/>
        <v>0.94001085776330073</v>
      </c>
      <c r="AD442" s="16">
        <f t="shared" si="175"/>
        <v>0.94013303769401335</v>
      </c>
      <c r="AE442" s="16">
        <f t="shared" si="175"/>
        <v>0.94020114161456914</v>
      </c>
      <c r="AF442" s="16">
        <f t="shared" si="175"/>
        <v>0.94019581899973537</v>
      </c>
      <c r="AG442" s="16">
        <f t="shared" si="175"/>
        <v>0.94028287061288629</v>
      </c>
      <c r="AH442" s="16">
        <f t="shared" si="175"/>
        <v>0.94015345268542194</v>
      </c>
      <c r="AI442" s="16">
        <f t="shared" si="175"/>
        <v>0.94009546539379474</v>
      </c>
      <c r="AJ442" s="16">
        <f t="shared" si="175"/>
        <v>0.94023356995649188</v>
      </c>
      <c r="AK442" s="16">
        <f t="shared" si="175"/>
        <v>0.94005014816503307</v>
      </c>
      <c r="AL442" s="16">
        <f t="shared" si="175"/>
        <v>0.94019784172661869</v>
      </c>
      <c r="AM442" s="16">
        <f t="shared" si="175"/>
        <v>0.9402247191011236</v>
      </c>
      <c r="AN442" s="16">
        <f t="shared" si="175"/>
        <v>0.94021128343447968</v>
      </c>
      <c r="AO442" s="16">
        <f t="shared" si="175"/>
        <v>0.94030520646319571</v>
      </c>
      <c r="AP442" s="16">
        <f t="shared" si="175"/>
        <v>0.94022106925332727</v>
      </c>
      <c r="AQ442" s="16">
        <f t="shared" si="175"/>
        <v>0.94021128343447968</v>
      </c>
      <c r="AR442" s="16">
        <f t="shared" si="175"/>
        <v>0.94023455119530897</v>
      </c>
      <c r="AS442" s="16">
        <f t="shared" si="175"/>
        <v>0.94020385050962629</v>
      </c>
      <c r="AT442" s="16">
        <f t="shared" si="175"/>
        <v>0.93997271487039569</v>
      </c>
      <c r="AU442" s="16">
        <f t="shared" si="175"/>
        <v>0.94026149684400362</v>
      </c>
      <c r="AV442" s="16">
        <f t="shared" si="175"/>
        <v>0.9402061855670103</v>
      </c>
      <c r="AW442" s="16">
        <f t="shared" si="175"/>
        <v>0.94026149684400362</v>
      </c>
      <c r="AX442" s="16">
        <f t="shared" si="175"/>
        <v>0.94011428571428568</v>
      </c>
      <c r="AY442" s="16">
        <f t="shared" si="175"/>
        <v>0.94013251301467105</v>
      </c>
      <c r="AZ442" s="16">
        <f t="shared" si="175"/>
        <v>0.94024187811240223</v>
      </c>
      <c r="BA442" s="16">
        <f t="shared" si="175"/>
        <v>0.94009324009324013</v>
      </c>
      <c r="BB442" s="16">
        <f t="shared" si="175"/>
        <v>0.94027422728329069</v>
      </c>
      <c r="BC442" s="16">
        <f t="shared" si="175"/>
        <v>0.9401947148817803</v>
      </c>
      <c r="BD442" s="16">
        <f t="shared" si="175"/>
        <v>0.94008790191996294</v>
      </c>
      <c r="BE442" s="16">
        <f t="shared" si="175"/>
        <v>0.93996767490187028</v>
      </c>
      <c r="BF442" s="16">
        <f t="shared" si="175"/>
        <v>0.94007835906890991</v>
      </c>
      <c r="BG442" s="16">
        <f t="shared" si="175"/>
        <v>0.94020239190432386</v>
      </c>
      <c r="BH442" s="16">
        <f t="shared" si="175"/>
        <v>0.94012388162422578</v>
      </c>
      <c r="BI442" s="16">
        <f t="shared" si="175"/>
        <v>0.94031557283329525</v>
      </c>
    </row>
    <row r="443" spans="1:61" x14ac:dyDescent="0.25">
      <c r="A443" s="11">
        <f>$A$48</f>
        <v>33</v>
      </c>
      <c r="M443" s="11"/>
      <c r="N443" s="11"/>
      <c r="O443" s="11"/>
      <c r="P443" s="11"/>
      <c r="Q443" s="11"/>
      <c r="R443" s="11"/>
      <c r="S443" s="11"/>
      <c r="T443" s="16">
        <f>T$303/T$148</f>
        <v>0.94274269557021673</v>
      </c>
      <c r="U443" s="16">
        <f t="shared" ref="U443:BI443" si="176">U$303/U$148</f>
        <v>0.94251242015613912</v>
      </c>
      <c r="V443" s="16">
        <f t="shared" si="176"/>
        <v>0.94260111407120373</v>
      </c>
      <c r="W443" s="16">
        <f t="shared" si="176"/>
        <v>0.94262908455974059</v>
      </c>
      <c r="X443" s="16">
        <f t="shared" si="176"/>
        <v>0.94273461150353177</v>
      </c>
      <c r="Y443" s="16">
        <f t="shared" si="176"/>
        <v>0.94272564561493222</v>
      </c>
      <c r="Z443" s="16">
        <f t="shared" si="176"/>
        <v>0.94259899016741966</v>
      </c>
      <c r="AA443" s="16">
        <f t="shared" si="176"/>
        <v>0.94257478632478631</v>
      </c>
      <c r="AB443" s="16">
        <f t="shared" si="176"/>
        <v>0.94282602777021507</v>
      </c>
      <c r="AC443" s="16">
        <f t="shared" si="176"/>
        <v>0.94272076372315039</v>
      </c>
      <c r="AD443" s="16">
        <f t="shared" si="176"/>
        <v>0.94267345298687388</v>
      </c>
      <c r="AE443" s="16">
        <f t="shared" si="176"/>
        <v>0.94259158009841448</v>
      </c>
      <c r="AF443" s="16">
        <f t="shared" si="176"/>
        <v>0.9426119603110753</v>
      </c>
      <c r="AG443" s="16">
        <f t="shared" si="176"/>
        <v>0.94280490989814569</v>
      </c>
      <c r="AH443" s="16">
        <f t="shared" si="176"/>
        <v>0.94286452947259569</v>
      </c>
      <c r="AI443" s="16">
        <f t="shared" si="176"/>
        <v>0.94269123958596313</v>
      </c>
      <c r="AJ443" s="16">
        <f t="shared" si="176"/>
        <v>0.94268867924528299</v>
      </c>
      <c r="AK443" s="16">
        <f t="shared" si="176"/>
        <v>0.94273426889995471</v>
      </c>
      <c r="AL443" s="16">
        <f t="shared" si="176"/>
        <v>0.94276701216764314</v>
      </c>
      <c r="AM443" s="16">
        <f t="shared" si="176"/>
        <v>0.94266666666666665</v>
      </c>
      <c r="AN443" s="16">
        <f t="shared" si="176"/>
        <v>0.9426921368280764</v>
      </c>
      <c r="AO443" s="16">
        <f t="shared" si="176"/>
        <v>0.94267940457676069</v>
      </c>
      <c r="AP443" s="16">
        <f t="shared" si="176"/>
        <v>0.94255932579285873</v>
      </c>
      <c r="AQ443" s="16">
        <f t="shared" si="176"/>
        <v>0.94248773963441823</v>
      </c>
      <c r="AR443" s="16">
        <f t="shared" si="176"/>
        <v>0.9426921368280764</v>
      </c>
      <c r="AS443" s="16">
        <f t="shared" si="176"/>
        <v>0.94272342322264324</v>
      </c>
      <c r="AT443" s="16">
        <f t="shared" si="176"/>
        <v>0.9427036705461056</v>
      </c>
      <c r="AU443" s="16">
        <f t="shared" si="176"/>
        <v>0.94270950348236349</v>
      </c>
      <c r="AV443" s="16">
        <f t="shared" si="176"/>
        <v>0.94276169265033405</v>
      </c>
      <c r="AW443" s="16">
        <f t="shared" si="176"/>
        <v>0.94274722787961074</v>
      </c>
      <c r="AX443" s="16">
        <f t="shared" si="176"/>
        <v>0.94255177020708081</v>
      </c>
      <c r="AY443" s="16">
        <f t="shared" si="176"/>
        <v>0.94266365688487586</v>
      </c>
      <c r="AZ443" s="16">
        <f t="shared" si="176"/>
        <v>0.94277038075216069</v>
      </c>
      <c r="BA443" s="16">
        <f t="shared" si="176"/>
        <v>0.94264981273408244</v>
      </c>
      <c r="BB443" s="16">
        <f t="shared" si="176"/>
        <v>0.94269275028768695</v>
      </c>
      <c r="BC443" s="16">
        <f t="shared" si="176"/>
        <v>0.94264739619178706</v>
      </c>
      <c r="BD443" s="16">
        <f t="shared" si="176"/>
        <v>0.94279176201372994</v>
      </c>
      <c r="BE443" s="16">
        <f t="shared" si="176"/>
        <v>0.94268097739209866</v>
      </c>
      <c r="BF443" s="16">
        <f t="shared" si="176"/>
        <v>0.94278550262138139</v>
      </c>
      <c r="BG443" s="16">
        <f t="shared" si="176"/>
        <v>0.9426751592356688</v>
      </c>
      <c r="BH443" s="16">
        <f t="shared" si="176"/>
        <v>0.94279228149829741</v>
      </c>
      <c r="BI443" s="16">
        <f t="shared" si="176"/>
        <v>0.9427213040525243</v>
      </c>
    </row>
    <row r="444" spans="1:61" x14ac:dyDescent="0.25">
      <c r="A444" s="11">
        <f>$A$49</f>
        <v>34</v>
      </c>
      <c r="M444" s="11"/>
      <c r="N444" s="11"/>
      <c r="O444" s="11"/>
      <c r="P444" s="11"/>
      <c r="Q444" s="11"/>
      <c r="R444" s="11"/>
      <c r="S444" s="11"/>
      <c r="T444" s="16">
        <f>T$304/T$149</f>
        <v>0.94422027059102775</v>
      </c>
      <c r="U444" s="16">
        <f t="shared" ref="U444:BI444" si="177">U$304/U$149</f>
        <v>0.94414582846459449</v>
      </c>
      <c r="V444" s="16">
        <f t="shared" si="177"/>
        <v>0.94444444444444442</v>
      </c>
      <c r="W444" s="16">
        <f t="shared" si="177"/>
        <v>0.94437784703907934</v>
      </c>
      <c r="X444" s="16">
        <f t="shared" si="177"/>
        <v>0.94448556624722424</v>
      </c>
      <c r="Y444" s="16">
        <f t="shared" si="177"/>
        <v>0.94440289204687111</v>
      </c>
      <c r="Z444" s="16">
        <f t="shared" si="177"/>
        <v>0.94417782268249562</v>
      </c>
      <c r="AA444" s="16">
        <f t="shared" si="177"/>
        <v>0.94437155602204148</v>
      </c>
      <c r="AB444" s="16">
        <f t="shared" si="177"/>
        <v>0.94435654008438819</v>
      </c>
      <c r="AC444" s="16">
        <f t="shared" si="177"/>
        <v>0.94438473938742606</v>
      </c>
      <c r="AD444" s="16">
        <f t="shared" si="177"/>
        <v>0.94450261780104716</v>
      </c>
      <c r="AE444" s="16">
        <f t="shared" si="177"/>
        <v>0.94447382337387631</v>
      </c>
      <c r="AF444" s="16">
        <f t="shared" si="177"/>
        <v>0.94442945778257348</v>
      </c>
      <c r="AG444" s="16">
        <f t="shared" si="177"/>
        <v>0.94442974331833818</v>
      </c>
      <c r="AH444" s="16">
        <f t="shared" si="177"/>
        <v>0.94432989690721647</v>
      </c>
      <c r="AI444" s="16">
        <f t="shared" si="177"/>
        <v>0.94437356468486855</v>
      </c>
      <c r="AJ444" s="16">
        <f t="shared" si="177"/>
        <v>0.94440289204687111</v>
      </c>
      <c r="AK444" s="16">
        <f t="shared" si="177"/>
        <v>0.94430202749941738</v>
      </c>
      <c r="AL444" s="16">
        <f t="shared" si="177"/>
        <v>0.94450660102931305</v>
      </c>
      <c r="AM444" s="16">
        <f t="shared" si="177"/>
        <v>0.9445310759634663</v>
      </c>
      <c r="AN444" s="16">
        <f t="shared" si="177"/>
        <v>0.94440782245660293</v>
      </c>
      <c r="AO444" s="16">
        <f t="shared" si="177"/>
        <v>0.94422485726833549</v>
      </c>
      <c r="AP444" s="16">
        <f t="shared" si="177"/>
        <v>0.94443224247748736</v>
      </c>
      <c r="AQ444" s="16">
        <f t="shared" si="177"/>
        <v>0.94431045823284365</v>
      </c>
      <c r="AR444" s="16">
        <f t="shared" si="177"/>
        <v>0.94426085040757879</v>
      </c>
      <c r="AS444" s="16">
        <f t="shared" si="177"/>
        <v>0.94423710208562017</v>
      </c>
      <c r="AT444" s="16">
        <f t="shared" si="177"/>
        <v>0.94428539969169789</v>
      </c>
      <c r="AU444" s="16">
        <f t="shared" si="177"/>
        <v>0.94449358690844754</v>
      </c>
      <c r="AV444" s="16">
        <f t="shared" si="177"/>
        <v>0.94450610432852389</v>
      </c>
      <c r="AW444" s="16">
        <f t="shared" si="177"/>
        <v>0.94433443344334433</v>
      </c>
      <c r="AX444" s="16">
        <f t="shared" si="177"/>
        <v>0.94434510505140812</v>
      </c>
      <c r="AY444" s="16">
        <f t="shared" si="177"/>
        <v>0.94434667839859221</v>
      </c>
      <c r="AZ444" s="16">
        <f t="shared" si="177"/>
        <v>0.94425863991081382</v>
      </c>
      <c r="BA444" s="16">
        <f t="shared" si="177"/>
        <v>0.94420106064099607</v>
      </c>
      <c r="BB444" s="16">
        <f t="shared" si="177"/>
        <v>0.94454713493530496</v>
      </c>
      <c r="BC444" s="16">
        <f t="shared" si="177"/>
        <v>0.94434348023625625</v>
      </c>
      <c r="BD444" s="16">
        <f t="shared" si="177"/>
        <v>0.94429347826086951</v>
      </c>
      <c r="BE444" s="16">
        <f t="shared" si="177"/>
        <v>0.94443189518861537</v>
      </c>
      <c r="BF444" s="16">
        <f t="shared" si="177"/>
        <v>0.9445446348061316</v>
      </c>
      <c r="BG444" s="16">
        <f t="shared" si="177"/>
        <v>0.94420697412823396</v>
      </c>
      <c r="BH444" s="16">
        <f t="shared" si="177"/>
        <v>0.94453177633056362</v>
      </c>
      <c r="BI444" s="16">
        <f t="shared" si="177"/>
        <v>0.94443199641496756</v>
      </c>
    </row>
    <row r="445" spans="1:61" x14ac:dyDescent="0.25">
      <c r="A445" s="11">
        <f>$A$50</f>
        <v>35</v>
      </c>
      <c r="M445" s="11"/>
      <c r="N445" s="11"/>
      <c r="O445" s="11"/>
      <c r="P445" s="11"/>
      <c r="Q445" s="11"/>
      <c r="R445" s="11"/>
      <c r="S445" s="11"/>
      <c r="T445" s="16">
        <f>T$305/T$150</f>
        <v>0.94366887092823903</v>
      </c>
      <c r="U445" s="16">
        <f t="shared" ref="U445:BI445" si="178">U$305/U$150</f>
        <v>0.94373822975517896</v>
      </c>
      <c r="V445" s="16">
        <f t="shared" si="178"/>
        <v>0.94373697615188701</v>
      </c>
      <c r="W445" s="16">
        <f t="shared" si="178"/>
        <v>0.94361948955916475</v>
      </c>
      <c r="X445" s="16">
        <f t="shared" si="178"/>
        <v>0.94379890917714016</v>
      </c>
      <c r="Y445" s="16">
        <f t="shared" si="178"/>
        <v>0.94367227505486462</v>
      </c>
      <c r="Z445" s="16">
        <f t="shared" si="178"/>
        <v>0.94359605911330047</v>
      </c>
      <c r="AA445" s="16">
        <f t="shared" si="178"/>
        <v>0.94361277445109781</v>
      </c>
      <c r="AB445" s="16">
        <f t="shared" si="178"/>
        <v>0.94379694379694379</v>
      </c>
      <c r="AC445" s="16">
        <f t="shared" si="178"/>
        <v>0.94377928162415403</v>
      </c>
      <c r="AD445" s="16">
        <f t="shared" si="178"/>
        <v>0.9435462496686986</v>
      </c>
      <c r="AE445" s="16">
        <f t="shared" si="178"/>
        <v>0.94368380263497809</v>
      </c>
      <c r="AF445" s="16">
        <f t="shared" si="178"/>
        <v>0.94364727367597179</v>
      </c>
      <c r="AG445" s="16">
        <f t="shared" si="178"/>
        <v>0.9436020218143123</v>
      </c>
      <c r="AH445" s="16">
        <f t="shared" si="178"/>
        <v>0.94361785434612377</v>
      </c>
      <c r="AI445" s="16">
        <f t="shared" si="178"/>
        <v>0.94354018311291965</v>
      </c>
      <c r="AJ445" s="16">
        <f t="shared" si="178"/>
        <v>0.94384286074036772</v>
      </c>
      <c r="AK445" s="16">
        <f t="shared" si="178"/>
        <v>0.94365157480314965</v>
      </c>
      <c r="AL445" s="16">
        <f t="shared" si="178"/>
        <v>0.94360036832412519</v>
      </c>
      <c r="AM445" s="16">
        <f t="shared" si="178"/>
        <v>0.94360902255639101</v>
      </c>
      <c r="AN445" s="16">
        <f t="shared" si="178"/>
        <v>0.9438573315719947</v>
      </c>
      <c r="AO445" s="16">
        <f t="shared" si="178"/>
        <v>0.94353963083604775</v>
      </c>
      <c r="AP445" s="16">
        <f t="shared" si="178"/>
        <v>0.94378120251790754</v>
      </c>
      <c r="AQ445" s="16">
        <f t="shared" si="178"/>
        <v>0.94378120251790754</v>
      </c>
      <c r="AR445" s="16">
        <f t="shared" si="178"/>
        <v>0.94387865655471292</v>
      </c>
      <c r="AS445" s="16">
        <f t="shared" si="178"/>
        <v>0.94382756368386678</v>
      </c>
      <c r="AT445" s="16">
        <f t="shared" si="178"/>
        <v>0.94360086767895879</v>
      </c>
      <c r="AU445" s="16">
        <f t="shared" si="178"/>
        <v>0.94364664926022623</v>
      </c>
      <c r="AV445" s="16">
        <f t="shared" si="178"/>
        <v>0.94364351245085187</v>
      </c>
      <c r="AW445" s="16">
        <f t="shared" si="178"/>
        <v>0.9436527077395308</v>
      </c>
      <c r="AX445" s="16">
        <f t="shared" si="178"/>
        <v>0.9437078895892197</v>
      </c>
      <c r="AY445" s="16">
        <f t="shared" si="178"/>
        <v>0.94372103288457299</v>
      </c>
      <c r="AZ445" s="16">
        <f t="shared" si="178"/>
        <v>0.94372012168622343</v>
      </c>
      <c r="BA445" s="16">
        <f t="shared" si="178"/>
        <v>0.94363716424482602</v>
      </c>
      <c r="BB445" s="16">
        <f t="shared" si="178"/>
        <v>0.94378698224852076</v>
      </c>
      <c r="BC445" s="16">
        <f t="shared" si="178"/>
        <v>0.94368445052439576</v>
      </c>
      <c r="BD445" s="16">
        <f t="shared" si="178"/>
        <v>0.94370935187261717</v>
      </c>
      <c r="BE445" s="16">
        <f t="shared" si="178"/>
        <v>0.94367456414841311</v>
      </c>
      <c r="BF445" s="16">
        <f t="shared" si="178"/>
        <v>0.94360231832367369</v>
      </c>
      <c r="BG445" s="16">
        <f t="shared" si="178"/>
        <v>0.94371523915461619</v>
      </c>
      <c r="BH445" s="16">
        <f t="shared" si="178"/>
        <v>0.94360568383658971</v>
      </c>
      <c r="BI445" s="16">
        <f t="shared" si="178"/>
        <v>0.943718147573676</v>
      </c>
    </row>
    <row r="446" spans="1:61" x14ac:dyDescent="0.25">
      <c r="A446" s="11">
        <f>$A$51</f>
        <v>36</v>
      </c>
      <c r="M446" s="11"/>
      <c r="N446" s="11"/>
      <c r="O446" s="11"/>
      <c r="P446" s="11"/>
      <c r="Q446" s="11"/>
      <c r="R446" s="11"/>
      <c r="S446" s="11"/>
      <c r="T446" s="16">
        <f>T$306/T$151</f>
        <v>0.94172839506172834</v>
      </c>
      <c r="U446" s="16">
        <f t="shared" ref="U446:BI446" si="179">U$306/U$151</f>
        <v>0.94171928120446824</v>
      </c>
      <c r="V446" s="16">
        <f t="shared" si="179"/>
        <v>0.94169776119402981</v>
      </c>
      <c r="W446" s="16">
        <f t="shared" si="179"/>
        <v>0.94155397662159068</v>
      </c>
      <c r="X446" s="16">
        <f t="shared" si="179"/>
        <v>0.94167623421354762</v>
      </c>
      <c r="Y446" s="16">
        <f t="shared" si="179"/>
        <v>0.94161781946072687</v>
      </c>
      <c r="Z446" s="16">
        <f t="shared" si="179"/>
        <v>0.94144578313253013</v>
      </c>
      <c r="AA446" s="16">
        <f t="shared" si="179"/>
        <v>0.94159162813336583</v>
      </c>
      <c r="AB446" s="16">
        <f t="shared" si="179"/>
        <v>0.94182893763864928</v>
      </c>
      <c r="AC446" s="16">
        <f t="shared" si="179"/>
        <v>0.94170288928662749</v>
      </c>
      <c r="AD446" s="16">
        <f t="shared" si="179"/>
        <v>0.94143334189571026</v>
      </c>
      <c r="AE446" s="16">
        <f t="shared" si="179"/>
        <v>0.94142259414225937</v>
      </c>
      <c r="AF446" s="16">
        <f t="shared" si="179"/>
        <v>0.94161142274349818</v>
      </c>
      <c r="AG446" s="16">
        <f t="shared" si="179"/>
        <v>0.94157014157014152</v>
      </c>
      <c r="AH446" s="16">
        <f t="shared" si="179"/>
        <v>0.94148517449488323</v>
      </c>
      <c r="AI446" s="16">
        <f t="shared" si="179"/>
        <v>0.94154004635591038</v>
      </c>
      <c r="AJ446" s="16">
        <f t="shared" si="179"/>
        <v>0.94151606425702816</v>
      </c>
      <c r="AK446" s="16">
        <f t="shared" si="179"/>
        <v>0.94160039761431413</v>
      </c>
      <c r="AL446" s="16">
        <f t="shared" si="179"/>
        <v>0.94146222977896532</v>
      </c>
      <c r="AM446" s="16">
        <f t="shared" si="179"/>
        <v>0.9415510575392313</v>
      </c>
      <c r="AN446" s="16">
        <f t="shared" si="179"/>
        <v>0.94163934426229512</v>
      </c>
      <c r="AO446" s="16">
        <f t="shared" si="179"/>
        <v>0.94168842471714531</v>
      </c>
      <c r="AP446" s="16">
        <f t="shared" si="179"/>
        <v>0.94160583941605835</v>
      </c>
      <c r="AQ446" s="16">
        <f t="shared" si="179"/>
        <v>0.94144144144144148</v>
      </c>
      <c r="AR446" s="16">
        <f t="shared" si="179"/>
        <v>0.94164342415790603</v>
      </c>
      <c r="AS446" s="16">
        <f t="shared" si="179"/>
        <v>0.94154175588865097</v>
      </c>
      <c r="AT446" s="16">
        <f t="shared" si="179"/>
        <v>0.94169535283993111</v>
      </c>
      <c r="AU446" s="16">
        <f t="shared" si="179"/>
        <v>0.9416934619506967</v>
      </c>
      <c r="AV446" s="16">
        <f t="shared" si="179"/>
        <v>0.94153052450558894</v>
      </c>
      <c r="AW446" s="16">
        <f t="shared" si="179"/>
        <v>0.94151920586965909</v>
      </c>
      <c r="AX446" s="16">
        <f t="shared" si="179"/>
        <v>0.94153313122563875</v>
      </c>
      <c r="AY446" s="16">
        <f t="shared" si="179"/>
        <v>0.94159330040798794</v>
      </c>
      <c r="AZ446" s="16">
        <f t="shared" si="179"/>
        <v>0.94158674803836095</v>
      </c>
      <c r="BA446" s="16">
        <f t="shared" si="179"/>
        <v>0.94163090128755367</v>
      </c>
      <c r="BB446" s="16">
        <f t="shared" si="179"/>
        <v>0.9415217391304348</v>
      </c>
      <c r="BC446" s="16">
        <f t="shared" si="179"/>
        <v>0.94159928122192271</v>
      </c>
      <c r="BD446" s="16">
        <f t="shared" si="179"/>
        <v>0.94171917191719168</v>
      </c>
      <c r="BE446" s="16">
        <f t="shared" si="179"/>
        <v>0.94156706507304122</v>
      </c>
      <c r="BF446" s="16">
        <f t="shared" si="179"/>
        <v>0.94153981910434592</v>
      </c>
      <c r="BG446" s="16">
        <f t="shared" si="179"/>
        <v>0.94147414741474145</v>
      </c>
      <c r="BH446" s="16">
        <f t="shared" si="179"/>
        <v>0.94160263446761805</v>
      </c>
      <c r="BI446" s="16">
        <f t="shared" si="179"/>
        <v>0.94149868536371606</v>
      </c>
    </row>
    <row r="447" spans="1:61" x14ac:dyDescent="0.25">
      <c r="A447" s="11">
        <f>$A$52</f>
        <v>37</v>
      </c>
      <c r="M447" s="11"/>
      <c r="N447" s="11"/>
      <c r="O447" s="11"/>
      <c r="P447" s="11"/>
      <c r="Q447" s="11"/>
      <c r="R447" s="11"/>
      <c r="S447" s="11"/>
      <c r="T447" s="16">
        <f>T$307/T$152</f>
        <v>0.94052419354838712</v>
      </c>
      <c r="U447" s="16">
        <f t="shared" ref="U447:BI447" si="180">U$307/U$152</f>
        <v>0.94048493754592211</v>
      </c>
      <c r="V447" s="16">
        <f t="shared" si="180"/>
        <v>0.94056785370548601</v>
      </c>
      <c r="W447" s="16">
        <f t="shared" si="180"/>
        <v>0.94063294063294067</v>
      </c>
      <c r="X447" s="16">
        <f t="shared" si="180"/>
        <v>0.9403086699954607</v>
      </c>
      <c r="Y447" s="16">
        <f t="shared" si="180"/>
        <v>0.94045454545454543</v>
      </c>
      <c r="Z447" s="16">
        <f t="shared" si="180"/>
        <v>0.94038506147065648</v>
      </c>
      <c r="AA447" s="16">
        <f t="shared" si="180"/>
        <v>0.94041944709246905</v>
      </c>
      <c r="AB447" s="16">
        <f t="shared" si="180"/>
        <v>0.94056785370548601</v>
      </c>
      <c r="AC447" s="16">
        <f t="shared" si="180"/>
        <v>0.94056029232643124</v>
      </c>
      <c r="AD447" s="16">
        <f t="shared" si="180"/>
        <v>0.94038898711795904</v>
      </c>
      <c r="AE447" s="16">
        <f t="shared" si="180"/>
        <v>0.94037046434914995</v>
      </c>
      <c r="AF447" s="16">
        <f t="shared" si="180"/>
        <v>0.94059917355371903</v>
      </c>
      <c r="AG447" s="16">
        <f t="shared" si="180"/>
        <v>0.9403173004281038</v>
      </c>
      <c r="AH447" s="16">
        <f t="shared" si="180"/>
        <v>0.94051855617691915</v>
      </c>
      <c r="AI447" s="16">
        <f t="shared" si="180"/>
        <v>0.94041450777202074</v>
      </c>
      <c r="AJ447" s="16">
        <f t="shared" si="180"/>
        <v>0.94050343249427915</v>
      </c>
      <c r="AK447" s="16">
        <f t="shared" si="180"/>
        <v>0.94050570153693602</v>
      </c>
      <c r="AL447" s="16">
        <f t="shared" si="180"/>
        <v>0.94035346097201766</v>
      </c>
      <c r="AM447" s="16">
        <f t="shared" si="180"/>
        <v>0.94048476121910252</v>
      </c>
      <c r="AN447" s="16">
        <f t="shared" si="180"/>
        <v>0.94040926467281316</v>
      </c>
      <c r="AO447" s="16">
        <f t="shared" si="180"/>
        <v>0.94055339386078685</v>
      </c>
      <c r="AP447" s="16">
        <f t="shared" si="180"/>
        <v>0.94039165052722185</v>
      </c>
      <c r="AQ447" s="16">
        <f t="shared" si="180"/>
        <v>0.94055201698513802</v>
      </c>
      <c r="AR447" s="16">
        <f t="shared" si="180"/>
        <v>0.94058985784001703</v>
      </c>
      <c r="AS447" s="16">
        <f t="shared" si="180"/>
        <v>0.94058985784001703</v>
      </c>
      <c r="AT447" s="16">
        <f t="shared" si="180"/>
        <v>0.94049131723845825</v>
      </c>
      <c r="AU447" s="16">
        <f t="shared" si="180"/>
        <v>0.9404382046373112</v>
      </c>
      <c r="AV447" s="16">
        <f t="shared" si="180"/>
        <v>0.94044086477320898</v>
      </c>
      <c r="AW447" s="16">
        <f t="shared" si="180"/>
        <v>0.94048884165781088</v>
      </c>
      <c r="AX447" s="16">
        <f t="shared" si="180"/>
        <v>0.94047365052272247</v>
      </c>
      <c r="AY447" s="16">
        <f t="shared" si="180"/>
        <v>0.9404838364375937</v>
      </c>
      <c r="AZ447" s="16">
        <f t="shared" si="180"/>
        <v>0.94056463595839523</v>
      </c>
      <c r="BA447" s="16">
        <f t="shared" si="180"/>
        <v>0.94054286945282206</v>
      </c>
      <c r="BB447" s="16">
        <f t="shared" si="180"/>
        <v>0.94060246075519727</v>
      </c>
      <c r="BC447" s="16">
        <f t="shared" si="180"/>
        <v>0.94049409237379167</v>
      </c>
      <c r="BD447" s="16">
        <f t="shared" si="180"/>
        <v>0.94032830523513755</v>
      </c>
      <c r="BE447" s="16">
        <f t="shared" si="180"/>
        <v>0.94044444444444442</v>
      </c>
      <c r="BF447" s="16">
        <f t="shared" si="180"/>
        <v>0.9405334499344119</v>
      </c>
      <c r="BG447" s="16">
        <f t="shared" si="180"/>
        <v>0.94050991501416425</v>
      </c>
      <c r="BH447" s="16">
        <f t="shared" si="180"/>
        <v>0.94066507281025868</v>
      </c>
      <c r="BI447" s="16">
        <f t="shared" si="180"/>
        <v>0.9403729401561145</v>
      </c>
    </row>
    <row r="448" spans="1:61" x14ac:dyDescent="0.25">
      <c r="A448" s="11">
        <f>$A$53</f>
        <v>38</v>
      </c>
      <c r="M448" s="11"/>
      <c r="N448" s="11"/>
      <c r="O448" s="11"/>
      <c r="P448" s="11"/>
      <c r="Q448" s="11"/>
      <c r="R448" s="11"/>
      <c r="S448" s="11"/>
      <c r="T448" s="16">
        <f>T$308/T$153</f>
        <v>0.9391464699683878</v>
      </c>
      <c r="U448" s="16">
        <f t="shared" ref="U448:BI448" si="181">U$308/U$153</f>
        <v>0.93948487121780444</v>
      </c>
      <c r="V448" s="16">
        <f t="shared" si="181"/>
        <v>0.93932038834951459</v>
      </c>
      <c r="W448" s="16">
        <f t="shared" si="181"/>
        <v>0.93922783603431836</v>
      </c>
      <c r="X448" s="16">
        <f t="shared" si="181"/>
        <v>0.9391443605582247</v>
      </c>
      <c r="Y448" s="16">
        <f t="shared" si="181"/>
        <v>0.93931220498988532</v>
      </c>
      <c r="Z448" s="16">
        <f t="shared" si="181"/>
        <v>0.9392439243924392</v>
      </c>
      <c r="AA448" s="16">
        <f t="shared" si="181"/>
        <v>0.93938002296211254</v>
      </c>
      <c r="AB448" s="16">
        <f t="shared" si="181"/>
        <v>0.93940108464984673</v>
      </c>
      <c r="AC448" s="16">
        <f t="shared" si="181"/>
        <v>0.93931461208948119</v>
      </c>
      <c r="AD448" s="16">
        <f t="shared" si="181"/>
        <v>0.93929173693085999</v>
      </c>
      <c r="AE448" s="16">
        <f t="shared" si="181"/>
        <v>0.93932584269662922</v>
      </c>
      <c r="AF448" s="16">
        <f t="shared" si="181"/>
        <v>0.93931795386158479</v>
      </c>
      <c r="AG448" s="16">
        <f t="shared" si="181"/>
        <v>0.939270221995407</v>
      </c>
      <c r="AH448" s="16">
        <f t="shared" si="181"/>
        <v>0.93927327028372321</v>
      </c>
      <c r="AI448" s="16">
        <f t="shared" si="181"/>
        <v>0.93946244662145184</v>
      </c>
      <c r="AJ448" s="16">
        <f t="shared" si="181"/>
        <v>0.93935516888433979</v>
      </c>
      <c r="AK448" s="16">
        <f t="shared" si="181"/>
        <v>0.9392112534539061</v>
      </c>
      <c r="AL448" s="16">
        <f t="shared" si="181"/>
        <v>0.93949044585987262</v>
      </c>
      <c r="AM448" s="16">
        <f t="shared" si="181"/>
        <v>0.93936454038321615</v>
      </c>
      <c r="AN448" s="16">
        <f t="shared" si="181"/>
        <v>0.93927893738140422</v>
      </c>
      <c r="AO448" s="16">
        <f t="shared" si="181"/>
        <v>0.93927935943060503</v>
      </c>
      <c r="AP448" s="16">
        <f t="shared" si="181"/>
        <v>0.93946524064171122</v>
      </c>
      <c r="AQ448" s="16">
        <f t="shared" si="181"/>
        <v>0.93932297210985738</v>
      </c>
      <c r="AR448" s="16">
        <f t="shared" si="181"/>
        <v>0.93928571428571428</v>
      </c>
      <c r="AS448" s="16">
        <f t="shared" si="181"/>
        <v>0.93912678421494544</v>
      </c>
      <c r="AT448" s="16">
        <f t="shared" si="181"/>
        <v>0.93933669185558355</v>
      </c>
      <c r="AU448" s="16">
        <f t="shared" si="181"/>
        <v>0.9394510789859627</v>
      </c>
      <c r="AV448" s="16">
        <f t="shared" si="181"/>
        <v>0.93939393939393945</v>
      </c>
      <c r="AW448" s="16">
        <f t="shared" si="181"/>
        <v>0.93920335429769397</v>
      </c>
      <c r="AX448" s="16">
        <f t="shared" si="181"/>
        <v>0.93924742484759305</v>
      </c>
      <c r="AY448" s="16">
        <f t="shared" si="181"/>
        <v>0.93924050632911393</v>
      </c>
      <c r="AZ448" s="16">
        <f t="shared" si="181"/>
        <v>0.9392464013547841</v>
      </c>
      <c r="BA448" s="16">
        <f t="shared" si="181"/>
        <v>0.93933669185558355</v>
      </c>
      <c r="BB448" s="16">
        <f t="shared" si="181"/>
        <v>0.93929712460063897</v>
      </c>
      <c r="BC448" s="16">
        <f t="shared" si="181"/>
        <v>0.93917785234899331</v>
      </c>
      <c r="BD448" s="16">
        <f t="shared" si="181"/>
        <v>0.93946474086661003</v>
      </c>
      <c r="BE448" s="16">
        <f t="shared" si="181"/>
        <v>0.93928101709776413</v>
      </c>
      <c r="BF448" s="16">
        <f t="shared" si="181"/>
        <v>0.93918770581778266</v>
      </c>
      <c r="BG448" s="16">
        <f t="shared" si="181"/>
        <v>0.93929574422121409</v>
      </c>
      <c r="BH448" s="16">
        <f t="shared" si="181"/>
        <v>0.93927648578811374</v>
      </c>
      <c r="BI448" s="16">
        <f t="shared" si="181"/>
        <v>0.93923126476272278</v>
      </c>
    </row>
    <row r="449" spans="1:61" x14ac:dyDescent="0.25">
      <c r="A449" s="11">
        <f>$A$54</f>
        <v>39</v>
      </c>
      <c r="M449" s="11"/>
      <c r="N449" s="11"/>
      <c r="O449" s="11"/>
      <c r="P449" s="11"/>
      <c r="Q449" s="11"/>
      <c r="R449" s="11"/>
      <c r="S449" s="11"/>
      <c r="T449" s="16">
        <f>T$309/T$154</f>
        <v>0.93803879310344829</v>
      </c>
      <c r="U449" s="16">
        <f t="shared" ref="U449:BI449" si="182">U$309/U$154</f>
        <v>0.93802301255230125</v>
      </c>
      <c r="V449" s="16">
        <f t="shared" si="182"/>
        <v>0.93801140590131415</v>
      </c>
      <c r="W449" s="16">
        <f t="shared" si="182"/>
        <v>0.93792107795957647</v>
      </c>
      <c r="X449" s="16">
        <f t="shared" si="182"/>
        <v>0.93811998110533779</v>
      </c>
      <c r="Y449" s="16">
        <f t="shared" si="182"/>
        <v>0.93809523809523809</v>
      </c>
      <c r="Z449" s="16">
        <f t="shared" si="182"/>
        <v>0.93807083983069728</v>
      </c>
      <c r="AA449" s="16">
        <f t="shared" si="182"/>
        <v>0.93801560758082492</v>
      </c>
      <c r="AB449" s="16">
        <f t="shared" si="182"/>
        <v>0.93813964066408917</v>
      </c>
      <c r="AC449" s="16">
        <f t="shared" si="182"/>
        <v>0.93812748073780061</v>
      </c>
      <c r="AD449" s="16">
        <f t="shared" si="182"/>
        <v>0.93803016022620167</v>
      </c>
      <c r="AE449" s="16">
        <f t="shared" si="182"/>
        <v>0.93823038397328884</v>
      </c>
      <c r="AF449" s="16">
        <f t="shared" si="182"/>
        <v>0.93800938503334153</v>
      </c>
      <c r="AG449" s="16">
        <f t="shared" si="182"/>
        <v>0.9379806499627884</v>
      </c>
      <c r="AH449" s="16">
        <f t="shared" si="182"/>
        <v>0.93817814786777698</v>
      </c>
      <c r="AI449" s="16">
        <f t="shared" si="182"/>
        <v>0.93796159527326439</v>
      </c>
      <c r="AJ449" s="16">
        <f t="shared" si="182"/>
        <v>0.93790362642821656</v>
      </c>
      <c r="AK449" s="16">
        <f t="shared" si="182"/>
        <v>0.93802175562863643</v>
      </c>
      <c r="AL449" s="16">
        <f t="shared" si="182"/>
        <v>0.93815201192250375</v>
      </c>
      <c r="AM449" s="16">
        <f t="shared" si="182"/>
        <v>0.93798449612403101</v>
      </c>
      <c r="AN449" s="16">
        <f t="shared" si="182"/>
        <v>0.93809980806142035</v>
      </c>
      <c r="AO449" s="16">
        <f t="shared" si="182"/>
        <v>0.93805725011731578</v>
      </c>
      <c r="AP449" s="16">
        <f t="shared" si="182"/>
        <v>0.93813298106560983</v>
      </c>
      <c r="AQ449" s="16">
        <f t="shared" si="182"/>
        <v>0.93814869730989192</v>
      </c>
      <c r="AR449" s="16">
        <f t="shared" si="182"/>
        <v>0.93801391524351674</v>
      </c>
      <c r="AS449" s="16">
        <f t="shared" si="182"/>
        <v>0.9382022471910112</v>
      </c>
      <c r="AT449" s="16">
        <f t="shared" si="182"/>
        <v>0.9380457380457381</v>
      </c>
      <c r="AU449" s="16">
        <f t="shared" si="182"/>
        <v>0.93805861567241733</v>
      </c>
      <c r="AV449" s="16">
        <f t="shared" si="182"/>
        <v>0.9379796722671645</v>
      </c>
      <c r="AW449" s="16">
        <f t="shared" si="182"/>
        <v>0.93791666666666662</v>
      </c>
      <c r="AX449" s="16">
        <f t="shared" si="182"/>
        <v>0.93794105437941055</v>
      </c>
      <c r="AY449" s="16">
        <f t="shared" si="182"/>
        <v>0.93798126951092609</v>
      </c>
      <c r="AZ449" s="16">
        <f t="shared" si="182"/>
        <v>0.93817878028404345</v>
      </c>
      <c r="BA449" s="16">
        <f t="shared" si="182"/>
        <v>0.93798449612403101</v>
      </c>
      <c r="BB449" s="16">
        <f t="shared" si="182"/>
        <v>0.93808435487222108</v>
      </c>
      <c r="BC449" s="16">
        <f t="shared" si="182"/>
        <v>0.93804004214963121</v>
      </c>
      <c r="BD449" s="16">
        <f t="shared" si="182"/>
        <v>0.93794105437941055</v>
      </c>
      <c r="BE449" s="16">
        <f t="shared" si="182"/>
        <v>0.9380121874343349</v>
      </c>
      <c r="BF449" s="16">
        <f t="shared" si="182"/>
        <v>0.93820468343451868</v>
      </c>
      <c r="BG449" s="16">
        <f t="shared" si="182"/>
        <v>0.93790707772470694</v>
      </c>
      <c r="BH449" s="16">
        <f t="shared" si="182"/>
        <v>0.93803418803418803</v>
      </c>
      <c r="BI449" s="16">
        <f t="shared" si="182"/>
        <v>0.93803236797274281</v>
      </c>
    </row>
    <row r="450" spans="1:61" x14ac:dyDescent="0.25">
      <c r="A450" s="11">
        <f>$A$55</f>
        <v>40</v>
      </c>
      <c r="M450" s="11"/>
      <c r="N450" s="11"/>
      <c r="O450" s="11"/>
      <c r="P450" s="11"/>
      <c r="Q450" s="11"/>
      <c r="R450" s="11"/>
      <c r="S450" s="11"/>
      <c r="T450" s="16">
        <f>T$310/T$155</f>
        <v>0.93673635623133311</v>
      </c>
      <c r="U450" s="16">
        <f t="shared" ref="U450:BI450" si="183">U$310/U$155</f>
        <v>0.93656316916488225</v>
      </c>
      <c r="V450" s="16">
        <f t="shared" si="183"/>
        <v>0.93667272255385414</v>
      </c>
      <c r="W450" s="16">
        <f t="shared" si="183"/>
        <v>0.93651574803149606</v>
      </c>
      <c r="X450" s="16">
        <f t="shared" si="183"/>
        <v>0.93673907853903082</v>
      </c>
      <c r="Y450" s="16">
        <f t="shared" si="183"/>
        <v>0.93673851921274598</v>
      </c>
      <c r="Z450" s="16">
        <f t="shared" si="183"/>
        <v>0.93678290213723281</v>
      </c>
      <c r="AA450" s="16">
        <f t="shared" si="183"/>
        <v>0.93657458563535911</v>
      </c>
      <c r="AB450" s="16">
        <f t="shared" si="183"/>
        <v>0.93673965936739656</v>
      </c>
      <c r="AC450" s="16">
        <f t="shared" si="183"/>
        <v>0.93683735619219488</v>
      </c>
      <c r="AD450" s="16">
        <f t="shared" si="183"/>
        <v>0.93680555555555556</v>
      </c>
      <c r="AE450" s="16">
        <f t="shared" si="183"/>
        <v>0.93669703340341037</v>
      </c>
      <c r="AF450" s="16">
        <f t="shared" si="183"/>
        <v>0.93665800047270154</v>
      </c>
      <c r="AG450" s="16">
        <f t="shared" si="183"/>
        <v>0.93685756240822315</v>
      </c>
      <c r="AH450" s="16">
        <f t="shared" si="183"/>
        <v>0.93659375768001962</v>
      </c>
      <c r="AI450" s="16">
        <f t="shared" si="183"/>
        <v>0.93676580854786307</v>
      </c>
      <c r="AJ450" s="16">
        <f t="shared" si="183"/>
        <v>0.93660082906608144</v>
      </c>
      <c r="AK450" s="16">
        <f t="shared" si="183"/>
        <v>0.93653136531365311</v>
      </c>
      <c r="AL450" s="16">
        <f t="shared" si="183"/>
        <v>0.93662324649298601</v>
      </c>
      <c r="AM450" s="16">
        <f t="shared" si="183"/>
        <v>0.9367773677736777</v>
      </c>
      <c r="AN450" s="16">
        <f t="shared" si="183"/>
        <v>0.9368850491960643</v>
      </c>
      <c r="AO450" s="16">
        <f t="shared" si="183"/>
        <v>0.93678707224334601</v>
      </c>
      <c r="AP450" s="16">
        <f t="shared" si="183"/>
        <v>0.93677359367735935</v>
      </c>
      <c r="AQ450" s="16">
        <f t="shared" si="183"/>
        <v>0.93670886075949367</v>
      </c>
      <c r="AR450" s="16">
        <f t="shared" si="183"/>
        <v>0.93658126837463251</v>
      </c>
      <c r="AS450" s="16">
        <f t="shared" si="183"/>
        <v>0.93666387959866215</v>
      </c>
      <c r="AT450" s="16">
        <f t="shared" si="183"/>
        <v>0.93686816587579946</v>
      </c>
      <c r="AU450" s="16">
        <f t="shared" si="183"/>
        <v>0.93672712283594395</v>
      </c>
      <c r="AV450" s="16">
        <f t="shared" si="183"/>
        <v>0.93674016072532451</v>
      </c>
      <c r="AW450" s="16">
        <f t="shared" si="183"/>
        <v>0.93666461032284598</v>
      </c>
      <c r="AX450" s="16">
        <f t="shared" si="183"/>
        <v>0.93659644774886408</v>
      </c>
      <c r="AY450" s="16">
        <f t="shared" si="183"/>
        <v>0.93683127572016456</v>
      </c>
      <c r="AZ450" s="16">
        <f t="shared" si="183"/>
        <v>0.93667491749174914</v>
      </c>
      <c r="BA450" s="16">
        <f t="shared" si="183"/>
        <v>0.93686607327675431</v>
      </c>
      <c r="BB450" s="16">
        <f t="shared" si="183"/>
        <v>0.93666943521594681</v>
      </c>
      <c r="BC450" s="16">
        <f t="shared" si="183"/>
        <v>0.93679225859584103</v>
      </c>
      <c r="BD450" s="16">
        <f t="shared" si="183"/>
        <v>0.93673000626435576</v>
      </c>
      <c r="BE450" s="16">
        <f t="shared" si="183"/>
        <v>0.93665158371040724</v>
      </c>
      <c r="BF450" s="16">
        <f t="shared" si="183"/>
        <v>0.93670622527586922</v>
      </c>
      <c r="BG450" s="16">
        <f t="shared" si="183"/>
        <v>0.93686922911745762</v>
      </c>
      <c r="BH450" s="16">
        <f t="shared" si="183"/>
        <v>0.9365727800473016</v>
      </c>
      <c r="BI450" s="16">
        <f t="shared" si="183"/>
        <v>0.93671957671957673</v>
      </c>
    </row>
    <row r="451" spans="1:61" x14ac:dyDescent="0.25">
      <c r="A451" s="11">
        <f>$A$56</f>
        <v>41</v>
      </c>
      <c r="M451" s="11"/>
      <c r="N451" s="11"/>
      <c r="O451" s="11"/>
      <c r="P451" s="11"/>
      <c r="Q451" s="11"/>
      <c r="R451" s="11"/>
      <c r="S451" s="11"/>
      <c r="T451" s="16">
        <f>T$311/T$156</f>
        <v>0.93543917982820723</v>
      </c>
      <c r="U451" s="16">
        <f t="shared" ref="U451:BI451" si="184">U$311/U$156</f>
        <v>0.93522267206477738</v>
      </c>
      <c r="V451" s="16">
        <f t="shared" si="184"/>
        <v>0.93540669856459335</v>
      </c>
      <c r="W451" s="16">
        <f t="shared" si="184"/>
        <v>0.93532594692089666</v>
      </c>
      <c r="X451" s="16">
        <f t="shared" si="184"/>
        <v>0.93527112848070348</v>
      </c>
      <c r="Y451" s="16">
        <f t="shared" si="184"/>
        <v>0.93530805687203789</v>
      </c>
      <c r="Z451" s="16">
        <f t="shared" si="184"/>
        <v>0.93534883720930229</v>
      </c>
      <c r="AA451" s="16">
        <f t="shared" si="184"/>
        <v>0.93523894595801693</v>
      </c>
      <c r="AB451" s="16">
        <f t="shared" si="184"/>
        <v>0.93548387096774188</v>
      </c>
      <c r="AC451" s="16">
        <f t="shared" si="184"/>
        <v>0.93544137022397889</v>
      </c>
      <c r="AD451" s="16">
        <f t="shared" si="184"/>
        <v>0.93530333557197221</v>
      </c>
      <c r="AE451" s="16">
        <f t="shared" si="184"/>
        <v>0.93523197060174557</v>
      </c>
      <c r="AF451" s="16">
        <f t="shared" si="184"/>
        <v>0.9353418308227115</v>
      </c>
      <c r="AG451" s="16">
        <f t="shared" si="184"/>
        <v>0.93528722157092614</v>
      </c>
      <c r="AH451" s="16">
        <f t="shared" si="184"/>
        <v>0.93545256005823829</v>
      </c>
      <c r="AI451" s="16">
        <f t="shared" si="184"/>
        <v>0.93542884990253417</v>
      </c>
      <c r="AJ451" s="16">
        <f t="shared" si="184"/>
        <v>0.93534803071587813</v>
      </c>
      <c r="AK451" s="16">
        <f t="shared" si="184"/>
        <v>0.9354448742746615</v>
      </c>
      <c r="AL451" s="16">
        <f t="shared" si="184"/>
        <v>0.9353816142404292</v>
      </c>
      <c r="AM451" s="16">
        <f t="shared" si="184"/>
        <v>0.93521965748324642</v>
      </c>
      <c r="AN451" s="16">
        <f t="shared" si="184"/>
        <v>0.93539736713798149</v>
      </c>
      <c r="AO451" s="16">
        <f t="shared" si="184"/>
        <v>0.93529971455756422</v>
      </c>
      <c r="AP451" s="16">
        <f t="shared" si="184"/>
        <v>0.93545347467608952</v>
      </c>
      <c r="AQ451" s="16">
        <f t="shared" si="184"/>
        <v>0.93525345622119815</v>
      </c>
      <c r="AR451" s="16">
        <f t="shared" si="184"/>
        <v>0.93528138528138527</v>
      </c>
      <c r="AS451" s="16">
        <f t="shared" si="184"/>
        <v>0.93540320900187535</v>
      </c>
      <c r="AT451" s="16">
        <f t="shared" si="184"/>
        <v>0.93529655744504359</v>
      </c>
      <c r="AU451" s="16">
        <f t="shared" si="184"/>
        <v>0.93531218014329576</v>
      </c>
      <c r="AV451" s="16">
        <f t="shared" si="184"/>
        <v>0.93537832310838442</v>
      </c>
      <c r="AW451" s="16">
        <f t="shared" si="184"/>
        <v>0.93539153547331833</v>
      </c>
      <c r="AX451" s="16">
        <f t="shared" si="184"/>
        <v>0.93533251733986134</v>
      </c>
      <c r="AY451" s="16">
        <f t="shared" si="184"/>
        <v>0.93525916820323707</v>
      </c>
      <c r="AZ451" s="16">
        <f t="shared" si="184"/>
        <v>0.93530612244897959</v>
      </c>
      <c r="BA451" s="16">
        <f t="shared" si="184"/>
        <v>0.93514729950900166</v>
      </c>
      <c r="BB451" s="16">
        <f t="shared" si="184"/>
        <v>0.93533155409566826</v>
      </c>
      <c r="BC451" s="16">
        <f t="shared" si="184"/>
        <v>0.93535103973646283</v>
      </c>
      <c r="BD451" s="16">
        <f t="shared" si="184"/>
        <v>0.93527970600245003</v>
      </c>
      <c r="BE451" s="16">
        <f t="shared" si="184"/>
        <v>0.93519668737060047</v>
      </c>
      <c r="BF451" s="16">
        <f t="shared" si="184"/>
        <v>0.93534570671017747</v>
      </c>
      <c r="BG451" s="16">
        <f t="shared" si="184"/>
        <v>0.93519091847265223</v>
      </c>
      <c r="BH451" s="16">
        <f t="shared" si="184"/>
        <v>0.93530538412428177</v>
      </c>
      <c r="BI451" s="16">
        <f t="shared" si="184"/>
        <v>0.93522267206477738</v>
      </c>
    </row>
    <row r="452" spans="1:61" x14ac:dyDescent="0.25">
      <c r="A452" s="11">
        <f>$A$57</f>
        <v>42</v>
      </c>
      <c r="M452" s="11"/>
      <c r="N452" s="11"/>
      <c r="O452" s="11"/>
      <c r="P452" s="11"/>
      <c r="Q452" s="11"/>
      <c r="R452" s="11"/>
      <c r="S452" s="11"/>
      <c r="T452" s="16">
        <f>T$312/T$157</f>
        <v>0.93379191745485812</v>
      </c>
      <c r="U452" s="16">
        <f t="shared" ref="U452:BI452" si="185">U$312/U$157</f>
        <v>0.93382961124896613</v>
      </c>
      <c r="V452" s="16">
        <f t="shared" si="185"/>
        <v>0.93397745571658619</v>
      </c>
      <c r="W452" s="16">
        <f t="shared" si="185"/>
        <v>0.933703116745906</v>
      </c>
      <c r="X452" s="16">
        <f t="shared" si="185"/>
        <v>0.93370872792423854</v>
      </c>
      <c r="Y452" s="16">
        <f t="shared" si="185"/>
        <v>0.93398058252427185</v>
      </c>
      <c r="Z452" s="16">
        <f t="shared" si="185"/>
        <v>0.93383564869319524</v>
      </c>
      <c r="AA452" s="16">
        <f t="shared" si="185"/>
        <v>0.93391866913123844</v>
      </c>
      <c r="AB452" s="16">
        <f t="shared" si="185"/>
        <v>0.93385127635960041</v>
      </c>
      <c r="AC452" s="16">
        <f t="shared" si="185"/>
        <v>0.9339149400218103</v>
      </c>
      <c r="AD452" s="16">
        <f t="shared" si="185"/>
        <v>0.93387167175905716</v>
      </c>
      <c r="AE452" s="16">
        <f t="shared" si="185"/>
        <v>0.93392658509454951</v>
      </c>
      <c r="AF452" s="16">
        <f t="shared" si="185"/>
        <v>0.93383527264430755</v>
      </c>
      <c r="AG452" s="16">
        <f t="shared" si="185"/>
        <v>0.93393186003683237</v>
      </c>
      <c r="AH452" s="16">
        <f t="shared" si="185"/>
        <v>0.93387660069848666</v>
      </c>
      <c r="AI452" s="16">
        <f t="shared" si="185"/>
        <v>0.93399180920260183</v>
      </c>
      <c r="AJ452" s="16">
        <f t="shared" si="185"/>
        <v>0.93373639661426844</v>
      </c>
      <c r="AK452" s="16">
        <f t="shared" si="185"/>
        <v>0.93387413962635202</v>
      </c>
      <c r="AL452" s="16">
        <f t="shared" si="185"/>
        <v>0.9340052795776338</v>
      </c>
      <c r="AM452" s="16">
        <f t="shared" si="185"/>
        <v>0.93393030009680544</v>
      </c>
      <c r="AN452" s="16">
        <f t="shared" si="185"/>
        <v>0.93399014778325118</v>
      </c>
      <c r="AO452" s="16">
        <f t="shared" si="185"/>
        <v>0.93396226415094341</v>
      </c>
      <c r="AP452" s="16">
        <f t="shared" si="185"/>
        <v>0.93389990557129365</v>
      </c>
      <c r="AQ452" s="16">
        <f t="shared" si="185"/>
        <v>0.93384759233286585</v>
      </c>
      <c r="AR452" s="16">
        <f t="shared" si="185"/>
        <v>0.93389752973467521</v>
      </c>
      <c r="AS452" s="16">
        <f t="shared" si="185"/>
        <v>0.93400687876182287</v>
      </c>
      <c r="AT452" s="16">
        <f t="shared" si="185"/>
        <v>0.93377483443708609</v>
      </c>
      <c r="AU452" s="16">
        <f t="shared" si="185"/>
        <v>0.93386897404202718</v>
      </c>
      <c r="AV452" s="16">
        <f t="shared" si="185"/>
        <v>0.93391622610817404</v>
      </c>
      <c r="AW452" s="16">
        <f t="shared" si="185"/>
        <v>0.93398334348974199</v>
      </c>
      <c r="AX452" s="16">
        <f t="shared" si="185"/>
        <v>0.9338071065989848</v>
      </c>
      <c r="AY452" s="16">
        <f t="shared" si="185"/>
        <v>0.93394123606889567</v>
      </c>
      <c r="AZ452" s="16">
        <f t="shared" si="185"/>
        <v>0.93387589013224825</v>
      </c>
      <c r="BA452" s="16">
        <f t="shared" si="185"/>
        <v>0.93392784758816372</v>
      </c>
      <c r="BB452" s="16">
        <f t="shared" si="185"/>
        <v>0.93396993092238922</v>
      </c>
      <c r="BC452" s="16">
        <f t="shared" si="185"/>
        <v>0.93395841826335102</v>
      </c>
      <c r="BD452" s="16">
        <f t="shared" si="185"/>
        <v>0.93376941946034342</v>
      </c>
      <c r="BE452" s="16">
        <f t="shared" si="185"/>
        <v>0.9339144536793027</v>
      </c>
      <c r="BF452" s="16">
        <f t="shared" si="185"/>
        <v>0.93382655158240857</v>
      </c>
      <c r="BG452" s="16">
        <f t="shared" si="185"/>
        <v>0.93379226564081796</v>
      </c>
      <c r="BH452" s="16">
        <f t="shared" si="185"/>
        <v>0.93382503585330878</v>
      </c>
      <c r="BI452" s="16">
        <f t="shared" si="185"/>
        <v>0.93391047297297303</v>
      </c>
    </row>
    <row r="453" spans="1:61" x14ac:dyDescent="0.25">
      <c r="A453" s="11">
        <f>$A$58</f>
        <v>43</v>
      </c>
      <c r="M453" s="11"/>
      <c r="N453" s="11"/>
      <c r="O453" s="11"/>
      <c r="P453" s="11"/>
      <c r="Q453" s="11"/>
      <c r="R453" s="11"/>
      <c r="S453" s="11"/>
      <c r="T453" s="16">
        <f>T$313/T$158</f>
        <v>0.93229777256740909</v>
      </c>
      <c r="U453" s="16">
        <f t="shared" ref="U453:BI453" si="186">U$313/U$158</f>
        <v>0.93234370539537537</v>
      </c>
      <c r="V453" s="16">
        <f t="shared" si="186"/>
        <v>0.93249176728869376</v>
      </c>
      <c r="W453" s="16">
        <f t="shared" si="186"/>
        <v>0.93219434063000539</v>
      </c>
      <c r="X453" s="16">
        <f t="shared" si="186"/>
        <v>0.93223010244286841</v>
      </c>
      <c r="Y453" s="16">
        <f t="shared" si="186"/>
        <v>0.93229829473148385</v>
      </c>
      <c r="Z453" s="16">
        <f t="shared" si="186"/>
        <v>0.93217475259473814</v>
      </c>
      <c r="AA453" s="16">
        <f t="shared" si="186"/>
        <v>0.93231850117096016</v>
      </c>
      <c r="AB453" s="16">
        <f t="shared" si="186"/>
        <v>0.93219949436911054</v>
      </c>
      <c r="AC453" s="16">
        <f t="shared" si="186"/>
        <v>0.93221461691322582</v>
      </c>
      <c r="AD453" s="16">
        <f t="shared" si="186"/>
        <v>0.93230635712735954</v>
      </c>
      <c r="AE453" s="16">
        <f t="shared" si="186"/>
        <v>0.93226226660877121</v>
      </c>
      <c r="AF453" s="16">
        <f t="shared" si="186"/>
        <v>0.93228590396105337</v>
      </c>
      <c r="AG453" s="16">
        <f t="shared" si="186"/>
        <v>0.93238030406172001</v>
      </c>
      <c r="AH453" s="16">
        <f t="shared" si="186"/>
        <v>0.93224994277866791</v>
      </c>
      <c r="AI453" s="16">
        <f t="shared" si="186"/>
        <v>0.93240740740740746</v>
      </c>
      <c r="AJ453" s="16">
        <f t="shared" si="186"/>
        <v>0.93224802489825231</v>
      </c>
      <c r="AK453" s="16">
        <f t="shared" si="186"/>
        <v>0.93245192307692304</v>
      </c>
      <c r="AL453" s="16">
        <f t="shared" si="186"/>
        <v>0.93234000977039566</v>
      </c>
      <c r="AM453" s="16">
        <f t="shared" si="186"/>
        <v>0.93228421554601815</v>
      </c>
      <c r="AN453" s="16">
        <f t="shared" si="186"/>
        <v>0.93219523924020198</v>
      </c>
      <c r="AO453" s="16">
        <f t="shared" si="186"/>
        <v>0.93222412527526299</v>
      </c>
      <c r="AP453" s="16">
        <f t="shared" si="186"/>
        <v>0.93222782984859409</v>
      </c>
      <c r="AQ453" s="16">
        <f t="shared" si="186"/>
        <v>0.932441942294159</v>
      </c>
      <c r="AR453" s="16">
        <f t="shared" si="186"/>
        <v>0.93240418118466895</v>
      </c>
      <c r="AS453" s="16">
        <f t="shared" si="186"/>
        <v>0.93248465560354621</v>
      </c>
      <c r="AT453" s="16">
        <f t="shared" si="186"/>
        <v>0.93226495726495728</v>
      </c>
      <c r="AU453" s="16">
        <f t="shared" si="186"/>
        <v>0.93230452674897124</v>
      </c>
      <c r="AV453" s="16">
        <f t="shared" si="186"/>
        <v>0.93240475215075791</v>
      </c>
      <c r="AW453" s="16">
        <f t="shared" si="186"/>
        <v>0.93228219122700628</v>
      </c>
      <c r="AX453" s="16">
        <f t="shared" si="186"/>
        <v>0.9323505654281099</v>
      </c>
      <c r="AY453" s="16">
        <f t="shared" si="186"/>
        <v>0.93217601937828021</v>
      </c>
      <c r="AZ453" s="16">
        <f t="shared" si="186"/>
        <v>0.93231265108783234</v>
      </c>
      <c r="BA453" s="16">
        <f t="shared" si="186"/>
        <v>0.93244336569579289</v>
      </c>
      <c r="BB453" s="16">
        <f t="shared" si="186"/>
        <v>0.93250050372758408</v>
      </c>
      <c r="BC453" s="16">
        <f t="shared" si="186"/>
        <v>0.9323505654281099</v>
      </c>
      <c r="BD453" s="16">
        <f t="shared" si="186"/>
        <v>0.93233387358184761</v>
      </c>
      <c r="BE453" s="16">
        <f t="shared" si="186"/>
        <v>0.93234457537586346</v>
      </c>
      <c r="BF453" s="16">
        <f t="shared" si="186"/>
        <v>0.93231265108783234</v>
      </c>
      <c r="BG453" s="16">
        <f t="shared" si="186"/>
        <v>0.93239379084967322</v>
      </c>
      <c r="BH453" s="16">
        <f t="shared" si="186"/>
        <v>0.93239436619718308</v>
      </c>
      <c r="BI453" s="16">
        <f t="shared" si="186"/>
        <v>0.9324104234527687</v>
      </c>
    </row>
    <row r="454" spans="1:61" x14ac:dyDescent="0.25">
      <c r="A454" s="11">
        <f>$A$59</f>
        <v>44</v>
      </c>
      <c r="M454" s="11"/>
      <c r="N454" s="11"/>
      <c r="O454" s="11"/>
      <c r="P454" s="11"/>
      <c r="Q454" s="11"/>
      <c r="R454" s="11"/>
      <c r="S454" s="11"/>
      <c r="T454" s="16">
        <f>T$314/T$159</f>
        <v>0.93142857142857138</v>
      </c>
      <c r="U454" s="16">
        <f t="shared" ref="U454:BI454" si="187">U$314/U$159</f>
        <v>0.93130663548669979</v>
      </c>
      <c r="V454" s="16">
        <f t="shared" si="187"/>
        <v>0.93143669985775246</v>
      </c>
      <c r="W454" s="16">
        <f t="shared" si="187"/>
        <v>0.9313832695462001</v>
      </c>
      <c r="X454" s="16">
        <f t="shared" si="187"/>
        <v>0.93140122307896833</v>
      </c>
      <c r="Y454" s="16">
        <f t="shared" si="187"/>
        <v>0.9312058592728224</v>
      </c>
      <c r="Z454" s="16">
        <f t="shared" si="187"/>
        <v>0.9315589353612167</v>
      </c>
      <c r="AA454" s="16">
        <f t="shared" si="187"/>
        <v>0.93125000000000002</v>
      </c>
      <c r="AB454" s="16">
        <f t="shared" si="187"/>
        <v>0.93142057382785159</v>
      </c>
      <c r="AC454" s="16">
        <f t="shared" si="187"/>
        <v>0.93131868131868134</v>
      </c>
      <c r="AD454" s="16">
        <f t="shared" si="187"/>
        <v>0.93136823581170258</v>
      </c>
      <c r="AE454" s="16">
        <f t="shared" si="187"/>
        <v>0.93125810635538264</v>
      </c>
      <c r="AF454" s="16">
        <f t="shared" si="187"/>
        <v>0.93122837370242217</v>
      </c>
      <c r="AG454" s="16">
        <f t="shared" si="187"/>
        <v>0.93145250165307469</v>
      </c>
      <c r="AH454" s="16">
        <f t="shared" si="187"/>
        <v>0.93131495707184819</v>
      </c>
      <c r="AI454" s="16">
        <f t="shared" si="187"/>
        <v>0.93117593436645396</v>
      </c>
      <c r="AJ454" s="16">
        <f t="shared" si="187"/>
        <v>0.93132058077898128</v>
      </c>
      <c r="AK454" s="16">
        <f t="shared" si="187"/>
        <v>0.93136320305052434</v>
      </c>
      <c r="AL454" s="16">
        <f t="shared" si="187"/>
        <v>0.93133971291866025</v>
      </c>
      <c r="AM454" s="16">
        <f t="shared" si="187"/>
        <v>0.93145357316480315</v>
      </c>
      <c r="AN454" s="16">
        <f t="shared" si="187"/>
        <v>0.93118177503559563</v>
      </c>
      <c r="AO454" s="16">
        <f t="shared" si="187"/>
        <v>0.93132328308207701</v>
      </c>
      <c r="AP454" s="16">
        <f t="shared" si="187"/>
        <v>0.93135345666991232</v>
      </c>
      <c r="AQ454" s="16">
        <f t="shared" si="187"/>
        <v>0.93137254901960786</v>
      </c>
      <c r="AR454" s="16">
        <f t="shared" si="187"/>
        <v>0.93115519253208867</v>
      </c>
      <c r="AS454" s="16">
        <f t="shared" si="187"/>
        <v>0.93134535367545079</v>
      </c>
      <c r="AT454" s="16">
        <f t="shared" si="187"/>
        <v>0.9312372766342456</v>
      </c>
      <c r="AU454" s="16">
        <f t="shared" si="187"/>
        <v>0.93150393533290787</v>
      </c>
      <c r="AV454" s="16">
        <f t="shared" si="187"/>
        <v>0.93136652325343172</v>
      </c>
      <c r="AW454" s="16">
        <f t="shared" si="187"/>
        <v>0.93128058727569329</v>
      </c>
      <c r="AX454" s="16">
        <f t="shared" si="187"/>
        <v>0.9311732743006641</v>
      </c>
      <c r="AY454" s="16">
        <f t="shared" si="187"/>
        <v>0.93124246079613993</v>
      </c>
      <c r="AZ454" s="16">
        <f t="shared" si="187"/>
        <v>0.9312700964630225</v>
      </c>
      <c r="BA454" s="16">
        <f t="shared" si="187"/>
        <v>0.93142169641066774</v>
      </c>
      <c r="BB454" s="16">
        <f t="shared" si="187"/>
        <v>0.93134688947050537</v>
      </c>
      <c r="BC454" s="16">
        <f t="shared" si="187"/>
        <v>0.93122117505514335</v>
      </c>
      <c r="BD454" s="16">
        <f t="shared" si="187"/>
        <v>0.93145728643216086</v>
      </c>
      <c r="BE454" s="16">
        <f t="shared" si="187"/>
        <v>0.93125000000000002</v>
      </c>
      <c r="BF454" s="16">
        <f t="shared" si="187"/>
        <v>0.93125758188435104</v>
      </c>
      <c r="BG454" s="16">
        <f t="shared" si="187"/>
        <v>0.93123496391339211</v>
      </c>
      <c r="BH454" s="16">
        <f t="shared" si="187"/>
        <v>0.93131477342003655</v>
      </c>
      <c r="BI454" s="16">
        <f t="shared" si="187"/>
        <v>0.93133133133133128</v>
      </c>
    </row>
    <row r="455" spans="1:61" x14ac:dyDescent="0.25">
      <c r="A455" s="11">
        <f>$A$60</f>
        <v>45</v>
      </c>
      <c r="M455" s="11"/>
      <c r="N455" s="11"/>
      <c r="O455" s="11"/>
      <c r="P455" s="11"/>
      <c r="Q455" s="11"/>
      <c r="R455" s="11"/>
      <c r="S455" s="11"/>
      <c r="T455" s="16">
        <f>T$315/T$160</f>
        <v>0.93134513824168996</v>
      </c>
      <c r="U455" s="16">
        <f t="shared" ref="U455:BI455" si="188">U$315/U$160</f>
        <v>0.93123123123123119</v>
      </c>
      <c r="V455" s="16">
        <f t="shared" si="188"/>
        <v>0.93117526975794696</v>
      </c>
      <c r="W455" s="16">
        <f t="shared" si="188"/>
        <v>0.93132803632236094</v>
      </c>
      <c r="X455" s="16">
        <f t="shared" si="188"/>
        <v>0.93131643499591166</v>
      </c>
      <c r="Y455" s="16">
        <f t="shared" si="188"/>
        <v>0.9313361611876988</v>
      </c>
      <c r="Z455" s="16">
        <f t="shared" si="188"/>
        <v>0.93116036505867017</v>
      </c>
      <c r="AA455" s="16">
        <f t="shared" si="188"/>
        <v>0.93127842344618494</v>
      </c>
      <c r="AB455" s="16">
        <f t="shared" si="188"/>
        <v>0.93120805369127513</v>
      </c>
      <c r="AC455" s="16">
        <f t="shared" si="188"/>
        <v>0.93137939055594321</v>
      </c>
      <c r="AD455" s="16">
        <f t="shared" si="188"/>
        <v>0.93106596667427532</v>
      </c>
      <c r="AE455" s="16">
        <f t="shared" si="188"/>
        <v>0.93132953049583156</v>
      </c>
      <c r="AF455" s="16">
        <f t="shared" si="188"/>
        <v>0.93123517999568872</v>
      </c>
      <c r="AG455" s="16">
        <f t="shared" si="188"/>
        <v>0.93120552081086905</v>
      </c>
      <c r="AH455" s="16">
        <f t="shared" si="188"/>
        <v>0.93120879120879119</v>
      </c>
      <c r="AI455" s="16">
        <f t="shared" si="188"/>
        <v>0.9312908312683037</v>
      </c>
      <c r="AJ455" s="16">
        <f t="shared" si="188"/>
        <v>0.9311676510676965</v>
      </c>
      <c r="AK455" s="16">
        <f t="shared" si="188"/>
        <v>0.93131173903055364</v>
      </c>
      <c r="AL455" s="16">
        <f t="shared" si="188"/>
        <v>0.93113274756589881</v>
      </c>
      <c r="AM455" s="16">
        <f t="shared" si="188"/>
        <v>0.93134684147794999</v>
      </c>
      <c r="AN455" s="16">
        <f t="shared" si="188"/>
        <v>0.93121821264228621</v>
      </c>
      <c r="AO455" s="16">
        <f t="shared" si="188"/>
        <v>0.93118940647907311</v>
      </c>
      <c r="AP455" s="16">
        <f t="shared" si="188"/>
        <v>0.93110846245530399</v>
      </c>
      <c r="AQ455" s="16">
        <f t="shared" si="188"/>
        <v>0.93113482056256058</v>
      </c>
      <c r="AR455" s="16">
        <f t="shared" si="188"/>
        <v>0.93115769414006666</v>
      </c>
      <c r="AS455" s="16">
        <f t="shared" si="188"/>
        <v>0.93117879562892347</v>
      </c>
      <c r="AT455" s="16">
        <f t="shared" si="188"/>
        <v>0.9311535804743265</v>
      </c>
      <c r="AU455" s="16">
        <f t="shared" si="188"/>
        <v>0.93105002253267233</v>
      </c>
      <c r="AV455" s="16">
        <f t="shared" si="188"/>
        <v>0.93111487918609581</v>
      </c>
      <c r="AW455" s="16">
        <f t="shared" si="188"/>
        <v>0.93119640669661086</v>
      </c>
      <c r="AX455" s="16">
        <f t="shared" si="188"/>
        <v>0.9311115626905101</v>
      </c>
      <c r="AY455" s="16">
        <f t="shared" si="188"/>
        <v>0.93139418254764295</v>
      </c>
      <c r="AZ455" s="16">
        <f t="shared" si="188"/>
        <v>0.93127629733520334</v>
      </c>
      <c r="BA455" s="16">
        <f t="shared" si="188"/>
        <v>0.93130382535549772</v>
      </c>
      <c r="BB455" s="16">
        <f t="shared" si="188"/>
        <v>0.93106893106893107</v>
      </c>
      <c r="BC455" s="16">
        <f t="shared" si="188"/>
        <v>0.93119358074222669</v>
      </c>
      <c r="BD455" s="16">
        <f t="shared" si="188"/>
        <v>0.93106893106893107</v>
      </c>
      <c r="BE455" s="16">
        <f t="shared" si="188"/>
        <v>0.93111734080897079</v>
      </c>
      <c r="BF455" s="16">
        <f t="shared" si="188"/>
        <v>0.93129770992366412</v>
      </c>
      <c r="BG455" s="16">
        <f t="shared" si="188"/>
        <v>0.93111782477341387</v>
      </c>
      <c r="BH455" s="16">
        <f t="shared" si="188"/>
        <v>0.93109646494907128</v>
      </c>
      <c r="BI455" s="16">
        <f t="shared" si="188"/>
        <v>0.93117408906882593</v>
      </c>
    </row>
    <row r="456" spans="1:61" x14ac:dyDescent="0.25">
      <c r="A456" s="11">
        <f>$A$61</f>
        <v>46</v>
      </c>
      <c r="M456" s="11"/>
      <c r="N456" s="11"/>
      <c r="O456" s="11"/>
      <c r="P456" s="11"/>
      <c r="Q456" s="11"/>
      <c r="R456" s="11"/>
      <c r="S456" s="11"/>
      <c r="T456" s="16">
        <f>T$316/T$161</f>
        <v>0.93162670123136748</v>
      </c>
      <c r="U456" s="16">
        <f t="shared" ref="U456:BI456" si="189">U$316/U$161</f>
        <v>0.93167701863354035</v>
      </c>
      <c r="V456" s="16">
        <f t="shared" si="189"/>
        <v>0.93159315931593156</v>
      </c>
      <c r="W456" s="16">
        <f t="shared" si="189"/>
        <v>0.93183804252840086</v>
      </c>
      <c r="X456" s="16">
        <f t="shared" si="189"/>
        <v>0.93172804532577902</v>
      </c>
      <c r="Y456" s="16">
        <f t="shared" si="189"/>
        <v>0.93170068027210884</v>
      </c>
      <c r="Z456" s="16">
        <f t="shared" si="189"/>
        <v>0.93172797036252974</v>
      </c>
      <c r="AA456" s="16">
        <f t="shared" si="189"/>
        <v>0.93154606975533572</v>
      </c>
      <c r="AB456" s="16">
        <f t="shared" si="189"/>
        <v>0.93165195460277428</v>
      </c>
      <c r="AC456" s="16">
        <f t="shared" si="189"/>
        <v>0.93156257477865523</v>
      </c>
      <c r="AD456" s="16">
        <f t="shared" si="189"/>
        <v>0.93172317696237805</v>
      </c>
      <c r="AE456" s="16">
        <f t="shared" si="189"/>
        <v>0.93163172288058338</v>
      </c>
      <c r="AF456" s="16">
        <f t="shared" si="189"/>
        <v>0.93144984669294784</v>
      </c>
      <c r="AG456" s="16">
        <f t="shared" si="189"/>
        <v>0.93155402496771411</v>
      </c>
      <c r="AH456" s="16">
        <f t="shared" si="189"/>
        <v>0.93173987941429803</v>
      </c>
      <c r="AI456" s="16">
        <f t="shared" si="189"/>
        <v>0.93176831943835015</v>
      </c>
      <c r="AJ456" s="16">
        <f t="shared" si="189"/>
        <v>0.93165467625899279</v>
      </c>
      <c r="AK456" s="16">
        <f t="shared" si="189"/>
        <v>0.93174603174603177</v>
      </c>
      <c r="AL456" s="16">
        <f t="shared" si="189"/>
        <v>0.93168271435121508</v>
      </c>
      <c r="AM456" s="16">
        <f t="shared" si="189"/>
        <v>0.93175355450236963</v>
      </c>
      <c r="AN456" s="16">
        <f t="shared" si="189"/>
        <v>0.93151010701545778</v>
      </c>
      <c r="AO456" s="16">
        <f t="shared" si="189"/>
        <v>0.93162599661754042</v>
      </c>
      <c r="AP456" s="16">
        <f t="shared" si="189"/>
        <v>0.93158763859400806</v>
      </c>
      <c r="AQ456" s="16">
        <f t="shared" si="189"/>
        <v>0.93174791914387634</v>
      </c>
      <c r="AR456" s="16">
        <f t="shared" si="189"/>
        <v>0.93155985489721882</v>
      </c>
      <c r="AS456" s="16">
        <f t="shared" si="189"/>
        <v>0.9315751960085531</v>
      </c>
      <c r="AT456" s="16">
        <f t="shared" si="189"/>
        <v>0.9315862708719852</v>
      </c>
      <c r="AU456" s="16">
        <f t="shared" si="189"/>
        <v>0.93155718879191551</v>
      </c>
      <c r="AV456" s="16">
        <f t="shared" si="189"/>
        <v>0.93167003821083394</v>
      </c>
      <c r="AW456" s="16">
        <f t="shared" si="189"/>
        <v>0.9316980334108691</v>
      </c>
      <c r="AX456" s="16">
        <f t="shared" si="189"/>
        <v>0.93155428804237117</v>
      </c>
      <c r="AY456" s="16">
        <f t="shared" si="189"/>
        <v>0.93167072181670718</v>
      </c>
      <c r="AZ456" s="16">
        <f t="shared" si="189"/>
        <v>0.9315589353612167</v>
      </c>
      <c r="BA456" s="16">
        <f t="shared" si="189"/>
        <v>0.93164101539076549</v>
      </c>
      <c r="BB456" s="16">
        <f t="shared" si="189"/>
        <v>0.93166833166833163</v>
      </c>
      <c r="BC456" s="16">
        <f t="shared" si="189"/>
        <v>0.93163244967111825</v>
      </c>
      <c r="BD456" s="16">
        <f t="shared" si="189"/>
        <v>0.93157262905162064</v>
      </c>
      <c r="BE456" s="16">
        <f t="shared" si="189"/>
        <v>0.93163244967111825</v>
      </c>
      <c r="BF456" s="16">
        <f t="shared" si="189"/>
        <v>0.93149590573197527</v>
      </c>
      <c r="BG456" s="16">
        <f t="shared" si="189"/>
        <v>0.93149038461538458</v>
      </c>
      <c r="BH456" s="16">
        <f t="shared" si="189"/>
        <v>0.93169947770188832</v>
      </c>
      <c r="BI456" s="16">
        <f t="shared" si="189"/>
        <v>0.93167330677290838</v>
      </c>
    </row>
    <row r="457" spans="1:61" x14ac:dyDescent="0.25">
      <c r="A457" s="11">
        <f>$A$62</f>
        <v>47</v>
      </c>
      <c r="M457" s="11"/>
      <c r="N457" s="11"/>
      <c r="O457" s="11"/>
      <c r="P457" s="11"/>
      <c r="Q457" s="11"/>
      <c r="R457" s="11"/>
      <c r="S457" s="11"/>
      <c r="T457" s="16">
        <f>T$317/T$162</f>
        <v>0.93217614914818392</v>
      </c>
      <c r="U457" s="16">
        <f t="shared" ref="U457:BI457" si="190">U$317/U$162</f>
        <v>0.93220888744729158</v>
      </c>
      <c r="V457" s="16">
        <f t="shared" si="190"/>
        <v>0.9319875776397516</v>
      </c>
      <c r="W457" s="16">
        <f t="shared" si="190"/>
        <v>0.93221355728854227</v>
      </c>
      <c r="X457" s="16">
        <f t="shared" si="190"/>
        <v>0.93216885007278016</v>
      </c>
      <c r="Y457" s="16">
        <f t="shared" si="190"/>
        <v>0.93206906311916216</v>
      </c>
      <c r="Z457" s="16">
        <f t="shared" si="190"/>
        <v>0.93230016313213704</v>
      </c>
      <c r="AA457" s="16">
        <f t="shared" si="190"/>
        <v>0.93231094658910629</v>
      </c>
      <c r="AB457" s="16">
        <f t="shared" si="190"/>
        <v>0.93211963589076718</v>
      </c>
      <c r="AC457" s="16">
        <f t="shared" si="190"/>
        <v>0.93220766129032262</v>
      </c>
      <c r="AD457" s="16">
        <f t="shared" si="190"/>
        <v>0.9320899091343855</v>
      </c>
      <c r="AE457" s="16">
        <f t="shared" si="190"/>
        <v>0.93201856148491879</v>
      </c>
      <c r="AF457" s="16">
        <f t="shared" si="190"/>
        <v>0.93213391027100889</v>
      </c>
      <c r="AG457" s="16">
        <f t="shared" si="190"/>
        <v>0.93215145546071354</v>
      </c>
      <c r="AH457" s="16">
        <f t="shared" si="190"/>
        <v>0.93204301075268814</v>
      </c>
      <c r="AI457" s="16">
        <f t="shared" si="190"/>
        <v>0.93222891566265065</v>
      </c>
      <c r="AJ457" s="16">
        <f t="shared" si="190"/>
        <v>0.93206223975454749</v>
      </c>
      <c r="AK457" s="16">
        <f t="shared" si="190"/>
        <v>0.93216531895777177</v>
      </c>
      <c r="AL457" s="16">
        <f t="shared" si="190"/>
        <v>0.93227633069082672</v>
      </c>
      <c r="AM457" s="16">
        <f t="shared" si="190"/>
        <v>0.93200549450549453</v>
      </c>
      <c r="AN457" s="16">
        <f t="shared" si="190"/>
        <v>0.93208707998106954</v>
      </c>
      <c r="AO457" s="16">
        <f t="shared" si="190"/>
        <v>0.93208264070292091</v>
      </c>
      <c r="AP457" s="16">
        <f t="shared" si="190"/>
        <v>0.93198263386396529</v>
      </c>
      <c r="AQ457" s="16">
        <f t="shared" si="190"/>
        <v>0.93217145548751768</v>
      </c>
      <c r="AR457" s="16">
        <f t="shared" si="190"/>
        <v>0.9320987654320988</v>
      </c>
      <c r="AS457" s="16">
        <f t="shared" si="190"/>
        <v>0.93215837759536457</v>
      </c>
      <c r="AT457" s="16">
        <f t="shared" si="190"/>
        <v>0.93216318785578745</v>
      </c>
      <c r="AU457" s="16">
        <f t="shared" si="190"/>
        <v>0.93216022227367445</v>
      </c>
      <c r="AV457" s="16">
        <f t="shared" si="190"/>
        <v>0.93212565925246504</v>
      </c>
      <c r="AW457" s="16">
        <f t="shared" si="190"/>
        <v>0.93222621184919208</v>
      </c>
      <c r="AX457" s="16">
        <f t="shared" si="190"/>
        <v>0.93222128378378377</v>
      </c>
      <c r="AY457" s="16">
        <f t="shared" si="190"/>
        <v>0.9322620016273393</v>
      </c>
      <c r="AZ457" s="16">
        <f t="shared" si="190"/>
        <v>0.93218623481781382</v>
      </c>
      <c r="BA457" s="16">
        <f t="shared" si="190"/>
        <v>0.93206793206793204</v>
      </c>
      <c r="BB457" s="16">
        <f t="shared" si="190"/>
        <v>0.93214927160247452</v>
      </c>
      <c r="BC457" s="16">
        <f t="shared" si="190"/>
        <v>0.93199042680494615</v>
      </c>
      <c r="BD457" s="16">
        <f t="shared" si="190"/>
        <v>0.93213930348258711</v>
      </c>
      <c r="BE457" s="16">
        <f t="shared" si="190"/>
        <v>0.93228126248501797</v>
      </c>
      <c r="BF457" s="16">
        <f t="shared" si="190"/>
        <v>0.9321528054118583</v>
      </c>
      <c r="BG457" s="16">
        <f t="shared" si="190"/>
        <v>0.93201754385964908</v>
      </c>
      <c r="BH457" s="16">
        <f t="shared" si="190"/>
        <v>0.93221355728854227</v>
      </c>
      <c r="BI457" s="16">
        <f t="shared" si="190"/>
        <v>0.9320368885324779</v>
      </c>
    </row>
    <row r="458" spans="1:61" x14ac:dyDescent="0.25">
      <c r="A458" s="11">
        <f>$A$63</f>
        <v>48</v>
      </c>
      <c r="M458" s="11"/>
      <c r="N458" s="11"/>
      <c r="O458" s="11"/>
      <c r="P458" s="11"/>
      <c r="Q458" s="11"/>
      <c r="R458" s="11"/>
      <c r="S458" s="11"/>
      <c r="T458" s="16">
        <f>T$318/T$163</f>
        <v>0.93218128464297356</v>
      </c>
      <c r="U458" s="16">
        <f t="shared" ref="U458:BI458" si="191">U$318/U$163</f>
        <v>0.93266752577319589</v>
      </c>
      <c r="V458" s="16">
        <f t="shared" si="191"/>
        <v>0.93244559922052617</v>
      </c>
      <c r="W458" s="16">
        <f t="shared" si="191"/>
        <v>0.9322350015542431</v>
      </c>
      <c r="X458" s="16">
        <f t="shared" si="191"/>
        <v>0.93247298919567823</v>
      </c>
      <c r="Y458" s="16">
        <f t="shared" si="191"/>
        <v>0.93244030285381474</v>
      </c>
      <c r="Z458" s="16">
        <f t="shared" si="191"/>
        <v>0.93233295583238962</v>
      </c>
      <c r="AA458" s="16">
        <f t="shared" si="191"/>
        <v>0.93255371226543382</v>
      </c>
      <c r="AB458" s="16">
        <f t="shared" si="191"/>
        <v>0.93231094658910629</v>
      </c>
      <c r="AC458" s="16">
        <f t="shared" si="191"/>
        <v>0.93237971391417429</v>
      </c>
      <c r="AD458" s="16">
        <f t="shared" si="191"/>
        <v>0.93245967741935487</v>
      </c>
      <c r="AE458" s="16">
        <f t="shared" si="191"/>
        <v>0.93255202104759627</v>
      </c>
      <c r="AF458" s="16">
        <f t="shared" si="191"/>
        <v>0.9324669296820608</v>
      </c>
      <c r="AG458" s="16">
        <f t="shared" si="191"/>
        <v>0.93236164882714645</v>
      </c>
      <c r="AH458" s="16">
        <f t="shared" si="191"/>
        <v>0.93257443082311731</v>
      </c>
      <c r="AI458" s="16">
        <f t="shared" si="191"/>
        <v>0.93245859324585934</v>
      </c>
      <c r="AJ458" s="16">
        <f t="shared" si="191"/>
        <v>0.93244406196213425</v>
      </c>
      <c r="AK458" s="16">
        <f t="shared" si="191"/>
        <v>0.93228139381985531</v>
      </c>
      <c r="AL458" s="16">
        <f t="shared" si="191"/>
        <v>0.93240512014372334</v>
      </c>
      <c r="AM458" s="16">
        <f t="shared" si="191"/>
        <v>0.93251811594202894</v>
      </c>
      <c r="AN458" s="16">
        <f t="shared" si="191"/>
        <v>0.93247882810711835</v>
      </c>
      <c r="AO458" s="16">
        <f t="shared" si="191"/>
        <v>0.93235572374645226</v>
      </c>
      <c r="AP458" s="16">
        <f t="shared" si="191"/>
        <v>0.93235224305720388</v>
      </c>
      <c r="AQ458" s="16">
        <f t="shared" si="191"/>
        <v>0.93225650916104141</v>
      </c>
      <c r="AR458" s="16">
        <f t="shared" si="191"/>
        <v>0.93243879472693036</v>
      </c>
      <c r="AS458" s="16">
        <f t="shared" si="191"/>
        <v>0.93260560037968676</v>
      </c>
      <c r="AT458" s="16">
        <f t="shared" si="191"/>
        <v>0.93243243243243246</v>
      </c>
      <c r="AU458" s="16">
        <f t="shared" si="191"/>
        <v>0.93244844749940747</v>
      </c>
      <c r="AV458" s="16">
        <f t="shared" si="191"/>
        <v>0.93243868579361411</v>
      </c>
      <c r="AW458" s="16">
        <f t="shared" si="191"/>
        <v>0.93241695303550975</v>
      </c>
      <c r="AX458" s="16">
        <f t="shared" si="191"/>
        <v>0.93228699551569505</v>
      </c>
      <c r="AY458" s="16">
        <f t="shared" si="191"/>
        <v>0.9322784810126582</v>
      </c>
      <c r="AZ458" s="16">
        <f t="shared" si="191"/>
        <v>0.93231707317073176</v>
      </c>
      <c r="BA458" s="16">
        <f t="shared" si="191"/>
        <v>0.93242969856362534</v>
      </c>
      <c r="BB458" s="16">
        <f t="shared" si="191"/>
        <v>0.93250798722044725</v>
      </c>
      <c r="BC458" s="16">
        <f t="shared" si="191"/>
        <v>0.93240279162512463</v>
      </c>
      <c r="BD458" s="16">
        <f t="shared" si="191"/>
        <v>0.93224392188122762</v>
      </c>
      <c r="BE458" s="16">
        <f t="shared" si="191"/>
        <v>0.93259097236031019</v>
      </c>
      <c r="BF458" s="16">
        <f t="shared" si="191"/>
        <v>0.93234883256834966</v>
      </c>
      <c r="BG458" s="16">
        <f t="shared" si="191"/>
        <v>0.93241900218644402</v>
      </c>
      <c r="BH458" s="16">
        <f t="shared" si="191"/>
        <v>0.93228440549691294</v>
      </c>
      <c r="BI458" s="16">
        <f t="shared" si="191"/>
        <v>0.93248102277267275</v>
      </c>
    </row>
    <row r="459" spans="1:61" x14ac:dyDescent="0.25">
      <c r="A459" s="11">
        <f>$A$64</f>
        <v>49</v>
      </c>
      <c r="M459" s="11"/>
      <c r="N459" s="11"/>
      <c r="O459" s="11"/>
      <c r="P459" s="11"/>
      <c r="Q459" s="11"/>
      <c r="R459" s="11"/>
      <c r="S459" s="11"/>
      <c r="T459" s="16">
        <f>T$319/T$164</f>
        <v>0.93198828506345588</v>
      </c>
      <c r="U459" s="16">
        <f t="shared" ref="U459:BI459" si="192">U$319/U$164</f>
        <v>0.9319594373568858</v>
      </c>
      <c r="V459" s="16">
        <f t="shared" si="192"/>
        <v>0.9321924443009364</v>
      </c>
      <c r="W459" s="16">
        <f t="shared" si="192"/>
        <v>0.93198828506345588</v>
      </c>
      <c r="X459" s="16">
        <f t="shared" si="192"/>
        <v>0.93210837745250696</v>
      </c>
      <c r="Y459" s="16">
        <f t="shared" si="192"/>
        <v>0.9320709347760745</v>
      </c>
      <c r="Z459" s="16">
        <f t="shared" si="192"/>
        <v>0.93206997084548104</v>
      </c>
      <c r="AA459" s="16">
        <f t="shared" si="192"/>
        <v>0.93223702863623481</v>
      </c>
      <c r="AB459" s="16">
        <f t="shared" si="192"/>
        <v>0.93193574734549411</v>
      </c>
      <c r="AC459" s="16">
        <f t="shared" si="192"/>
        <v>0.93195657929573739</v>
      </c>
      <c r="AD459" s="16">
        <f t="shared" si="192"/>
        <v>0.93203124999999998</v>
      </c>
      <c r="AE459" s="16">
        <f t="shared" si="192"/>
        <v>0.93212212969972241</v>
      </c>
      <c r="AF459" s="16">
        <f t="shared" si="192"/>
        <v>0.93200861862580797</v>
      </c>
      <c r="AG459" s="16">
        <f t="shared" si="192"/>
        <v>0.9319396051103368</v>
      </c>
      <c r="AH459" s="16">
        <f t="shared" si="192"/>
        <v>0.93205654354765166</v>
      </c>
      <c r="AI459" s="16">
        <f t="shared" si="192"/>
        <v>0.93207712532865905</v>
      </c>
      <c r="AJ459" s="16">
        <f t="shared" si="192"/>
        <v>0.9319698600645856</v>
      </c>
      <c r="AK459" s="16">
        <f t="shared" si="192"/>
        <v>0.93195521102497847</v>
      </c>
      <c r="AL459" s="16">
        <f t="shared" si="192"/>
        <v>0.93200263215617463</v>
      </c>
      <c r="AM459" s="16">
        <f t="shared" si="192"/>
        <v>0.93191011235955057</v>
      </c>
      <c r="AN459" s="16">
        <f t="shared" si="192"/>
        <v>0.93224563788805803</v>
      </c>
      <c r="AO459" s="16">
        <f t="shared" si="192"/>
        <v>0.93220338983050843</v>
      </c>
      <c r="AP459" s="16">
        <f t="shared" si="192"/>
        <v>0.93208707998106954</v>
      </c>
      <c r="AQ459" s="16">
        <f t="shared" si="192"/>
        <v>0.93208264070292091</v>
      </c>
      <c r="AR459" s="16">
        <f t="shared" si="192"/>
        <v>0.93222383019778099</v>
      </c>
      <c r="AS459" s="16">
        <f t="shared" si="192"/>
        <v>0.93195196609371322</v>
      </c>
      <c r="AT459" s="16">
        <f t="shared" si="192"/>
        <v>0.93211488250652741</v>
      </c>
      <c r="AU459" s="16">
        <f t="shared" si="192"/>
        <v>0.931949806949807</v>
      </c>
      <c r="AV459" s="16">
        <f t="shared" si="192"/>
        <v>0.93219535324798486</v>
      </c>
      <c r="AW459" s="16">
        <f t="shared" si="192"/>
        <v>0.93219162230965058</v>
      </c>
      <c r="AX459" s="16">
        <f t="shared" si="192"/>
        <v>0.9321723189734189</v>
      </c>
      <c r="AY459" s="16">
        <f t="shared" si="192"/>
        <v>0.9320475442924423</v>
      </c>
      <c r="AZ459" s="16">
        <f t="shared" si="192"/>
        <v>0.93205317577548008</v>
      </c>
      <c r="BA459" s="16">
        <f t="shared" si="192"/>
        <v>0.93210002032933525</v>
      </c>
      <c r="BB459" s="16">
        <f t="shared" si="192"/>
        <v>0.93202508598017397</v>
      </c>
      <c r="BC459" s="16">
        <f t="shared" si="192"/>
        <v>0.9321086261980831</v>
      </c>
      <c r="BD459" s="16">
        <f t="shared" si="192"/>
        <v>0.93200398803589235</v>
      </c>
      <c r="BE459" s="16">
        <f t="shared" si="192"/>
        <v>0.93204463929852532</v>
      </c>
      <c r="BF459" s="16">
        <f t="shared" si="192"/>
        <v>0.9320079522862823</v>
      </c>
      <c r="BG459" s="16">
        <f t="shared" si="192"/>
        <v>0.93196328810853946</v>
      </c>
      <c r="BH459" s="16">
        <f t="shared" si="192"/>
        <v>0.93203497615262321</v>
      </c>
      <c r="BI459" s="16">
        <f t="shared" si="192"/>
        <v>0.93189964157706096</v>
      </c>
    </row>
    <row r="460" spans="1:61" x14ac:dyDescent="0.25">
      <c r="A460" s="11">
        <f>$A$65</f>
        <v>50</v>
      </c>
      <c r="M460" s="11"/>
      <c r="N460" s="11"/>
      <c r="O460" s="11"/>
      <c r="P460" s="11"/>
      <c r="Q460" s="11"/>
      <c r="R460" s="11"/>
      <c r="S460" s="11"/>
      <c r="T460" s="16">
        <f>T$320/T$165</f>
        <v>0.93074003795066418</v>
      </c>
      <c r="U460" s="16">
        <f t="shared" ref="U460:BI460" si="193">U$320/U$165</f>
        <v>0.93074158771643256</v>
      </c>
      <c r="V460" s="16">
        <f t="shared" si="193"/>
        <v>0.93075155891040362</v>
      </c>
      <c r="W460" s="16">
        <f t="shared" si="193"/>
        <v>0.93069948186528495</v>
      </c>
      <c r="X460" s="16">
        <f t="shared" si="193"/>
        <v>0.93083197389885808</v>
      </c>
      <c r="Y460" s="16">
        <f t="shared" si="193"/>
        <v>0.93071161048689144</v>
      </c>
      <c r="Z460" s="16">
        <f t="shared" si="193"/>
        <v>0.93072289156626509</v>
      </c>
      <c r="AA460" s="16">
        <f t="shared" si="193"/>
        <v>0.93047034764826175</v>
      </c>
      <c r="AB460" s="16">
        <f t="shared" si="193"/>
        <v>0.93068181818181817</v>
      </c>
      <c r="AC460" s="16">
        <f t="shared" si="193"/>
        <v>0.93071467539552644</v>
      </c>
      <c r="AD460" s="16">
        <f t="shared" si="193"/>
        <v>0.93076923076923079</v>
      </c>
      <c r="AE460" s="16">
        <f t="shared" si="193"/>
        <v>0.93062076160667706</v>
      </c>
      <c r="AF460" s="16">
        <f t="shared" si="193"/>
        <v>0.93050290624210263</v>
      </c>
      <c r="AG460" s="16">
        <f t="shared" si="193"/>
        <v>0.93069544364508394</v>
      </c>
      <c r="AH460" s="16">
        <f t="shared" si="193"/>
        <v>0.93066542577943234</v>
      </c>
      <c r="AI460" s="16">
        <f t="shared" si="193"/>
        <v>0.9305936073059361</v>
      </c>
      <c r="AJ460" s="16">
        <f t="shared" si="193"/>
        <v>0.93065613342111042</v>
      </c>
      <c r="AK460" s="16">
        <f t="shared" si="193"/>
        <v>0.93057352307028895</v>
      </c>
      <c r="AL460" s="16">
        <f t="shared" si="193"/>
        <v>0.9307742074617209</v>
      </c>
      <c r="AM460" s="16">
        <f t="shared" si="193"/>
        <v>0.93059521194816608</v>
      </c>
      <c r="AN460" s="16">
        <f t="shared" si="193"/>
        <v>0.93069306930693074</v>
      </c>
      <c r="AO460" s="16">
        <f t="shared" si="193"/>
        <v>0.93058076225045372</v>
      </c>
      <c r="AP460" s="16">
        <f t="shared" si="193"/>
        <v>0.93074982802109607</v>
      </c>
      <c r="AQ460" s="16">
        <f t="shared" si="193"/>
        <v>0.93058516939113956</v>
      </c>
      <c r="AR460" s="16">
        <f t="shared" si="193"/>
        <v>0.93081312410841655</v>
      </c>
      <c r="AS460" s="16">
        <f t="shared" si="193"/>
        <v>0.93070980202800579</v>
      </c>
      <c r="AT460" s="16">
        <f t="shared" si="193"/>
        <v>0.93047372142352114</v>
      </c>
      <c r="AU460" s="16">
        <f t="shared" si="193"/>
        <v>0.93064133016627082</v>
      </c>
      <c r="AV460" s="16">
        <f t="shared" si="193"/>
        <v>0.93067632850241544</v>
      </c>
      <c r="AW460" s="16">
        <f t="shared" si="193"/>
        <v>0.93072360616844607</v>
      </c>
      <c r="AX460" s="16">
        <f t="shared" si="193"/>
        <v>0.9307549791570171</v>
      </c>
      <c r="AY460" s="16">
        <f t="shared" si="193"/>
        <v>0.93074982802109607</v>
      </c>
      <c r="AZ460" s="16">
        <f t="shared" si="193"/>
        <v>0.93065529622980248</v>
      </c>
      <c r="BA460" s="16">
        <f t="shared" si="193"/>
        <v>0.93053209459459463</v>
      </c>
      <c r="BB460" s="16">
        <f t="shared" si="193"/>
        <v>0.93063466232709524</v>
      </c>
      <c r="BC460" s="16">
        <f t="shared" si="193"/>
        <v>0.93056680161943317</v>
      </c>
      <c r="BD460" s="16">
        <f t="shared" si="193"/>
        <v>0.93066933066933066</v>
      </c>
      <c r="BE460" s="16">
        <f t="shared" si="193"/>
        <v>0.93056664006384682</v>
      </c>
      <c r="BF460" s="16">
        <f t="shared" si="193"/>
        <v>0.93080757726819541</v>
      </c>
      <c r="BG460" s="16">
        <f t="shared" si="193"/>
        <v>0.93058870326173426</v>
      </c>
      <c r="BH460" s="16">
        <f t="shared" si="193"/>
        <v>0.93072469554801363</v>
      </c>
      <c r="BI460" s="16">
        <f t="shared" si="193"/>
        <v>0.93061630218687874</v>
      </c>
    </row>
    <row r="461" spans="1:61" x14ac:dyDescent="0.25">
      <c r="A461" s="11">
        <f>$A$66</f>
        <v>51</v>
      </c>
      <c r="M461" s="11"/>
      <c r="N461" s="11"/>
      <c r="O461" s="11"/>
      <c r="P461" s="11"/>
      <c r="Q461" s="11"/>
      <c r="R461" s="11"/>
      <c r="S461" s="11"/>
      <c r="T461" s="16">
        <f>T$321/T$166</f>
        <v>0.92779671521537033</v>
      </c>
      <c r="U461" s="16">
        <f t="shared" ref="U461:BI461" si="194">U$321/U$166</f>
        <v>0.92789072426937735</v>
      </c>
      <c r="V461" s="16">
        <f t="shared" si="194"/>
        <v>0.92817317153164969</v>
      </c>
      <c r="W461" s="16">
        <f t="shared" si="194"/>
        <v>0.92819499341238476</v>
      </c>
      <c r="X461" s="16">
        <f t="shared" si="194"/>
        <v>0.92820012995451595</v>
      </c>
      <c r="Y461" s="16">
        <f t="shared" si="194"/>
        <v>0.92833769633507857</v>
      </c>
      <c r="Z461" s="16">
        <f t="shared" si="194"/>
        <v>0.92832550860719876</v>
      </c>
      <c r="AA461" s="16">
        <f t="shared" si="194"/>
        <v>0.92842041679250986</v>
      </c>
      <c r="AB461" s="16">
        <f t="shared" si="194"/>
        <v>0.92852958406561215</v>
      </c>
      <c r="AC461" s="16">
        <f t="shared" si="194"/>
        <v>0.92879521503845064</v>
      </c>
      <c r="AD461" s="16">
        <f t="shared" si="194"/>
        <v>0.92863002461033639</v>
      </c>
      <c r="AE461" s="16">
        <f t="shared" si="194"/>
        <v>0.9287423557564477</v>
      </c>
      <c r="AF461" s="16">
        <f t="shared" si="194"/>
        <v>0.92862745098039212</v>
      </c>
      <c r="AG461" s="16">
        <f t="shared" si="194"/>
        <v>0.92882472137791283</v>
      </c>
      <c r="AH461" s="16">
        <f t="shared" si="194"/>
        <v>0.92886325402547465</v>
      </c>
      <c r="AI461" s="16">
        <f t="shared" si="194"/>
        <v>0.92910447761194026</v>
      </c>
      <c r="AJ461" s="16">
        <f t="shared" si="194"/>
        <v>0.92906178489702518</v>
      </c>
      <c r="AK461" s="16">
        <f t="shared" si="194"/>
        <v>0.92897977132805631</v>
      </c>
      <c r="AL461" s="16">
        <f t="shared" si="194"/>
        <v>0.92892633398142144</v>
      </c>
      <c r="AM461" s="16">
        <f t="shared" si="194"/>
        <v>0.92912705272255836</v>
      </c>
      <c r="AN461" s="16">
        <f t="shared" si="194"/>
        <v>0.92893289328932893</v>
      </c>
      <c r="AO461" s="16">
        <f t="shared" si="194"/>
        <v>0.92899008115419301</v>
      </c>
      <c r="AP461" s="16">
        <f t="shared" si="194"/>
        <v>0.92909090909090908</v>
      </c>
      <c r="AQ461" s="16">
        <f t="shared" si="194"/>
        <v>0.92903077629765729</v>
      </c>
      <c r="AR461" s="16">
        <f t="shared" si="194"/>
        <v>0.92928334124347411</v>
      </c>
      <c r="AS461" s="16">
        <f t="shared" si="194"/>
        <v>0.92904761904761901</v>
      </c>
      <c r="AT461" s="16">
        <f t="shared" si="194"/>
        <v>0.9291586073500967</v>
      </c>
      <c r="AU461" s="16">
        <f t="shared" si="194"/>
        <v>0.92917847025495748</v>
      </c>
      <c r="AV461" s="16">
        <f t="shared" si="194"/>
        <v>0.92911512844909605</v>
      </c>
      <c r="AW461" s="16">
        <f t="shared" si="194"/>
        <v>0.92914147521160817</v>
      </c>
      <c r="AX461" s="16">
        <f t="shared" si="194"/>
        <v>0.92921615201900243</v>
      </c>
      <c r="AY461" s="16">
        <f t="shared" si="194"/>
        <v>0.92905170415024341</v>
      </c>
      <c r="AZ461" s="16">
        <f t="shared" si="194"/>
        <v>0.92906336088154273</v>
      </c>
      <c r="BA461" s="16">
        <f t="shared" si="194"/>
        <v>0.92922938665468435</v>
      </c>
      <c r="BB461" s="16">
        <f t="shared" si="194"/>
        <v>0.92938689217758985</v>
      </c>
      <c r="BC461" s="16">
        <f t="shared" si="194"/>
        <v>0.92932790224032591</v>
      </c>
      <c r="BD461" s="16">
        <f t="shared" si="194"/>
        <v>0.92926631536278881</v>
      </c>
      <c r="BE461" s="16">
        <f t="shared" si="194"/>
        <v>0.92920000000000003</v>
      </c>
      <c r="BF461" s="16">
        <f t="shared" si="194"/>
        <v>0.92929898142600365</v>
      </c>
      <c r="BG461" s="16">
        <f t="shared" si="194"/>
        <v>0.92915585711434845</v>
      </c>
      <c r="BH461" s="16">
        <f t="shared" si="194"/>
        <v>0.92932510451921158</v>
      </c>
      <c r="BI461" s="16">
        <f t="shared" si="194"/>
        <v>0.92927072927072929</v>
      </c>
    </row>
    <row r="462" spans="1:61" x14ac:dyDescent="0.25">
      <c r="A462" s="11">
        <f>$A$67</f>
        <v>52</v>
      </c>
      <c r="M462" s="11"/>
      <c r="N462" s="11"/>
      <c r="O462" s="11"/>
      <c r="P462" s="11"/>
      <c r="Q462" s="11"/>
      <c r="R462" s="11"/>
      <c r="S462" s="11"/>
      <c r="T462" s="16">
        <f>T$322/T$167</f>
        <v>0.92328684050939969</v>
      </c>
      <c r="U462" s="16">
        <f t="shared" ref="U462:BI462" si="195">U$322/U$167</f>
        <v>0.92369978199937719</v>
      </c>
      <c r="V462" s="16">
        <f t="shared" si="195"/>
        <v>0.92408293460925039</v>
      </c>
      <c r="W462" s="16">
        <f t="shared" si="195"/>
        <v>0.92459664142245634</v>
      </c>
      <c r="X462" s="16">
        <f t="shared" si="195"/>
        <v>0.92495867768595041</v>
      </c>
      <c r="Y462" s="16">
        <f t="shared" si="195"/>
        <v>0.9250325945241199</v>
      </c>
      <c r="Z462" s="16">
        <f t="shared" si="195"/>
        <v>0.9254760341431385</v>
      </c>
      <c r="AA462" s="16">
        <f t="shared" si="195"/>
        <v>0.92558869701726842</v>
      </c>
      <c r="AB462" s="16">
        <f t="shared" si="195"/>
        <v>0.92578006664647072</v>
      </c>
      <c r="AC462" s="16">
        <f t="shared" si="195"/>
        <v>0.92624155157214227</v>
      </c>
      <c r="AD462" s="16">
        <f t="shared" si="195"/>
        <v>0.92630676949443014</v>
      </c>
      <c r="AE462" s="16">
        <f t="shared" si="195"/>
        <v>0.92651494378941601</v>
      </c>
      <c r="AF462" s="16">
        <f t="shared" si="195"/>
        <v>0.92668621700879761</v>
      </c>
      <c r="AG462" s="16">
        <f t="shared" si="195"/>
        <v>0.92711064499213425</v>
      </c>
      <c r="AH462" s="16">
        <f t="shared" si="195"/>
        <v>0.92710185420370839</v>
      </c>
      <c r="AI462" s="16">
        <f t="shared" si="195"/>
        <v>0.92722891566265064</v>
      </c>
      <c r="AJ462" s="16">
        <f t="shared" si="195"/>
        <v>0.92730247779336139</v>
      </c>
      <c r="AK462" s="16">
        <f t="shared" si="195"/>
        <v>0.92752293577981648</v>
      </c>
      <c r="AL462" s="16">
        <f t="shared" si="195"/>
        <v>0.92770553229005948</v>
      </c>
      <c r="AM462" s="16">
        <f t="shared" si="195"/>
        <v>0.92789086184495451</v>
      </c>
      <c r="AN462" s="16">
        <f t="shared" si="195"/>
        <v>0.92789086184495451</v>
      </c>
      <c r="AO462" s="16">
        <f t="shared" si="195"/>
        <v>0.92789415656008822</v>
      </c>
      <c r="AP462" s="16">
        <f t="shared" si="195"/>
        <v>0.92794217302913939</v>
      </c>
      <c r="AQ462" s="16">
        <f t="shared" si="195"/>
        <v>0.92826235481667041</v>
      </c>
      <c r="AR462" s="16">
        <f t="shared" si="195"/>
        <v>0.92819332566168011</v>
      </c>
      <c r="AS462" s="16">
        <f t="shared" si="195"/>
        <v>0.92819781264859724</v>
      </c>
      <c r="AT462" s="16">
        <f t="shared" si="195"/>
        <v>0.92843511450381677</v>
      </c>
      <c r="AU462" s="16">
        <f t="shared" si="195"/>
        <v>0.9285368217054264</v>
      </c>
      <c r="AV462" s="16">
        <f t="shared" si="195"/>
        <v>0.92835185623078742</v>
      </c>
      <c r="AW462" s="16">
        <f t="shared" si="195"/>
        <v>0.92850333651096284</v>
      </c>
      <c r="AX462" s="16">
        <f t="shared" si="195"/>
        <v>0.9285368217054264</v>
      </c>
      <c r="AY462" s="16">
        <f t="shared" si="195"/>
        <v>0.92862241256245537</v>
      </c>
      <c r="AZ462" s="16">
        <f t="shared" si="195"/>
        <v>0.92847189967487231</v>
      </c>
      <c r="BA462" s="16">
        <f t="shared" si="195"/>
        <v>0.92871924580363296</v>
      </c>
      <c r="BB462" s="16">
        <f t="shared" si="195"/>
        <v>0.92866786678667868</v>
      </c>
      <c r="BC462" s="16">
        <f t="shared" si="195"/>
        <v>0.92866215071972902</v>
      </c>
      <c r="BD462" s="16">
        <f t="shared" si="195"/>
        <v>0.92881909035284516</v>
      </c>
      <c r="BE462" s="16">
        <f t="shared" si="195"/>
        <v>0.9285714285714286</v>
      </c>
      <c r="BF462" s="16">
        <f t="shared" si="195"/>
        <v>0.92870018025235335</v>
      </c>
      <c r="BG462" s="16">
        <f t="shared" si="195"/>
        <v>0.92861427714457112</v>
      </c>
      <c r="BH462" s="16">
        <f t="shared" si="195"/>
        <v>0.92885691446842522</v>
      </c>
      <c r="BI462" s="16">
        <f t="shared" si="195"/>
        <v>0.92864261510863066</v>
      </c>
    </row>
    <row r="463" spans="1:61" x14ac:dyDescent="0.25">
      <c r="A463" s="11">
        <f>$A$68</f>
        <v>53</v>
      </c>
      <c r="M463" s="11"/>
      <c r="N463" s="11"/>
      <c r="O463" s="11"/>
      <c r="P463" s="11"/>
      <c r="Q463" s="11"/>
      <c r="R463" s="11"/>
      <c r="S463" s="11"/>
      <c r="T463" s="16">
        <f>T$323/T$168</f>
        <v>0.91865739340792263</v>
      </c>
      <c r="U463" s="16">
        <f t="shared" ref="U463:BI463" si="196">U$323/U$168</f>
        <v>0.91925655088360758</v>
      </c>
      <c r="V463" s="16">
        <f t="shared" si="196"/>
        <v>0.92023772286518613</v>
      </c>
      <c r="W463" s="16">
        <f t="shared" si="196"/>
        <v>0.92056374119154383</v>
      </c>
      <c r="X463" s="16">
        <f t="shared" si="196"/>
        <v>0.92101784534038333</v>
      </c>
      <c r="Y463" s="16">
        <f t="shared" si="196"/>
        <v>0.92169873921698742</v>
      </c>
      <c r="Z463" s="16">
        <f t="shared" si="196"/>
        <v>0.92214589466797514</v>
      </c>
      <c r="AA463" s="16">
        <f t="shared" si="196"/>
        <v>0.92259552042160742</v>
      </c>
      <c r="AB463" s="16">
        <f t="shared" si="196"/>
        <v>0.92312539382482672</v>
      </c>
      <c r="AC463" s="16">
        <f t="shared" si="196"/>
        <v>0.92342752962625341</v>
      </c>
      <c r="AD463" s="16">
        <f t="shared" si="196"/>
        <v>0.92396109637488943</v>
      </c>
      <c r="AE463" s="16">
        <f t="shared" si="196"/>
        <v>0.92437696934975655</v>
      </c>
      <c r="AF463" s="16">
        <f t="shared" si="196"/>
        <v>0.9246424642464246</v>
      </c>
      <c r="AG463" s="16">
        <f t="shared" si="196"/>
        <v>0.92486631016042786</v>
      </c>
      <c r="AH463" s="16">
        <f t="shared" si="196"/>
        <v>0.92507886435331232</v>
      </c>
      <c r="AI463" s="16">
        <f t="shared" si="196"/>
        <v>0.92538833715304303</v>
      </c>
      <c r="AJ463" s="16">
        <f t="shared" si="196"/>
        <v>0.92560386473429956</v>
      </c>
      <c r="AK463" s="16">
        <f t="shared" si="196"/>
        <v>0.92594328568080619</v>
      </c>
      <c r="AL463" s="16">
        <f t="shared" si="196"/>
        <v>0.92618992871924577</v>
      </c>
      <c r="AM463" s="16">
        <f t="shared" si="196"/>
        <v>0.9264250994255413</v>
      </c>
      <c r="AN463" s="16">
        <f t="shared" si="196"/>
        <v>0.92643229166666663</v>
      </c>
      <c r="AO463" s="16">
        <f t="shared" si="196"/>
        <v>0.92664930555555558</v>
      </c>
      <c r="AP463" s="16">
        <f t="shared" si="196"/>
        <v>0.92685082872928182</v>
      </c>
      <c r="AQ463" s="16">
        <f t="shared" si="196"/>
        <v>0.92709984152139457</v>
      </c>
      <c r="AR463" s="16">
        <f t="shared" si="196"/>
        <v>0.92720219078046551</v>
      </c>
      <c r="AS463" s="16">
        <f t="shared" si="196"/>
        <v>0.92735239852398521</v>
      </c>
      <c r="AT463" s="16">
        <f t="shared" si="196"/>
        <v>0.92734635540733679</v>
      </c>
      <c r="AU463" s="16">
        <f t="shared" si="196"/>
        <v>0.92734225621414912</v>
      </c>
      <c r="AV463" s="16">
        <f t="shared" si="196"/>
        <v>0.9274447949526814</v>
      </c>
      <c r="AW463" s="16">
        <f t="shared" si="196"/>
        <v>0.92750533049040507</v>
      </c>
      <c r="AX463" s="16">
        <f t="shared" si="196"/>
        <v>0.92766770112198615</v>
      </c>
      <c r="AY463" s="16">
        <f t="shared" si="196"/>
        <v>0.92768745450133461</v>
      </c>
      <c r="AZ463" s="16">
        <f t="shared" si="196"/>
        <v>0.92778836987607249</v>
      </c>
      <c r="BA463" s="16">
        <f t="shared" si="196"/>
        <v>0.92789020702488956</v>
      </c>
      <c r="BB463" s="16">
        <f t="shared" si="196"/>
        <v>0.92791340396130817</v>
      </c>
      <c r="BC463" s="16">
        <f t="shared" si="196"/>
        <v>0.92767012167643081</v>
      </c>
      <c r="BD463" s="16">
        <f t="shared" si="196"/>
        <v>0.92770828916684334</v>
      </c>
      <c r="BE463" s="16">
        <f t="shared" si="196"/>
        <v>0.92790032679738566</v>
      </c>
      <c r="BF463" s="16">
        <f t="shared" si="196"/>
        <v>0.9278601910180857</v>
      </c>
      <c r="BG463" s="16">
        <f t="shared" si="196"/>
        <v>0.92781231201122916</v>
      </c>
      <c r="BH463" s="16">
        <f t="shared" si="196"/>
        <v>0.92791349619543451</v>
      </c>
      <c r="BI463" s="16">
        <f t="shared" si="196"/>
        <v>0.92797118847539017</v>
      </c>
    </row>
    <row r="464" spans="1:61" x14ac:dyDescent="0.25">
      <c r="A464" s="11">
        <f>$A$69</f>
        <v>54</v>
      </c>
      <c r="M464" s="11"/>
      <c r="N464" s="11"/>
      <c r="O464" s="11"/>
      <c r="P464" s="11"/>
      <c r="Q464" s="11"/>
      <c r="R464" s="11"/>
      <c r="S464" s="11"/>
      <c r="T464" s="16">
        <f>T$324/T$169</f>
        <v>0.91501416430594906</v>
      </c>
      <c r="U464" s="16">
        <f t="shared" ref="U464:BI464" si="197">U$324/U$169</f>
        <v>0.91583105439076273</v>
      </c>
      <c r="V464" s="16">
        <f t="shared" si="197"/>
        <v>0.91646266829865364</v>
      </c>
      <c r="W464" s="16">
        <f t="shared" si="197"/>
        <v>0.91711145996860277</v>
      </c>
      <c r="X464" s="16">
        <f t="shared" si="197"/>
        <v>0.9177113468338155</v>
      </c>
      <c r="Y464" s="16">
        <f t="shared" si="197"/>
        <v>0.91873963515754564</v>
      </c>
      <c r="Z464" s="16">
        <f t="shared" si="197"/>
        <v>0.91944074567243672</v>
      </c>
      <c r="AA464" s="16">
        <f t="shared" si="197"/>
        <v>0.9199212340006564</v>
      </c>
      <c r="AB464" s="16">
        <f t="shared" si="197"/>
        <v>0.92035690680766691</v>
      </c>
      <c r="AC464" s="16">
        <f t="shared" si="197"/>
        <v>0.92069510268562404</v>
      </c>
      <c r="AD464" s="16">
        <f t="shared" si="197"/>
        <v>0.92136543736665655</v>
      </c>
      <c r="AE464" s="16">
        <f t="shared" si="197"/>
        <v>0.9219627549512267</v>
      </c>
      <c r="AF464" s="16">
        <f t="shared" si="197"/>
        <v>0.92214880781384656</v>
      </c>
      <c r="AG464" s="16">
        <f t="shared" si="197"/>
        <v>0.92277992277992282</v>
      </c>
      <c r="AH464" s="16">
        <f t="shared" si="197"/>
        <v>0.92280889841865454</v>
      </c>
      <c r="AI464" s="16">
        <f t="shared" si="197"/>
        <v>0.92329994728518716</v>
      </c>
      <c r="AJ464" s="16">
        <f t="shared" si="197"/>
        <v>0.92366607097268316</v>
      </c>
      <c r="AK464" s="16">
        <f t="shared" si="197"/>
        <v>0.92372881355932202</v>
      </c>
      <c r="AL464" s="16">
        <f t="shared" si="197"/>
        <v>0.9241249706365986</v>
      </c>
      <c r="AM464" s="16">
        <f t="shared" si="197"/>
        <v>0.92440654528693245</v>
      </c>
      <c r="AN464" s="16">
        <f t="shared" si="197"/>
        <v>0.92471213463241808</v>
      </c>
      <c r="AO464" s="16">
        <f t="shared" si="197"/>
        <v>0.9247498912570683</v>
      </c>
      <c r="AP464" s="16">
        <f t="shared" si="197"/>
        <v>0.92496737712048716</v>
      </c>
      <c r="AQ464" s="16">
        <f t="shared" si="197"/>
        <v>0.92493356953055805</v>
      </c>
      <c r="AR464" s="16">
        <f t="shared" si="197"/>
        <v>0.92515309594012252</v>
      </c>
      <c r="AS464" s="16">
        <f t="shared" si="197"/>
        <v>0.92546867855509829</v>
      </c>
      <c r="AT464" s="16">
        <f t="shared" si="197"/>
        <v>0.9256007393715342</v>
      </c>
      <c r="AU464" s="16">
        <f t="shared" si="197"/>
        <v>0.92577565632458236</v>
      </c>
      <c r="AV464" s="16">
        <f t="shared" si="197"/>
        <v>0.92578405554225518</v>
      </c>
      <c r="AW464" s="16">
        <f t="shared" si="197"/>
        <v>0.92586290714632957</v>
      </c>
      <c r="AX464" s="16">
        <f t="shared" si="197"/>
        <v>0.92596108210726147</v>
      </c>
      <c r="AY464" s="16">
        <f t="shared" si="197"/>
        <v>0.92589050920392069</v>
      </c>
      <c r="AZ464" s="16">
        <f t="shared" si="197"/>
        <v>0.92588092345078976</v>
      </c>
      <c r="BA464" s="16">
        <f t="shared" si="197"/>
        <v>0.92601431980906923</v>
      </c>
      <c r="BB464" s="16">
        <f t="shared" si="197"/>
        <v>0.92615886326578145</v>
      </c>
      <c r="BC464" s="16">
        <f t="shared" si="197"/>
        <v>0.92619926199261993</v>
      </c>
      <c r="BD464" s="16">
        <f t="shared" si="197"/>
        <v>0.92621841155234652</v>
      </c>
      <c r="BE464" s="16">
        <f t="shared" si="197"/>
        <v>0.92632696390658176</v>
      </c>
      <c r="BF464" s="16">
        <f t="shared" si="197"/>
        <v>0.92617586912065442</v>
      </c>
      <c r="BG464" s="16">
        <f t="shared" si="197"/>
        <v>0.92634791454730414</v>
      </c>
      <c r="BH464" s="16">
        <f t="shared" si="197"/>
        <v>0.92632001606103187</v>
      </c>
      <c r="BI464" s="16">
        <f t="shared" si="197"/>
        <v>0.92642341619887736</v>
      </c>
    </row>
    <row r="465" spans="1:61" x14ac:dyDescent="0.25">
      <c r="A465" s="11">
        <f>$A$70</f>
        <v>55</v>
      </c>
      <c r="M465" s="11"/>
      <c r="N465" s="11"/>
      <c r="O465" s="11"/>
      <c r="P465" s="11"/>
      <c r="Q465" s="11"/>
      <c r="R465" s="11"/>
      <c r="S465" s="11"/>
      <c r="T465" s="16">
        <f>T$325/T$170</f>
        <v>0.91210875750869425</v>
      </c>
      <c r="U465" s="16">
        <f t="shared" ref="U465:BI465" si="198">U$325/U$170</f>
        <v>0.91274106860575399</v>
      </c>
      <c r="V465" s="16">
        <f t="shared" si="198"/>
        <v>0.91366687004270897</v>
      </c>
      <c r="W465" s="16">
        <f t="shared" si="198"/>
        <v>0.91400491400491402</v>
      </c>
      <c r="X465" s="16">
        <f t="shared" si="198"/>
        <v>0.9149338374291115</v>
      </c>
      <c r="Y465" s="16">
        <f t="shared" si="198"/>
        <v>0.91580645161290319</v>
      </c>
      <c r="Z465" s="16">
        <f t="shared" si="198"/>
        <v>0.91616766467065869</v>
      </c>
      <c r="AA465" s="16">
        <f t="shared" si="198"/>
        <v>0.91686143572621037</v>
      </c>
      <c r="AB465" s="16">
        <f t="shared" si="198"/>
        <v>0.91707798617966441</v>
      </c>
      <c r="AC465" s="16">
        <f t="shared" si="198"/>
        <v>0.91782637508283627</v>
      </c>
      <c r="AD465" s="16">
        <f t="shared" si="198"/>
        <v>0.91825095057034223</v>
      </c>
      <c r="AE465" s="16">
        <f t="shared" si="198"/>
        <v>0.91872899480598835</v>
      </c>
      <c r="AF465" s="16">
        <f t="shared" si="198"/>
        <v>0.9191111111111111</v>
      </c>
      <c r="AG465" s="16">
        <f t="shared" si="198"/>
        <v>0.9193780593147135</v>
      </c>
      <c r="AH465" s="16">
        <f t="shared" si="198"/>
        <v>0.91984521835268107</v>
      </c>
      <c r="AI465" s="16">
        <f t="shared" si="198"/>
        <v>0.92020419129500264</v>
      </c>
      <c r="AJ465" s="16">
        <f t="shared" si="198"/>
        <v>0.92049656629688326</v>
      </c>
      <c r="AK465" s="16">
        <f t="shared" si="198"/>
        <v>0.9209314227226203</v>
      </c>
      <c r="AL465" s="16">
        <f t="shared" si="198"/>
        <v>0.92089298713904388</v>
      </c>
      <c r="AM465" s="16">
        <f t="shared" si="198"/>
        <v>0.92137476459510359</v>
      </c>
      <c r="AN465" s="16">
        <f t="shared" si="198"/>
        <v>0.92147806004618937</v>
      </c>
      <c r="AO465" s="16">
        <f t="shared" si="198"/>
        <v>0.921677390725538</v>
      </c>
      <c r="AP465" s="16">
        <f t="shared" si="198"/>
        <v>0.9219703574542284</v>
      </c>
      <c r="AQ465" s="16">
        <f t="shared" si="198"/>
        <v>0.92198736108084545</v>
      </c>
      <c r="AR465" s="16">
        <f t="shared" si="198"/>
        <v>0.92234302196583096</v>
      </c>
      <c r="AS465" s="16">
        <f t="shared" si="198"/>
        <v>0.92229038854805723</v>
      </c>
      <c r="AT465" s="16">
        <f t="shared" si="198"/>
        <v>0.92258360054970223</v>
      </c>
      <c r="AU465" s="16">
        <f t="shared" si="198"/>
        <v>0.92270307799120577</v>
      </c>
      <c r="AV465" s="16">
        <f t="shared" si="198"/>
        <v>0.92256214149139582</v>
      </c>
      <c r="AW465" s="16">
        <f t="shared" si="198"/>
        <v>0.92278177458033572</v>
      </c>
      <c r="AX465" s="16">
        <f t="shared" si="198"/>
        <v>0.92283349561830574</v>
      </c>
      <c r="AY465" s="16">
        <f t="shared" si="198"/>
        <v>0.9230038022813688</v>
      </c>
      <c r="AZ465" s="16">
        <f t="shared" si="198"/>
        <v>0.92291118027292318</v>
      </c>
      <c r="BA465" s="16">
        <f t="shared" si="198"/>
        <v>0.9230956437089316</v>
      </c>
      <c r="BB465" s="16">
        <f t="shared" si="198"/>
        <v>0.92327915869980881</v>
      </c>
      <c r="BC465" s="16">
        <f t="shared" si="198"/>
        <v>0.92304104477611937</v>
      </c>
      <c r="BD465" s="16">
        <f t="shared" si="198"/>
        <v>0.9231124451627799</v>
      </c>
      <c r="BE465" s="16">
        <f t="shared" si="198"/>
        <v>0.9231985543257285</v>
      </c>
      <c r="BF465" s="16">
        <f t="shared" si="198"/>
        <v>0.92327311370882037</v>
      </c>
      <c r="BG465" s="16">
        <f t="shared" si="198"/>
        <v>0.92323439099283522</v>
      </c>
      <c r="BH465" s="16">
        <f t="shared" si="198"/>
        <v>0.92321792260692459</v>
      </c>
      <c r="BI465" s="16">
        <f t="shared" si="198"/>
        <v>0.92323151125401925</v>
      </c>
    </row>
    <row r="466" spans="1:61" x14ac:dyDescent="0.25">
      <c r="A466" s="11">
        <f>$A$71</f>
        <v>56</v>
      </c>
      <c r="M466" s="11"/>
      <c r="N466" s="11"/>
      <c r="O466" s="11"/>
      <c r="P466" s="11"/>
      <c r="Q466" s="11"/>
      <c r="R466" s="11"/>
      <c r="S466" s="11"/>
      <c r="T466" s="16">
        <f>T$326/T$171</f>
        <v>0.91003572588502757</v>
      </c>
      <c r="U466" s="16">
        <f t="shared" ref="U466:BI466" si="199">U$326/U$171</f>
        <v>0.91076532232454743</v>
      </c>
      <c r="V466" s="16">
        <f t="shared" si="199"/>
        <v>0.91142857142857148</v>
      </c>
      <c r="W466" s="16">
        <f t="shared" si="199"/>
        <v>0.91212492345376606</v>
      </c>
      <c r="X466" s="16">
        <f t="shared" si="199"/>
        <v>0.91248073959938369</v>
      </c>
      <c r="Y466" s="16">
        <f t="shared" si="199"/>
        <v>0.91308470290771171</v>
      </c>
      <c r="Z466" s="16">
        <f t="shared" si="199"/>
        <v>0.91362018764153996</v>
      </c>
      <c r="AA466" s="16">
        <f t="shared" si="199"/>
        <v>0.91391391391391397</v>
      </c>
      <c r="AB466" s="16">
        <f t="shared" si="199"/>
        <v>0.91463006360897225</v>
      </c>
      <c r="AC466" s="16">
        <f t="shared" si="199"/>
        <v>0.91487957769712969</v>
      </c>
      <c r="AD466" s="16">
        <f t="shared" si="199"/>
        <v>0.91528239202657802</v>
      </c>
      <c r="AE466" s="16">
        <f t="shared" si="199"/>
        <v>0.91581956797966968</v>
      </c>
      <c r="AF466" s="16">
        <f t="shared" si="199"/>
        <v>0.91577335375191427</v>
      </c>
      <c r="AG466" s="16">
        <f t="shared" si="199"/>
        <v>0.91624591624591623</v>
      </c>
      <c r="AH466" s="16">
        <f t="shared" si="199"/>
        <v>0.91659451659451663</v>
      </c>
      <c r="AI466" s="16">
        <f t="shared" si="199"/>
        <v>0.91687448046550291</v>
      </c>
      <c r="AJ466" s="16">
        <f t="shared" si="199"/>
        <v>0.91731753299218965</v>
      </c>
      <c r="AK466" s="16">
        <f t="shared" si="199"/>
        <v>0.91739475774424151</v>
      </c>
      <c r="AL466" s="16">
        <f t="shared" si="199"/>
        <v>0.9176923076923077</v>
      </c>
      <c r="AM466" s="16">
        <f t="shared" si="199"/>
        <v>0.91780155642023342</v>
      </c>
      <c r="AN466" s="16">
        <f t="shared" si="199"/>
        <v>0.91790516631280961</v>
      </c>
      <c r="AO466" s="16">
        <f t="shared" si="199"/>
        <v>0.91809347524294305</v>
      </c>
      <c r="AP466" s="16">
        <f t="shared" si="199"/>
        <v>0.91840818141396174</v>
      </c>
      <c r="AQ466" s="16">
        <f t="shared" si="199"/>
        <v>0.91834061135371181</v>
      </c>
      <c r="AR466" s="16">
        <f t="shared" si="199"/>
        <v>0.91835843702248421</v>
      </c>
      <c r="AS466" s="16">
        <f t="shared" si="199"/>
        <v>0.9186485885752389</v>
      </c>
      <c r="AT466" s="16">
        <f t="shared" si="199"/>
        <v>0.91873435010243565</v>
      </c>
      <c r="AU466" s="16">
        <f t="shared" si="199"/>
        <v>0.91878871300757059</v>
      </c>
      <c r="AV466" s="16">
        <f t="shared" si="199"/>
        <v>0.9188876013904983</v>
      </c>
      <c r="AW466" s="16">
        <f t="shared" si="199"/>
        <v>0.91886069889899469</v>
      </c>
      <c r="AX466" s="16">
        <f t="shared" si="199"/>
        <v>0.91884753901560623</v>
      </c>
      <c r="AY466" s="16">
        <f t="shared" si="199"/>
        <v>0.91908359736777967</v>
      </c>
      <c r="AZ466" s="16">
        <f t="shared" si="199"/>
        <v>0.91910540090411608</v>
      </c>
      <c r="BA466" s="16">
        <f t="shared" si="199"/>
        <v>0.91922339405560882</v>
      </c>
      <c r="BB466" s="16">
        <f t="shared" si="199"/>
        <v>0.91912302070645557</v>
      </c>
      <c r="BC466" s="16">
        <f t="shared" si="199"/>
        <v>0.91913875598086126</v>
      </c>
      <c r="BD466" s="16">
        <f t="shared" si="199"/>
        <v>0.91921550315199629</v>
      </c>
      <c r="BE466" s="16">
        <f t="shared" si="199"/>
        <v>0.91934365611278024</v>
      </c>
      <c r="BF466" s="16">
        <f t="shared" si="199"/>
        <v>0.91949344188150162</v>
      </c>
      <c r="BG466" s="16">
        <f t="shared" si="199"/>
        <v>0.91936170212765955</v>
      </c>
      <c r="BH466" s="16">
        <f t="shared" si="199"/>
        <v>0.91926229508196722</v>
      </c>
      <c r="BI466" s="16">
        <f t="shared" si="199"/>
        <v>0.91926605504587156</v>
      </c>
    </row>
    <row r="467" spans="1:61" x14ac:dyDescent="0.25">
      <c r="A467" s="11">
        <f>$A$72</f>
        <v>57</v>
      </c>
      <c r="M467" s="11"/>
      <c r="N467" s="11"/>
      <c r="O467" s="11"/>
      <c r="P467" s="11"/>
      <c r="Q467" s="11"/>
      <c r="R467" s="11"/>
      <c r="S467" s="11"/>
      <c r="T467" s="16">
        <f>T$327/T$172</f>
        <v>0.90606262491672218</v>
      </c>
      <c r="U467" s="16">
        <f t="shared" ref="U467:BI467" si="200">U$327/U$172</f>
        <v>0.90639269406392697</v>
      </c>
      <c r="V467" s="16">
        <f t="shared" si="200"/>
        <v>0.90723621294230161</v>
      </c>
      <c r="W467" s="16">
        <f t="shared" si="200"/>
        <v>0.9076138897738133</v>
      </c>
      <c r="X467" s="16">
        <f t="shared" si="200"/>
        <v>0.90814132104454681</v>
      </c>
      <c r="Y467" s="16">
        <f t="shared" si="200"/>
        <v>0.90847247990105129</v>
      </c>
      <c r="Z467" s="16">
        <f t="shared" si="200"/>
        <v>0.90900443880786308</v>
      </c>
      <c r="AA467" s="16">
        <f t="shared" si="200"/>
        <v>0.90917937074278299</v>
      </c>
      <c r="AB467" s="16">
        <f t="shared" si="200"/>
        <v>0.9096687855470057</v>
      </c>
      <c r="AC467" s="16">
        <f t="shared" si="200"/>
        <v>0.90973154362416109</v>
      </c>
      <c r="AD467" s="16">
        <f t="shared" si="200"/>
        <v>0.91035395302679456</v>
      </c>
      <c r="AE467" s="16">
        <f t="shared" si="200"/>
        <v>0.91075591075591078</v>
      </c>
      <c r="AF467" s="16">
        <f t="shared" si="200"/>
        <v>0.9108564151544094</v>
      </c>
      <c r="AG467" s="16">
        <f t="shared" si="200"/>
        <v>0.91096100706171323</v>
      </c>
      <c r="AH467" s="16">
        <f t="shared" si="200"/>
        <v>0.91128311997618339</v>
      </c>
      <c r="AI467" s="16">
        <f t="shared" si="200"/>
        <v>0.9114839456175875</v>
      </c>
      <c r="AJ467" s="16">
        <f t="shared" si="200"/>
        <v>0.91171571349250413</v>
      </c>
      <c r="AK467" s="16">
        <f t="shared" si="200"/>
        <v>0.91176470588235292</v>
      </c>
      <c r="AL467" s="16">
        <f t="shared" si="200"/>
        <v>0.91193633952254638</v>
      </c>
      <c r="AM467" s="16">
        <f t="shared" si="200"/>
        <v>0.91215001284356534</v>
      </c>
      <c r="AN467" s="16">
        <f t="shared" si="200"/>
        <v>0.91228070175438591</v>
      </c>
      <c r="AO467" s="16">
        <f t="shared" si="200"/>
        <v>0.91255022453320733</v>
      </c>
      <c r="AP467" s="16">
        <f t="shared" si="200"/>
        <v>0.91261010662957809</v>
      </c>
      <c r="AQ467" s="16">
        <f t="shared" si="200"/>
        <v>0.91269487750556788</v>
      </c>
      <c r="AR467" s="16">
        <f t="shared" si="200"/>
        <v>0.91272965879265089</v>
      </c>
      <c r="AS467" s="16">
        <f t="shared" si="200"/>
        <v>0.9127487426197245</v>
      </c>
      <c r="AT467" s="16">
        <f t="shared" si="200"/>
        <v>0.91295636687444348</v>
      </c>
      <c r="AU467" s="16">
        <f t="shared" si="200"/>
        <v>0.91292454980624571</v>
      </c>
      <c r="AV467" s="16">
        <f t="shared" si="200"/>
        <v>0.91316333563059959</v>
      </c>
      <c r="AW467" s="16">
        <f t="shared" si="200"/>
        <v>0.91297284752842889</v>
      </c>
      <c r="AX467" s="16">
        <f t="shared" si="200"/>
        <v>0.91323106423777567</v>
      </c>
      <c r="AY467" s="16">
        <f t="shared" si="200"/>
        <v>0.91322115384615388</v>
      </c>
      <c r="AZ467" s="16">
        <f t="shared" si="200"/>
        <v>0.91337237676915572</v>
      </c>
      <c r="BA467" s="16">
        <f t="shared" si="200"/>
        <v>0.91331269349845201</v>
      </c>
      <c r="BB467" s="16">
        <f t="shared" si="200"/>
        <v>0.91314779270633395</v>
      </c>
      <c r="BC467" s="16">
        <f t="shared" si="200"/>
        <v>0.91319190441355769</v>
      </c>
      <c r="BD467" s="16">
        <f t="shared" si="200"/>
        <v>0.91331417624521072</v>
      </c>
      <c r="BE467" s="16">
        <f t="shared" si="200"/>
        <v>0.91353119887824263</v>
      </c>
      <c r="BF467" s="16">
        <f t="shared" si="200"/>
        <v>0.91348600508905853</v>
      </c>
      <c r="BG467" s="16">
        <f t="shared" si="200"/>
        <v>0.91332880742249378</v>
      </c>
      <c r="BH467" s="16">
        <f t="shared" si="200"/>
        <v>0.9133489461358314</v>
      </c>
      <c r="BI467" s="16">
        <f t="shared" si="200"/>
        <v>0.91345365053322392</v>
      </c>
    </row>
    <row r="468" spans="1:61" x14ac:dyDescent="0.25">
      <c r="A468" s="11">
        <f>$A$73</f>
        <v>58</v>
      </c>
      <c r="M468" s="11"/>
      <c r="N468" s="11"/>
      <c r="O468" s="11"/>
      <c r="P468" s="11"/>
      <c r="Q468" s="11"/>
      <c r="R468" s="11"/>
      <c r="S468" s="11"/>
      <c r="T468" s="16">
        <f>T$328/T$173</f>
        <v>0.89665551839464885</v>
      </c>
      <c r="U468" s="16">
        <f t="shared" ref="U468:BI468" si="201">U$328/U$173</f>
        <v>0.89729006356641017</v>
      </c>
      <c r="V468" s="16">
        <f t="shared" si="201"/>
        <v>0.89783889980353637</v>
      </c>
      <c r="W468" s="16">
        <f t="shared" si="201"/>
        <v>0.89827255278310936</v>
      </c>
      <c r="X468" s="16">
        <f t="shared" si="201"/>
        <v>0.89868967721316717</v>
      </c>
      <c r="Y468" s="16">
        <f t="shared" si="201"/>
        <v>0.89922958397534669</v>
      </c>
      <c r="Z468" s="16">
        <f t="shared" si="201"/>
        <v>0.89953488372093027</v>
      </c>
      <c r="AA468" s="16">
        <f t="shared" si="201"/>
        <v>0.899872854418309</v>
      </c>
      <c r="AB468" s="16">
        <f t="shared" si="201"/>
        <v>0.90016260162601625</v>
      </c>
      <c r="AC468" s="16">
        <f t="shared" si="201"/>
        <v>0.90073775989268945</v>
      </c>
      <c r="AD468" s="16">
        <f t="shared" si="201"/>
        <v>0.90110998990918267</v>
      </c>
      <c r="AE468" s="16">
        <f t="shared" si="201"/>
        <v>0.90152519893899208</v>
      </c>
      <c r="AF468" s="16">
        <f t="shared" si="201"/>
        <v>0.90156823490156823</v>
      </c>
      <c r="AG468" s="16">
        <f t="shared" si="201"/>
        <v>0.90175438596491231</v>
      </c>
      <c r="AH468" s="16">
        <f t="shared" si="201"/>
        <v>0.90218394340203012</v>
      </c>
      <c r="AI468" s="16">
        <f t="shared" si="201"/>
        <v>0.90217715478675808</v>
      </c>
      <c r="AJ468" s="16">
        <f t="shared" si="201"/>
        <v>0.90260869565217394</v>
      </c>
      <c r="AK468" s="16">
        <f t="shared" si="201"/>
        <v>0.90264255910987479</v>
      </c>
      <c r="AL468" s="16">
        <f t="shared" si="201"/>
        <v>0.9029467423628007</v>
      </c>
      <c r="AM468" s="16">
        <f t="shared" si="201"/>
        <v>0.9032686686154664</v>
      </c>
      <c r="AN468" s="16">
        <f t="shared" si="201"/>
        <v>0.90324240864642302</v>
      </c>
      <c r="AO468" s="16">
        <f t="shared" si="201"/>
        <v>0.90334391017817917</v>
      </c>
      <c r="AP468" s="16">
        <f t="shared" si="201"/>
        <v>0.90364583333333337</v>
      </c>
      <c r="AQ468" s="16">
        <f t="shared" si="201"/>
        <v>0.90364522869746922</v>
      </c>
      <c r="AR468" s="16">
        <f t="shared" si="201"/>
        <v>0.90385902297568588</v>
      </c>
      <c r="AS468" s="16">
        <f t="shared" si="201"/>
        <v>0.90403155127081503</v>
      </c>
      <c r="AT468" s="16">
        <f t="shared" si="201"/>
        <v>0.90407358738501975</v>
      </c>
      <c r="AU468" s="16">
        <f t="shared" si="201"/>
        <v>0.90392331698617923</v>
      </c>
      <c r="AV468" s="16">
        <f t="shared" si="201"/>
        <v>0.90413147683177353</v>
      </c>
      <c r="AW468" s="16">
        <f t="shared" si="201"/>
        <v>0.90430181734529558</v>
      </c>
      <c r="AX468" s="16">
        <f t="shared" si="201"/>
        <v>0.90427509293680297</v>
      </c>
      <c r="AY468" s="16">
        <f t="shared" si="201"/>
        <v>0.90427063339731284</v>
      </c>
      <c r="AZ468" s="16">
        <f t="shared" si="201"/>
        <v>0.90423484119345521</v>
      </c>
      <c r="BA468" s="16">
        <f t="shared" si="201"/>
        <v>0.9044943820224719</v>
      </c>
      <c r="BB468" s="16">
        <f t="shared" si="201"/>
        <v>0.9044100119189511</v>
      </c>
      <c r="BC468" s="16">
        <f t="shared" si="201"/>
        <v>0.90441882804995199</v>
      </c>
      <c r="BD468" s="16">
        <f t="shared" si="201"/>
        <v>0.9043435822352367</v>
      </c>
      <c r="BE468" s="16">
        <f t="shared" si="201"/>
        <v>0.90462497004553077</v>
      </c>
      <c r="BF468" s="16">
        <f t="shared" si="201"/>
        <v>0.90458372310570623</v>
      </c>
      <c r="BG468" s="16">
        <f t="shared" si="201"/>
        <v>0.90462962962962967</v>
      </c>
      <c r="BH468" s="16">
        <f t="shared" si="201"/>
        <v>0.90443840579710144</v>
      </c>
      <c r="BI468" s="16">
        <f t="shared" si="201"/>
        <v>0.90453867462177706</v>
      </c>
    </row>
    <row r="469" spans="1:61" x14ac:dyDescent="0.25">
      <c r="A469" s="11">
        <f>$A$74</f>
        <v>59</v>
      </c>
      <c r="M469" s="11"/>
      <c r="N469" s="11"/>
      <c r="O469" s="11"/>
      <c r="P469" s="11"/>
      <c r="Q469" s="11"/>
      <c r="R469" s="11"/>
      <c r="S469" s="11"/>
      <c r="T469" s="16">
        <f>T$329/T$174</f>
        <v>0.87819449054098908</v>
      </c>
      <c r="U469" s="16">
        <f t="shared" ref="U469:BI469" si="202">U$329/U$174</f>
        <v>0.87911349899261249</v>
      </c>
      <c r="V469" s="16">
        <f t="shared" si="202"/>
        <v>0.88045668233713903</v>
      </c>
      <c r="W469" s="16">
        <f t="shared" si="202"/>
        <v>0.8810775295663601</v>
      </c>
      <c r="X469" s="16">
        <f t="shared" si="202"/>
        <v>0.8822207958921694</v>
      </c>
      <c r="Y469" s="16">
        <f t="shared" si="202"/>
        <v>0.88301282051282048</v>
      </c>
      <c r="Z469" s="16">
        <f t="shared" si="202"/>
        <v>0.88380716934487025</v>
      </c>
      <c r="AA469" s="16">
        <f t="shared" si="202"/>
        <v>0.88495024875621886</v>
      </c>
      <c r="AB469" s="16">
        <f t="shared" si="202"/>
        <v>0.88559592096876993</v>
      </c>
      <c r="AC469" s="16">
        <f t="shared" si="202"/>
        <v>0.886208020867297</v>
      </c>
      <c r="AD469" s="16">
        <f t="shared" si="202"/>
        <v>0.886760752688172</v>
      </c>
      <c r="AE469" s="16">
        <f t="shared" si="202"/>
        <v>0.88742837883383885</v>
      </c>
      <c r="AF469" s="16">
        <f t="shared" si="202"/>
        <v>0.88774493523746267</v>
      </c>
      <c r="AG469" s="16">
        <f t="shared" si="202"/>
        <v>0.8883689839572193</v>
      </c>
      <c r="AH469" s="16">
        <f t="shared" si="202"/>
        <v>0.88910194950463406</v>
      </c>
      <c r="AI469" s="16">
        <f t="shared" si="202"/>
        <v>0.88936825885978432</v>
      </c>
      <c r="AJ469" s="16">
        <f t="shared" si="202"/>
        <v>0.88975201673140125</v>
      </c>
      <c r="AK469" s="16">
        <f t="shared" si="202"/>
        <v>0.88998548621190132</v>
      </c>
      <c r="AL469" s="16">
        <f t="shared" si="202"/>
        <v>0.89049874616884928</v>
      </c>
      <c r="AM469" s="16">
        <f t="shared" si="202"/>
        <v>0.89087462767397785</v>
      </c>
      <c r="AN469" s="16">
        <f t="shared" si="202"/>
        <v>0.89113654511578388</v>
      </c>
      <c r="AO469" s="16">
        <f t="shared" si="202"/>
        <v>0.89149484536082479</v>
      </c>
      <c r="AP469" s="16">
        <f t="shared" si="202"/>
        <v>0.89193154034229827</v>
      </c>
      <c r="AQ469" s="16">
        <f t="shared" si="202"/>
        <v>0.89189189189189189</v>
      </c>
      <c r="AR469" s="16">
        <f t="shared" si="202"/>
        <v>0.89209302325581397</v>
      </c>
      <c r="AS469" s="16">
        <f t="shared" si="202"/>
        <v>0.89231456657730113</v>
      </c>
      <c r="AT469" s="16">
        <f t="shared" si="202"/>
        <v>0.89249670908293111</v>
      </c>
      <c r="AU469" s="16">
        <f t="shared" si="202"/>
        <v>0.89254385964912286</v>
      </c>
      <c r="AV469" s="16">
        <f t="shared" si="202"/>
        <v>0.8928571428571429</v>
      </c>
      <c r="AW469" s="16">
        <f t="shared" si="202"/>
        <v>0.89282449725776969</v>
      </c>
      <c r="AX469" s="16">
        <f t="shared" si="202"/>
        <v>0.89293115358047437</v>
      </c>
      <c r="AY469" s="16">
        <f t="shared" si="202"/>
        <v>0.89323098394975575</v>
      </c>
      <c r="AZ469" s="16">
        <f t="shared" si="202"/>
        <v>0.89337175792507206</v>
      </c>
      <c r="BA469" s="16">
        <f t="shared" si="202"/>
        <v>0.89330443159922923</v>
      </c>
      <c r="BB469" s="16">
        <f t="shared" si="202"/>
        <v>0.89342459056465406</v>
      </c>
      <c r="BC469" s="16">
        <f t="shared" si="202"/>
        <v>0.89336832061068705</v>
      </c>
      <c r="BD469" s="16">
        <f t="shared" si="202"/>
        <v>0.89332051898125897</v>
      </c>
      <c r="BE469" s="16">
        <f t="shared" si="202"/>
        <v>0.8935546875</v>
      </c>
      <c r="BF469" s="16">
        <f t="shared" si="202"/>
        <v>0.89355070726444497</v>
      </c>
      <c r="BG469" s="16">
        <f t="shared" si="202"/>
        <v>0.89377632194665424</v>
      </c>
      <c r="BH469" s="16">
        <f t="shared" si="202"/>
        <v>0.89370078740157477</v>
      </c>
      <c r="BI469" s="16">
        <f t="shared" si="202"/>
        <v>0.89374716810149524</v>
      </c>
    </row>
    <row r="470" spans="1:61" x14ac:dyDescent="0.25">
      <c r="A470" s="11">
        <f>$A$75</f>
        <v>60</v>
      </c>
      <c r="M470" s="11"/>
      <c r="N470" s="11"/>
      <c r="O470" s="11"/>
      <c r="P470" s="11"/>
      <c r="Q470" s="11"/>
      <c r="R470" s="11"/>
      <c r="S470" s="11"/>
      <c r="T470" s="16">
        <f>T$330/T$175</f>
        <v>0.85388870810283113</v>
      </c>
      <c r="U470" s="16">
        <f t="shared" ref="U470:BI470" si="203">U$330/U$175</f>
        <v>0.85599999999999998</v>
      </c>
      <c r="V470" s="16">
        <f t="shared" si="203"/>
        <v>0.85772083614295347</v>
      </c>
      <c r="W470" s="16">
        <f t="shared" si="203"/>
        <v>0.85916442048517516</v>
      </c>
      <c r="X470" s="16">
        <f t="shared" si="203"/>
        <v>0.86090969017798291</v>
      </c>
      <c r="Y470" s="16">
        <f t="shared" si="203"/>
        <v>0.86224654007080781</v>
      </c>
      <c r="Z470" s="16">
        <f t="shared" si="203"/>
        <v>0.86370941819350688</v>
      </c>
      <c r="AA470" s="16">
        <f t="shared" si="203"/>
        <v>0.86519987604586301</v>
      </c>
      <c r="AB470" s="16">
        <f t="shared" si="203"/>
        <v>0.86658354114713221</v>
      </c>
      <c r="AC470" s="16">
        <f t="shared" si="203"/>
        <v>0.86773162939297122</v>
      </c>
      <c r="AD470" s="16">
        <f t="shared" si="203"/>
        <v>0.86895424836601309</v>
      </c>
      <c r="AE470" s="16">
        <f t="shared" si="203"/>
        <v>0.86998989558773998</v>
      </c>
      <c r="AF470" s="16">
        <f t="shared" si="203"/>
        <v>0.87098953056399864</v>
      </c>
      <c r="AG470" s="16">
        <f t="shared" si="203"/>
        <v>0.87154742096505822</v>
      </c>
      <c r="AH470" s="16">
        <f t="shared" si="203"/>
        <v>0.87273945077026127</v>
      </c>
      <c r="AI470" s="16">
        <f t="shared" si="203"/>
        <v>0.87323943661971826</v>
      </c>
      <c r="AJ470" s="16">
        <f t="shared" si="203"/>
        <v>0.87403519604816304</v>
      </c>
      <c r="AK470" s="16">
        <f t="shared" si="203"/>
        <v>0.87488775815624065</v>
      </c>
      <c r="AL470" s="16">
        <f t="shared" si="203"/>
        <v>0.87525443442861295</v>
      </c>
      <c r="AM470" s="16">
        <f t="shared" si="203"/>
        <v>0.8758024002232766</v>
      </c>
      <c r="AN470" s="16">
        <f t="shared" si="203"/>
        <v>0.87632221318144832</v>
      </c>
      <c r="AO470" s="16">
        <f t="shared" si="203"/>
        <v>0.87683284457478006</v>
      </c>
      <c r="AP470" s="16">
        <f t="shared" si="203"/>
        <v>0.87712958182756839</v>
      </c>
      <c r="AQ470" s="16">
        <f t="shared" si="203"/>
        <v>0.87781586679725754</v>
      </c>
      <c r="AR470" s="16">
        <f t="shared" si="203"/>
        <v>0.87817620517691763</v>
      </c>
      <c r="AS470" s="16">
        <f t="shared" si="203"/>
        <v>0.87843502561714015</v>
      </c>
      <c r="AT470" s="16">
        <f t="shared" si="203"/>
        <v>0.87872007160438581</v>
      </c>
      <c r="AU470" s="16">
        <f t="shared" si="203"/>
        <v>0.87892770819600086</v>
      </c>
      <c r="AV470" s="16">
        <f t="shared" si="203"/>
        <v>0.87920052712497254</v>
      </c>
      <c r="AW470" s="16">
        <f t="shared" si="203"/>
        <v>0.87952615109521681</v>
      </c>
      <c r="AX470" s="16">
        <f t="shared" si="203"/>
        <v>0.87943262411347523</v>
      </c>
      <c r="AY470" s="16">
        <f t="shared" si="203"/>
        <v>0.87989857076994005</v>
      </c>
      <c r="AZ470" s="16">
        <f t="shared" si="203"/>
        <v>0.87986030267753201</v>
      </c>
      <c r="BA470" s="16">
        <f t="shared" si="203"/>
        <v>0.88007690459024268</v>
      </c>
      <c r="BB470" s="16">
        <f t="shared" si="203"/>
        <v>0.88021209930103639</v>
      </c>
      <c r="BC470" s="16">
        <f t="shared" si="203"/>
        <v>0.88016629982880901</v>
      </c>
      <c r="BD470" s="16">
        <f t="shared" si="203"/>
        <v>0.8804010503700167</v>
      </c>
      <c r="BE470" s="16">
        <f t="shared" si="203"/>
        <v>0.88050012022120705</v>
      </c>
      <c r="BF470" s="16">
        <f t="shared" si="203"/>
        <v>0.88031265266243286</v>
      </c>
      <c r="BG470" s="16">
        <f t="shared" si="203"/>
        <v>0.8805468937395059</v>
      </c>
      <c r="BH470" s="16">
        <f t="shared" si="203"/>
        <v>0.88041188860285513</v>
      </c>
      <c r="BI470" s="16">
        <f t="shared" si="203"/>
        <v>0.88047255038220984</v>
      </c>
    </row>
    <row r="471" spans="1:61" x14ac:dyDescent="0.25">
      <c r="A471" s="11">
        <f>$A$76</f>
        <v>61</v>
      </c>
      <c r="M471" s="11"/>
      <c r="N471" s="11"/>
      <c r="O471" s="11"/>
      <c r="P471" s="11"/>
      <c r="Q471" s="11"/>
      <c r="R471" s="11"/>
      <c r="S471" s="11"/>
      <c r="T471" s="16">
        <f>T$331/T$176</f>
        <v>0.83198707592891763</v>
      </c>
      <c r="U471" s="16">
        <f t="shared" ref="U471:BI471" si="204">U$331/U$176</f>
        <v>0.83425956194834916</v>
      </c>
      <c r="V471" s="16">
        <f t="shared" si="204"/>
        <v>0.83668005354752339</v>
      </c>
      <c r="W471" s="16">
        <f t="shared" si="204"/>
        <v>0.83863328822733418</v>
      </c>
      <c r="X471" s="16">
        <f t="shared" si="204"/>
        <v>0.84077079107505071</v>
      </c>
      <c r="Y471" s="16">
        <f t="shared" si="204"/>
        <v>0.84259259259259256</v>
      </c>
      <c r="Z471" s="16">
        <f t="shared" si="204"/>
        <v>0.84468840813690671</v>
      </c>
      <c r="AA471" s="16">
        <f t="shared" si="204"/>
        <v>0.84622823984526108</v>
      </c>
      <c r="AB471" s="16">
        <f t="shared" si="204"/>
        <v>0.84773151025481663</v>
      </c>
      <c r="AC471" s="16">
        <f t="shared" si="204"/>
        <v>0.84932791497342919</v>
      </c>
      <c r="AD471" s="16">
        <f t="shared" si="204"/>
        <v>0.85046429715017613</v>
      </c>
      <c r="AE471" s="16">
        <f t="shared" si="204"/>
        <v>0.85166994106090377</v>
      </c>
      <c r="AF471" s="16">
        <f t="shared" si="204"/>
        <v>0.8529014844804319</v>
      </c>
      <c r="AG471" s="16">
        <f t="shared" si="204"/>
        <v>0.85419485791610283</v>
      </c>
      <c r="AH471" s="16">
        <f t="shared" si="204"/>
        <v>0.85533333333333328</v>
      </c>
      <c r="AI471" s="16">
        <f t="shared" si="204"/>
        <v>0.85613682092555332</v>
      </c>
      <c r="AJ471" s="16">
        <f t="shared" si="204"/>
        <v>0.85728030788967291</v>
      </c>
      <c r="AK471" s="16">
        <f t="shared" si="204"/>
        <v>0.85807050092764381</v>
      </c>
      <c r="AL471" s="16">
        <f t="shared" si="204"/>
        <v>0.85881294964028776</v>
      </c>
      <c r="AM471" s="16">
        <f t="shared" si="204"/>
        <v>0.85959801922516754</v>
      </c>
      <c r="AN471" s="16">
        <f t="shared" si="204"/>
        <v>0.86021805982667043</v>
      </c>
      <c r="AO471" s="16">
        <f t="shared" si="204"/>
        <v>0.86090736212985597</v>
      </c>
      <c r="AP471" s="16">
        <f t="shared" si="204"/>
        <v>0.86118526428190068</v>
      </c>
      <c r="AQ471" s="16">
        <f t="shared" si="204"/>
        <v>0.86168562564632889</v>
      </c>
      <c r="AR471" s="16">
        <f t="shared" si="204"/>
        <v>0.86218734673859732</v>
      </c>
      <c r="AS471" s="16">
        <f t="shared" si="204"/>
        <v>0.86254458977407844</v>
      </c>
      <c r="AT471" s="16">
        <f t="shared" si="204"/>
        <v>0.86307441101003035</v>
      </c>
      <c r="AU471" s="16">
        <f t="shared" si="204"/>
        <v>0.86332063634326683</v>
      </c>
      <c r="AV471" s="16">
        <f t="shared" si="204"/>
        <v>0.86358635863586364</v>
      </c>
      <c r="AW471" s="16">
        <f t="shared" si="204"/>
        <v>0.864086210688366</v>
      </c>
      <c r="AX471" s="16">
        <f t="shared" si="204"/>
        <v>0.86417543074513314</v>
      </c>
      <c r="AY471" s="16">
        <f t="shared" si="204"/>
        <v>0.86440677966101698</v>
      </c>
      <c r="AZ471" s="16">
        <f t="shared" si="204"/>
        <v>0.86455929856945091</v>
      </c>
      <c r="BA471" s="16">
        <f t="shared" si="204"/>
        <v>0.86483337217431833</v>
      </c>
      <c r="BB471" s="16">
        <f t="shared" si="204"/>
        <v>0.86483886483886485</v>
      </c>
      <c r="BC471" s="16">
        <f t="shared" si="204"/>
        <v>0.86517124939700918</v>
      </c>
      <c r="BD471" s="16">
        <f t="shared" si="204"/>
        <v>0.8649376070467335</v>
      </c>
      <c r="BE471" s="16">
        <f t="shared" si="204"/>
        <v>0.86529734893718657</v>
      </c>
      <c r="BF471" s="16">
        <f t="shared" si="204"/>
        <v>0.86507936507936511</v>
      </c>
      <c r="BG471" s="16">
        <f t="shared" si="204"/>
        <v>0.86534701857282503</v>
      </c>
      <c r="BH471" s="16">
        <f t="shared" si="204"/>
        <v>0.86540307101727443</v>
      </c>
      <c r="BI471" s="16">
        <f t="shared" si="204"/>
        <v>0.86537110746897683</v>
      </c>
    </row>
    <row r="472" spans="1:61" x14ac:dyDescent="0.25">
      <c r="A472" s="11">
        <f>$A$77</f>
        <v>62</v>
      </c>
      <c r="M472" s="11"/>
      <c r="N472" s="11"/>
      <c r="O472" s="11"/>
      <c r="P472" s="11"/>
      <c r="Q472" s="11"/>
      <c r="R472" s="11"/>
      <c r="S472" s="11"/>
      <c r="T472" s="16">
        <f>T$332/T$177</f>
        <v>0.81215289121202217</v>
      </c>
      <c r="U472" s="16">
        <f t="shared" ref="U472:BI472" si="205">U$332/U$177</f>
        <v>0.81493506493506496</v>
      </c>
      <c r="V472" s="16">
        <f t="shared" si="205"/>
        <v>0.81713722915298748</v>
      </c>
      <c r="W472" s="16">
        <f t="shared" si="205"/>
        <v>0.81928115552569702</v>
      </c>
      <c r="X472" s="16">
        <f t="shared" si="205"/>
        <v>0.82173174872665533</v>
      </c>
      <c r="Y472" s="16">
        <f t="shared" si="205"/>
        <v>0.82360922659430125</v>
      </c>
      <c r="Z472" s="16">
        <f t="shared" si="205"/>
        <v>0.82553897180762847</v>
      </c>
      <c r="AA472" s="16">
        <f t="shared" si="205"/>
        <v>0.82739637305699487</v>
      </c>
      <c r="AB472" s="16">
        <f t="shared" si="205"/>
        <v>0.82896863886194638</v>
      </c>
      <c r="AC472" s="16">
        <f t="shared" si="205"/>
        <v>0.83078840760361483</v>
      </c>
      <c r="AD472" s="16">
        <f t="shared" si="205"/>
        <v>0.83202757756189283</v>
      </c>
      <c r="AE472" s="16">
        <f t="shared" si="205"/>
        <v>0.83370786516853934</v>
      </c>
      <c r="AF472" s="16">
        <f t="shared" si="205"/>
        <v>0.83491959304233676</v>
      </c>
      <c r="AG472" s="16">
        <f t="shared" si="205"/>
        <v>0.83603786342123054</v>
      </c>
      <c r="AH472" s="16">
        <f t="shared" si="205"/>
        <v>0.83728813559322035</v>
      </c>
      <c r="AI472" s="16">
        <f t="shared" si="205"/>
        <v>0.83834335337341348</v>
      </c>
      <c r="AJ472" s="16">
        <f t="shared" si="205"/>
        <v>0.83909976486395699</v>
      </c>
      <c r="AK472" s="16">
        <f t="shared" si="205"/>
        <v>0.84002569868294252</v>
      </c>
      <c r="AL472" s="16">
        <f t="shared" si="205"/>
        <v>0.84081759058532057</v>
      </c>
      <c r="AM472" s="16">
        <f t="shared" si="205"/>
        <v>0.84174174174174177</v>
      </c>
      <c r="AN472" s="16">
        <f t="shared" si="205"/>
        <v>0.84218203033838979</v>
      </c>
      <c r="AO472" s="16">
        <f t="shared" si="205"/>
        <v>0.843181181741809</v>
      </c>
      <c r="AP472" s="16">
        <f t="shared" si="205"/>
        <v>0.84353741496598644</v>
      </c>
      <c r="AQ472" s="16">
        <f t="shared" si="205"/>
        <v>0.84411764705882353</v>
      </c>
      <c r="AR472" s="16">
        <f t="shared" si="205"/>
        <v>0.84464008285862247</v>
      </c>
      <c r="AS472" s="16">
        <f t="shared" si="205"/>
        <v>0.84479371316306484</v>
      </c>
      <c r="AT472" s="16">
        <f t="shared" si="205"/>
        <v>0.8454025726536446</v>
      </c>
      <c r="AU472" s="16">
        <f t="shared" si="205"/>
        <v>0.84583041345480026</v>
      </c>
      <c r="AV472" s="16">
        <f t="shared" si="205"/>
        <v>0.84605026929982041</v>
      </c>
      <c r="AW472" s="16">
        <f t="shared" si="205"/>
        <v>0.84640810929925081</v>
      </c>
      <c r="AX472" s="16">
        <f t="shared" si="205"/>
        <v>0.84672979519929525</v>
      </c>
      <c r="AY472" s="16">
        <f t="shared" si="205"/>
        <v>0.84677419354838712</v>
      </c>
      <c r="AZ472" s="16">
        <f t="shared" si="205"/>
        <v>0.84705342811281814</v>
      </c>
      <c r="BA472" s="16">
        <f t="shared" si="205"/>
        <v>0.84711316397228642</v>
      </c>
      <c r="BB472" s="16">
        <f t="shared" si="205"/>
        <v>0.84724813432835822</v>
      </c>
      <c r="BC472" s="16">
        <f t="shared" si="205"/>
        <v>0.84741275571600483</v>
      </c>
      <c r="BD472" s="16">
        <f t="shared" si="205"/>
        <v>0.84749034749034746</v>
      </c>
      <c r="BE472" s="16">
        <f t="shared" si="205"/>
        <v>0.84769833496571989</v>
      </c>
      <c r="BF472" s="16">
        <f t="shared" si="205"/>
        <v>0.84778972520908003</v>
      </c>
      <c r="BG472" s="16">
        <f t="shared" si="205"/>
        <v>0.84769008662175171</v>
      </c>
      <c r="BH472" s="16">
        <f t="shared" si="205"/>
        <v>0.84795893424590563</v>
      </c>
      <c r="BI472" s="16">
        <f t="shared" si="205"/>
        <v>0.84785217182625394</v>
      </c>
    </row>
    <row r="473" spans="1:61" x14ac:dyDescent="0.25">
      <c r="A473" s="11">
        <f>$A$78</f>
        <v>63</v>
      </c>
      <c r="M473" s="11"/>
      <c r="N473" s="11"/>
      <c r="O473" s="11"/>
      <c r="P473" s="11"/>
      <c r="Q473" s="11"/>
      <c r="R473" s="11"/>
      <c r="S473" s="11"/>
      <c r="T473" s="16">
        <f>T$333/T$178</f>
        <v>0.78552278820375332</v>
      </c>
      <c r="U473" s="16">
        <f t="shared" ref="U473:BI473" si="206">U$333/U$178</f>
        <v>0.78850574712643673</v>
      </c>
      <c r="V473" s="16">
        <f t="shared" si="206"/>
        <v>0.79093281148075667</v>
      </c>
      <c r="W473" s="16">
        <f t="shared" si="206"/>
        <v>0.79360369271348497</v>
      </c>
      <c r="X473" s="16">
        <f t="shared" si="206"/>
        <v>0.79595278246205736</v>
      </c>
      <c r="Y473" s="16">
        <f t="shared" si="206"/>
        <v>0.79822767552828899</v>
      </c>
      <c r="Z473" s="16">
        <f t="shared" si="206"/>
        <v>0.80054458815520757</v>
      </c>
      <c r="AA473" s="16">
        <f t="shared" si="206"/>
        <v>0.80232945091514141</v>
      </c>
      <c r="AB473" s="16">
        <f t="shared" si="206"/>
        <v>0.80441845354126051</v>
      </c>
      <c r="AC473" s="16">
        <f t="shared" si="206"/>
        <v>0.80577172503242545</v>
      </c>
      <c r="AD473" s="16">
        <f t="shared" si="206"/>
        <v>0.80775242263207248</v>
      </c>
      <c r="AE473" s="16">
        <f t="shared" si="206"/>
        <v>0.80923947203016966</v>
      </c>
      <c r="AF473" s="16">
        <f t="shared" si="206"/>
        <v>0.81042806565819114</v>
      </c>
      <c r="AG473" s="16">
        <f t="shared" si="206"/>
        <v>0.81210924646265215</v>
      </c>
      <c r="AH473" s="16">
        <f t="shared" si="206"/>
        <v>0.81328363266689263</v>
      </c>
      <c r="AI473" s="16">
        <f t="shared" si="206"/>
        <v>0.81419836956521741</v>
      </c>
      <c r="AJ473" s="16">
        <f t="shared" si="206"/>
        <v>0.81559571619812588</v>
      </c>
      <c r="AK473" s="16">
        <f t="shared" si="206"/>
        <v>0.81656008078088183</v>
      </c>
      <c r="AL473" s="16">
        <f t="shared" si="206"/>
        <v>0.81724581724581724</v>
      </c>
      <c r="AM473" s="16">
        <f t="shared" si="206"/>
        <v>0.81818181818181823</v>
      </c>
      <c r="AN473" s="16">
        <f t="shared" si="206"/>
        <v>0.818892900120337</v>
      </c>
      <c r="AO473" s="16">
        <f t="shared" si="206"/>
        <v>0.81969608416130912</v>
      </c>
      <c r="AP473" s="16">
        <f t="shared" si="206"/>
        <v>0.82019635343618513</v>
      </c>
      <c r="AQ473" s="16">
        <f t="shared" si="206"/>
        <v>0.82065958026710273</v>
      </c>
      <c r="AR473" s="16">
        <f t="shared" si="206"/>
        <v>0.82137118371719331</v>
      </c>
      <c r="AS473" s="16">
        <f t="shared" si="206"/>
        <v>0.82183609958506221</v>
      </c>
      <c r="AT473" s="16">
        <f t="shared" si="206"/>
        <v>0.82214022140221399</v>
      </c>
      <c r="AU473" s="16">
        <f t="shared" si="206"/>
        <v>0.8227153424003818</v>
      </c>
      <c r="AV473" s="16">
        <f t="shared" si="206"/>
        <v>0.82311651848385592</v>
      </c>
      <c r="AW473" s="16">
        <f t="shared" si="206"/>
        <v>0.82333108563722179</v>
      </c>
      <c r="AX473" s="16">
        <f t="shared" si="206"/>
        <v>0.82365923637166194</v>
      </c>
      <c r="AY473" s="16">
        <f t="shared" si="206"/>
        <v>0.82381477398015435</v>
      </c>
      <c r="AZ473" s="16">
        <f t="shared" si="206"/>
        <v>0.82391206819201435</v>
      </c>
      <c r="BA473" s="16">
        <f t="shared" si="206"/>
        <v>0.82415059687786962</v>
      </c>
      <c r="BB473" s="16">
        <f t="shared" si="206"/>
        <v>0.82450867052023125</v>
      </c>
      <c r="BC473" s="16">
        <f t="shared" si="206"/>
        <v>0.82465561522297459</v>
      </c>
      <c r="BD473" s="16">
        <f t="shared" si="206"/>
        <v>0.82462057335581784</v>
      </c>
      <c r="BE473" s="16">
        <f t="shared" si="206"/>
        <v>0.82468002897850756</v>
      </c>
      <c r="BF473" s="16">
        <f t="shared" si="206"/>
        <v>0.82484076433121023</v>
      </c>
      <c r="BG473" s="16">
        <f t="shared" si="206"/>
        <v>0.82496413199426111</v>
      </c>
      <c r="BH473" s="16">
        <f t="shared" si="206"/>
        <v>0.82498796340876268</v>
      </c>
      <c r="BI473" s="16">
        <f t="shared" si="206"/>
        <v>0.82493887530562349</v>
      </c>
    </row>
    <row r="474" spans="1:61" x14ac:dyDescent="0.25">
      <c r="A474" s="11">
        <f>$A$79</f>
        <v>64</v>
      </c>
      <c r="M474" s="11"/>
      <c r="N474" s="11"/>
      <c r="O474" s="11"/>
      <c r="P474" s="11"/>
      <c r="Q474" s="11"/>
      <c r="R474" s="11"/>
      <c r="S474" s="11"/>
      <c r="T474" s="16">
        <f>T$334/T$179</f>
        <v>0.74736842105263157</v>
      </c>
      <c r="U474" s="16">
        <f t="shared" ref="U474:BI474" si="207">U$334/U$179</f>
        <v>0.75050573162508427</v>
      </c>
      <c r="V474" s="16">
        <f t="shared" si="207"/>
        <v>0.75330250990752967</v>
      </c>
      <c r="W474" s="16">
        <f t="shared" si="207"/>
        <v>0.75606557377049177</v>
      </c>
      <c r="X474" s="16">
        <f t="shared" si="207"/>
        <v>0.75878064943671308</v>
      </c>
      <c r="Y474" s="16">
        <f t="shared" si="207"/>
        <v>0.76117886178861793</v>
      </c>
      <c r="Z474" s="16">
        <f t="shared" si="207"/>
        <v>0.76351813826146475</v>
      </c>
      <c r="AA474" s="16">
        <f t="shared" si="207"/>
        <v>0.76555023923444976</v>
      </c>
      <c r="AB474" s="16">
        <f t="shared" si="207"/>
        <v>0.76779151353157371</v>
      </c>
      <c r="AC474" s="16">
        <f t="shared" si="207"/>
        <v>0.76948157808933815</v>
      </c>
      <c r="AD474" s="16">
        <f t="shared" si="207"/>
        <v>0.771484375</v>
      </c>
      <c r="AE474" s="16">
        <f t="shared" si="207"/>
        <v>0.77289836888331243</v>
      </c>
      <c r="AF474" s="16">
        <f t="shared" si="207"/>
        <v>0.77451907915484075</v>
      </c>
      <c r="AG474" s="16">
        <f t="shared" si="207"/>
        <v>0.77591217307071358</v>
      </c>
      <c r="AH474" s="16">
        <f t="shared" si="207"/>
        <v>0.77697129660178155</v>
      </c>
      <c r="AI474" s="16">
        <f t="shared" si="207"/>
        <v>0.77845735643900782</v>
      </c>
      <c r="AJ474" s="16">
        <f t="shared" si="207"/>
        <v>0.77936670071501535</v>
      </c>
      <c r="AK474" s="16">
        <f t="shared" si="207"/>
        <v>0.78061053337806108</v>
      </c>
      <c r="AL474" s="16">
        <f t="shared" si="207"/>
        <v>0.78171390013495279</v>
      </c>
      <c r="AM474" s="16">
        <f t="shared" si="207"/>
        <v>0.78258064516129033</v>
      </c>
      <c r="AN474" s="16">
        <f t="shared" si="207"/>
        <v>0.78351477449455675</v>
      </c>
      <c r="AO474" s="16">
        <f t="shared" si="207"/>
        <v>0.78414229725655715</v>
      </c>
      <c r="AP474" s="16">
        <f t="shared" si="207"/>
        <v>0.78500292911540714</v>
      </c>
      <c r="AQ474" s="16">
        <f t="shared" si="207"/>
        <v>0.78549339330896828</v>
      </c>
      <c r="AR474" s="16">
        <f t="shared" si="207"/>
        <v>0.78612400983337882</v>
      </c>
      <c r="AS474" s="16">
        <f t="shared" si="207"/>
        <v>0.78663446054750408</v>
      </c>
      <c r="AT474" s="16">
        <f t="shared" si="207"/>
        <v>0.78690228690228692</v>
      </c>
      <c r="AU474" s="16">
        <f t="shared" si="207"/>
        <v>0.78747534516765283</v>
      </c>
      <c r="AV474" s="16">
        <f t="shared" si="207"/>
        <v>0.78771216830026292</v>
      </c>
      <c r="AW474" s="16">
        <f t="shared" si="207"/>
        <v>0.78809188935771213</v>
      </c>
      <c r="AX474" s="16">
        <f t="shared" si="207"/>
        <v>0.78851351351351351</v>
      </c>
      <c r="AY474" s="16">
        <f t="shared" si="207"/>
        <v>0.78863586115410123</v>
      </c>
      <c r="AZ474" s="16">
        <f t="shared" si="207"/>
        <v>0.78899690676093681</v>
      </c>
      <c r="BA474" s="16">
        <f t="shared" si="207"/>
        <v>0.78921348314606743</v>
      </c>
      <c r="BB474" s="16">
        <f t="shared" si="207"/>
        <v>0.78937686824557374</v>
      </c>
      <c r="BC474" s="16">
        <f t="shared" si="207"/>
        <v>0.78930307941653155</v>
      </c>
      <c r="BD474" s="16">
        <f t="shared" si="207"/>
        <v>0.78962131837307148</v>
      </c>
      <c r="BE474" s="16">
        <f t="shared" si="207"/>
        <v>0.78948637569327229</v>
      </c>
      <c r="BF474" s="16">
        <f t="shared" si="207"/>
        <v>0.78989361702127658</v>
      </c>
      <c r="BG474" s="16">
        <f t="shared" si="207"/>
        <v>0.78984796468857288</v>
      </c>
      <c r="BH474" s="16">
        <f t="shared" si="207"/>
        <v>0.79009095260890383</v>
      </c>
      <c r="BI474" s="16">
        <f t="shared" si="207"/>
        <v>0.78987951807228918</v>
      </c>
    </row>
    <row r="475" spans="1:61" x14ac:dyDescent="0.25">
      <c r="A475" s="11">
        <f>$A$80</f>
        <v>65</v>
      </c>
      <c r="M475" s="11"/>
      <c r="N475" s="11"/>
      <c r="O475" s="11"/>
      <c r="P475" s="11"/>
      <c r="Q475" s="11"/>
      <c r="R475" s="11"/>
      <c r="S475" s="11"/>
      <c r="T475" s="16">
        <f>T$335/T$180</f>
        <v>0.66905187835420399</v>
      </c>
      <c r="U475" s="16">
        <f t="shared" ref="U475:BI475" si="208">U$335/U$180</f>
        <v>0.67220063581773226</v>
      </c>
      <c r="V475" s="16">
        <f t="shared" si="208"/>
        <v>0.675033921302578</v>
      </c>
      <c r="W475" s="16">
        <f t="shared" si="208"/>
        <v>0.677847891066091</v>
      </c>
      <c r="X475" s="16">
        <f t="shared" si="208"/>
        <v>0.68051434223541052</v>
      </c>
      <c r="Y475" s="16">
        <f t="shared" si="208"/>
        <v>0.68287808127914729</v>
      </c>
      <c r="Z475" s="16">
        <f t="shared" si="208"/>
        <v>0.6853932584269663</v>
      </c>
      <c r="AA475" s="16">
        <f t="shared" si="208"/>
        <v>0.68741403026134795</v>
      </c>
      <c r="AB475" s="16">
        <f t="shared" si="208"/>
        <v>0.68966700995537245</v>
      </c>
      <c r="AC475" s="16">
        <f t="shared" si="208"/>
        <v>0.69161073825503361</v>
      </c>
      <c r="AD475" s="16">
        <f t="shared" si="208"/>
        <v>0.69341631182443497</v>
      </c>
      <c r="AE475" s="16">
        <f t="shared" si="208"/>
        <v>0.69477124183006533</v>
      </c>
      <c r="AF475" s="16">
        <f t="shared" si="208"/>
        <v>0.69637795275590553</v>
      </c>
      <c r="AG475" s="16">
        <f t="shared" si="208"/>
        <v>0.69800569800569801</v>
      </c>
      <c r="AH475" s="16">
        <f t="shared" si="208"/>
        <v>0.69928710304601427</v>
      </c>
      <c r="AI475" s="16">
        <f t="shared" si="208"/>
        <v>0.70066225165562912</v>
      </c>
      <c r="AJ475" s="16">
        <f t="shared" si="208"/>
        <v>0.70177232447171101</v>
      </c>
      <c r="AK475" s="16">
        <f t="shared" si="208"/>
        <v>0.7031089853091903</v>
      </c>
      <c r="AL475" s="16">
        <f t="shared" si="208"/>
        <v>0.70390309555854647</v>
      </c>
      <c r="AM475" s="16">
        <f t="shared" si="208"/>
        <v>0.70466847090663054</v>
      </c>
      <c r="AN475" s="16">
        <f t="shared" si="208"/>
        <v>0.70536869340232855</v>
      </c>
      <c r="AO475" s="16">
        <f t="shared" si="208"/>
        <v>0.706487835308796</v>
      </c>
      <c r="AP475" s="16">
        <f t="shared" si="208"/>
        <v>0.70707376058041116</v>
      </c>
      <c r="AQ475" s="16">
        <f t="shared" si="208"/>
        <v>0.70778267254038174</v>
      </c>
      <c r="AR475" s="16">
        <f t="shared" si="208"/>
        <v>0.70828635851183763</v>
      </c>
      <c r="AS475" s="16">
        <f t="shared" si="208"/>
        <v>0.70884689126266776</v>
      </c>
      <c r="AT475" s="16">
        <f t="shared" si="208"/>
        <v>0.70936490850376754</v>
      </c>
      <c r="AU475" s="16">
        <f t="shared" si="208"/>
        <v>0.70974465867639391</v>
      </c>
      <c r="AV475" s="16">
        <f t="shared" si="208"/>
        <v>0.71008403361344541</v>
      </c>
      <c r="AW475" s="16">
        <f t="shared" si="208"/>
        <v>0.71028037383177567</v>
      </c>
      <c r="AX475" s="16">
        <f t="shared" si="208"/>
        <v>0.71076127819548873</v>
      </c>
      <c r="AY475" s="16">
        <f t="shared" si="208"/>
        <v>0.71106094808126408</v>
      </c>
      <c r="AZ475" s="16">
        <f t="shared" si="208"/>
        <v>0.71121453900709219</v>
      </c>
      <c r="BA475" s="16">
        <f t="shared" si="208"/>
        <v>0.71147032772364927</v>
      </c>
      <c r="BB475" s="16">
        <f t="shared" si="208"/>
        <v>0.71155145237559103</v>
      </c>
      <c r="BC475" s="16">
        <f t="shared" si="208"/>
        <v>0.71181755355908771</v>
      </c>
      <c r="BD475" s="16">
        <f t="shared" si="208"/>
        <v>0.71189979123173275</v>
      </c>
      <c r="BE475" s="16">
        <f t="shared" si="208"/>
        <v>0.7121779859484777</v>
      </c>
      <c r="BF475" s="16">
        <f t="shared" si="208"/>
        <v>0.71207729468599035</v>
      </c>
      <c r="BG475" s="16">
        <f t="shared" si="208"/>
        <v>0.71210653753026631</v>
      </c>
      <c r="BH475" s="16">
        <f t="shared" si="208"/>
        <v>0.71242632612966605</v>
      </c>
      <c r="BI475" s="16">
        <f t="shared" si="208"/>
        <v>0.71219745986101124</v>
      </c>
    </row>
    <row r="476" spans="1:61" x14ac:dyDescent="0.25">
      <c r="A476" s="11">
        <f>$A$81</f>
        <v>66</v>
      </c>
      <c r="M476" s="11"/>
      <c r="N476" s="11"/>
      <c r="O476" s="11"/>
      <c r="P476" s="11"/>
      <c r="Q476" s="11"/>
      <c r="R476" s="11"/>
      <c r="S476" s="11"/>
      <c r="T476" s="16">
        <f>T$336/T$181</f>
        <v>0.60494752623688153</v>
      </c>
      <c r="U476" s="16">
        <f t="shared" ref="U476:BI476" si="209">U$336/U$181</f>
        <v>0.60814708002883922</v>
      </c>
      <c r="V476" s="16">
        <f t="shared" si="209"/>
        <v>0.61117040199217365</v>
      </c>
      <c r="W476" s="16">
        <f t="shared" si="209"/>
        <v>0.61407103825136611</v>
      </c>
      <c r="X476" s="16">
        <f t="shared" si="209"/>
        <v>0.61685055165496494</v>
      </c>
      <c r="Y476" s="16">
        <f t="shared" si="209"/>
        <v>0.61944260119442596</v>
      </c>
      <c r="Z476" s="16">
        <f t="shared" si="209"/>
        <v>0.62144053601340032</v>
      </c>
      <c r="AA476" s="16">
        <f t="shared" si="209"/>
        <v>0.62397260273972599</v>
      </c>
      <c r="AB476" s="16">
        <f t="shared" si="209"/>
        <v>0.62599377808503287</v>
      </c>
      <c r="AC476" s="16">
        <f t="shared" si="209"/>
        <v>0.6280193236714976</v>
      </c>
      <c r="AD476" s="16">
        <f t="shared" si="209"/>
        <v>0.62967959527824624</v>
      </c>
      <c r="AE476" s="16">
        <f t="shared" si="209"/>
        <v>0.63133640552995396</v>
      </c>
      <c r="AF476" s="16">
        <f t="shared" si="209"/>
        <v>0.63316912972085382</v>
      </c>
      <c r="AG476" s="16">
        <f t="shared" si="209"/>
        <v>0.634493670886076</v>
      </c>
      <c r="AH476" s="16">
        <f t="shared" si="209"/>
        <v>0.63593004769475359</v>
      </c>
      <c r="AI476" s="16">
        <f t="shared" si="209"/>
        <v>0.63736979166666663</v>
      </c>
      <c r="AJ476" s="16">
        <f t="shared" si="209"/>
        <v>0.63829787234042556</v>
      </c>
      <c r="AK476" s="16">
        <f t="shared" si="209"/>
        <v>0.63963039014373713</v>
      </c>
      <c r="AL476" s="16">
        <f t="shared" si="209"/>
        <v>0.64038395611930066</v>
      </c>
      <c r="AM476" s="16">
        <f t="shared" si="209"/>
        <v>0.64145847400405132</v>
      </c>
      <c r="AN476" s="16">
        <f t="shared" si="209"/>
        <v>0.6422267481330618</v>
      </c>
      <c r="AO476" s="16">
        <f t="shared" si="209"/>
        <v>0.64329763063940282</v>
      </c>
      <c r="AP476" s="16">
        <f t="shared" si="209"/>
        <v>0.64392991239048814</v>
      </c>
      <c r="AQ476" s="16">
        <f t="shared" si="209"/>
        <v>0.64452532605398849</v>
      </c>
      <c r="AR476" s="16">
        <f t="shared" si="209"/>
        <v>0.64525633470830879</v>
      </c>
      <c r="AS476" s="16">
        <f t="shared" si="209"/>
        <v>0.6454622561492791</v>
      </c>
      <c r="AT476" s="16">
        <f t="shared" si="209"/>
        <v>0.64615384615384619</v>
      </c>
      <c r="AU476" s="16">
        <f t="shared" si="209"/>
        <v>0.64669365721997296</v>
      </c>
      <c r="AV476" s="16">
        <f t="shared" si="209"/>
        <v>0.64698197021165404</v>
      </c>
      <c r="AW476" s="16">
        <f t="shared" si="209"/>
        <v>0.64724838869608325</v>
      </c>
      <c r="AX476" s="16">
        <f t="shared" si="209"/>
        <v>0.64759615384615388</v>
      </c>
      <c r="AY476" s="16">
        <f t="shared" si="209"/>
        <v>0.64773798303487273</v>
      </c>
      <c r="AZ476" s="16">
        <f t="shared" si="209"/>
        <v>0.64817749603803487</v>
      </c>
      <c r="BA476" s="16">
        <f t="shared" si="209"/>
        <v>0.64822222222222226</v>
      </c>
      <c r="BB476" s="16">
        <f t="shared" si="209"/>
        <v>0.64839067702552722</v>
      </c>
      <c r="BC476" s="16">
        <f t="shared" si="209"/>
        <v>0.6485327313769752</v>
      </c>
      <c r="BD476" s="16">
        <f t="shared" si="209"/>
        <v>0.64881089817594084</v>
      </c>
      <c r="BE476" s="16">
        <f t="shared" si="209"/>
        <v>0.64891885607998145</v>
      </c>
      <c r="BF476" s="16">
        <f t="shared" si="209"/>
        <v>0.64914339356958461</v>
      </c>
      <c r="BG476" s="16">
        <f t="shared" si="209"/>
        <v>0.64908034849951601</v>
      </c>
      <c r="BH476" s="16">
        <f t="shared" si="209"/>
        <v>0.64904195973805479</v>
      </c>
      <c r="BI476" s="16">
        <f t="shared" si="209"/>
        <v>0.64920049200492003</v>
      </c>
    </row>
    <row r="477" spans="1:61" x14ac:dyDescent="0.25">
      <c r="A477" s="11">
        <f>$A$82</f>
        <v>67</v>
      </c>
      <c r="M477" s="11"/>
      <c r="N477" s="11"/>
      <c r="O477" s="11"/>
      <c r="P477" s="11"/>
      <c r="Q477" s="11"/>
      <c r="R477" s="11"/>
      <c r="S477" s="11"/>
      <c r="T477" s="16">
        <f>T$337/T$182</f>
        <v>0.54481955762514556</v>
      </c>
      <c r="U477" s="16">
        <f t="shared" ref="U477:BI477" si="210">U$337/U$182</f>
        <v>0.54820415879017015</v>
      </c>
      <c r="V477" s="16">
        <f t="shared" si="210"/>
        <v>0.55087209302325579</v>
      </c>
      <c r="W477" s="16">
        <f t="shared" si="210"/>
        <v>0.55396199354607389</v>
      </c>
      <c r="X477" s="16">
        <f t="shared" si="210"/>
        <v>0.5564349621472815</v>
      </c>
      <c r="Y477" s="16">
        <f t="shared" si="210"/>
        <v>0.55911081172111821</v>
      </c>
      <c r="Z477" s="16">
        <f t="shared" si="210"/>
        <v>0.56164383561643838</v>
      </c>
      <c r="AA477" s="16">
        <f t="shared" si="210"/>
        <v>0.56376518218623484</v>
      </c>
      <c r="AB477" s="16">
        <f t="shared" si="210"/>
        <v>0.56601172009651846</v>
      </c>
      <c r="AC477" s="16">
        <f t="shared" si="210"/>
        <v>0.56784968684759918</v>
      </c>
      <c r="AD477" s="16">
        <f t="shared" si="210"/>
        <v>0.5697916666666667</v>
      </c>
      <c r="AE477" s="16">
        <f t="shared" si="210"/>
        <v>0.5714285714285714</v>
      </c>
      <c r="AF477" s="16">
        <f t="shared" si="210"/>
        <v>0.57317880794701992</v>
      </c>
      <c r="AG477" s="16">
        <f t="shared" si="210"/>
        <v>0.57430647291941872</v>
      </c>
      <c r="AH477" s="16">
        <f t="shared" si="210"/>
        <v>0.57606619987269259</v>
      </c>
      <c r="AI477" s="16">
        <f t="shared" si="210"/>
        <v>0.57723057243364251</v>
      </c>
      <c r="AJ477" s="16">
        <f t="shared" si="210"/>
        <v>0.57834478246647036</v>
      </c>
      <c r="AK477" s="16">
        <f t="shared" si="210"/>
        <v>0.57935182091546944</v>
      </c>
      <c r="AL477" s="16">
        <f t="shared" si="210"/>
        <v>0.58026813337916805</v>
      </c>
      <c r="AM477" s="16">
        <f t="shared" si="210"/>
        <v>0.58146744746813639</v>
      </c>
      <c r="AN477" s="16">
        <f t="shared" si="210"/>
        <v>0.5824287652645862</v>
      </c>
      <c r="AO477" s="16">
        <f t="shared" si="210"/>
        <v>0.58302079781793381</v>
      </c>
      <c r="AP477" s="16">
        <f t="shared" si="210"/>
        <v>0.58376792698826596</v>
      </c>
      <c r="AQ477" s="16">
        <f t="shared" si="210"/>
        <v>0.58453802639849151</v>
      </c>
      <c r="AR477" s="16">
        <f t="shared" si="210"/>
        <v>0.58495736906211937</v>
      </c>
      <c r="AS477" s="16">
        <f t="shared" si="210"/>
        <v>0.58562555456965393</v>
      </c>
      <c r="AT477" s="16">
        <f t="shared" si="210"/>
        <v>0.58614816917399948</v>
      </c>
      <c r="AU477" s="16">
        <f t="shared" si="210"/>
        <v>0.5865968008825152</v>
      </c>
      <c r="AV477" s="16">
        <f t="shared" si="210"/>
        <v>0.5868328366296397</v>
      </c>
      <c r="AW477" s="16">
        <f t="shared" si="210"/>
        <v>0.58720167846839755</v>
      </c>
      <c r="AX477" s="16">
        <f t="shared" si="210"/>
        <v>0.58770838517044044</v>
      </c>
      <c r="AY477" s="16">
        <f t="shared" si="210"/>
        <v>0.58793727382388417</v>
      </c>
      <c r="AZ477" s="16">
        <f t="shared" si="210"/>
        <v>0.58822138126773893</v>
      </c>
      <c r="BA477" s="16">
        <f t="shared" si="210"/>
        <v>0.58836892321671963</v>
      </c>
      <c r="BB477" s="16">
        <f t="shared" si="210"/>
        <v>0.58840579710144925</v>
      </c>
      <c r="BC477" s="16">
        <f t="shared" si="210"/>
        <v>0.58864142538975506</v>
      </c>
      <c r="BD477" s="16">
        <f t="shared" si="210"/>
        <v>0.58876811594202894</v>
      </c>
      <c r="BE477" s="16">
        <f t="shared" si="210"/>
        <v>0.5889300602130616</v>
      </c>
      <c r="BF477" s="16">
        <f t="shared" si="210"/>
        <v>0.5889484728374913</v>
      </c>
      <c r="BG477" s="16">
        <f t="shared" si="210"/>
        <v>0.58907978347846557</v>
      </c>
      <c r="BH477" s="16">
        <f t="shared" si="210"/>
        <v>0.58917738413006548</v>
      </c>
      <c r="BI477" s="16">
        <f t="shared" si="210"/>
        <v>0.58925097276264593</v>
      </c>
    </row>
    <row r="478" spans="1:61" x14ac:dyDescent="0.25">
      <c r="A478" s="11">
        <f>$A$83</f>
        <v>68</v>
      </c>
      <c r="M478" s="11"/>
      <c r="N478" s="11"/>
      <c r="O478" s="11"/>
      <c r="P478" s="11"/>
      <c r="Q478" s="11"/>
      <c r="R478" s="11"/>
      <c r="S478" s="11"/>
      <c r="T478" s="16">
        <f>T$338/T$183</f>
        <v>0.4887640449438202</v>
      </c>
      <c r="U478" s="16">
        <f t="shared" ref="U478:BI478" si="211">U$338/U$183</f>
        <v>0.49177115987460818</v>
      </c>
      <c r="V478" s="16">
        <f t="shared" si="211"/>
        <v>0.49503816793893129</v>
      </c>
      <c r="W478" s="16">
        <f t="shared" si="211"/>
        <v>0.49779897285399854</v>
      </c>
      <c r="X478" s="16">
        <f t="shared" si="211"/>
        <v>0.5003617945007236</v>
      </c>
      <c r="Y478" s="16">
        <f t="shared" si="211"/>
        <v>0.50277777777777777</v>
      </c>
      <c r="Z478" s="16">
        <f t="shared" si="211"/>
        <v>0.50509510869565222</v>
      </c>
      <c r="AA478" s="16">
        <f t="shared" si="211"/>
        <v>0.50741239892183287</v>
      </c>
      <c r="AB478" s="16">
        <f t="shared" si="211"/>
        <v>0.50935056103366205</v>
      </c>
      <c r="AC478" s="16">
        <f t="shared" si="211"/>
        <v>0.51128864188954493</v>
      </c>
      <c r="AD478" s="16">
        <f t="shared" si="211"/>
        <v>0.51314405888538384</v>
      </c>
      <c r="AE478" s="16">
        <f t="shared" si="211"/>
        <v>0.51486533753060515</v>
      </c>
      <c r="AF478" s="16">
        <f t="shared" si="211"/>
        <v>0.51674641148325362</v>
      </c>
      <c r="AG478" s="16">
        <f t="shared" si="211"/>
        <v>0.51817272424141381</v>
      </c>
      <c r="AH478" s="16">
        <f t="shared" si="211"/>
        <v>0.51945460591952108</v>
      </c>
      <c r="AI478" s="16">
        <f t="shared" si="211"/>
        <v>0.52049967969250477</v>
      </c>
      <c r="AJ478" s="16">
        <f t="shared" si="211"/>
        <v>0.5220469906662375</v>
      </c>
      <c r="AK478" s="16">
        <f t="shared" si="211"/>
        <v>0.52304147465437789</v>
      </c>
      <c r="AL478" s="16">
        <f t="shared" si="211"/>
        <v>0.52403361344537813</v>
      </c>
      <c r="AM478" s="16">
        <f t="shared" si="211"/>
        <v>0.524896265560166</v>
      </c>
      <c r="AN478" s="16">
        <f t="shared" si="211"/>
        <v>0.52580533425701426</v>
      </c>
      <c r="AO478" s="16">
        <f t="shared" si="211"/>
        <v>0.52660300136425653</v>
      </c>
      <c r="AP478" s="16">
        <f t="shared" si="211"/>
        <v>0.52741603838245377</v>
      </c>
      <c r="AQ478" s="16">
        <f t="shared" si="211"/>
        <v>0.52785058977719523</v>
      </c>
      <c r="AR478" s="16">
        <f t="shared" si="211"/>
        <v>0.52842703727100437</v>
      </c>
      <c r="AS478" s="16">
        <f t="shared" si="211"/>
        <v>0.52892561983471076</v>
      </c>
      <c r="AT478" s="16">
        <f t="shared" si="211"/>
        <v>0.52942925089179549</v>
      </c>
      <c r="AU478" s="16">
        <f t="shared" si="211"/>
        <v>0.52994865944095837</v>
      </c>
      <c r="AV478" s="16">
        <f t="shared" si="211"/>
        <v>0.53034081463009142</v>
      </c>
      <c r="AW478" s="16">
        <f t="shared" si="211"/>
        <v>0.53075666848121938</v>
      </c>
      <c r="AX478" s="16">
        <f t="shared" si="211"/>
        <v>0.53096179183135706</v>
      </c>
      <c r="AY478" s="16">
        <f t="shared" si="211"/>
        <v>0.53136715821044744</v>
      </c>
      <c r="AZ478" s="16">
        <f t="shared" si="211"/>
        <v>0.53162103222679913</v>
      </c>
      <c r="BA478" s="16">
        <f t="shared" si="211"/>
        <v>0.53182897862232781</v>
      </c>
      <c r="BB478" s="16">
        <f t="shared" si="211"/>
        <v>0.53182751540041073</v>
      </c>
      <c r="BC478" s="16">
        <f t="shared" si="211"/>
        <v>0.53201970443349755</v>
      </c>
      <c r="BD478" s="16">
        <f t="shared" si="211"/>
        <v>0.53220035778175312</v>
      </c>
      <c r="BE478" s="16">
        <f t="shared" si="211"/>
        <v>0.53216640145487615</v>
      </c>
      <c r="BF478" s="16">
        <f t="shared" si="211"/>
        <v>0.53231055323105536</v>
      </c>
      <c r="BG478" s="16">
        <f t="shared" si="211"/>
        <v>0.53241282471331619</v>
      </c>
      <c r="BH478" s="16">
        <f t="shared" si="211"/>
        <v>0.53246753246753242</v>
      </c>
      <c r="BI478" s="16">
        <f t="shared" si="211"/>
        <v>0.53250547845142437</v>
      </c>
    </row>
    <row r="479" spans="1:61" x14ac:dyDescent="0.25">
      <c r="A479" s="11">
        <f>$A$84</f>
        <v>69</v>
      </c>
      <c r="M479" s="11"/>
      <c r="N479" s="11"/>
      <c r="O479" s="11"/>
      <c r="P479" s="11"/>
      <c r="Q479" s="11"/>
      <c r="R479" s="11"/>
      <c r="S479" s="11"/>
      <c r="T479" s="16">
        <f>T$339/T$184</f>
        <v>0.43674321503131525</v>
      </c>
      <c r="U479" s="16">
        <f t="shared" ref="U479:BI479" si="212">U$339/U$184</f>
        <v>0.4395292207792208</v>
      </c>
      <c r="V479" s="16">
        <f t="shared" si="212"/>
        <v>0.44255150554675121</v>
      </c>
      <c r="W479" s="16">
        <f t="shared" si="212"/>
        <v>0.4454300038565368</v>
      </c>
      <c r="X479" s="16">
        <f t="shared" si="212"/>
        <v>0.44810971089696072</v>
      </c>
      <c r="Y479" s="16">
        <f t="shared" si="212"/>
        <v>0.4504932407745707</v>
      </c>
      <c r="Z479" s="16">
        <f t="shared" si="212"/>
        <v>0.4526647966339411</v>
      </c>
      <c r="AA479" s="16">
        <f t="shared" si="212"/>
        <v>0.45473251028806583</v>
      </c>
      <c r="AB479" s="16">
        <f t="shared" si="212"/>
        <v>0.45698741924515474</v>
      </c>
      <c r="AC479" s="16">
        <f t="shared" si="212"/>
        <v>0.45881949210706929</v>
      </c>
      <c r="AD479" s="16">
        <f t="shared" si="212"/>
        <v>0.46040644709180101</v>
      </c>
      <c r="AE479" s="16">
        <f t="shared" si="212"/>
        <v>0.46200070696359136</v>
      </c>
      <c r="AF479" s="16">
        <f t="shared" si="212"/>
        <v>0.46368124118476728</v>
      </c>
      <c r="AG479" s="16">
        <f t="shared" si="212"/>
        <v>0.46503616947984844</v>
      </c>
      <c r="AH479" s="16">
        <f t="shared" si="212"/>
        <v>0.46639784946236557</v>
      </c>
      <c r="AI479" s="16">
        <f t="shared" si="212"/>
        <v>0.46782841823056298</v>
      </c>
      <c r="AJ479" s="16">
        <f t="shared" si="212"/>
        <v>0.46901226597805035</v>
      </c>
      <c r="AK479" s="16">
        <f t="shared" si="212"/>
        <v>0.47001620745542949</v>
      </c>
      <c r="AL479" s="16">
        <f t="shared" si="212"/>
        <v>0.47115384615384615</v>
      </c>
      <c r="AM479" s="16">
        <f t="shared" si="212"/>
        <v>0.47190250507786052</v>
      </c>
      <c r="AN479" s="16">
        <f t="shared" si="212"/>
        <v>0.47267664462234599</v>
      </c>
      <c r="AO479" s="16">
        <f t="shared" si="212"/>
        <v>0.47333565702335306</v>
      </c>
      <c r="AP479" s="16">
        <f t="shared" si="212"/>
        <v>0.47426218256691832</v>
      </c>
      <c r="AQ479" s="16">
        <f t="shared" si="212"/>
        <v>0.47482758620689658</v>
      </c>
      <c r="AR479" s="16">
        <f t="shared" si="212"/>
        <v>0.47528015820698749</v>
      </c>
      <c r="AS479" s="16">
        <f t="shared" si="212"/>
        <v>0.47600889736256752</v>
      </c>
      <c r="AT479" s="16">
        <f t="shared" si="212"/>
        <v>0.47629310344827586</v>
      </c>
      <c r="AU479" s="16">
        <f t="shared" si="212"/>
        <v>0.47683109118086697</v>
      </c>
      <c r="AV479" s="16">
        <f t="shared" si="212"/>
        <v>0.47733792312105566</v>
      </c>
      <c r="AW479" s="16">
        <f t="shared" si="212"/>
        <v>0.47757035385901364</v>
      </c>
      <c r="AX479" s="16">
        <f t="shared" si="212"/>
        <v>0.47783251231527096</v>
      </c>
      <c r="AY479" s="16">
        <f t="shared" si="212"/>
        <v>0.4781456953642384</v>
      </c>
      <c r="AZ479" s="16">
        <f t="shared" si="212"/>
        <v>0.47839195979899496</v>
      </c>
      <c r="BA479" s="16">
        <f t="shared" si="212"/>
        <v>0.47856794934242569</v>
      </c>
      <c r="BB479" s="16">
        <f t="shared" si="212"/>
        <v>0.47887323943661969</v>
      </c>
      <c r="BC479" s="16">
        <f t="shared" si="212"/>
        <v>0.47890875745071071</v>
      </c>
      <c r="BD479" s="16">
        <f t="shared" si="212"/>
        <v>0.47896512935883012</v>
      </c>
      <c r="BE479" s="16">
        <f t="shared" si="212"/>
        <v>0.47921815322399458</v>
      </c>
      <c r="BF479" s="16">
        <f t="shared" si="212"/>
        <v>0.47910481845170128</v>
      </c>
      <c r="BG479" s="16">
        <f t="shared" si="212"/>
        <v>0.47933691337847301</v>
      </c>
      <c r="BH479" s="16">
        <f t="shared" si="212"/>
        <v>0.47943595769682729</v>
      </c>
      <c r="BI479" s="16">
        <f t="shared" si="212"/>
        <v>0.47948778752667776</v>
      </c>
    </row>
    <row r="480" spans="1:61" x14ac:dyDescent="0.25">
      <c r="A480" s="11">
        <f>$A$85</f>
        <v>70</v>
      </c>
      <c r="M480" s="11"/>
      <c r="N480" s="11"/>
      <c r="O480" s="11"/>
      <c r="P480" s="11"/>
      <c r="Q480" s="11"/>
      <c r="R480" s="11"/>
      <c r="S480" s="11"/>
      <c r="T480" s="16">
        <f>T$340/T$185</f>
        <v>0.3882403804582793</v>
      </c>
      <c r="U480" s="16">
        <f t="shared" ref="U480:BI480" si="213">U$340/U$185</f>
        <v>0.39128595600676819</v>
      </c>
      <c r="V480" s="16">
        <f t="shared" si="213"/>
        <v>0.39416358405260993</v>
      </c>
      <c r="W480" s="16">
        <f t="shared" si="213"/>
        <v>0.39655172413793105</v>
      </c>
      <c r="X480" s="16">
        <f t="shared" si="213"/>
        <v>0.39914163090128757</v>
      </c>
      <c r="Y480" s="16">
        <f t="shared" si="213"/>
        <v>0.40142428785607198</v>
      </c>
      <c r="Z480" s="16">
        <f t="shared" si="213"/>
        <v>0.40391722099039173</v>
      </c>
      <c r="AA480" s="16">
        <f t="shared" si="213"/>
        <v>0.40588443814250263</v>
      </c>
      <c r="AB480" s="16">
        <f t="shared" si="213"/>
        <v>0.40797227036395145</v>
      </c>
      <c r="AC480" s="16">
        <f t="shared" si="213"/>
        <v>0.4099656357388316</v>
      </c>
      <c r="AD480" s="16">
        <f t="shared" si="213"/>
        <v>0.41143847487001733</v>
      </c>
      <c r="AE480" s="16">
        <f t="shared" si="213"/>
        <v>0.41295116772823781</v>
      </c>
      <c r="AF480" s="16">
        <f t="shared" si="213"/>
        <v>0.41449482327740095</v>
      </c>
      <c r="AG480" s="16">
        <f t="shared" si="213"/>
        <v>0.4158063367746529</v>
      </c>
      <c r="AH480" s="16">
        <f t="shared" si="213"/>
        <v>0.41724617524339358</v>
      </c>
      <c r="AI480" s="16">
        <f t="shared" si="213"/>
        <v>0.41844693116310616</v>
      </c>
      <c r="AJ480" s="16">
        <f t="shared" si="213"/>
        <v>0.41954022988505746</v>
      </c>
      <c r="AK480" s="16">
        <f t="shared" si="213"/>
        <v>0.42070986649299902</v>
      </c>
      <c r="AL480" s="16">
        <f t="shared" si="213"/>
        <v>0.42170644001307617</v>
      </c>
      <c r="AM480" s="16">
        <f t="shared" si="213"/>
        <v>0.42260113674356403</v>
      </c>
      <c r="AN480" s="16">
        <f t="shared" si="213"/>
        <v>0.42340498123507336</v>
      </c>
      <c r="AO480" s="16">
        <f t="shared" si="213"/>
        <v>0.42421052631578948</v>
      </c>
      <c r="AP480" s="16">
        <f t="shared" si="213"/>
        <v>0.42465753424657532</v>
      </c>
      <c r="AQ480" s="16">
        <f t="shared" si="213"/>
        <v>0.42531120331950206</v>
      </c>
      <c r="AR480" s="16">
        <f t="shared" si="213"/>
        <v>0.42584230635637377</v>
      </c>
      <c r="AS480" s="16">
        <f t="shared" si="213"/>
        <v>0.42615333554596746</v>
      </c>
      <c r="AT480" s="16">
        <f t="shared" si="213"/>
        <v>0.42674344209852849</v>
      </c>
      <c r="AU480" s="16">
        <f t="shared" si="213"/>
        <v>0.42715437073775575</v>
      </c>
      <c r="AV480" s="16">
        <f t="shared" si="213"/>
        <v>0.4276256394823954</v>
      </c>
      <c r="AW480" s="16">
        <f t="shared" si="213"/>
        <v>0.42795264221773027</v>
      </c>
      <c r="AX480" s="16">
        <f t="shared" si="213"/>
        <v>0.42821088053841838</v>
      </c>
      <c r="AY480" s="16">
        <f t="shared" si="213"/>
        <v>0.42841409691629956</v>
      </c>
      <c r="AZ480" s="16">
        <f t="shared" si="213"/>
        <v>0.42883795309168443</v>
      </c>
      <c r="BA480" s="16">
        <f t="shared" si="213"/>
        <v>0.42886024766237046</v>
      </c>
      <c r="BB480" s="16">
        <f t="shared" si="213"/>
        <v>0.42895639392454676</v>
      </c>
      <c r="BC480" s="16">
        <f t="shared" si="213"/>
        <v>0.42929171668667465</v>
      </c>
      <c r="BD480" s="16">
        <f t="shared" si="213"/>
        <v>0.42932902928291444</v>
      </c>
      <c r="BE480" s="16">
        <f t="shared" si="213"/>
        <v>0.42941176470588233</v>
      </c>
      <c r="BF480" s="16">
        <f t="shared" si="213"/>
        <v>0.42941043596114753</v>
      </c>
      <c r="BG480" s="16">
        <f t="shared" si="213"/>
        <v>0.42952249770431589</v>
      </c>
      <c r="BH480" s="16">
        <f t="shared" si="213"/>
        <v>0.42971133536728467</v>
      </c>
      <c r="BI480" s="16">
        <f t="shared" si="213"/>
        <v>0.42961738308927727</v>
      </c>
    </row>
    <row r="481" spans="1:61" x14ac:dyDescent="0.25">
      <c r="A481" s="11">
        <f>$A$86</f>
        <v>71</v>
      </c>
      <c r="M481" s="11"/>
      <c r="N481" s="11"/>
      <c r="O481" s="11"/>
      <c r="P481" s="11"/>
      <c r="Q481" s="11"/>
      <c r="R481" s="11"/>
      <c r="S481" s="11"/>
      <c r="T481" s="16">
        <f>T$341/T$186</f>
        <v>0.34410559854346834</v>
      </c>
      <c r="U481" s="16">
        <f t="shared" ref="U481:BI481" si="214">U$341/U$186</f>
        <v>0.34679543459174716</v>
      </c>
      <c r="V481" s="16">
        <f t="shared" si="214"/>
        <v>0.34935622317596565</v>
      </c>
      <c r="W481" s="16">
        <f t="shared" si="214"/>
        <v>0.35223009587328052</v>
      </c>
      <c r="X481" s="16">
        <f t="shared" si="214"/>
        <v>0.35447154471544717</v>
      </c>
      <c r="Y481" s="16">
        <f t="shared" si="214"/>
        <v>0.35666271253459864</v>
      </c>
      <c r="Z481" s="16">
        <f t="shared" si="214"/>
        <v>0.35890619065704521</v>
      </c>
      <c r="AA481" s="16">
        <f t="shared" si="214"/>
        <v>0.36077844311377244</v>
      </c>
      <c r="AB481" s="16">
        <f t="shared" si="214"/>
        <v>0.36288585786073224</v>
      </c>
      <c r="AC481" s="16">
        <f t="shared" si="214"/>
        <v>0.36456140350877192</v>
      </c>
      <c r="AD481" s="16">
        <f t="shared" si="214"/>
        <v>0.36613351877607786</v>
      </c>
      <c r="AE481" s="16">
        <f t="shared" si="214"/>
        <v>0.36759031918625046</v>
      </c>
      <c r="AF481" s="16">
        <f t="shared" si="214"/>
        <v>0.36900501073729419</v>
      </c>
      <c r="AG481" s="16">
        <f t="shared" si="214"/>
        <v>0.37039711191335739</v>
      </c>
      <c r="AH481" s="16">
        <f t="shared" si="214"/>
        <v>0.37171644476430371</v>
      </c>
      <c r="AI481" s="16">
        <f t="shared" si="214"/>
        <v>0.37280393534785666</v>
      </c>
      <c r="AJ481" s="16">
        <f t="shared" si="214"/>
        <v>0.37375813634806443</v>
      </c>
      <c r="AK481" s="16">
        <f t="shared" si="214"/>
        <v>0.375</v>
      </c>
      <c r="AL481" s="16">
        <f t="shared" si="214"/>
        <v>0.37586320289378494</v>
      </c>
      <c r="AM481" s="16">
        <f t="shared" si="214"/>
        <v>0.37669197755034667</v>
      </c>
      <c r="AN481" s="16">
        <f t="shared" si="214"/>
        <v>0.3773202834964563</v>
      </c>
      <c r="AO481" s="16">
        <f t="shared" si="214"/>
        <v>0.37809917355371903</v>
      </c>
      <c r="AP481" s="16">
        <f t="shared" si="214"/>
        <v>0.37876106194690268</v>
      </c>
      <c r="AQ481" s="16">
        <f t="shared" si="214"/>
        <v>0.37916371367824236</v>
      </c>
      <c r="AR481" s="16">
        <f t="shared" si="214"/>
        <v>0.3797071129707113</v>
      </c>
      <c r="AS481" s="16">
        <f t="shared" si="214"/>
        <v>0.38038528896672502</v>
      </c>
      <c r="AT481" s="16">
        <f t="shared" si="214"/>
        <v>0.38085676037483268</v>
      </c>
      <c r="AU481" s="16">
        <f t="shared" si="214"/>
        <v>0.38116736536601098</v>
      </c>
      <c r="AV481" s="16">
        <f t="shared" si="214"/>
        <v>0.38144329896907214</v>
      </c>
      <c r="AW481" s="16">
        <f t="shared" si="214"/>
        <v>0.38186229905975128</v>
      </c>
      <c r="AX481" s="16">
        <f t="shared" si="214"/>
        <v>0.38201920279313356</v>
      </c>
      <c r="AY481" s="16">
        <f t="shared" si="214"/>
        <v>0.3822033898305085</v>
      </c>
      <c r="AZ481" s="16">
        <f t="shared" si="214"/>
        <v>0.3825242718446602</v>
      </c>
      <c r="BA481" s="16">
        <f t="shared" si="214"/>
        <v>0.38271604938271603</v>
      </c>
      <c r="BB481" s="16">
        <f t="shared" si="214"/>
        <v>0.38279460422499362</v>
      </c>
      <c r="BC481" s="16">
        <f t="shared" si="214"/>
        <v>0.38307844104588062</v>
      </c>
      <c r="BD481" s="16">
        <f t="shared" si="214"/>
        <v>0.38303528274528759</v>
      </c>
      <c r="BE481" s="16">
        <f t="shared" si="214"/>
        <v>0.3831515432815038</v>
      </c>
      <c r="BF481" s="16">
        <f t="shared" si="214"/>
        <v>0.38342440801457195</v>
      </c>
      <c r="BG481" s="16">
        <f t="shared" si="214"/>
        <v>0.38349624914753355</v>
      </c>
      <c r="BH481" s="16">
        <f t="shared" si="214"/>
        <v>0.38346038346038347</v>
      </c>
      <c r="BI481" s="16">
        <f t="shared" si="214"/>
        <v>0.38338054768649671</v>
      </c>
    </row>
    <row r="482" spans="1:61" x14ac:dyDescent="0.25">
      <c r="A482" s="11">
        <f>$A$87</f>
        <v>72</v>
      </c>
      <c r="M482" s="11"/>
      <c r="N482" s="11"/>
      <c r="O482" s="11"/>
      <c r="P482" s="11"/>
      <c r="Q482" s="11"/>
      <c r="R482" s="11"/>
      <c r="S482" s="11"/>
      <c r="T482" s="16">
        <f>T$342/T$187</f>
        <v>0.30385700846660396</v>
      </c>
      <c r="U482" s="16">
        <f t="shared" ref="U482:BI482" si="215">U$342/U$187</f>
        <v>0.30633965756594167</v>
      </c>
      <c r="V482" s="16">
        <f t="shared" si="215"/>
        <v>0.30909901873327389</v>
      </c>
      <c r="W482" s="16">
        <f t="shared" si="215"/>
        <v>0.31124673060156932</v>
      </c>
      <c r="X482" s="16">
        <f t="shared" si="215"/>
        <v>0.31358442657638597</v>
      </c>
      <c r="Y482" s="16">
        <f t="shared" si="215"/>
        <v>0.31613702022286422</v>
      </c>
      <c r="Z482" s="16">
        <f t="shared" si="215"/>
        <v>0.31781701444622795</v>
      </c>
      <c r="AA482" s="16">
        <f t="shared" si="215"/>
        <v>0.31984585741811178</v>
      </c>
      <c r="AB482" s="16">
        <f t="shared" si="215"/>
        <v>0.32144212523719168</v>
      </c>
      <c r="AC482" s="16">
        <f t="shared" si="215"/>
        <v>0.32350800582241629</v>
      </c>
      <c r="AD482" s="16">
        <f t="shared" si="215"/>
        <v>0.32503556187766713</v>
      </c>
      <c r="AE482" s="16">
        <f t="shared" si="215"/>
        <v>0.3262861169837914</v>
      </c>
      <c r="AF482" s="16">
        <f t="shared" si="215"/>
        <v>0.32753108348134991</v>
      </c>
      <c r="AG482" s="16">
        <f t="shared" si="215"/>
        <v>0.32910474809713663</v>
      </c>
      <c r="AH482" s="16">
        <f t="shared" si="215"/>
        <v>0.32992327365728902</v>
      </c>
      <c r="AI482" s="16">
        <f t="shared" si="215"/>
        <v>0.3310269482884195</v>
      </c>
      <c r="AJ482" s="16">
        <f t="shared" si="215"/>
        <v>0.33214793741109533</v>
      </c>
      <c r="AK482" s="16">
        <f t="shared" si="215"/>
        <v>0.33310225303292895</v>
      </c>
      <c r="AL482" s="16">
        <f t="shared" si="215"/>
        <v>0.33390883977900554</v>
      </c>
      <c r="AM482" s="16">
        <f t="shared" si="215"/>
        <v>0.33477393617021278</v>
      </c>
      <c r="AN482" s="16">
        <f t="shared" si="215"/>
        <v>0.33566900233566899</v>
      </c>
      <c r="AO482" s="16">
        <f t="shared" si="215"/>
        <v>0.33628922237380626</v>
      </c>
      <c r="AP482" s="16">
        <f t="shared" si="215"/>
        <v>0.33669565217391306</v>
      </c>
      <c r="AQ482" s="16">
        <f t="shared" si="215"/>
        <v>0.33750446907400788</v>
      </c>
      <c r="AR482" s="16">
        <f t="shared" si="215"/>
        <v>0.33774597495527731</v>
      </c>
      <c r="AS482" s="16">
        <f t="shared" si="215"/>
        <v>0.33838028169014084</v>
      </c>
      <c r="AT482" s="16">
        <f t="shared" si="215"/>
        <v>0.33863556026864616</v>
      </c>
      <c r="AU482" s="16">
        <f t="shared" si="215"/>
        <v>0.33907463694697737</v>
      </c>
      <c r="AV482" s="16">
        <f t="shared" si="215"/>
        <v>0.33940774487471526</v>
      </c>
      <c r="AW482" s="16">
        <f t="shared" si="215"/>
        <v>0.33974156949259376</v>
      </c>
      <c r="AX482" s="16">
        <f t="shared" si="215"/>
        <v>0.34016518813092689</v>
      </c>
      <c r="AY482" s="16">
        <f t="shared" si="215"/>
        <v>0.34037558685446012</v>
      </c>
      <c r="AZ482" s="16">
        <f t="shared" si="215"/>
        <v>0.34035887211620619</v>
      </c>
      <c r="BA482" s="16">
        <f t="shared" si="215"/>
        <v>0.34060402684563756</v>
      </c>
      <c r="BB482" s="16">
        <f t="shared" si="215"/>
        <v>0.34090909090909088</v>
      </c>
      <c r="BC482" s="16">
        <f t="shared" si="215"/>
        <v>0.34085662990510385</v>
      </c>
      <c r="BD482" s="16">
        <f t="shared" si="215"/>
        <v>0.34103902560278399</v>
      </c>
      <c r="BE482" s="16">
        <f t="shared" si="215"/>
        <v>0.34112490869247625</v>
      </c>
      <c r="BF482" s="16">
        <f t="shared" si="215"/>
        <v>0.34128097241701733</v>
      </c>
      <c r="BG482" s="16">
        <f t="shared" si="215"/>
        <v>0.34120614537950011</v>
      </c>
      <c r="BH482" s="16">
        <f t="shared" si="215"/>
        <v>0.34126802471961548</v>
      </c>
      <c r="BI482" s="16">
        <f t="shared" si="215"/>
        <v>0.34139534883720929</v>
      </c>
    </row>
    <row r="483" spans="1:61" x14ac:dyDescent="0.25">
      <c r="A483" s="11">
        <f>$A$88</f>
        <v>73</v>
      </c>
      <c r="M483" s="11"/>
      <c r="N483" s="11"/>
      <c r="O483" s="11"/>
      <c r="P483" s="11"/>
      <c r="Q483" s="11"/>
      <c r="R483" s="11"/>
      <c r="S483" s="11"/>
      <c r="T483" s="16">
        <f>T$343/T$188</f>
        <v>0.26799610894941633</v>
      </c>
      <c r="U483" s="16">
        <f t="shared" ref="U483:BI483" si="216">U$343/U$188</f>
        <v>0.27037392138063276</v>
      </c>
      <c r="V483" s="16">
        <f t="shared" si="216"/>
        <v>0.27285579641847313</v>
      </c>
      <c r="W483" s="16">
        <f t="shared" si="216"/>
        <v>0.27520435967302453</v>
      </c>
      <c r="X483" s="16">
        <f t="shared" si="216"/>
        <v>0.27728482697426798</v>
      </c>
      <c r="Y483" s="16">
        <f t="shared" si="216"/>
        <v>0.2793801119242359</v>
      </c>
      <c r="Z483" s="16">
        <f t="shared" si="216"/>
        <v>0.28115820394460761</v>
      </c>
      <c r="AA483" s="16">
        <f t="shared" si="216"/>
        <v>0.28314973480212158</v>
      </c>
      <c r="AB483" s="16">
        <f t="shared" si="216"/>
        <v>0.28465152701644481</v>
      </c>
      <c r="AC483" s="16">
        <f t="shared" si="216"/>
        <v>0.28643022359290671</v>
      </c>
      <c r="AD483" s="16">
        <f t="shared" si="216"/>
        <v>0.28777244181751016</v>
      </c>
      <c r="AE483" s="16">
        <f t="shared" si="216"/>
        <v>0.28916967509025271</v>
      </c>
      <c r="AF483" s="16">
        <f t="shared" si="216"/>
        <v>0.29066857347157671</v>
      </c>
      <c r="AG483" s="16">
        <f t="shared" si="216"/>
        <v>0.29153153153153155</v>
      </c>
      <c r="AH483" s="16">
        <f t="shared" si="216"/>
        <v>0.29301470588235295</v>
      </c>
      <c r="AI483" s="16">
        <f t="shared" si="216"/>
        <v>0.29381252315672474</v>
      </c>
      <c r="AJ483" s="16">
        <f t="shared" si="216"/>
        <v>0.29494278331487633</v>
      </c>
      <c r="AK483" s="16">
        <f t="shared" si="216"/>
        <v>0.2957492795389049</v>
      </c>
      <c r="AL483" s="16">
        <f t="shared" si="216"/>
        <v>0.2966994382022472</v>
      </c>
      <c r="AM483" s="16">
        <f t="shared" si="216"/>
        <v>0.29730675061210216</v>
      </c>
      <c r="AN483" s="16">
        <f t="shared" si="216"/>
        <v>0.29787950185122852</v>
      </c>
      <c r="AO483" s="16">
        <f t="shared" si="216"/>
        <v>0.29854778790949005</v>
      </c>
      <c r="AP483" s="16">
        <f t="shared" si="216"/>
        <v>0.29917184265010349</v>
      </c>
      <c r="AQ483" s="16">
        <f t="shared" si="216"/>
        <v>0.29978888106966922</v>
      </c>
      <c r="AR483" s="16">
        <f t="shared" si="216"/>
        <v>0.30007230657989875</v>
      </c>
      <c r="AS483" s="16">
        <f t="shared" si="216"/>
        <v>0.30065123010130246</v>
      </c>
      <c r="AT483" s="16">
        <f t="shared" si="216"/>
        <v>0.30106761565836299</v>
      </c>
      <c r="AU483" s="16">
        <f t="shared" si="216"/>
        <v>0.3011789924973205</v>
      </c>
      <c r="AV483" s="16">
        <f t="shared" si="216"/>
        <v>0.30170648464163824</v>
      </c>
      <c r="AW483" s="16">
        <f t="shared" si="216"/>
        <v>0.30210387902695596</v>
      </c>
      <c r="AX483" s="16">
        <f t="shared" si="216"/>
        <v>0.30203691915977082</v>
      </c>
      <c r="AY483" s="16">
        <f t="shared" si="216"/>
        <v>0.30244053135619403</v>
      </c>
      <c r="AZ483" s="16">
        <f t="shared" si="216"/>
        <v>0.30272511848341233</v>
      </c>
      <c r="BA483" s="16">
        <f t="shared" si="216"/>
        <v>0.30276020701552614</v>
      </c>
      <c r="BB483" s="16">
        <f t="shared" si="216"/>
        <v>0.30304740406320541</v>
      </c>
      <c r="BC483" s="16">
        <f t="shared" si="216"/>
        <v>0.30303030303030304</v>
      </c>
      <c r="BD483" s="16">
        <f t="shared" si="216"/>
        <v>0.30323415265200515</v>
      </c>
      <c r="BE483" s="16">
        <f t="shared" si="216"/>
        <v>0.30333416896465282</v>
      </c>
      <c r="BF483" s="16">
        <f t="shared" si="216"/>
        <v>0.30329076620825146</v>
      </c>
      <c r="BG483" s="16">
        <f t="shared" si="216"/>
        <v>0.30332312043365545</v>
      </c>
      <c r="BH483" s="16">
        <f t="shared" si="216"/>
        <v>0.30351363846509477</v>
      </c>
      <c r="BI483" s="16">
        <f t="shared" si="216"/>
        <v>0.30341485925242273</v>
      </c>
    </row>
    <row r="484" spans="1:61" x14ac:dyDescent="0.25">
      <c r="A484" s="11">
        <f>$A$89</f>
        <v>74</v>
      </c>
      <c r="M484" s="11"/>
      <c r="N484" s="11"/>
      <c r="O484" s="11"/>
      <c r="P484" s="11"/>
      <c r="Q484" s="11"/>
      <c r="R484" s="11"/>
      <c r="S484" s="11"/>
      <c r="T484" s="16">
        <f>T$344/T$189</f>
        <v>0.23582089552238805</v>
      </c>
      <c r="U484" s="16">
        <f t="shared" ref="U484:BI484" si="217">U$344/U$189</f>
        <v>0.23856858846918488</v>
      </c>
      <c r="V484" s="16">
        <f t="shared" si="217"/>
        <v>0.24082232011747431</v>
      </c>
      <c r="W484" s="16">
        <f t="shared" si="217"/>
        <v>0.2429052429052429</v>
      </c>
      <c r="X484" s="16">
        <f t="shared" si="217"/>
        <v>0.24502084298286245</v>
      </c>
      <c r="Y484" s="16">
        <f t="shared" si="217"/>
        <v>0.24649479873360469</v>
      </c>
      <c r="Z484" s="16">
        <f t="shared" si="217"/>
        <v>0.24835454146555508</v>
      </c>
      <c r="AA484" s="16">
        <f t="shared" si="217"/>
        <v>0.25010688328345448</v>
      </c>
      <c r="AB484" s="16">
        <f t="shared" si="217"/>
        <v>0.25176568342334854</v>
      </c>
      <c r="AC484" s="16">
        <f t="shared" si="217"/>
        <v>0.25348744519728977</v>
      </c>
      <c r="AD484" s="16">
        <f t="shared" si="217"/>
        <v>0.25460965084346804</v>
      </c>
      <c r="AE484" s="16">
        <f t="shared" si="217"/>
        <v>0.25591882750845546</v>
      </c>
      <c r="AF484" s="16">
        <f t="shared" si="217"/>
        <v>0.25724770642201833</v>
      </c>
      <c r="AG484" s="16">
        <f t="shared" si="217"/>
        <v>0.25835755813953487</v>
      </c>
      <c r="AH484" s="16">
        <f t="shared" si="217"/>
        <v>0.25924569754668619</v>
      </c>
      <c r="AI484" s="16">
        <f t="shared" si="217"/>
        <v>0.26026885735623601</v>
      </c>
      <c r="AJ484" s="16">
        <f t="shared" si="217"/>
        <v>0.26100037608123355</v>
      </c>
      <c r="AK484" s="16">
        <f t="shared" si="217"/>
        <v>0.26189584113900338</v>
      </c>
      <c r="AL484" s="16">
        <f t="shared" si="217"/>
        <v>0.26288848263254111</v>
      </c>
      <c r="AM484" s="16">
        <f t="shared" si="217"/>
        <v>0.26353276353276356</v>
      </c>
      <c r="AN484" s="16">
        <f t="shared" si="217"/>
        <v>0.26418439716312059</v>
      </c>
      <c r="AO484" s="16">
        <f t="shared" si="217"/>
        <v>0.26475605595359947</v>
      </c>
      <c r="AP484" s="16">
        <f t="shared" si="217"/>
        <v>0.26522929500342229</v>
      </c>
      <c r="AQ484" s="16">
        <f t="shared" si="217"/>
        <v>0.26573426573426573</v>
      </c>
      <c r="AR484" s="16">
        <f t="shared" si="217"/>
        <v>0.26631016042780747</v>
      </c>
      <c r="AS484" s="16">
        <f t="shared" si="217"/>
        <v>0.2665690223361406</v>
      </c>
      <c r="AT484" s="16">
        <f t="shared" si="217"/>
        <v>0.26703296703296703</v>
      </c>
      <c r="AU484" s="16">
        <f t="shared" si="217"/>
        <v>0.26729106628242078</v>
      </c>
      <c r="AV484" s="16">
        <f t="shared" si="217"/>
        <v>0.26753434562545192</v>
      </c>
      <c r="AW484" s="16">
        <f t="shared" si="217"/>
        <v>0.26786330686917503</v>
      </c>
      <c r="AX484" s="16">
        <f t="shared" si="217"/>
        <v>0.26795212765957449</v>
      </c>
      <c r="AY484" s="16">
        <f t="shared" si="217"/>
        <v>0.26842613453492115</v>
      </c>
      <c r="AZ484" s="16">
        <f t="shared" si="217"/>
        <v>0.26858213616489696</v>
      </c>
      <c r="BA484" s="16">
        <f t="shared" si="217"/>
        <v>0.268562874251497</v>
      </c>
      <c r="BB484" s="16">
        <f t="shared" si="217"/>
        <v>0.26873910517141197</v>
      </c>
      <c r="BC484" s="16">
        <f t="shared" si="217"/>
        <v>0.26881413911060431</v>
      </c>
      <c r="BD484" s="16">
        <f t="shared" si="217"/>
        <v>0.26909291425420456</v>
      </c>
      <c r="BE484" s="16">
        <f t="shared" si="217"/>
        <v>0.26914031878756206</v>
      </c>
      <c r="BF484" s="16">
        <f t="shared" si="217"/>
        <v>0.26929891166793218</v>
      </c>
      <c r="BG484" s="16">
        <f t="shared" si="217"/>
        <v>0.26921170054536442</v>
      </c>
      <c r="BH484" s="16">
        <f t="shared" si="217"/>
        <v>0.26933142993100168</v>
      </c>
      <c r="BI484" s="16">
        <f t="shared" si="217"/>
        <v>0.26948203453103126</v>
      </c>
    </row>
    <row r="485" spans="1:61" x14ac:dyDescent="0.25">
      <c r="A485" s="11">
        <f>$A$90</f>
        <v>75</v>
      </c>
      <c r="M485" s="11"/>
      <c r="N485" s="11"/>
      <c r="O485" s="11"/>
      <c r="P485" s="11"/>
      <c r="Q485" s="11"/>
      <c r="R485" s="11"/>
      <c r="S485" s="11"/>
      <c r="T485" s="16">
        <f>T$345/T$190</f>
        <v>0.20720250521920669</v>
      </c>
      <c r="U485" s="16">
        <f t="shared" ref="U485:BI485" si="218">U$345/U$190</f>
        <v>0.20948012232415902</v>
      </c>
      <c r="V485" s="16">
        <f t="shared" si="218"/>
        <v>0.2115971515768057</v>
      </c>
      <c r="W485" s="16">
        <f t="shared" si="218"/>
        <v>0.21331997996995494</v>
      </c>
      <c r="X485" s="16">
        <f t="shared" si="218"/>
        <v>0.21544515494343336</v>
      </c>
      <c r="Y485" s="16">
        <f t="shared" si="218"/>
        <v>0.21732954545454544</v>
      </c>
      <c r="Z485" s="16">
        <f t="shared" si="218"/>
        <v>0.21857670979667282</v>
      </c>
      <c r="AA485" s="16">
        <f t="shared" si="218"/>
        <v>0.22043010752688172</v>
      </c>
      <c r="AB485" s="16">
        <f t="shared" si="218"/>
        <v>0.22164048865619546</v>
      </c>
      <c r="AC485" s="16">
        <f t="shared" si="218"/>
        <v>0.22297583721916067</v>
      </c>
      <c r="AD485" s="16">
        <f t="shared" si="218"/>
        <v>0.22429906542056074</v>
      </c>
      <c r="AE485" s="16">
        <f t="shared" si="218"/>
        <v>0.22550979608156738</v>
      </c>
      <c r="AF485" s="16">
        <f t="shared" si="218"/>
        <v>0.22673305247031789</v>
      </c>
      <c r="AG485" s="16">
        <f t="shared" si="218"/>
        <v>0.22766355140186917</v>
      </c>
      <c r="AH485" s="16">
        <f t="shared" si="218"/>
        <v>0.22863485016648169</v>
      </c>
      <c r="AI485" s="16">
        <f t="shared" si="218"/>
        <v>0.22959373835259039</v>
      </c>
      <c r="AJ485" s="16">
        <f t="shared" si="218"/>
        <v>0.23024316109422494</v>
      </c>
      <c r="AK485" s="16">
        <f t="shared" si="218"/>
        <v>0.23106350420811017</v>
      </c>
      <c r="AL485" s="16">
        <f t="shared" si="218"/>
        <v>0.23161904761904761</v>
      </c>
      <c r="AM485" s="16">
        <f t="shared" si="218"/>
        <v>0.23262727610553696</v>
      </c>
      <c r="AN485" s="16">
        <f t="shared" si="218"/>
        <v>0.23307998552298226</v>
      </c>
      <c r="AO485" s="16">
        <f t="shared" si="218"/>
        <v>0.2334293948126801</v>
      </c>
      <c r="AP485" s="16">
        <f t="shared" si="218"/>
        <v>0.23423423423423423</v>
      </c>
      <c r="AQ485" s="16">
        <f t="shared" si="218"/>
        <v>0.23453787352328007</v>
      </c>
      <c r="AR485" s="16">
        <f t="shared" si="218"/>
        <v>0.23491838183108588</v>
      </c>
      <c r="AS485" s="16">
        <f t="shared" si="218"/>
        <v>0.23544303797468355</v>
      </c>
      <c r="AT485" s="16">
        <f t="shared" si="218"/>
        <v>0.23579650946899369</v>
      </c>
      <c r="AU485" s="16">
        <f t="shared" si="218"/>
        <v>0.23579650946899369</v>
      </c>
      <c r="AV485" s="16">
        <f t="shared" si="218"/>
        <v>0.2362175976633808</v>
      </c>
      <c r="AW485" s="16">
        <f t="shared" si="218"/>
        <v>0.23626373626373626</v>
      </c>
      <c r="AX485" s="16">
        <f t="shared" si="218"/>
        <v>0.23679608254634488</v>
      </c>
      <c r="AY485" s="16">
        <f t="shared" si="218"/>
        <v>0.23670033670033669</v>
      </c>
      <c r="AZ485" s="16">
        <f t="shared" si="218"/>
        <v>0.23696219035202087</v>
      </c>
      <c r="BA485" s="16">
        <f t="shared" si="218"/>
        <v>0.23711666139740753</v>
      </c>
      <c r="BB485" s="16">
        <f t="shared" si="218"/>
        <v>0.23727272727272727</v>
      </c>
      <c r="BC485" s="16">
        <f t="shared" si="218"/>
        <v>0.23750734861845973</v>
      </c>
      <c r="BD485" s="16">
        <f t="shared" si="218"/>
        <v>0.23760092272202998</v>
      </c>
      <c r="BE485" s="16">
        <f t="shared" si="218"/>
        <v>0.23759063022866703</v>
      </c>
      <c r="BF485" s="16">
        <f t="shared" si="218"/>
        <v>0.23751651254953765</v>
      </c>
      <c r="BG485" s="16">
        <f t="shared" si="218"/>
        <v>0.23771750255885363</v>
      </c>
      <c r="BH485" s="16">
        <f t="shared" si="218"/>
        <v>0.23778501628664495</v>
      </c>
      <c r="BI485" s="16">
        <f t="shared" si="218"/>
        <v>0.2377403846153846</v>
      </c>
    </row>
    <row r="486" spans="1:61" x14ac:dyDescent="0.25">
      <c r="A486" s="11">
        <f>$A$91</f>
        <v>76</v>
      </c>
      <c r="M486" s="11"/>
      <c r="N486" s="11"/>
      <c r="O486" s="11"/>
      <c r="P486" s="11"/>
      <c r="Q486" s="11"/>
      <c r="R486" s="11"/>
      <c r="S486" s="11"/>
      <c r="T486" s="16">
        <f>T$346/T$191</f>
        <v>0.18360830228845129</v>
      </c>
      <c r="U486" s="16">
        <f t="shared" ref="U486:BI486" si="219">U$346/U$191</f>
        <v>0.18552278820375334</v>
      </c>
      <c r="V486" s="16">
        <f t="shared" si="219"/>
        <v>0.18733647305075876</v>
      </c>
      <c r="W486" s="16">
        <f t="shared" si="219"/>
        <v>0.18893528183716074</v>
      </c>
      <c r="X486" s="16">
        <f t="shared" si="219"/>
        <v>0.19054956343091936</v>
      </c>
      <c r="Y486" s="16">
        <f t="shared" si="219"/>
        <v>0.19213313161875945</v>
      </c>
      <c r="Z486" s="16">
        <f t="shared" si="219"/>
        <v>0.19350145489815712</v>
      </c>
      <c r="AA486" s="16">
        <f t="shared" si="219"/>
        <v>0.19498343587316611</v>
      </c>
      <c r="AB486" s="16">
        <f t="shared" si="219"/>
        <v>0.19624025676295279</v>
      </c>
      <c r="AC486" s="16">
        <f t="shared" si="219"/>
        <v>0.19776785714285713</v>
      </c>
      <c r="AD486" s="16">
        <f t="shared" si="219"/>
        <v>0.19887348353552858</v>
      </c>
      <c r="AE486" s="16">
        <f t="shared" si="219"/>
        <v>0.19983381803074365</v>
      </c>
      <c r="AF486" s="16">
        <f t="shared" si="219"/>
        <v>0.20098039215686275</v>
      </c>
      <c r="AG486" s="16">
        <f t="shared" si="219"/>
        <v>0.20179898318341807</v>
      </c>
      <c r="AH486" s="16">
        <f t="shared" si="219"/>
        <v>0.20267175572519083</v>
      </c>
      <c r="AI486" s="16">
        <f t="shared" si="219"/>
        <v>0.20347300868252172</v>
      </c>
      <c r="AJ486" s="16">
        <f t="shared" si="219"/>
        <v>0.20410490307867732</v>
      </c>
      <c r="AK486" s="16">
        <f t="shared" si="219"/>
        <v>0.20487993803253293</v>
      </c>
      <c r="AL486" s="16">
        <f t="shared" si="219"/>
        <v>0.20545808966861598</v>
      </c>
      <c r="AM486" s="16">
        <f t="shared" si="219"/>
        <v>0.20605355064027939</v>
      </c>
      <c r="AN486" s="16">
        <f t="shared" si="219"/>
        <v>0.20658342792281498</v>
      </c>
      <c r="AO486" s="16">
        <f t="shared" si="219"/>
        <v>0.20736648250460404</v>
      </c>
      <c r="AP486" s="16">
        <f t="shared" si="219"/>
        <v>0.20784457478005866</v>
      </c>
      <c r="AQ486" s="16">
        <f t="shared" si="219"/>
        <v>0.20796616143813887</v>
      </c>
      <c r="AR486" s="16">
        <f t="shared" si="219"/>
        <v>0.20848056537102475</v>
      </c>
      <c r="AS486" s="16">
        <f t="shared" si="219"/>
        <v>0.20879913451135954</v>
      </c>
      <c r="AT486" s="16">
        <f t="shared" si="219"/>
        <v>0.20911429621462699</v>
      </c>
      <c r="AU486" s="16">
        <f t="shared" si="219"/>
        <v>0.20935496039230478</v>
      </c>
      <c r="AV486" s="16">
        <f t="shared" si="219"/>
        <v>0.20965309200603319</v>
      </c>
      <c r="AW486" s="16">
        <f t="shared" si="219"/>
        <v>0.20978502594514456</v>
      </c>
      <c r="AX486" s="16">
        <f t="shared" si="219"/>
        <v>0.2100371747211896</v>
      </c>
      <c r="AY486" s="16">
        <f t="shared" si="219"/>
        <v>0.21007806955287439</v>
      </c>
      <c r="AZ486" s="16">
        <f t="shared" si="219"/>
        <v>0.2103825136612022</v>
      </c>
      <c r="BA486" s="16">
        <f t="shared" si="219"/>
        <v>0.21050892267019167</v>
      </c>
      <c r="BB486" s="16">
        <f t="shared" si="219"/>
        <v>0.21057692307692308</v>
      </c>
      <c r="BC486" s="16">
        <f t="shared" si="219"/>
        <v>0.2106879606879607</v>
      </c>
      <c r="BD486" s="16">
        <f t="shared" si="219"/>
        <v>0.21090259159964253</v>
      </c>
      <c r="BE486" s="16">
        <f t="shared" si="219"/>
        <v>0.21092608822670172</v>
      </c>
      <c r="BF486" s="16">
        <f t="shared" si="219"/>
        <v>0.21095735667890425</v>
      </c>
      <c r="BG486" s="16">
        <f t="shared" si="219"/>
        <v>0.21107544141252008</v>
      </c>
      <c r="BH486" s="16">
        <f t="shared" si="219"/>
        <v>0.21108521108521108</v>
      </c>
      <c r="BI486" s="16">
        <f t="shared" si="219"/>
        <v>0.21095334685598377</v>
      </c>
    </row>
    <row r="487" spans="1:61" x14ac:dyDescent="0.25">
      <c r="A487" s="11">
        <f>$A$92</f>
        <v>77</v>
      </c>
      <c r="M487" s="11"/>
      <c r="N487" s="11"/>
      <c r="O487" s="11"/>
      <c r="P487" s="11"/>
      <c r="Q487" s="11"/>
      <c r="R487" s="11"/>
      <c r="S487" s="11"/>
      <c r="T487" s="16">
        <f>T$347/T$192</f>
        <v>0.16411378555798686</v>
      </c>
      <c r="U487" s="16">
        <f t="shared" ref="U487:BI487" si="220">U$347/U$192</f>
        <v>0.16566099835436093</v>
      </c>
      <c r="V487" s="16">
        <f t="shared" si="220"/>
        <v>0.16740331491712707</v>
      </c>
      <c r="W487" s="16">
        <f t="shared" si="220"/>
        <v>0.16918103448275862</v>
      </c>
      <c r="X487" s="16">
        <f t="shared" si="220"/>
        <v>0.17087587318645889</v>
      </c>
      <c r="Y487" s="16">
        <f t="shared" si="220"/>
        <v>0.17221341785525621</v>
      </c>
      <c r="Z487" s="16">
        <f t="shared" si="220"/>
        <v>0.17357512953367876</v>
      </c>
      <c r="AA487" s="16">
        <f t="shared" si="220"/>
        <v>0.17488789237668162</v>
      </c>
      <c r="AB487" s="16">
        <f t="shared" si="220"/>
        <v>0.17589893100097181</v>
      </c>
      <c r="AC487" s="16">
        <f t="shared" si="220"/>
        <v>0.17694117647058824</v>
      </c>
      <c r="AD487" s="16">
        <f t="shared" si="220"/>
        <v>0.17811355311355312</v>
      </c>
      <c r="AE487" s="16">
        <f t="shared" si="220"/>
        <v>0.17903154153709464</v>
      </c>
      <c r="AF487" s="16">
        <f t="shared" si="220"/>
        <v>0.18007662835249041</v>
      </c>
      <c r="AG487" s="16">
        <f t="shared" si="220"/>
        <v>0.18075313807531382</v>
      </c>
      <c r="AH487" s="16">
        <f t="shared" si="220"/>
        <v>0.18174539631705364</v>
      </c>
      <c r="AI487" s="16">
        <f t="shared" si="220"/>
        <v>0.18235064427957828</v>
      </c>
      <c r="AJ487" s="16">
        <f t="shared" si="220"/>
        <v>0.18301158301158302</v>
      </c>
      <c r="AK487" s="16">
        <f t="shared" si="220"/>
        <v>0.18383210260396424</v>
      </c>
      <c r="AL487" s="16">
        <f t="shared" si="220"/>
        <v>0.18440838939453899</v>
      </c>
      <c r="AM487" s="16">
        <f t="shared" si="220"/>
        <v>0.18478693747510952</v>
      </c>
      <c r="AN487" s="16">
        <f t="shared" si="220"/>
        <v>0.18541996830427893</v>
      </c>
      <c r="AO487" s="16">
        <f t="shared" si="220"/>
        <v>0.1857860177674778</v>
      </c>
      <c r="AP487" s="16">
        <f t="shared" si="220"/>
        <v>0.18602029312288612</v>
      </c>
      <c r="AQ487" s="16">
        <f t="shared" si="220"/>
        <v>0.18654205607476634</v>
      </c>
      <c r="AR487" s="16">
        <f t="shared" si="220"/>
        <v>0.18684872439813152</v>
      </c>
      <c r="AS487" s="16">
        <f t="shared" si="220"/>
        <v>0.18725243068059055</v>
      </c>
      <c r="AT487" s="16">
        <f t="shared" si="220"/>
        <v>0.18736223365172666</v>
      </c>
      <c r="AU487" s="16">
        <f t="shared" si="220"/>
        <v>0.1875</v>
      </c>
      <c r="AV487" s="16">
        <f t="shared" si="220"/>
        <v>0.18778801843317972</v>
      </c>
      <c r="AW487" s="16">
        <f t="shared" si="220"/>
        <v>0.18802762854950114</v>
      </c>
      <c r="AX487" s="16">
        <f t="shared" si="220"/>
        <v>0.18815987933634992</v>
      </c>
      <c r="AY487" s="16">
        <f t="shared" si="220"/>
        <v>0.18827977315689981</v>
      </c>
      <c r="AZ487" s="16">
        <f t="shared" si="220"/>
        <v>0.18867243867243869</v>
      </c>
      <c r="BA487" s="16">
        <f t="shared" si="220"/>
        <v>0.18882332523429365</v>
      </c>
      <c r="BB487" s="16">
        <f t="shared" si="220"/>
        <v>0.18871725990597715</v>
      </c>
      <c r="BC487" s="16">
        <f t="shared" si="220"/>
        <v>0.18880208333333334</v>
      </c>
      <c r="BD487" s="16">
        <f t="shared" si="220"/>
        <v>0.18896164639850327</v>
      </c>
      <c r="BE487" s="16">
        <f t="shared" si="220"/>
        <v>0.18899304505594194</v>
      </c>
      <c r="BF487" s="16">
        <f t="shared" si="220"/>
        <v>0.18914912540764897</v>
      </c>
      <c r="BG487" s="16">
        <f t="shared" si="220"/>
        <v>0.18911174785100288</v>
      </c>
      <c r="BH487" s="16">
        <f t="shared" si="220"/>
        <v>0.18914518317503393</v>
      </c>
      <c r="BI487" s="16">
        <f t="shared" si="220"/>
        <v>0.18912529550827423</v>
      </c>
    </row>
    <row r="488" spans="1:61" x14ac:dyDescent="0.25">
      <c r="A488" s="11">
        <f>$A$93</f>
        <v>78</v>
      </c>
      <c r="M488" s="11"/>
      <c r="N488" s="11"/>
      <c r="O488" s="11"/>
      <c r="P488" s="11"/>
      <c r="Q488" s="11"/>
      <c r="R488" s="11"/>
      <c r="S488" s="11"/>
      <c r="T488" s="16">
        <f>T$348/T$193</f>
        <v>0.14711864406779662</v>
      </c>
      <c r="U488" s="16">
        <f t="shared" ref="U488:BI488" si="221">U$348/U$193</f>
        <v>0.14844192634560907</v>
      </c>
      <c r="V488" s="16">
        <f t="shared" si="221"/>
        <v>0.14982973893303064</v>
      </c>
      <c r="W488" s="16">
        <f t="shared" si="221"/>
        <v>0.1513420902341519</v>
      </c>
      <c r="X488" s="16">
        <f t="shared" si="221"/>
        <v>0.15311804008908686</v>
      </c>
      <c r="Y488" s="16">
        <f t="shared" si="221"/>
        <v>0.15418746533555186</v>
      </c>
      <c r="Z488" s="16">
        <f t="shared" si="221"/>
        <v>0.15585831062670299</v>
      </c>
      <c r="AA488" s="16">
        <f t="shared" si="221"/>
        <v>0.15660074826296097</v>
      </c>
      <c r="AB488" s="16">
        <f t="shared" si="221"/>
        <v>0.15819209039548024</v>
      </c>
      <c r="AC488" s="16">
        <f t="shared" si="221"/>
        <v>0.15907953976988495</v>
      </c>
      <c r="AD488" s="16">
        <f t="shared" si="221"/>
        <v>0.15988372093023256</v>
      </c>
      <c r="AE488" s="16">
        <f t="shared" si="221"/>
        <v>0.16062176165803108</v>
      </c>
      <c r="AF488" s="16">
        <f t="shared" si="221"/>
        <v>0.16171767930561901</v>
      </c>
      <c r="AG488" s="16">
        <f t="shared" si="221"/>
        <v>0.16229221347331582</v>
      </c>
      <c r="AH488" s="16">
        <f t="shared" si="221"/>
        <v>0.16330038676407391</v>
      </c>
      <c r="AI488" s="16">
        <f t="shared" si="221"/>
        <v>0.16399506781750925</v>
      </c>
      <c r="AJ488" s="16">
        <f t="shared" si="221"/>
        <v>0.16466346153846154</v>
      </c>
      <c r="AK488" s="16">
        <f t="shared" si="221"/>
        <v>0.16514851485148516</v>
      </c>
      <c r="AL488" s="16">
        <f t="shared" si="221"/>
        <v>0.16573705179282869</v>
      </c>
      <c r="AM488" s="16">
        <f t="shared" si="221"/>
        <v>0.16626115166261152</v>
      </c>
      <c r="AN488" s="16">
        <f t="shared" si="221"/>
        <v>0.16639477977161501</v>
      </c>
      <c r="AO488" s="16">
        <f t="shared" si="221"/>
        <v>0.16713995943204868</v>
      </c>
      <c r="AP488" s="16">
        <f t="shared" si="221"/>
        <v>0.16758893280632411</v>
      </c>
      <c r="AQ488" s="16">
        <f t="shared" si="221"/>
        <v>0.16762783544790466</v>
      </c>
      <c r="AR488" s="16">
        <f t="shared" si="221"/>
        <v>0.16819571865443425</v>
      </c>
      <c r="AS488" s="16">
        <f t="shared" si="221"/>
        <v>0.16819684171869262</v>
      </c>
      <c r="AT488" s="16">
        <f t="shared" si="221"/>
        <v>0.16850625459896984</v>
      </c>
      <c r="AU488" s="16">
        <f t="shared" si="221"/>
        <v>0.16885553470919323</v>
      </c>
      <c r="AV488" s="16">
        <f t="shared" si="221"/>
        <v>0.16883116883116883</v>
      </c>
      <c r="AW488" s="16">
        <f t="shared" si="221"/>
        <v>0.16927899686520376</v>
      </c>
      <c r="AX488" s="16">
        <f t="shared" si="221"/>
        <v>0.16953797963978073</v>
      </c>
      <c r="AY488" s="16">
        <f t="shared" si="221"/>
        <v>0.16955017301038061</v>
      </c>
      <c r="AZ488" s="16">
        <f t="shared" si="221"/>
        <v>0.16955684007707128</v>
      </c>
      <c r="BA488" s="16">
        <f t="shared" si="221"/>
        <v>0.1698529411764706</v>
      </c>
      <c r="BB488" s="16">
        <f t="shared" si="221"/>
        <v>0.16973125884016974</v>
      </c>
      <c r="BC488" s="16">
        <f t="shared" si="221"/>
        <v>0.16997264021887826</v>
      </c>
      <c r="BD488" s="16">
        <f t="shared" si="221"/>
        <v>0.16998011928429424</v>
      </c>
      <c r="BE488" s="16">
        <f t="shared" si="221"/>
        <v>0.17010472865756904</v>
      </c>
      <c r="BF488" s="16">
        <f t="shared" si="221"/>
        <v>0.17010150722854506</v>
      </c>
      <c r="BG488" s="16">
        <f t="shared" si="221"/>
        <v>0.17003316249623154</v>
      </c>
      <c r="BH488" s="16">
        <f t="shared" si="221"/>
        <v>0.17011360326245267</v>
      </c>
      <c r="BI488" s="16">
        <f t="shared" si="221"/>
        <v>0.1701599558742416</v>
      </c>
    </row>
    <row r="489" spans="1:61" x14ac:dyDescent="0.25">
      <c r="A489" s="11">
        <f>$A$94</f>
        <v>79</v>
      </c>
      <c r="M489" s="11"/>
      <c r="N489" s="11"/>
      <c r="O489" s="11"/>
      <c r="P489" s="11"/>
      <c r="Q489" s="11"/>
      <c r="R489" s="11"/>
      <c r="S489" s="11"/>
      <c r="T489" s="16">
        <f>T$349/T$194</f>
        <v>0.12994772218073189</v>
      </c>
      <c r="U489" s="16">
        <f t="shared" ref="U489:BI489" si="222">U$349/U$194</f>
        <v>0.1311706629055007</v>
      </c>
      <c r="V489" s="16">
        <f t="shared" si="222"/>
        <v>0.13243084167157151</v>
      </c>
      <c r="W489" s="16">
        <f t="shared" si="222"/>
        <v>0.13376546847377727</v>
      </c>
      <c r="X489" s="16">
        <f t="shared" si="222"/>
        <v>0.13515115589804386</v>
      </c>
      <c r="Y489" s="16">
        <f t="shared" si="222"/>
        <v>0.13625866050808313</v>
      </c>
      <c r="Z489" s="16">
        <f t="shared" si="222"/>
        <v>0.13793103448275862</v>
      </c>
      <c r="AA489" s="16">
        <f t="shared" si="222"/>
        <v>0.13882618510158012</v>
      </c>
      <c r="AB489" s="16">
        <f t="shared" si="222"/>
        <v>0.13993362831858408</v>
      </c>
      <c r="AC489" s="16">
        <f t="shared" si="222"/>
        <v>0.1407328730748805</v>
      </c>
      <c r="AD489" s="16">
        <f t="shared" si="222"/>
        <v>0.14167528438469493</v>
      </c>
      <c r="AE489" s="16">
        <f t="shared" si="222"/>
        <v>0.1425712856428214</v>
      </c>
      <c r="AF489" s="16">
        <f t="shared" si="222"/>
        <v>0.14341273699562471</v>
      </c>
      <c r="AG489" s="16">
        <f t="shared" si="222"/>
        <v>0.14373232799245994</v>
      </c>
      <c r="AH489" s="16">
        <f t="shared" si="222"/>
        <v>0.14479025710419485</v>
      </c>
      <c r="AI489" s="16">
        <f t="shared" si="222"/>
        <v>0.14526129317980513</v>
      </c>
      <c r="AJ489" s="16">
        <f t="shared" si="222"/>
        <v>0.14563928873835733</v>
      </c>
      <c r="AK489" s="16">
        <f t="shared" si="222"/>
        <v>0.14645214521452146</v>
      </c>
      <c r="AL489" s="16">
        <f t="shared" si="222"/>
        <v>0.14669926650366749</v>
      </c>
      <c r="AM489" s="16">
        <f t="shared" si="222"/>
        <v>0.1474805407619828</v>
      </c>
      <c r="AN489" s="16">
        <f t="shared" si="222"/>
        <v>0.14756148395164653</v>
      </c>
      <c r="AO489" s="16">
        <f t="shared" si="222"/>
        <v>0.14794635373009221</v>
      </c>
      <c r="AP489" s="16">
        <f t="shared" si="222"/>
        <v>0.14827155351936694</v>
      </c>
      <c r="AQ489" s="16">
        <f t="shared" si="222"/>
        <v>0.14888438133874241</v>
      </c>
      <c r="AR489" s="16">
        <f t="shared" si="222"/>
        <v>0.14905362776025236</v>
      </c>
      <c r="AS489" s="16">
        <f t="shared" si="222"/>
        <v>0.14935319482555862</v>
      </c>
      <c r="AT489" s="16">
        <f t="shared" si="222"/>
        <v>0.14947289156626506</v>
      </c>
      <c r="AU489" s="16">
        <f t="shared" si="222"/>
        <v>0.14964191481341876</v>
      </c>
      <c r="AV489" s="16">
        <f t="shared" si="222"/>
        <v>0.1498847040737894</v>
      </c>
      <c r="AW489" s="16">
        <f t="shared" si="222"/>
        <v>0.15017598748533437</v>
      </c>
      <c r="AX489" s="16">
        <f t="shared" si="222"/>
        <v>0.15036086607858862</v>
      </c>
      <c r="AY489" s="16">
        <f t="shared" si="222"/>
        <v>0.15058069683620345</v>
      </c>
      <c r="AZ489" s="16">
        <f t="shared" si="222"/>
        <v>0.15055031446540881</v>
      </c>
      <c r="BA489" s="16">
        <f t="shared" si="222"/>
        <v>0.15045293422607325</v>
      </c>
      <c r="BB489" s="16">
        <f t="shared" si="222"/>
        <v>0.15058205031918889</v>
      </c>
      <c r="BC489" s="16">
        <f t="shared" si="222"/>
        <v>0.15095702419646082</v>
      </c>
      <c r="BD489" s="16">
        <f t="shared" si="222"/>
        <v>0.15078534031413612</v>
      </c>
      <c r="BE489" s="16">
        <f t="shared" si="222"/>
        <v>0.15082854244166385</v>
      </c>
      <c r="BF489" s="16">
        <f t="shared" si="222"/>
        <v>0.15085788280997087</v>
      </c>
      <c r="BG489" s="16">
        <f t="shared" si="222"/>
        <v>0.15087829360100377</v>
      </c>
      <c r="BH489" s="16">
        <f t="shared" si="222"/>
        <v>0.1509375960651706</v>
      </c>
      <c r="BI489" s="16">
        <f t="shared" si="222"/>
        <v>0.15112826603325416</v>
      </c>
    </row>
    <row r="490" spans="1:61" x14ac:dyDescent="0.25">
      <c r="A490" s="11" t="str">
        <f>$A$280</f>
        <v>80 &amp; over</v>
      </c>
      <c r="M490" s="11"/>
      <c r="N490" s="11"/>
      <c r="O490" s="11"/>
      <c r="P490" s="11"/>
      <c r="Q490" s="11"/>
      <c r="R490" s="11"/>
      <c r="S490" s="11"/>
      <c r="T490" s="16">
        <f>T$350/SUM(T$195:T$210)</f>
        <v>6.4220183486238536E-2</v>
      </c>
      <c r="U490" s="16">
        <f t="shared" ref="U490:BI490" si="223">U$350/SUM(U$195:U$210)</f>
        <v>6.5180102915951971E-2</v>
      </c>
      <c r="V490" s="16">
        <f t="shared" si="223"/>
        <v>6.6257040450588833E-2</v>
      </c>
      <c r="W490" s="16">
        <f t="shared" si="223"/>
        <v>6.8109972219561263E-2</v>
      </c>
      <c r="X490" s="16">
        <f t="shared" si="223"/>
        <v>6.9099449010929459E-2</v>
      </c>
      <c r="Y490" s="16">
        <f t="shared" si="223"/>
        <v>6.9625686813186816E-2</v>
      </c>
      <c r="Z490" s="16">
        <f t="shared" si="223"/>
        <v>7.0026178010471202E-2</v>
      </c>
      <c r="AA490" s="16">
        <f t="shared" si="223"/>
        <v>7.002428135035639E-2</v>
      </c>
      <c r="AB490" s="16">
        <f t="shared" si="223"/>
        <v>7.0036861506055814E-2</v>
      </c>
      <c r="AC490" s="16">
        <f t="shared" si="223"/>
        <v>6.9944247339077545E-2</v>
      </c>
      <c r="AD490" s="16">
        <f t="shared" si="223"/>
        <v>7.0015326738191441E-2</v>
      </c>
      <c r="AE490" s="16">
        <f t="shared" si="223"/>
        <v>7.0004698301899454E-2</v>
      </c>
      <c r="AF490" s="16">
        <f t="shared" si="223"/>
        <v>7.0056277896371047E-2</v>
      </c>
      <c r="AG490" s="16">
        <f t="shared" si="223"/>
        <v>7.0114153826960263E-2</v>
      </c>
      <c r="AH490" s="16">
        <f t="shared" si="223"/>
        <v>7.0241964608161789E-2</v>
      </c>
      <c r="AI490" s="16">
        <f t="shared" si="223"/>
        <v>7.0529551650136302E-2</v>
      </c>
      <c r="AJ490" s="16">
        <f t="shared" si="223"/>
        <v>7.0720645052914491E-2</v>
      </c>
      <c r="AK490" s="16">
        <f t="shared" si="223"/>
        <v>7.096600107933082E-2</v>
      </c>
      <c r="AL490" s="16">
        <f t="shared" si="223"/>
        <v>7.1220324864639736E-2</v>
      </c>
      <c r="AM490" s="16">
        <f t="shared" si="223"/>
        <v>7.1223637187295519E-2</v>
      </c>
      <c r="AN490" s="16">
        <f t="shared" si="223"/>
        <v>7.105160281469898E-2</v>
      </c>
      <c r="AO490" s="16">
        <f t="shared" si="223"/>
        <v>7.0563554877467335E-2</v>
      </c>
      <c r="AP490" s="16">
        <f t="shared" si="223"/>
        <v>7.0045265761351436E-2</v>
      </c>
      <c r="AQ490" s="16">
        <f t="shared" si="223"/>
        <v>6.9516269278293893E-2</v>
      </c>
      <c r="AR490" s="16">
        <f t="shared" si="223"/>
        <v>6.9189722433971576E-2</v>
      </c>
      <c r="AS490" s="16">
        <f t="shared" si="223"/>
        <v>6.8979143798024153E-2</v>
      </c>
      <c r="AT490" s="16">
        <f t="shared" si="223"/>
        <v>6.8765070616603516E-2</v>
      </c>
      <c r="AU490" s="16">
        <f t="shared" si="223"/>
        <v>6.8789755255065504E-2</v>
      </c>
      <c r="AV490" s="16">
        <f t="shared" si="223"/>
        <v>6.8690623709211071E-2</v>
      </c>
      <c r="AW490" s="16">
        <f t="shared" si="223"/>
        <v>6.8409072433135515E-2</v>
      </c>
      <c r="AX490" s="16">
        <f t="shared" si="223"/>
        <v>6.8004817342432758E-2</v>
      </c>
      <c r="AY490" s="16">
        <f t="shared" si="223"/>
        <v>6.7483686137195603E-2</v>
      </c>
      <c r="AZ490" s="16">
        <f t="shared" si="223"/>
        <v>6.7027197726285875E-2</v>
      </c>
      <c r="BA490" s="16">
        <f t="shared" si="223"/>
        <v>6.6700571160316094E-2</v>
      </c>
      <c r="BB490" s="16">
        <f t="shared" si="223"/>
        <v>6.6374257656328844E-2</v>
      </c>
      <c r="BC490" s="16">
        <f t="shared" si="223"/>
        <v>6.6398158803222099E-2</v>
      </c>
      <c r="BD490" s="16">
        <f t="shared" si="223"/>
        <v>6.6570953604352431E-2</v>
      </c>
      <c r="BE490" s="16">
        <f t="shared" si="223"/>
        <v>6.6941412341278678E-2</v>
      </c>
      <c r="BF490" s="16">
        <f t="shared" si="223"/>
        <v>6.7338841771921523E-2</v>
      </c>
      <c r="BG490" s="16">
        <f t="shared" si="223"/>
        <v>6.7892453232804614E-2</v>
      </c>
      <c r="BH490" s="16">
        <f t="shared" si="223"/>
        <v>6.8386738798723812E-2</v>
      </c>
      <c r="BI490" s="16">
        <f t="shared" si="223"/>
        <v>6.8744085440043262E-2</v>
      </c>
    </row>
    <row r="491" spans="1:61" x14ac:dyDescent="0.25">
      <c r="A491" s="9" t="str">
        <f>$A$211</f>
        <v>Male total</v>
      </c>
      <c r="M491" s="11"/>
      <c r="N491" s="11"/>
      <c r="O491" s="11"/>
      <c r="P491" s="11"/>
      <c r="Q491" s="11"/>
      <c r="R491" s="11"/>
      <c r="S491" s="11"/>
      <c r="T491" s="47">
        <f>SUM(T$285:T$350)/SUM(T$130:T$210)</f>
        <v>0.7593859135122466</v>
      </c>
      <c r="U491" s="47">
        <f t="shared" ref="U491:BI491" si="224">SUM(U$285:U$350)/SUM(U$130:U$210)</f>
        <v>0.75721796924899798</v>
      </c>
      <c r="V491" s="47">
        <f t="shared" si="224"/>
        <v>0.75539164192738073</v>
      </c>
      <c r="W491" s="47">
        <f t="shared" si="224"/>
        <v>0.75365473357848434</v>
      </c>
      <c r="X491" s="47">
        <f t="shared" si="224"/>
        <v>0.75209536640566299</v>
      </c>
      <c r="Y491" s="47">
        <f t="shared" si="224"/>
        <v>0.75065381847541823</v>
      </c>
      <c r="Z491" s="47">
        <f t="shared" si="224"/>
        <v>0.74929729963836378</v>
      </c>
      <c r="AA491" s="47">
        <f t="shared" si="224"/>
        <v>0.74805967851599087</v>
      </c>
      <c r="AB491" s="47">
        <f t="shared" si="224"/>
        <v>0.74697578942033149</v>
      </c>
      <c r="AC491" s="47">
        <f t="shared" si="224"/>
        <v>0.74601008330411844</v>
      </c>
      <c r="AD491" s="47">
        <f t="shared" si="224"/>
        <v>0.74493718396066888</v>
      </c>
      <c r="AE491" s="47">
        <f t="shared" si="224"/>
        <v>0.74414317410597752</v>
      </c>
      <c r="AF491" s="47">
        <f t="shared" si="224"/>
        <v>0.74320018713601244</v>
      </c>
      <c r="AG491" s="47">
        <f t="shared" si="224"/>
        <v>0.74244250075814411</v>
      </c>
      <c r="AH491" s="47">
        <f t="shared" si="224"/>
        <v>0.7420699519534707</v>
      </c>
      <c r="AI491" s="47">
        <f t="shared" si="224"/>
        <v>0.74165482746069578</v>
      </c>
      <c r="AJ491" s="47">
        <f t="shared" si="224"/>
        <v>0.74104252836581141</v>
      </c>
      <c r="AK491" s="47">
        <f t="shared" si="224"/>
        <v>0.74041190318009531</v>
      </c>
      <c r="AL491" s="47">
        <f t="shared" si="224"/>
        <v>0.73984909192607562</v>
      </c>
      <c r="AM491" s="47">
        <f t="shared" si="224"/>
        <v>0.73932652060786608</v>
      </c>
      <c r="AN491" s="47">
        <f t="shared" si="224"/>
        <v>0.73875618115695563</v>
      </c>
      <c r="AO491" s="47">
        <f t="shared" si="224"/>
        <v>0.7382002238048303</v>
      </c>
      <c r="AP491" s="47">
        <f t="shared" si="224"/>
        <v>0.73755561352138754</v>
      </c>
      <c r="AQ491" s="47">
        <f t="shared" si="224"/>
        <v>0.7368603219248453</v>
      </c>
      <c r="AR491" s="47">
        <f t="shared" si="224"/>
        <v>0.7360532468048665</v>
      </c>
      <c r="AS491" s="47">
        <f t="shared" si="224"/>
        <v>0.73513019479937636</v>
      </c>
      <c r="AT491" s="47">
        <f t="shared" si="224"/>
        <v>0.73407950735448357</v>
      </c>
      <c r="AU491" s="47">
        <f t="shared" si="224"/>
        <v>0.73290700791512053</v>
      </c>
      <c r="AV491" s="47">
        <f t="shared" si="224"/>
        <v>0.73158500694641293</v>
      </c>
      <c r="AW491" s="47">
        <f t="shared" si="224"/>
        <v>0.73009447162205798</v>
      </c>
      <c r="AX491" s="47">
        <f t="shared" si="224"/>
        <v>0.72848122414250427</v>
      </c>
      <c r="AY491" s="47">
        <f t="shared" si="224"/>
        <v>0.72673580017363126</v>
      </c>
      <c r="AZ491" s="47">
        <f t="shared" si="224"/>
        <v>0.72483865607205966</v>
      </c>
      <c r="BA491" s="47">
        <f t="shared" si="224"/>
        <v>0.72287129512477455</v>
      </c>
      <c r="BB491" s="47">
        <f t="shared" si="224"/>
        <v>0.72085506501138619</v>
      </c>
      <c r="BC491" s="47">
        <f t="shared" si="224"/>
        <v>0.71880166589909844</v>
      </c>
      <c r="BD491" s="47">
        <f t="shared" si="224"/>
        <v>0.71675768445486321</v>
      </c>
      <c r="BE491" s="47">
        <f t="shared" si="224"/>
        <v>0.71478867494803755</v>
      </c>
      <c r="BF491" s="47">
        <f t="shared" si="224"/>
        <v>0.71284233433398425</v>
      </c>
      <c r="BG491" s="47">
        <f t="shared" si="224"/>
        <v>0.71095296870580371</v>
      </c>
      <c r="BH491" s="47">
        <f t="shared" si="224"/>
        <v>0.70917154571414898</v>
      </c>
      <c r="BI491" s="47">
        <f t="shared" si="224"/>
        <v>0.70739757616456234</v>
      </c>
    </row>
  </sheetData>
  <phoneticPr fontId="37" type="noConversion"/>
  <hyperlinks>
    <hyperlink ref="B3" r:id="rId1" xr:uid="{D2F7BC1E-3A2F-45C0-8240-1B4E5C69DE81}"/>
    <hyperlink ref="B2" r:id="rId2" xr:uid="{5F63F562-E377-4B84-9E7D-33A6AD5BB1C4}"/>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6144-5CB6-48A8-A2EB-366F64FB6315}">
  <dimension ref="A1:BJ328"/>
  <sheetViews>
    <sheetView workbookViewId="0">
      <pane xSplit="1" ySplit="13" topLeftCell="B14" activePane="bottomRight" state="frozen"/>
      <selection pane="topRight" activeCell="B1" sqref="B1"/>
      <selection pane="bottomLeft" activeCell="A14" sqref="A14"/>
      <selection pane="bottomRight" activeCell="B14" sqref="B14"/>
    </sheetView>
  </sheetViews>
  <sheetFormatPr defaultColWidth="9.140625" defaultRowHeight="15" x14ac:dyDescent="0.25"/>
  <cols>
    <col min="1" max="1" width="30.7109375" style="70" customWidth="1"/>
    <col min="2" max="61" width="10.140625" style="70" bestFit="1" customWidth="1"/>
    <col min="62" max="16384" width="9.140625" style="70"/>
  </cols>
  <sheetData>
    <row r="1" spans="1:61" x14ac:dyDescent="0.25">
      <c r="A1" s="9" t="s">
        <v>81</v>
      </c>
    </row>
    <row r="2" spans="1:61" x14ac:dyDescent="0.25">
      <c r="A2" s="9" t="s">
        <v>1</v>
      </c>
      <c r="B2" s="13" t="s">
        <v>18</v>
      </c>
      <c r="C2" s="13" t="s">
        <v>19</v>
      </c>
      <c r="D2" s="13" t="s">
        <v>20</v>
      </c>
      <c r="E2" s="13" t="s">
        <v>21</v>
      </c>
      <c r="F2" s="13" t="s">
        <v>22</v>
      </c>
      <c r="G2" s="13" t="s">
        <v>23</v>
      </c>
      <c r="H2" s="13" t="s">
        <v>24</v>
      </c>
      <c r="I2" s="13" t="s">
        <v>25</v>
      </c>
      <c r="J2" s="13" t="s">
        <v>26</v>
      </c>
      <c r="K2" s="13" t="s">
        <v>27</v>
      </c>
      <c r="L2" s="13" t="s">
        <v>28</v>
      </c>
      <c r="M2" s="13" t="s">
        <v>29</v>
      </c>
      <c r="N2" s="13" t="s">
        <v>30</v>
      </c>
      <c r="O2" s="13" t="s">
        <v>31</v>
      </c>
      <c r="P2" s="13" t="s">
        <v>32</v>
      </c>
      <c r="Q2" s="13" t="s">
        <v>33</v>
      </c>
      <c r="R2" s="13" t="s">
        <v>34</v>
      </c>
      <c r="S2" s="13" t="s">
        <v>35</v>
      </c>
      <c r="T2" s="13" t="s">
        <v>36</v>
      </c>
      <c r="U2" s="13" t="s">
        <v>37</v>
      </c>
      <c r="V2" s="13" t="s">
        <v>38</v>
      </c>
      <c r="W2" s="13" t="s">
        <v>39</v>
      </c>
      <c r="X2" s="13" t="s">
        <v>40</v>
      </c>
      <c r="Y2" s="13" t="s">
        <v>41</v>
      </c>
      <c r="Z2" s="13" t="s">
        <v>42</v>
      </c>
      <c r="AA2" s="13" t="s">
        <v>43</v>
      </c>
      <c r="AB2" s="13" t="s">
        <v>44</v>
      </c>
      <c r="AC2" s="13" t="s">
        <v>45</v>
      </c>
      <c r="AD2" s="13" t="s">
        <v>46</v>
      </c>
      <c r="AE2" s="13" t="s">
        <v>47</v>
      </c>
      <c r="AF2" s="13" t="s">
        <v>48</v>
      </c>
      <c r="AG2" s="13" t="s">
        <v>49</v>
      </c>
      <c r="AH2" s="13" t="s">
        <v>50</v>
      </c>
      <c r="AI2" s="13" t="s">
        <v>51</v>
      </c>
      <c r="AJ2" s="13" t="s">
        <v>1278</v>
      </c>
      <c r="AK2" s="13" t="s">
        <v>1280</v>
      </c>
      <c r="AL2" s="13" t="s">
        <v>1281</v>
      </c>
      <c r="AM2" s="13" t="s">
        <v>1282</v>
      </c>
      <c r="AN2" s="13" t="s">
        <v>1283</v>
      </c>
      <c r="AO2" s="13" t="s">
        <v>1284</v>
      </c>
      <c r="AP2" s="13" t="s">
        <v>1285</v>
      </c>
      <c r="AQ2" s="13" t="s">
        <v>1286</v>
      </c>
      <c r="AR2" s="13" t="s">
        <v>1287</v>
      </c>
      <c r="AS2" s="13" t="s">
        <v>1288</v>
      </c>
      <c r="AT2" s="13" t="s">
        <v>1279</v>
      </c>
      <c r="AU2" s="13" t="s">
        <v>1289</v>
      </c>
      <c r="AV2" s="13" t="s">
        <v>1290</v>
      </c>
      <c r="AW2" s="13" t="s">
        <v>1291</v>
      </c>
      <c r="AX2" s="13" t="s">
        <v>1292</v>
      </c>
      <c r="AY2" s="13" t="s">
        <v>1293</v>
      </c>
      <c r="AZ2" s="13" t="s">
        <v>1294</v>
      </c>
      <c r="BA2" s="13" t="s">
        <v>1295</v>
      </c>
      <c r="BB2" s="13" t="s">
        <v>1296</v>
      </c>
      <c r="BC2" s="13" t="s">
        <v>1297</v>
      </c>
      <c r="BD2" s="13" t="s">
        <v>1298</v>
      </c>
      <c r="BE2" s="13" t="s">
        <v>1299</v>
      </c>
      <c r="BF2" s="13" t="s">
        <v>1300</v>
      </c>
      <c r="BG2" s="13" t="s">
        <v>1301</v>
      </c>
      <c r="BH2" s="13" t="s">
        <v>1302</v>
      </c>
      <c r="BI2" s="13" t="s">
        <v>1303</v>
      </c>
    </row>
    <row r="3" spans="1:61" x14ac:dyDescent="0.25">
      <c r="A3" s="11"/>
      <c r="B3" s="9">
        <v>2006</v>
      </c>
      <c r="C3" s="9">
        <v>2007</v>
      </c>
      <c r="D3" s="9">
        <v>2008</v>
      </c>
      <c r="E3" s="9">
        <v>2009</v>
      </c>
      <c r="F3" s="9">
        <v>2010</v>
      </c>
      <c r="G3" s="9">
        <v>2011</v>
      </c>
      <c r="H3" s="9">
        <v>2012</v>
      </c>
      <c r="I3" s="9">
        <v>2013</v>
      </c>
      <c r="J3" s="9">
        <v>2014</v>
      </c>
      <c r="K3" s="9">
        <v>2015</v>
      </c>
      <c r="L3" s="9">
        <v>2016</v>
      </c>
      <c r="M3" s="9">
        <v>2017</v>
      </c>
      <c r="N3" s="9">
        <v>2018</v>
      </c>
      <c r="O3" s="9">
        <v>2019</v>
      </c>
      <c r="P3" s="9">
        <v>2020</v>
      </c>
      <c r="Q3" s="9">
        <v>2021</v>
      </c>
      <c r="R3" s="9">
        <v>2022</v>
      </c>
      <c r="S3" s="9">
        <v>2023</v>
      </c>
      <c r="T3" s="9">
        <v>2024</v>
      </c>
      <c r="U3" s="9">
        <v>2025</v>
      </c>
      <c r="V3" s="9">
        <v>2026</v>
      </c>
      <c r="W3" s="9">
        <v>2027</v>
      </c>
      <c r="X3" s="9">
        <v>2028</v>
      </c>
      <c r="Y3" s="9">
        <v>2029</v>
      </c>
      <c r="Z3" s="9">
        <v>2030</v>
      </c>
      <c r="AA3" s="9">
        <v>2031</v>
      </c>
      <c r="AB3" s="9">
        <v>2032</v>
      </c>
      <c r="AC3" s="9">
        <v>2033</v>
      </c>
      <c r="AD3" s="9">
        <v>2034</v>
      </c>
      <c r="AE3" s="9">
        <v>2035</v>
      </c>
      <c r="AF3" s="9">
        <v>2036</v>
      </c>
      <c r="AG3" s="9">
        <v>2037</v>
      </c>
      <c r="AH3" s="9">
        <v>2038</v>
      </c>
      <c r="AI3" s="9">
        <v>2039</v>
      </c>
      <c r="AJ3" s="9">
        <v>2040</v>
      </c>
      <c r="AK3" s="9">
        <v>2041</v>
      </c>
      <c r="AL3" s="9">
        <v>2042</v>
      </c>
      <c r="AM3" s="9">
        <v>2043</v>
      </c>
      <c r="AN3" s="9">
        <v>2044</v>
      </c>
      <c r="AO3" s="9">
        <v>2045</v>
      </c>
      <c r="AP3" s="9">
        <v>2046</v>
      </c>
      <c r="AQ3" s="9">
        <v>2047</v>
      </c>
      <c r="AR3" s="9">
        <v>2048</v>
      </c>
      <c r="AS3" s="9">
        <v>2049</v>
      </c>
      <c r="AT3" s="9">
        <v>2050</v>
      </c>
      <c r="AU3" s="9">
        <v>2051</v>
      </c>
      <c r="AV3" s="9">
        <v>2052</v>
      </c>
      <c r="AW3" s="9">
        <v>2053</v>
      </c>
      <c r="AX3" s="9">
        <v>2054</v>
      </c>
      <c r="AY3" s="9">
        <v>2055</v>
      </c>
      <c r="AZ3" s="9">
        <v>2056</v>
      </c>
      <c r="BA3" s="9">
        <v>2057</v>
      </c>
      <c r="BB3" s="9">
        <v>2058</v>
      </c>
      <c r="BC3" s="9">
        <v>2059</v>
      </c>
      <c r="BD3" s="9">
        <v>2060</v>
      </c>
      <c r="BE3" s="9">
        <v>2061</v>
      </c>
      <c r="BF3" s="9">
        <v>2062</v>
      </c>
      <c r="BG3" s="9">
        <v>2063</v>
      </c>
      <c r="BH3" s="9">
        <v>2064</v>
      </c>
      <c r="BI3" s="9">
        <v>2065</v>
      </c>
    </row>
    <row r="4" spans="1:61" x14ac:dyDescent="0.25">
      <c r="A4" s="9" t="s">
        <v>2</v>
      </c>
      <c r="B4" s="81">
        <f>SUM(B$15:B$110,B$115:B$210)/1000000</f>
        <v>4.1669000000000009</v>
      </c>
      <c r="C4" s="81">
        <f>SUM(C$15:C$110,C$115:C$210)/1000000</f>
        <v>4.2119999999999989</v>
      </c>
      <c r="D4" s="81">
        <f t="shared" ref="D4:BI4" si="0">SUM(D$15:D$110,D$115:D$210)/1000000</f>
        <v>4.248899999999999</v>
      </c>
      <c r="E4" s="81">
        <f t="shared" si="0"/>
        <v>4.286500000000002</v>
      </c>
      <c r="F4" s="81">
        <f t="shared" si="0"/>
        <v>4.3364999999999965</v>
      </c>
      <c r="G4" s="81">
        <f t="shared" si="0"/>
        <v>4.3758000000000008</v>
      </c>
      <c r="H4" s="81">
        <f t="shared" si="0"/>
        <v>4.4014999999999986</v>
      </c>
      <c r="I4" s="81">
        <f t="shared" si="0"/>
        <v>4.4298999999999955</v>
      </c>
      <c r="J4" s="81">
        <f t="shared" si="0"/>
        <v>4.4881999999999991</v>
      </c>
      <c r="K4" s="81">
        <f t="shared" si="0"/>
        <v>4.5764999999999993</v>
      </c>
      <c r="L4" s="81">
        <f t="shared" si="0"/>
        <v>4.6772000000000018</v>
      </c>
      <c r="M4" s="81">
        <f t="shared" si="0"/>
        <v>4.7797000000000001</v>
      </c>
      <c r="N4" s="81">
        <f t="shared" si="0"/>
        <v>4.870600000000004</v>
      </c>
      <c r="O4" s="81">
        <f t="shared" si="0"/>
        <v>4.9516999999999989</v>
      </c>
      <c r="P4" s="81">
        <f t="shared" si="0"/>
        <v>5.055100000000003</v>
      </c>
      <c r="Q4" s="81">
        <f t="shared" si="0"/>
        <v>5.1053999999999977</v>
      </c>
      <c r="R4" s="81">
        <f t="shared" si="0"/>
        <v>5.1159000000000026</v>
      </c>
      <c r="S4" s="81">
        <f t="shared" si="0"/>
        <v>5.186099999999997</v>
      </c>
      <c r="T4" s="81">
        <f t="shared" si="0"/>
        <v>5.3127999999999984</v>
      </c>
      <c r="U4" s="81">
        <f t="shared" si="0"/>
        <v>5.3654999999999973</v>
      </c>
      <c r="V4" s="81">
        <f t="shared" si="0"/>
        <v>5.4257000000000017</v>
      </c>
      <c r="W4" s="81">
        <f t="shared" si="0"/>
        <v>5.4907000000000021</v>
      </c>
      <c r="X4" s="81">
        <f t="shared" si="0"/>
        <v>5.5563999999999982</v>
      </c>
      <c r="Y4" s="81">
        <f t="shared" si="0"/>
        <v>5.6223999999999998</v>
      </c>
      <c r="Z4" s="81">
        <f t="shared" si="0"/>
        <v>5.6799900083635739</v>
      </c>
      <c r="AA4" s="81">
        <f t="shared" si="0"/>
        <v>5.7362200133817218</v>
      </c>
      <c r="AB4" s="81">
        <f t="shared" si="0"/>
        <v>5.7910800157235158</v>
      </c>
      <c r="AC4" s="81">
        <f t="shared" si="0"/>
        <v>5.8447700157235163</v>
      </c>
      <c r="AD4" s="81">
        <f t="shared" si="0"/>
        <v>5.8979800157235163</v>
      </c>
      <c r="AE4" s="81">
        <f t="shared" si="0"/>
        <v>5.950610015723516</v>
      </c>
      <c r="AF4" s="81">
        <f t="shared" si="0"/>
        <v>6.003070015723516</v>
      </c>
      <c r="AG4" s="81">
        <f t="shared" si="0"/>
        <v>6.0551000157235162</v>
      </c>
      <c r="AH4" s="81">
        <f t="shared" si="0"/>
        <v>6.1068800157235161</v>
      </c>
      <c r="AI4" s="81">
        <f t="shared" si="0"/>
        <v>6.1583500157235163</v>
      </c>
      <c r="AJ4" s="81">
        <f t="shared" si="0"/>
        <v>6.2096300157235165</v>
      </c>
      <c r="AK4" s="81">
        <f t="shared" si="0"/>
        <v>6.2606000157235142</v>
      </c>
      <c r="AL4" s="81">
        <f t="shared" si="0"/>
        <v>6.3114200157235141</v>
      </c>
      <c r="AM4" s="81">
        <f t="shared" si="0"/>
        <v>6.3618100157235142</v>
      </c>
      <c r="AN4" s="81">
        <f t="shared" si="0"/>
        <v>6.411930015723514</v>
      </c>
      <c r="AO4" s="81">
        <f t="shared" si="0"/>
        <v>6.4616500157235146</v>
      </c>
      <c r="AP4" s="81">
        <f t="shared" si="0"/>
        <v>6.5109300157235142</v>
      </c>
      <c r="AQ4" s="81">
        <f t="shared" si="0"/>
        <v>6.5596800157235142</v>
      </c>
      <c r="AR4" s="81">
        <f t="shared" si="0"/>
        <v>6.6079200157235141</v>
      </c>
      <c r="AS4" s="81">
        <f t="shared" si="0"/>
        <v>6.6554600157235146</v>
      </c>
      <c r="AT4" s="81">
        <f t="shared" si="0"/>
        <v>6.7025300157235144</v>
      </c>
      <c r="AU4" s="81">
        <f t="shared" si="0"/>
        <v>6.7489200157235141</v>
      </c>
      <c r="AV4" s="81">
        <f t="shared" si="0"/>
        <v>6.7947900157235139</v>
      </c>
      <c r="AW4" s="81">
        <f t="shared" si="0"/>
        <v>6.8402100157235139</v>
      </c>
      <c r="AX4" s="81">
        <f t="shared" si="0"/>
        <v>6.8850400157235141</v>
      </c>
      <c r="AY4" s="81">
        <f t="shared" si="0"/>
        <v>6.9294900157235144</v>
      </c>
      <c r="AZ4" s="81">
        <f t="shared" si="0"/>
        <v>6.9735200157235147</v>
      </c>
      <c r="BA4" s="81">
        <f t="shared" si="0"/>
        <v>7.0173900157235147</v>
      </c>
      <c r="BB4" s="81">
        <f t="shared" si="0"/>
        <v>7.0609100157235147</v>
      </c>
      <c r="BC4" s="81">
        <f t="shared" si="0"/>
        <v>7.104520015723514</v>
      </c>
      <c r="BD4" s="81">
        <f t="shared" si="0"/>
        <v>7.1478700157235142</v>
      </c>
      <c r="BE4" s="81">
        <f t="shared" si="0"/>
        <v>7.1911200157235147</v>
      </c>
      <c r="BF4" s="81">
        <f t="shared" si="0"/>
        <v>7.2344900157235141</v>
      </c>
      <c r="BG4" s="81">
        <f t="shared" si="0"/>
        <v>7.277850015723514</v>
      </c>
      <c r="BH4" s="81">
        <f t="shared" si="0"/>
        <v>7.3213200157235141</v>
      </c>
      <c r="BI4" s="81">
        <f t="shared" si="0"/>
        <v>7.3647300157235147</v>
      </c>
    </row>
    <row r="5" spans="1:61" x14ac:dyDescent="0.25">
      <c r="A5" s="10" t="s">
        <v>3</v>
      </c>
      <c r="B5" s="11"/>
      <c r="C5" s="18">
        <f>C$4/B$4-1</f>
        <v>1.0823393889941579E-2</v>
      </c>
      <c r="D5" s="18">
        <f t="shared" ref="D5:AI5" si="1">D$4/C$4-1</f>
        <v>8.7606837606837296E-3</v>
      </c>
      <c r="E5" s="18">
        <f t="shared" si="1"/>
        <v>8.849349243334359E-3</v>
      </c>
      <c r="F5" s="18">
        <f t="shared" si="1"/>
        <v>1.166452816983421E-2</v>
      </c>
      <c r="G5" s="18">
        <f t="shared" si="1"/>
        <v>9.0626080940860998E-3</v>
      </c>
      <c r="H5" s="18">
        <f t="shared" si="1"/>
        <v>5.8732117555642116E-3</v>
      </c>
      <c r="I5" s="18">
        <f t="shared" si="1"/>
        <v>6.4523457912069038E-3</v>
      </c>
      <c r="J5" s="18">
        <f t="shared" si="1"/>
        <v>1.3160567958645508E-2</v>
      </c>
      <c r="K5" s="18">
        <f t="shared" si="1"/>
        <v>1.9673811327481028E-2</v>
      </c>
      <c r="L5" s="18">
        <f t="shared" si="1"/>
        <v>2.2003714629083904E-2</v>
      </c>
      <c r="M5" s="18">
        <f t="shared" si="1"/>
        <v>2.1914820832976689E-2</v>
      </c>
      <c r="N5" s="18">
        <f t="shared" si="1"/>
        <v>1.9017929995607252E-2</v>
      </c>
      <c r="O5" s="18">
        <f t="shared" si="1"/>
        <v>1.6650925963945795E-2</v>
      </c>
      <c r="P5" s="18">
        <f t="shared" si="1"/>
        <v>2.088171738998823E-2</v>
      </c>
      <c r="Q5" s="18">
        <f t="shared" si="1"/>
        <v>9.9503471741400062E-3</v>
      </c>
      <c r="R5" s="18">
        <f t="shared" si="1"/>
        <v>2.0566459043376284E-3</v>
      </c>
      <c r="S5" s="18">
        <f t="shared" ref="S5" si="2">S$4/R$4-1</f>
        <v>1.3721925760862064E-2</v>
      </c>
      <c r="T5" s="18">
        <f t="shared" ref="T5" si="3">T$4/S$4-1</f>
        <v>2.4430689728312416E-2</v>
      </c>
      <c r="U5" s="18">
        <f t="shared" si="1"/>
        <v>9.9194398433968267E-3</v>
      </c>
      <c r="V5" s="18">
        <f t="shared" si="1"/>
        <v>1.1219830397913411E-2</v>
      </c>
      <c r="W5" s="18">
        <f t="shared" si="1"/>
        <v>1.1980021011113839E-2</v>
      </c>
      <c r="X5" s="18">
        <f t="shared" si="1"/>
        <v>1.1965687435116834E-2</v>
      </c>
      <c r="Y5" s="18">
        <f t="shared" si="1"/>
        <v>1.1878194514434171E-2</v>
      </c>
      <c r="Z5" s="18">
        <f t="shared" si="1"/>
        <v>1.0242958231996058E-2</v>
      </c>
      <c r="AA5" s="18">
        <f t="shared" si="1"/>
        <v>9.8996661852135404E-3</v>
      </c>
      <c r="AB5" s="18">
        <f t="shared" si="1"/>
        <v>9.5637897803455552E-3</v>
      </c>
      <c r="AC5" s="18">
        <f t="shared" si="1"/>
        <v>9.2711549234729684E-3</v>
      </c>
      <c r="AD5" s="18">
        <f t="shared" si="1"/>
        <v>9.1038654826203214E-3</v>
      </c>
      <c r="AE5" s="18">
        <f t="shared" si="1"/>
        <v>8.9233940874151596E-3</v>
      </c>
      <c r="AF5" s="18">
        <f t="shared" si="1"/>
        <v>8.8159028841383602E-3</v>
      </c>
      <c r="AG5" s="18">
        <f t="shared" si="1"/>
        <v>8.6672319102927275E-3</v>
      </c>
      <c r="AH5" s="18">
        <f t="shared" si="1"/>
        <v>8.5514689873893435E-3</v>
      </c>
      <c r="AI5" s="18">
        <f t="shared" si="1"/>
        <v>8.4281989931813683E-3</v>
      </c>
      <c r="AJ5" s="18">
        <f t="shared" ref="AJ5" si="4">AJ$4/AI$4-1</f>
        <v>8.3269057245969336E-3</v>
      </c>
      <c r="AK5" s="18">
        <f t="shared" ref="AK5" si="5">AK$4/AJ$4-1</f>
        <v>8.2082185043128586E-3</v>
      </c>
      <c r="AL5" s="18">
        <f t="shared" ref="AL5" si="6">AL$4/AK$4-1</f>
        <v>8.117432813526726E-3</v>
      </c>
      <c r="AM5" s="18">
        <f t="shared" ref="AM5" si="7">AM$4/AL$4-1</f>
        <v>7.9839402027537254E-3</v>
      </c>
      <c r="AN5" s="18">
        <f t="shared" ref="AN5" si="8">AN$4/AM$4-1</f>
        <v>7.8782610414529497E-3</v>
      </c>
      <c r="AO5" s="18">
        <f t="shared" ref="AO5" si="9">AO$4/AN$4-1</f>
        <v>7.7542954895133409E-3</v>
      </c>
      <c r="AP5" s="18">
        <f t="shared" ref="AP5" si="10">AP$4/AO$4-1</f>
        <v>7.626534999587431E-3</v>
      </c>
      <c r="AQ5" s="18">
        <f t="shared" ref="AQ5" si="11">AQ$4/AP$4-1</f>
        <v>7.4874096146435587E-3</v>
      </c>
      <c r="AR5" s="18">
        <f t="shared" ref="AR5" si="12">AR$4/AQ$4-1</f>
        <v>7.3540172515074165E-3</v>
      </c>
      <c r="AS5" s="18">
        <f t="shared" ref="AS5" si="13">AS$4/AR$4-1</f>
        <v>7.1943970094794363E-3</v>
      </c>
      <c r="AT5" s="18">
        <f t="shared" ref="AT5" si="14">AT$4/AS$4-1</f>
        <v>7.0723886686716586E-3</v>
      </c>
      <c r="AU5" s="18">
        <f t="shared" ref="AU5" si="15">AU$4/AT$4-1</f>
        <v>6.9212670277003507E-3</v>
      </c>
      <c r="AV5" s="18">
        <f t="shared" ref="AV5" si="16">AV$4/AU$4-1</f>
        <v>6.7966430026038527E-3</v>
      </c>
      <c r="AW5" s="18">
        <f t="shared" ref="AW5" si="17">AW$4/AV$4-1</f>
        <v>6.6845332813663116E-3</v>
      </c>
      <c r="AX5" s="18">
        <f t="shared" ref="AX5" si="18">AX$4/AW$4-1</f>
        <v>6.553892336192968E-3</v>
      </c>
      <c r="AY5" s="18">
        <f t="shared" ref="AY5" si="19">AY$4/AX$4-1</f>
        <v>6.4560263845219179E-3</v>
      </c>
      <c r="AZ5" s="18">
        <f t="shared" ref="AZ5" si="20">AZ$4/AY$4-1</f>
        <v>6.3540029497255457E-3</v>
      </c>
      <c r="BA5" s="18">
        <f t="shared" ref="BA5" si="21">BA$4/AZ$4-1</f>
        <v>6.2909405724920209E-3</v>
      </c>
      <c r="BB5" s="18">
        <f t="shared" ref="BB5" si="22">BB$4/BA$4-1</f>
        <v>6.2017359591652887E-3</v>
      </c>
      <c r="BC5" s="18">
        <f t="shared" ref="BC5" si="23">BC$4/BB$4-1</f>
        <v>6.1762577207309377E-3</v>
      </c>
      <c r="BD5" s="18">
        <f t="shared" ref="BD5" si="24">BD$4/BC$4-1</f>
        <v>6.1017492953865382E-3</v>
      </c>
      <c r="BE5" s="18">
        <f t="shared" ref="BE5" si="25">BE$4/BD$4-1</f>
        <v>6.0507535678266944E-3</v>
      </c>
      <c r="BF5" s="18">
        <f t="shared" ref="BF5" si="26">BF$4/BE$4-1</f>
        <v>6.0310493921906794E-3</v>
      </c>
      <c r="BG5" s="18">
        <f t="shared" ref="BG5" si="27">BG$4/BF$4-1</f>
        <v>5.9935116235920738E-3</v>
      </c>
      <c r="BH5" s="18">
        <f t="shared" ref="BH5" si="28">BH$4/BG$4-1</f>
        <v>5.9729178131020522E-3</v>
      </c>
      <c r="BI5" s="18">
        <f t="shared" ref="BI5" si="29">BI$4/BH$4-1</f>
        <v>5.9292586455408358E-3</v>
      </c>
    </row>
    <row r="6" spans="1:61" x14ac:dyDescent="0.25">
      <c r="A6" s="9" t="s">
        <v>4</v>
      </c>
      <c r="B6" s="81">
        <f>SUM(B$30:B$110,B$130:B$210)/1000000</f>
        <v>3.2251000000000007</v>
      </c>
      <c r="C6" s="81">
        <f t="shared" ref="C6:BI6" si="30">SUM(C$30:C$110,C$130:C$210)/1000000</f>
        <v>3.2726000000000006</v>
      </c>
      <c r="D6" s="81">
        <f t="shared" si="30"/>
        <v>3.304600000000002</v>
      </c>
      <c r="E6" s="81">
        <f t="shared" si="30"/>
        <v>3.3357999999999994</v>
      </c>
      <c r="F6" s="81">
        <f t="shared" si="30"/>
        <v>3.3766999999999987</v>
      </c>
      <c r="G6" s="81">
        <f t="shared" si="30"/>
        <v>3.4115999999999986</v>
      </c>
      <c r="H6" s="81">
        <f t="shared" si="30"/>
        <v>3.4369999999999994</v>
      </c>
      <c r="I6" s="81">
        <f t="shared" si="30"/>
        <v>3.4639000000000015</v>
      </c>
      <c r="J6" s="81">
        <f t="shared" si="30"/>
        <v>3.515299999999999</v>
      </c>
      <c r="K6" s="81">
        <f t="shared" si="30"/>
        <v>3.5958000000000006</v>
      </c>
      <c r="L6" s="81">
        <f t="shared" si="30"/>
        <v>3.6897000000000011</v>
      </c>
      <c r="M6" s="81">
        <f t="shared" si="30"/>
        <v>3.7874000000000008</v>
      </c>
      <c r="N6" s="81">
        <f t="shared" si="30"/>
        <v>3.8690999999999995</v>
      </c>
      <c r="O6" s="81">
        <f t="shared" si="30"/>
        <v>3.9466000000000001</v>
      </c>
      <c r="P6" s="81">
        <f t="shared" si="30"/>
        <v>4.0336000000000007</v>
      </c>
      <c r="Q6" s="81">
        <f t="shared" si="30"/>
        <v>4.0891999999999999</v>
      </c>
      <c r="R6" s="81">
        <f t="shared" si="30"/>
        <v>4.1008000000000013</v>
      </c>
      <c r="S6" s="81">
        <f t="shared" si="30"/>
        <v>4.1555000000000017</v>
      </c>
      <c r="T6" s="81">
        <f t="shared" si="30"/>
        <v>4.2750999999999992</v>
      </c>
      <c r="U6" s="81">
        <f t="shared" si="30"/>
        <v>4.3324999999999978</v>
      </c>
      <c r="V6" s="81">
        <f t="shared" si="30"/>
        <v>4.3882000000000012</v>
      </c>
      <c r="W6" s="81">
        <f t="shared" si="30"/>
        <v>4.4468000000000023</v>
      </c>
      <c r="X6" s="81">
        <f t="shared" si="30"/>
        <v>4.506000000000002</v>
      </c>
      <c r="Y6" s="81">
        <f t="shared" si="30"/>
        <v>4.5652999999999997</v>
      </c>
      <c r="Z6" s="81">
        <f t="shared" si="30"/>
        <v>4.6267187234179721</v>
      </c>
      <c r="AA6" s="81">
        <f t="shared" si="30"/>
        <v>4.6862419574687539</v>
      </c>
      <c r="AB6" s="81">
        <f t="shared" si="30"/>
        <v>4.7447248000257858</v>
      </c>
      <c r="AC6" s="81">
        <f t="shared" si="30"/>
        <v>4.8012248000257856</v>
      </c>
      <c r="AD6" s="81">
        <f t="shared" si="30"/>
        <v>4.8573948000257854</v>
      </c>
      <c r="AE6" s="81">
        <f t="shared" si="30"/>
        <v>4.9116448000257842</v>
      </c>
      <c r="AF6" s="81">
        <f t="shared" si="30"/>
        <v>4.9661048000257857</v>
      </c>
      <c r="AG6" s="81">
        <f t="shared" si="30"/>
        <v>5.0194148000257854</v>
      </c>
      <c r="AH6" s="81">
        <f t="shared" si="30"/>
        <v>5.0678548000257857</v>
      </c>
      <c r="AI6" s="81">
        <f t="shared" si="30"/>
        <v>5.115494800025786</v>
      </c>
      <c r="AJ6" s="81">
        <f t="shared" si="30"/>
        <v>5.1636748000257864</v>
      </c>
      <c r="AK6" s="81">
        <f t="shared" si="30"/>
        <v>5.2111848000257863</v>
      </c>
      <c r="AL6" s="81">
        <f t="shared" si="30"/>
        <v>5.258184800025786</v>
      </c>
      <c r="AM6" s="81">
        <f t="shared" si="30"/>
        <v>5.304474800025786</v>
      </c>
      <c r="AN6" s="81">
        <f t="shared" si="30"/>
        <v>5.3501548000257859</v>
      </c>
      <c r="AO6" s="81">
        <f t="shared" si="30"/>
        <v>5.3952248000257841</v>
      </c>
      <c r="AP6" s="81">
        <f t="shared" si="30"/>
        <v>5.4397648000257846</v>
      </c>
      <c r="AQ6" s="81">
        <f t="shared" si="30"/>
        <v>5.4837348000257844</v>
      </c>
      <c r="AR6" s="81">
        <f t="shared" si="30"/>
        <v>5.5273248000257862</v>
      </c>
      <c r="AS6" s="81">
        <f t="shared" si="30"/>
        <v>5.5704148000257865</v>
      </c>
      <c r="AT6" s="81">
        <f t="shared" si="30"/>
        <v>5.6133748000257864</v>
      </c>
      <c r="AU6" s="81">
        <f t="shared" si="30"/>
        <v>5.6560948000257865</v>
      </c>
      <c r="AV6" s="81">
        <f t="shared" si="30"/>
        <v>5.6988248000257862</v>
      </c>
      <c r="AW6" s="81">
        <f t="shared" si="30"/>
        <v>5.7415848000257865</v>
      </c>
      <c r="AX6" s="81">
        <f t="shared" si="30"/>
        <v>5.7844048000257864</v>
      </c>
      <c r="AY6" s="81">
        <f t="shared" si="30"/>
        <v>5.8274348000257863</v>
      </c>
      <c r="AZ6" s="81">
        <f t="shared" si="30"/>
        <v>5.8705348000257862</v>
      </c>
      <c r="BA6" s="81">
        <f t="shared" si="30"/>
        <v>5.9139448000257859</v>
      </c>
      <c r="BB6" s="81">
        <f t="shared" si="30"/>
        <v>5.9573548000257865</v>
      </c>
      <c r="BC6" s="81">
        <f t="shared" si="30"/>
        <v>6.0010848000257866</v>
      </c>
      <c r="BD6" s="81">
        <f t="shared" si="30"/>
        <v>6.0447248000257865</v>
      </c>
      <c r="BE6" s="81">
        <f t="shared" si="30"/>
        <v>6.0882748000257845</v>
      </c>
      <c r="BF6" s="81">
        <f t="shared" si="30"/>
        <v>6.131924800025784</v>
      </c>
      <c r="BG6" s="81">
        <f t="shared" si="30"/>
        <v>6.1753248000257841</v>
      </c>
      <c r="BH6" s="81">
        <f t="shared" si="30"/>
        <v>6.2186248000257844</v>
      </c>
      <c r="BI6" s="81">
        <f t="shared" si="30"/>
        <v>6.2615748000257847</v>
      </c>
    </row>
    <row r="7" spans="1:61" x14ac:dyDescent="0.25">
      <c r="A7" s="9" t="s">
        <v>82</v>
      </c>
      <c r="B7" s="81">
        <f>SUM(B$15:B$29,B$115:B$129)/1000000</f>
        <v>0.94179999999999986</v>
      </c>
      <c r="C7" s="81">
        <f t="shared" ref="C7:BI7" si="31">SUM(C$15:C$29,C$115:C$129)/1000000</f>
        <v>0.93940000000000012</v>
      </c>
      <c r="D7" s="81">
        <f t="shared" si="31"/>
        <v>0.94430000000000036</v>
      </c>
      <c r="E7" s="81">
        <f t="shared" si="31"/>
        <v>0.95069999999999988</v>
      </c>
      <c r="F7" s="81">
        <f t="shared" si="31"/>
        <v>0.95979999999999999</v>
      </c>
      <c r="G7" s="81">
        <f t="shared" si="31"/>
        <v>0.96419999999999995</v>
      </c>
      <c r="H7" s="81">
        <f t="shared" si="31"/>
        <v>0.96450000000000058</v>
      </c>
      <c r="I7" s="81">
        <f t="shared" si="31"/>
        <v>0.96599999999999997</v>
      </c>
      <c r="J7" s="81">
        <f t="shared" si="31"/>
        <v>0.97289999999999954</v>
      </c>
      <c r="K7" s="81">
        <f t="shared" si="31"/>
        <v>0.98070000000000024</v>
      </c>
      <c r="L7" s="81">
        <f t="shared" si="31"/>
        <v>0.98750000000000027</v>
      </c>
      <c r="M7" s="81">
        <f t="shared" si="31"/>
        <v>0.9923000000000004</v>
      </c>
      <c r="N7" s="81">
        <f t="shared" si="31"/>
        <v>1.0015000000000007</v>
      </c>
      <c r="O7" s="81">
        <f t="shared" si="31"/>
        <v>1.0050999999999994</v>
      </c>
      <c r="P7" s="81">
        <f t="shared" si="31"/>
        <v>1.0215000000000005</v>
      </c>
      <c r="Q7" s="81">
        <f t="shared" si="31"/>
        <v>1.0161999999999995</v>
      </c>
      <c r="R7" s="81">
        <f t="shared" si="31"/>
        <v>1.0150999999999994</v>
      </c>
      <c r="S7" s="81">
        <f t="shared" si="31"/>
        <v>1.0306000000000008</v>
      </c>
      <c r="T7" s="81">
        <f t="shared" si="31"/>
        <v>1.0377000000000001</v>
      </c>
      <c r="U7" s="81">
        <f t="shared" si="31"/>
        <v>1.0330000000000001</v>
      </c>
      <c r="V7" s="81">
        <f t="shared" si="31"/>
        <v>1.0375000000000005</v>
      </c>
      <c r="W7" s="81">
        <f t="shared" si="31"/>
        <v>1.0438999999999994</v>
      </c>
      <c r="X7" s="81">
        <f t="shared" si="31"/>
        <v>1.0503999999999998</v>
      </c>
      <c r="Y7" s="81">
        <f t="shared" si="31"/>
        <v>1.057099999999999</v>
      </c>
      <c r="Z7" s="81">
        <f t="shared" si="31"/>
        <v>1.0532712849456034</v>
      </c>
      <c r="AA7" s="81">
        <f t="shared" si="31"/>
        <v>1.0499780559129659</v>
      </c>
      <c r="AB7" s="81">
        <f t="shared" si="31"/>
        <v>1.0463552156977349</v>
      </c>
      <c r="AC7" s="81">
        <f t="shared" si="31"/>
        <v>1.043545215697735</v>
      </c>
      <c r="AD7" s="81">
        <f t="shared" si="31"/>
        <v>1.0405852156977349</v>
      </c>
      <c r="AE7" s="81">
        <f t="shared" si="31"/>
        <v>1.0389652156977349</v>
      </c>
      <c r="AF7" s="81">
        <f t="shared" si="31"/>
        <v>1.0369652156977349</v>
      </c>
      <c r="AG7" s="81">
        <f t="shared" si="31"/>
        <v>1.035685215697735</v>
      </c>
      <c r="AH7" s="81">
        <f t="shared" si="31"/>
        <v>1.0390252156977349</v>
      </c>
      <c r="AI7" s="81">
        <f t="shared" si="31"/>
        <v>1.0428552156977349</v>
      </c>
      <c r="AJ7" s="81">
        <f t="shared" si="31"/>
        <v>1.045955215697735</v>
      </c>
      <c r="AK7" s="81">
        <f t="shared" si="31"/>
        <v>1.049415215697735</v>
      </c>
      <c r="AL7" s="81">
        <f t="shared" si="31"/>
        <v>1.0532352156977351</v>
      </c>
      <c r="AM7" s="81">
        <f t="shared" si="31"/>
        <v>1.0573352156977351</v>
      </c>
      <c r="AN7" s="81">
        <f t="shared" si="31"/>
        <v>1.0617752156977351</v>
      </c>
      <c r="AO7" s="81">
        <f t="shared" si="31"/>
        <v>1.0664252156977352</v>
      </c>
      <c r="AP7" s="81">
        <f t="shared" si="31"/>
        <v>1.0711652156977352</v>
      </c>
      <c r="AQ7" s="81">
        <f t="shared" si="31"/>
        <v>1.0759452156977352</v>
      </c>
      <c r="AR7" s="81">
        <f t="shared" si="31"/>
        <v>1.080595215697735</v>
      </c>
      <c r="AS7" s="81">
        <f t="shared" si="31"/>
        <v>1.085045215697735</v>
      </c>
      <c r="AT7" s="81">
        <f t="shared" si="31"/>
        <v>1.0891552156977351</v>
      </c>
      <c r="AU7" s="81">
        <f t="shared" si="31"/>
        <v>1.0928252156977352</v>
      </c>
      <c r="AV7" s="81">
        <f t="shared" si="31"/>
        <v>1.0959652156977351</v>
      </c>
      <c r="AW7" s="81">
        <f t="shared" si="31"/>
        <v>1.0986252156977352</v>
      </c>
      <c r="AX7" s="81">
        <f t="shared" si="31"/>
        <v>1.100635215697735</v>
      </c>
      <c r="AY7" s="81">
        <f t="shared" si="31"/>
        <v>1.102055215697735</v>
      </c>
      <c r="AZ7" s="81">
        <f t="shared" si="31"/>
        <v>1.1029852156977351</v>
      </c>
      <c r="BA7" s="81">
        <f t="shared" si="31"/>
        <v>1.103445215697735</v>
      </c>
      <c r="BB7" s="81">
        <f t="shared" si="31"/>
        <v>1.1035552156977351</v>
      </c>
      <c r="BC7" s="81">
        <f t="shared" si="31"/>
        <v>1.1034352156977352</v>
      </c>
      <c r="BD7" s="81">
        <f t="shared" si="31"/>
        <v>1.103145215697735</v>
      </c>
      <c r="BE7" s="81">
        <f t="shared" si="31"/>
        <v>1.1028452156977351</v>
      </c>
      <c r="BF7" s="81">
        <f t="shared" si="31"/>
        <v>1.102565215697735</v>
      </c>
      <c r="BG7" s="81">
        <f t="shared" si="31"/>
        <v>1.102525215697735</v>
      </c>
      <c r="BH7" s="81">
        <f t="shared" si="31"/>
        <v>1.102695215697735</v>
      </c>
      <c r="BI7" s="81">
        <f t="shared" si="31"/>
        <v>1.1031552156977351</v>
      </c>
    </row>
    <row r="8" spans="1:61" x14ac:dyDescent="0.25">
      <c r="A8" s="9" t="s">
        <v>83</v>
      </c>
      <c r="B8" s="11"/>
      <c r="C8" s="11"/>
      <c r="D8" s="11"/>
      <c r="E8" s="11"/>
      <c r="F8" s="11"/>
      <c r="G8" s="11"/>
      <c r="H8" s="11"/>
      <c r="I8" s="11"/>
      <c r="J8" s="11"/>
      <c r="K8" s="11"/>
      <c r="L8" s="11"/>
      <c r="M8" s="11"/>
      <c r="N8" s="11"/>
      <c r="O8" s="11"/>
      <c r="P8" s="11"/>
      <c r="Q8" s="11"/>
      <c r="R8" s="11"/>
      <c r="S8" s="11"/>
      <c r="T8" s="11"/>
      <c r="U8" s="85">
        <f>'Economic Forecasts'!W$17</f>
        <v>32.9</v>
      </c>
      <c r="V8" s="85">
        <f>'Economic Forecasts'!X$17</f>
        <v>38.200000000000003</v>
      </c>
      <c r="W8" s="85">
        <f>'Economic Forecasts'!Y$17</f>
        <v>39.5</v>
      </c>
      <c r="X8" s="85">
        <f>'Economic Forecasts'!Z$17</f>
        <v>39.9</v>
      </c>
      <c r="Y8" s="85">
        <f>'Economic Forecasts'!AA$17</f>
        <v>40</v>
      </c>
      <c r="Z8" s="86">
        <f>MAX(Y$8-0.5,Z$9)</f>
        <v>39.5</v>
      </c>
      <c r="AA8" s="86">
        <f t="shared" ref="AA8:BI8" si="32">MAX(Z$8-0.5,AA$9)</f>
        <v>39</v>
      </c>
      <c r="AB8" s="86">
        <f t="shared" si="32"/>
        <v>38.5</v>
      </c>
      <c r="AC8" s="86">
        <f t="shared" si="32"/>
        <v>38</v>
      </c>
      <c r="AD8" s="86">
        <f t="shared" si="32"/>
        <v>38.299999999999997</v>
      </c>
      <c r="AE8" s="86">
        <f t="shared" si="32"/>
        <v>38.5</v>
      </c>
      <c r="AF8" s="86">
        <f t="shared" si="32"/>
        <v>38.799999999999997</v>
      </c>
      <c r="AG8" s="86">
        <f t="shared" si="32"/>
        <v>39</v>
      </c>
      <c r="AH8" s="86">
        <f t="shared" si="32"/>
        <v>39.299999999999997</v>
      </c>
      <c r="AI8" s="86">
        <f t="shared" si="32"/>
        <v>39.5</v>
      </c>
      <c r="AJ8" s="86">
        <f t="shared" si="32"/>
        <v>39.799999999999997</v>
      </c>
      <c r="AK8" s="86">
        <f t="shared" si="32"/>
        <v>40</v>
      </c>
      <c r="AL8" s="86">
        <f t="shared" si="32"/>
        <v>40.299999999999997</v>
      </c>
      <c r="AM8" s="86">
        <f t="shared" si="32"/>
        <v>40.5</v>
      </c>
      <c r="AN8" s="86">
        <f t="shared" si="32"/>
        <v>40.799999999999997</v>
      </c>
      <c r="AO8" s="86">
        <f t="shared" si="32"/>
        <v>41</v>
      </c>
      <c r="AP8" s="86">
        <f t="shared" si="32"/>
        <v>41.3</v>
      </c>
      <c r="AQ8" s="86">
        <f t="shared" si="32"/>
        <v>41.5</v>
      </c>
      <c r="AR8" s="86">
        <f t="shared" si="32"/>
        <v>41.8</v>
      </c>
      <c r="AS8" s="86">
        <f t="shared" si="32"/>
        <v>42</v>
      </c>
      <c r="AT8" s="86">
        <f t="shared" si="32"/>
        <v>42.3</v>
      </c>
      <c r="AU8" s="86">
        <f t="shared" si="32"/>
        <v>42.5</v>
      </c>
      <c r="AV8" s="86">
        <f t="shared" si="32"/>
        <v>42.8</v>
      </c>
      <c r="AW8" s="86">
        <f t="shared" si="32"/>
        <v>43</v>
      </c>
      <c r="AX8" s="86">
        <f t="shared" si="32"/>
        <v>43.3</v>
      </c>
      <c r="AY8" s="86">
        <f t="shared" si="32"/>
        <v>43.5</v>
      </c>
      <c r="AZ8" s="86">
        <f t="shared" si="32"/>
        <v>43.8</v>
      </c>
      <c r="BA8" s="86">
        <f t="shared" si="32"/>
        <v>44</v>
      </c>
      <c r="BB8" s="86">
        <f t="shared" si="32"/>
        <v>44.3</v>
      </c>
      <c r="BC8" s="86">
        <f t="shared" si="32"/>
        <v>44.5</v>
      </c>
      <c r="BD8" s="86">
        <f t="shared" si="32"/>
        <v>44.8</v>
      </c>
      <c r="BE8" s="86">
        <f t="shared" si="32"/>
        <v>45</v>
      </c>
      <c r="BF8" s="86">
        <f t="shared" si="32"/>
        <v>45.3</v>
      </c>
      <c r="BG8" s="86">
        <f t="shared" si="32"/>
        <v>45.5</v>
      </c>
      <c r="BH8" s="86">
        <f t="shared" si="32"/>
        <v>45.8</v>
      </c>
      <c r="BI8" s="86">
        <f t="shared" si="32"/>
        <v>46</v>
      </c>
    </row>
    <row r="9" spans="1:61" x14ac:dyDescent="0.25">
      <c r="A9" s="9" t="s">
        <v>84</v>
      </c>
      <c r="B9" s="11"/>
      <c r="C9" s="11"/>
      <c r="D9" s="11"/>
      <c r="E9" s="11"/>
      <c r="F9" s="11"/>
      <c r="G9" s="11"/>
      <c r="H9" s="11"/>
      <c r="I9" s="11"/>
      <c r="J9" s="11"/>
      <c r="K9" s="11"/>
      <c r="L9" s="11"/>
      <c r="M9" s="11"/>
      <c r="N9" s="11"/>
      <c r="O9" s="11"/>
      <c r="P9" s="11"/>
      <c r="Q9" s="11"/>
      <c r="R9" s="11"/>
      <c r="S9" s="11"/>
      <c r="T9" s="11"/>
      <c r="U9" s="85">
        <v>25</v>
      </c>
      <c r="V9" s="85">
        <v>30</v>
      </c>
      <c r="W9" s="85">
        <v>32.5</v>
      </c>
      <c r="X9" s="85">
        <v>34.5</v>
      </c>
      <c r="Y9" s="85">
        <v>36</v>
      </c>
      <c r="Z9" s="86">
        <v>37</v>
      </c>
      <c r="AA9" s="86">
        <f>Z9+0.5</f>
        <v>37.5</v>
      </c>
      <c r="AB9" s="86">
        <f>AA9+0.3</f>
        <v>37.799999999999997</v>
      </c>
      <c r="AC9" s="86">
        <f>AB9+0.2</f>
        <v>38</v>
      </c>
      <c r="AD9" s="86">
        <f>AC9+0.3</f>
        <v>38.299999999999997</v>
      </c>
      <c r="AE9" s="86">
        <f>AD9+0.2</f>
        <v>38.5</v>
      </c>
      <c r="AF9" s="86">
        <f>AE9+0.3</f>
        <v>38.799999999999997</v>
      </c>
      <c r="AG9" s="86">
        <f>AF9+0.2</f>
        <v>39</v>
      </c>
      <c r="AH9" s="86">
        <f>AG9+0.3</f>
        <v>39.299999999999997</v>
      </c>
      <c r="AI9" s="86">
        <f>AH9+0.2</f>
        <v>39.5</v>
      </c>
      <c r="AJ9" s="86">
        <f>AI9+0.3</f>
        <v>39.799999999999997</v>
      </c>
      <c r="AK9" s="86">
        <f>AJ9+0.2</f>
        <v>40</v>
      </c>
      <c r="AL9" s="86">
        <f>AK9+0.3</f>
        <v>40.299999999999997</v>
      </c>
      <c r="AM9" s="86">
        <f>AL9+0.2</f>
        <v>40.5</v>
      </c>
      <c r="AN9" s="86">
        <f>AM9+0.3</f>
        <v>40.799999999999997</v>
      </c>
      <c r="AO9" s="86">
        <f>AN9+0.2</f>
        <v>41</v>
      </c>
      <c r="AP9" s="86">
        <f>AO9+0.3</f>
        <v>41.3</v>
      </c>
      <c r="AQ9" s="86">
        <f>AP9+0.2</f>
        <v>41.5</v>
      </c>
      <c r="AR9" s="86">
        <f>AQ9+0.3</f>
        <v>41.8</v>
      </c>
      <c r="AS9" s="86">
        <f>AR9+0.2</f>
        <v>42</v>
      </c>
      <c r="AT9" s="86">
        <f>AS9+0.3</f>
        <v>42.3</v>
      </c>
      <c r="AU9" s="86">
        <f>AT9+0.2</f>
        <v>42.5</v>
      </c>
      <c r="AV9" s="86">
        <f>AU9+0.3</f>
        <v>42.8</v>
      </c>
      <c r="AW9" s="86">
        <f>AV9+0.2</f>
        <v>43</v>
      </c>
      <c r="AX9" s="86">
        <f>AW9+0.3</f>
        <v>43.3</v>
      </c>
      <c r="AY9" s="86">
        <f>AX9+0.2</f>
        <v>43.5</v>
      </c>
      <c r="AZ9" s="86">
        <f>AY9+0.3</f>
        <v>43.8</v>
      </c>
      <c r="BA9" s="86">
        <f>AZ9+0.2</f>
        <v>44</v>
      </c>
      <c r="BB9" s="86">
        <f>BA9+0.3</f>
        <v>44.3</v>
      </c>
      <c r="BC9" s="86">
        <f>BB9+0.2</f>
        <v>44.5</v>
      </c>
      <c r="BD9" s="86">
        <f>BC9+0.3</f>
        <v>44.8</v>
      </c>
      <c r="BE9" s="86">
        <f>BD9+0.2</f>
        <v>45</v>
      </c>
      <c r="BF9" s="86">
        <f>BE9+0.3</f>
        <v>45.3</v>
      </c>
      <c r="BG9" s="86">
        <f>BF9+0.2</f>
        <v>45.5</v>
      </c>
      <c r="BH9" s="86">
        <f>BG9+0.3</f>
        <v>45.8</v>
      </c>
      <c r="BI9" s="86">
        <f>BH9+0.2</f>
        <v>46</v>
      </c>
    </row>
    <row r="10" spans="1:61" x14ac:dyDescent="0.25">
      <c r="A10" s="9" t="s">
        <v>85</v>
      </c>
    </row>
    <row r="11" spans="1:61" x14ac:dyDescent="0.25">
      <c r="A11" s="9" t="s">
        <v>86</v>
      </c>
      <c r="B11" s="83" t="s">
        <v>89</v>
      </c>
      <c r="C11" s="83" t="s">
        <v>90</v>
      </c>
      <c r="D11" s="83" t="s">
        <v>91</v>
      </c>
      <c r="E11" s="83" t="s">
        <v>92</v>
      </c>
      <c r="F11" s="83" t="s">
        <v>93</v>
      </c>
      <c r="G11" s="83" t="s">
        <v>94</v>
      </c>
      <c r="H11" s="83" t="s">
        <v>95</v>
      </c>
      <c r="I11" s="83" t="s">
        <v>96</v>
      </c>
      <c r="J11" s="83" t="s">
        <v>97</v>
      </c>
      <c r="K11" s="83" t="s">
        <v>98</v>
      </c>
      <c r="L11" s="83" t="s">
        <v>99</v>
      </c>
      <c r="M11" s="83" t="s">
        <v>100</v>
      </c>
      <c r="N11" s="83" t="s">
        <v>101</v>
      </c>
      <c r="O11" s="83" t="s">
        <v>102</v>
      </c>
      <c r="P11" s="83" t="s">
        <v>103</v>
      </c>
      <c r="Q11" s="83" t="s">
        <v>104</v>
      </c>
      <c r="R11" s="83" t="s">
        <v>105</v>
      </c>
      <c r="S11" s="83" t="s">
        <v>106</v>
      </c>
      <c r="T11" s="83" t="s">
        <v>107</v>
      </c>
      <c r="U11" s="83" t="s">
        <v>108</v>
      </c>
    </row>
    <row r="12" spans="1:61" x14ac:dyDescent="0.25">
      <c r="A12" s="9" t="s">
        <v>87</v>
      </c>
      <c r="B12" s="31">
        <v>2.6425590714501453E-2</v>
      </c>
      <c r="C12" s="31">
        <v>4.1234733184987785E-2</v>
      </c>
      <c r="D12" s="31">
        <v>4.0156319513511757E-2</v>
      </c>
      <c r="E12" s="31">
        <v>5.5410759447520906E-2</v>
      </c>
      <c r="F12" s="31">
        <v>-7.0268328935790348E-3</v>
      </c>
      <c r="G12" s="31">
        <v>9.9773874054924203E-2</v>
      </c>
      <c r="H12" s="31">
        <v>0.10249018077299692</v>
      </c>
      <c r="I12" s="31">
        <v>6.493174074927778E-2</v>
      </c>
      <c r="J12" s="31">
        <v>3.6680817020274259E-2</v>
      </c>
      <c r="K12" s="31">
        <v>9.6258134748373574E-3</v>
      </c>
      <c r="L12" s="31">
        <v>2.5606802505114502E-3</v>
      </c>
      <c r="M12" s="31">
        <v>1.0513270240974098E-2</v>
      </c>
      <c r="N12" s="31">
        <v>1.5395700398218803E-2</v>
      </c>
      <c r="O12" s="31">
        <v>7.8155332609658595E-3</v>
      </c>
      <c r="P12" s="31">
        <v>3.1598032049964062E-3</v>
      </c>
      <c r="Q12" s="31">
        <v>1.7419224838287047E-3</v>
      </c>
      <c r="R12" s="31">
        <v>9.5729348354161854E-4</v>
      </c>
      <c r="S12" s="31">
        <v>3.1786943641608803E-4</v>
      </c>
      <c r="T12" s="31">
        <v>3.0142990071690815E-4</v>
      </c>
      <c r="U12" s="28">
        <f>SUM($B$12:$T$12)</f>
        <v>0.51246649869942329</v>
      </c>
    </row>
    <row r="13" spans="1:61" x14ac:dyDescent="0.25">
      <c r="A13" s="9" t="s">
        <v>88</v>
      </c>
      <c r="B13" s="31">
        <v>3.0037309136174063E-2</v>
      </c>
      <c r="C13" s="31">
        <v>4.4282169095202918E-2</v>
      </c>
      <c r="D13" s="31">
        <v>4.2377856597249373E-2</v>
      </c>
      <c r="E13" s="31">
        <v>6.8621462769014291E-2</v>
      </c>
      <c r="F13" s="31">
        <v>-1.0238043930636126E-2</v>
      </c>
      <c r="G13" s="31">
        <v>4.5885820159620699E-2</v>
      </c>
      <c r="H13" s="31">
        <v>9.3818367775033731E-2</v>
      </c>
      <c r="I13" s="31">
        <v>7.1007179763121028E-2</v>
      </c>
      <c r="J13" s="31">
        <v>4.6829161615195507E-2</v>
      </c>
      <c r="K13" s="31">
        <v>1.8292934244730514E-2</v>
      </c>
      <c r="L13" s="31">
        <v>4.1365914465587225E-3</v>
      </c>
      <c r="M13" s="31">
        <v>4.5830699090324886E-3</v>
      </c>
      <c r="N13" s="31">
        <v>1.2758722167722563E-2</v>
      </c>
      <c r="O13" s="31">
        <v>8.8155106227839151E-3</v>
      </c>
      <c r="P13" s="31">
        <v>3.5659477170100306E-3</v>
      </c>
      <c r="Q13" s="31">
        <v>1.6009592911941488E-3</v>
      </c>
      <c r="R13" s="31">
        <v>4.8177268312092381E-4</v>
      </c>
      <c r="S13" s="31">
        <v>3.8055896350697377E-4</v>
      </c>
      <c r="T13" s="31">
        <v>2.9949670479101169E-4</v>
      </c>
      <c r="U13" s="28">
        <f>SUM($B$13:$T$13)</f>
        <v>0.48753684673042674</v>
      </c>
    </row>
    <row r="14" spans="1:61" x14ac:dyDescent="0.25">
      <c r="A14" s="9" t="s">
        <v>7</v>
      </c>
    </row>
    <row r="15" spans="1:61" x14ac:dyDescent="0.25">
      <c r="A15" s="11">
        <v>0</v>
      </c>
      <c r="B15" s="44">
        <f>'Statistics NZ'!B$15*('Economic Forecasts'!D$10-'Economic Forecasts'!D$9)*1000000/SUM('Statistics NZ'!B$15:B$29,'Statistics NZ'!B$115:B$129)</f>
        <v>30650.829102452975</v>
      </c>
      <c r="C15" s="44">
        <f>'Statistics NZ'!C$15*('Economic Forecasts'!E$10-'Economic Forecasts'!E$9)*1000000/SUM('Statistics NZ'!C$15:C$29,'Statistics NZ'!C$115:C$129)</f>
        <v>31861.395714125436</v>
      </c>
      <c r="D15" s="44">
        <f>'Statistics NZ'!D$15*('Economic Forecasts'!F$10-'Economic Forecasts'!F$9)*1000000/SUM('Statistics NZ'!D$15:D$29,'Statistics NZ'!D$115:D$129)</f>
        <v>33068.584382083958</v>
      </c>
      <c r="E15" s="44">
        <f>'Statistics NZ'!E$15*('Economic Forecasts'!G$10-'Economic Forecasts'!G$9)*1000000/SUM('Statistics NZ'!E$15:E$29,'Statistics NZ'!E$115:E$129)</f>
        <v>32524.83576723334</v>
      </c>
      <c r="F15" s="44">
        <f>'Statistics NZ'!F$15*('Economic Forecasts'!H$10-'Economic Forecasts'!H$9)*1000000/SUM('Statistics NZ'!F$15:F$29,'Statistics NZ'!F$115:F$129)</f>
        <v>33302.462175435503</v>
      </c>
      <c r="G15" s="44">
        <f>'Statistics NZ'!G$15*('Economic Forecasts'!I$10-'Economic Forecasts'!I$9)*1000000/SUM('Statistics NZ'!G$15:G$29,'Statistics NZ'!G$115:G$129)</f>
        <v>32471.383865335836</v>
      </c>
      <c r="H15" s="44">
        <f>'Statistics NZ'!H$15*('Economic Forecasts'!J$10-'Economic Forecasts'!J$9)*1000000/SUM('Statistics NZ'!H$15:H$29,'Statistics NZ'!H$115:H$129)</f>
        <v>31676.130181026823</v>
      </c>
      <c r="I15" s="44">
        <f>'Statistics NZ'!I$15*('Economic Forecasts'!K$10-'Economic Forecasts'!K$9)*1000000/SUM('Statistics NZ'!I$15:I$29,'Statistics NZ'!I$115:I$129)</f>
        <v>31218.895454395395</v>
      </c>
      <c r="J15" s="44">
        <f>'Statistics NZ'!J$15*('Economic Forecasts'!L$10-'Economic Forecasts'!L$9)*1000000/SUM('Statistics NZ'!J$15:J$29,'Statistics NZ'!J$115:J$129)</f>
        <v>30295.413015103473</v>
      </c>
      <c r="K15" s="44">
        <f>'Statistics NZ'!K$15*('Economic Forecasts'!M$10-'Economic Forecasts'!M$9)*1000000/SUM('Statistics NZ'!K$15:K$29,'Statistics NZ'!K$115:K$129)</f>
        <v>30529.459149702565</v>
      </c>
      <c r="L15" s="44">
        <f>'Statistics NZ'!L$15*('Economic Forecasts'!N$10-'Economic Forecasts'!N$9)*1000000/SUM('Statistics NZ'!L$15:L$29,'Statistics NZ'!L$115:L$129)</f>
        <v>30747.901840756211</v>
      </c>
      <c r="M15" s="44">
        <f>'Statistics NZ'!M$15*('Economic Forecasts'!O$10-'Economic Forecasts'!O$9)*1000000/SUM('Statistics NZ'!M$15:M$29,'Statistics NZ'!M$115:M$129)</f>
        <v>31193.743795565901</v>
      </c>
      <c r="N15" s="44">
        <f>'Statistics NZ'!N$15*('Economic Forecasts'!P$10-'Economic Forecasts'!P$9)*1000000/SUM('Statistics NZ'!N$15:N$29,'Statistics NZ'!N$115:N$129)</f>
        <v>30686.128456263817</v>
      </c>
      <c r="O15" s="44">
        <f>'Statistics NZ'!O$15*('Economic Forecasts'!Q$10-'Economic Forecasts'!Q$9)*1000000/SUM('Statistics NZ'!O$15:O$29,'Statistics NZ'!O$115:O$129)</f>
        <v>30363.654419066523</v>
      </c>
      <c r="P15" s="44">
        <f>'Statistics NZ'!P$15*('Economic Forecasts'!R$10-'Economic Forecasts'!R$9)*1000000/SUM('Statistics NZ'!P$15:P$29,'Statistics NZ'!P$115:P$129)</f>
        <v>30690.518284172344</v>
      </c>
      <c r="Q15" s="44">
        <f>'Statistics NZ'!Q$15*('Economic Forecasts'!S$10-'Economic Forecasts'!S$9)*1000000/SUM('Statistics NZ'!Q$15:Q$29,'Statistics NZ'!Q$115:Q$129)</f>
        <v>31000.648545935215</v>
      </c>
      <c r="R15" s="44">
        <f>'Statistics NZ'!R$15*('Economic Forecasts'!T$10-'Economic Forecasts'!T$9)*1000000/SUM('Statistics NZ'!R$15:R$29,'Statistics NZ'!R$115:R$129)</f>
        <v>31413.416216104011</v>
      </c>
      <c r="S15" s="44">
        <f>'Statistics NZ'!S$15*('Economic Forecasts'!U$10-'Economic Forecasts'!U$9)*1000000/SUM('Statistics NZ'!S$15:S$29,'Statistics NZ'!S$115:S$129)</f>
        <v>29282.695341093044</v>
      </c>
      <c r="T15" s="44">
        <f>'Statistics NZ'!T$15*('Economic Forecasts'!V$10-'Economic Forecasts'!V$9)*1000000/SUM('Statistics NZ'!T$15:T$29,'Statistics NZ'!T$115:T$129)</f>
        <v>29554.17532580543</v>
      </c>
      <c r="U15" s="45">
        <f>SUM('Statistics NZ'!U$15,$B$12/5*(U$8-U$9)*1000)*('Economic Forecasts'!W$10-'Economic Forecasts'!W$9)*1000000/SUM('Statistics NZ'!U$15:U$29,'Statistics NZ'!U$115:U$129,SUM($B$12:$D$13)*(U$8-U$9)*1000)</f>
        <v>30145.24313931174</v>
      </c>
      <c r="V15" s="45">
        <f>SUM('Statistics NZ'!V$15,$B$12/5*(V$8-V$9)*1000)*('Economic Forecasts'!X$10-'Economic Forecasts'!X$9)*1000000/SUM('Statistics NZ'!V$15:V$29,'Statistics NZ'!V$115:V$129,SUM($B$12:$D$13)*(V$8-V$9)*1000)</f>
        <v>30501.169581073947</v>
      </c>
      <c r="W15" s="45">
        <f>SUM('Statistics NZ'!W$15,$B$12/5*(W$8-W$9)*1000)*('Economic Forecasts'!Y$10-'Economic Forecasts'!Y$9)*1000000/SUM('Statistics NZ'!W$15:W$29,'Statistics NZ'!W$115:W$129,SUM($B$12:$D$13)*(W$8-W$9)*1000)</f>
        <v>30881.158563776004</v>
      </c>
      <c r="X15" s="45">
        <f>SUM('Statistics NZ'!X$15,$B$12/5*(X$8-X$9)*1000)*('Economic Forecasts'!Z$10-'Economic Forecasts'!Z$9)*1000000/SUM('Statistics NZ'!X$15:X$29,'Statistics NZ'!X$115:X$129,SUM($B$12:$D$13)*(X$8-X$9)*1000)</f>
        <v>31254.297091339649</v>
      </c>
      <c r="Y15" s="45">
        <f>SUM('Statistics NZ'!Y$15,$B$12/5*(Y$8-Y$9)*1000)*('Economic Forecasts'!AA$10-'Economic Forecasts'!AA$9)*1000000/SUM('Statistics NZ'!Y$15:Y$29,'Statistics NZ'!Y$115:Y$129,SUM($B$12:$D$13)*(Y$8-Y$9)*1000)</f>
        <v>31579.403172855629</v>
      </c>
      <c r="Z15" s="46">
        <f>SUM(Y$15,'Statistics NZ'!Z$15-'Statistics NZ'!Y$15,$B$12/5*(Z$8-Z$9)*1000)</f>
        <v>31582.615968212878</v>
      </c>
      <c r="AA15" s="46">
        <f>SUM(Z$15,'Statistics NZ'!AA$15-'Statistics NZ'!Z$15,$B$12/5*(AA$8-AA$9)*1000)</f>
        <v>31600.543645427228</v>
      </c>
      <c r="AB15" s="46">
        <f>SUM(AA$15,'Statistics NZ'!AB$15-'Statistics NZ'!AA$15,$B$12/5*(AB$8-AB$9)*1000)</f>
        <v>31624.243228127259</v>
      </c>
      <c r="AC15" s="46">
        <f>SUM(AB$15,'Statistics NZ'!AC$15-'Statistics NZ'!AB$15,$B$12/5*(AC$8-AC$9)*1000)</f>
        <v>31674.243228127259</v>
      </c>
      <c r="AD15" s="46">
        <f>SUM(AC$15,'Statistics NZ'!AD$15-'Statistics NZ'!AC$15,$B$12/5*(AD$8-AD$9)*1000)</f>
        <v>31754.243228127259</v>
      </c>
      <c r="AE15" s="46">
        <f>SUM(AD$15,'Statistics NZ'!AE$15-'Statistics NZ'!AD$15,$B$12/5*(AE$8-AE$9)*1000)</f>
        <v>31874.243228127259</v>
      </c>
      <c r="AF15" s="46">
        <f>SUM(AE$15,'Statistics NZ'!AF$15-'Statistics NZ'!AE$15,$B$12/5*(AF$8-AF$9)*1000)</f>
        <v>32034.243228127259</v>
      </c>
      <c r="AG15" s="46">
        <f>SUM(AF$15,'Statistics NZ'!AG$15-'Statistics NZ'!AF$15,$B$12/5*(AG$8-AG$9)*1000)</f>
        <v>32214.243228127259</v>
      </c>
      <c r="AH15" s="46">
        <f>SUM(AG$15,'Statistics NZ'!AH$15-'Statistics NZ'!AG$15,$B$12/5*(AH$8-AH$9)*1000)</f>
        <v>32424.243228127259</v>
      </c>
      <c r="AI15" s="46">
        <f>SUM(AH$15,'Statistics NZ'!AI$15-'Statistics NZ'!AH$15,$B$12/5*(AI$8-AI$9)*1000)</f>
        <v>32644.243228127259</v>
      </c>
      <c r="AJ15" s="46">
        <f>SUM(AI$15,'Statistics NZ'!AJ$15-'Statistics NZ'!AI$15,$B$12/5*(AJ$8-AJ$9)*1000)</f>
        <v>32864.243228127263</v>
      </c>
      <c r="AK15" s="46">
        <f>SUM(AJ$15,'Statistics NZ'!AK$15-'Statistics NZ'!AJ$15,$B$12/5*(AK$8-AK$9)*1000)</f>
        <v>33084.243228127263</v>
      </c>
      <c r="AL15" s="46">
        <f>SUM(AK$15,'Statistics NZ'!AL$15-'Statistics NZ'!AK$15,$B$12/5*(AL$8-AL$9)*1000)</f>
        <v>33274.243228127263</v>
      </c>
      <c r="AM15" s="46">
        <f>SUM(AL$15,'Statistics NZ'!AM$15-'Statistics NZ'!AL$15,$B$12/5*(AM$8-AM$9)*1000)</f>
        <v>33434.243228127263</v>
      </c>
      <c r="AN15" s="46">
        <f>SUM(AM$15,'Statistics NZ'!AN$15-'Statistics NZ'!AM$15,$B$12/5*(AN$8-AN$9)*1000)</f>
        <v>33564.243228127263</v>
      </c>
      <c r="AO15" s="46">
        <f>SUM(AN$15,'Statistics NZ'!AO$15-'Statistics NZ'!AN$15,$B$12/5*(AO$8-AO$9)*1000)</f>
        <v>33654.243228127263</v>
      </c>
      <c r="AP15" s="46">
        <f>SUM(AO$15,'Statistics NZ'!AP$15-'Statistics NZ'!AO$15,$B$12/5*(AP$8-AP$9)*1000)</f>
        <v>33714.243228127263</v>
      </c>
      <c r="AQ15" s="46">
        <f>SUM(AP$15,'Statistics NZ'!AQ$15-'Statistics NZ'!AP$15,$B$12/5*(AQ$8-AQ$9)*1000)</f>
        <v>33744.243228127263</v>
      </c>
      <c r="AR15" s="46">
        <f>SUM(AQ$15,'Statistics NZ'!AR$15-'Statistics NZ'!AQ$15,$B$12/5*(AR$8-AR$9)*1000)</f>
        <v>33744.243228127263</v>
      </c>
      <c r="AS15" s="46">
        <f>SUM(AR$15,'Statistics NZ'!AS$15-'Statistics NZ'!AR$15,$B$12/5*(AS$8-AS$9)*1000)</f>
        <v>33724.243228127263</v>
      </c>
      <c r="AT15" s="46">
        <f>SUM(AS$15,'Statistics NZ'!AT$15-'Statistics NZ'!AS$15,$B$12/5*(AT$8-AT$9)*1000)</f>
        <v>33684.243228127263</v>
      </c>
      <c r="AU15" s="46">
        <f>SUM(AT$15,'Statistics NZ'!AU$15-'Statistics NZ'!AT$15,$B$12/5*(AU$8-AU$9)*1000)</f>
        <v>33624.243228127263</v>
      </c>
      <c r="AV15" s="46">
        <f>SUM(AU$15,'Statistics NZ'!AV$15-'Statistics NZ'!AU$15,$B$12/5*(AV$8-AV$9)*1000)</f>
        <v>33554.243228127263</v>
      </c>
      <c r="AW15" s="46">
        <f>SUM(AV$15,'Statistics NZ'!AW$15-'Statistics NZ'!AV$15,$B$12/5*(AW$8-AW$9)*1000)</f>
        <v>33494.243228127263</v>
      </c>
      <c r="AX15" s="46">
        <f>SUM(AW$15,'Statistics NZ'!AX$15-'Statistics NZ'!AW$15,$B$12/5*(AX$8-AX$9)*1000)</f>
        <v>33434.243228127263</v>
      </c>
      <c r="AY15" s="46">
        <f>SUM(AX$15,'Statistics NZ'!AY$15-'Statistics NZ'!AX$15,$B$12/5*(AY$8-AY$9)*1000)</f>
        <v>33374.243228127263</v>
      </c>
      <c r="AZ15" s="46">
        <f>SUM(AY$15,'Statistics NZ'!AZ$15-'Statistics NZ'!AY$15,$B$12/5*(AZ$8-AZ$9)*1000)</f>
        <v>33334.243228127263</v>
      </c>
      <c r="BA15" s="46">
        <f>SUM(AZ$15,'Statistics NZ'!BA$15-'Statistics NZ'!AZ$15,$B$12/5*(BA$8-BA$9)*1000)</f>
        <v>33304.243228127263</v>
      </c>
      <c r="BB15" s="46">
        <f>SUM(BA$15,'Statistics NZ'!BB$15-'Statistics NZ'!BA$15,$B$12/5*(BB$8-BB$9)*1000)</f>
        <v>33284.243228127263</v>
      </c>
      <c r="BC15" s="46">
        <f>SUM(BB$15,'Statistics NZ'!BC$15-'Statistics NZ'!BB$15,$B$12/5*(BC$8-BC$9)*1000)</f>
        <v>33294.243228127263</v>
      </c>
      <c r="BD15" s="46">
        <f>SUM(BC$15,'Statistics NZ'!BD$15-'Statistics NZ'!BC$15,$B$12/5*(BD$8-BD$9)*1000)</f>
        <v>33324.243228127263</v>
      </c>
      <c r="BE15" s="46">
        <f>SUM(BD$15,'Statistics NZ'!BE$15-'Statistics NZ'!BD$15,$B$12/5*(BE$8-BE$9)*1000)</f>
        <v>33374.243228127263</v>
      </c>
      <c r="BF15" s="46">
        <f>SUM(BE$15,'Statistics NZ'!BF$15-'Statistics NZ'!BE$15,$B$12/5*(BF$8-BF$9)*1000)</f>
        <v>33434.243228127263</v>
      </c>
      <c r="BG15" s="46">
        <f>SUM(BF$15,'Statistics NZ'!BG$15-'Statistics NZ'!BF$15,$B$12/5*(BG$8-BG$9)*1000)</f>
        <v>33514.243228127263</v>
      </c>
      <c r="BH15" s="46">
        <f>SUM(BG$15,'Statistics NZ'!BH$15-'Statistics NZ'!BG$15,$B$12/5*(BH$8-BH$9)*1000)</f>
        <v>33604.243228127263</v>
      </c>
      <c r="BI15" s="46">
        <f>SUM(BH$15,'Statistics NZ'!BI$15-'Statistics NZ'!BH$15,$B$12/5*(BI$8-BI$9)*1000)</f>
        <v>33714.243228127263</v>
      </c>
    </row>
    <row r="16" spans="1:61" x14ac:dyDescent="0.25">
      <c r="A16" s="11">
        <v>1</v>
      </c>
      <c r="B16" s="44">
        <f>'Statistics NZ'!B$16*('Economic Forecasts'!D$10-'Economic Forecasts'!D$9)*1000000/SUM('Statistics NZ'!B$15:B$29,'Statistics NZ'!B$115:B$129)</f>
        <v>29675.430874356931</v>
      </c>
      <c r="C16" s="44">
        <f>'Statistics NZ'!C$16*('Economic Forecasts'!E$10-'Economic Forecasts'!E$9)*1000000/SUM('Statistics NZ'!C$15:C$29,'Statistics NZ'!C$115:C$129)</f>
        <v>30406.92247279255</v>
      </c>
      <c r="D16" s="44">
        <f>'Statistics NZ'!D$16*('Economic Forecasts'!F$10-'Economic Forecasts'!F$9)*1000000/SUM('Statistics NZ'!D$15:D$29,'Statistics NZ'!D$115:D$129)</f>
        <v>31750.480731650125</v>
      </c>
      <c r="E16" s="44">
        <f>'Statistics NZ'!E$16*('Economic Forecasts'!G$10-'Economic Forecasts'!G$9)*1000000/SUM('Statistics NZ'!E$15:E$29,'Statistics NZ'!E$115:E$129)</f>
        <v>32978.47441075946</v>
      </c>
      <c r="F16" s="44">
        <f>'Statistics NZ'!F$16*('Economic Forecasts'!H$10-'Economic Forecasts'!H$9)*1000000/SUM('Statistics NZ'!F$15:F$29,'Statistics NZ'!F$115:F$129)</f>
        <v>32573.211178893122</v>
      </c>
      <c r="G16" s="44">
        <f>'Statistics NZ'!G$16*('Economic Forecasts'!I$10-'Economic Forecasts'!I$9)*1000000/SUM('Statistics NZ'!G$15:G$29,'Statistics NZ'!G$115:G$129)</f>
        <v>33307.784036630757</v>
      </c>
      <c r="H16" s="44">
        <f>'Statistics NZ'!H$16*('Economic Forecasts'!J$10-'Economic Forecasts'!J$9)*1000000/SUM('Statistics NZ'!H$15:H$29,'Statistics NZ'!H$115:H$129)</f>
        <v>32481.814884426436</v>
      </c>
      <c r="I16" s="44">
        <f>'Statistics NZ'!I$16*('Economic Forecasts'!K$10-'Economic Forecasts'!K$9)*1000000/SUM('Statistics NZ'!I$15:I$29,'Statistics NZ'!I$115:I$129)</f>
        <v>31835.407519889075</v>
      </c>
      <c r="J16" s="44">
        <f>'Statistics NZ'!J$16*('Economic Forecasts'!L$10-'Economic Forecasts'!L$9)*1000000/SUM('Statistics NZ'!J$15:J$29,'Statistics NZ'!J$115:J$129)</f>
        <v>31490.58253172609</v>
      </c>
      <c r="K16" s="44">
        <f>'Statistics NZ'!K$16*('Economic Forecasts'!M$10-'Economic Forecasts'!M$9)*1000000/SUM('Statistics NZ'!K$15:K$29,'Statistics NZ'!K$115:K$129)</f>
        <v>30690.027833870005</v>
      </c>
      <c r="L16" s="44">
        <f>'Statistics NZ'!L$16*('Economic Forecasts'!N$10-'Economic Forecasts'!N$9)*1000000/SUM('Statistics NZ'!L$15:L$29,'Statistics NZ'!L$115:L$129)</f>
        <v>30865.382535528119</v>
      </c>
      <c r="M16" s="44">
        <f>'Statistics NZ'!M$16*('Economic Forecasts'!O$10-'Economic Forecasts'!O$9)*1000000/SUM('Statistics NZ'!M$15:M$29,'Statistics NZ'!M$115:M$129)</f>
        <v>30759.467566153951</v>
      </c>
      <c r="N16" s="44">
        <f>'Statistics NZ'!N$16*('Economic Forecasts'!P$10-'Economic Forecasts'!P$9)*1000000/SUM('Statistics NZ'!N$15:N$29,'Statistics NZ'!N$115:N$129)</f>
        <v>31342.176719811527</v>
      </c>
      <c r="O16" s="44">
        <f>'Statistics NZ'!O$16*('Economic Forecasts'!Q$10-'Economic Forecasts'!Q$9)*1000000/SUM('Statistics NZ'!O$15:O$29,'Statistics NZ'!O$115:O$129)</f>
        <v>30584.289970208527</v>
      </c>
      <c r="P16" s="44">
        <f>'Statistics NZ'!P$16*('Economic Forecasts'!R$10-'Economic Forecasts'!R$9)*1000000/SUM('Statistics NZ'!P$15:P$29,'Statistics NZ'!P$115:P$129)</f>
        <v>30711.640457802194</v>
      </c>
      <c r="Q16" s="44">
        <f>'Statistics NZ'!Q$16*('Economic Forecasts'!S$10-'Economic Forecasts'!S$9)*1000000/SUM('Statistics NZ'!Q$15:Q$29,'Statistics NZ'!Q$115:Q$129)</f>
        <v>30591.364424983462</v>
      </c>
      <c r="R16" s="44">
        <f>'Statistics NZ'!R$16*('Economic Forecasts'!T$10-'Economic Forecasts'!T$9)*1000000/SUM('Statistics NZ'!R$15:R$29,'Statistics NZ'!R$115:R$129)</f>
        <v>31044.714147839877</v>
      </c>
      <c r="S16" s="44">
        <f>'Statistics NZ'!S$16*('Economic Forecasts'!U$10-'Economic Forecasts'!U$9)*1000000/SUM('Statistics NZ'!S$15:S$29,'Statistics NZ'!S$115:S$129)</f>
        <v>31917.712918956277</v>
      </c>
      <c r="T16" s="44">
        <f>'Statistics NZ'!T$16*('Economic Forecasts'!V$10-'Economic Forecasts'!V$9)*1000000/SUM('Statistics NZ'!T$15:T$29,'Statistics NZ'!T$115:T$129)</f>
        <v>29437.318414021149</v>
      </c>
      <c r="U16" s="45">
        <f>SUM('Statistics NZ'!U$16,$B$12/5*(U$8-U$9)*1000)*('Economic Forecasts'!W$10-'Economic Forecasts'!W$9)*1000000/SUM('Statistics NZ'!U$15:U$29,'Statistics NZ'!U$115:U$129,SUM($B$12:$D$13)*(U$8-U$9)*1000)</f>
        <v>29623.694581430838</v>
      </c>
      <c r="V16" s="45">
        <f>SUM('Statistics NZ'!V$16,$B$12/5*(V$8-V$9)*1000)*('Economic Forecasts'!X$10-'Economic Forecasts'!X$9)*1000000/SUM('Statistics NZ'!V$15:V$29,'Statistics NZ'!V$115:V$129,SUM($B$12:$D$13)*(V$8-V$9)*1000)</f>
        <v>30490.404464159485</v>
      </c>
      <c r="W16" s="45">
        <f>SUM('Statistics NZ'!W$16,$B$12/5*(W$8-W$9)*1000)*('Economic Forecasts'!Y$10-'Economic Forecasts'!Y$9)*1000000/SUM('Statistics NZ'!W$15:W$29,'Statistics NZ'!W$115:W$129,SUM($B$12:$D$13)*(W$8-W$9)*1000)</f>
        <v>30902.969605280858</v>
      </c>
      <c r="X16" s="45">
        <f>SUM('Statistics NZ'!X$16,$B$12/5*(X$8-X$9)*1000)*('Economic Forecasts'!Z$10-'Economic Forecasts'!Z$9)*1000000/SUM('Statistics NZ'!X$15:X$29,'Statistics NZ'!X$115:X$129,SUM($B$12:$D$13)*(X$8-X$9)*1000)</f>
        <v>31298.475055985433</v>
      </c>
      <c r="Y16" s="45">
        <f>SUM('Statistics NZ'!Y$16,$B$12/5*(Y$8-Y$9)*1000)*('Economic Forecasts'!AA$10-'Economic Forecasts'!AA$9)*1000000/SUM('Statistics NZ'!Y$15:Y$29,'Statistics NZ'!Y$115:Y$129,SUM($B$12:$D$13)*(Y$8-Y$9)*1000)</f>
        <v>31635.25412659323</v>
      </c>
      <c r="Z16" s="46">
        <f>SUM(Y$16,'Statistics NZ'!Z$16-'Statistics NZ'!Y$16,$B$12/5*(Z$8-Z$9)*1000)</f>
        <v>31638.466921950479</v>
      </c>
      <c r="AA16" s="46">
        <f>SUM(Z$16,'Statistics NZ'!AA$16-'Statistics NZ'!Z$16,$B$12/5*(AA$8-AA$9)*1000)</f>
        <v>31646.394599164829</v>
      </c>
      <c r="AB16" s="46">
        <f>SUM(AA$16,'Statistics NZ'!AB$16-'Statistics NZ'!AA$16,$B$12/5*(AB$8-AB$9)*1000)</f>
        <v>31650.094181864861</v>
      </c>
      <c r="AC16" s="46">
        <f>SUM(AB$16,'Statistics NZ'!AC$16-'Statistics NZ'!AB$16,$B$12/5*(AC$8-AC$9)*1000)</f>
        <v>31680.094181864861</v>
      </c>
      <c r="AD16" s="46">
        <f>SUM(AC$16,'Statistics NZ'!AD$16-'Statistics NZ'!AC$16,$B$12/5*(AD$8-AD$9)*1000)</f>
        <v>31730.094181864861</v>
      </c>
      <c r="AE16" s="46">
        <f>SUM(AD$16,'Statistics NZ'!AE$16-'Statistics NZ'!AD$16,$B$12/5*(AE$8-AE$9)*1000)</f>
        <v>31810.094181864861</v>
      </c>
      <c r="AF16" s="46">
        <f>SUM(AE$16,'Statistics NZ'!AF$16-'Statistics NZ'!AE$16,$B$12/5*(AF$8-AF$9)*1000)</f>
        <v>31930.094181864861</v>
      </c>
      <c r="AG16" s="46">
        <f>SUM(AF$16,'Statistics NZ'!AG$16-'Statistics NZ'!AF$16,$B$12/5*(AG$8-AG$9)*1000)</f>
        <v>32090.094181864861</v>
      </c>
      <c r="AH16" s="46">
        <f>SUM(AG$16,'Statistics NZ'!AH$16-'Statistics NZ'!AG$16,$B$12/5*(AH$8-AH$9)*1000)</f>
        <v>32280.094181864861</v>
      </c>
      <c r="AI16" s="46">
        <f>SUM(AH$16,'Statistics NZ'!AI$16-'Statistics NZ'!AH$16,$B$12/5*(AI$8-AI$9)*1000)</f>
        <v>32490.094181864861</v>
      </c>
      <c r="AJ16" s="46">
        <f>SUM(AI$16,'Statistics NZ'!AJ$16-'Statistics NZ'!AI$16,$B$12/5*(AJ$8-AJ$9)*1000)</f>
        <v>32710.094181864861</v>
      </c>
      <c r="AK16" s="46">
        <f>SUM(AJ$16,'Statistics NZ'!AK$16-'Statistics NZ'!AJ$16,$B$12/5*(AK$8-AK$9)*1000)</f>
        <v>32940.094181864857</v>
      </c>
      <c r="AL16" s="46">
        <f>SUM(AK$16,'Statistics NZ'!AL$16-'Statistics NZ'!AK$16,$B$12/5*(AL$8-AL$9)*1000)</f>
        <v>33150.094181864857</v>
      </c>
      <c r="AM16" s="46">
        <f>SUM(AL$16,'Statistics NZ'!AM$16-'Statistics NZ'!AL$16,$B$12/5*(AM$8-AM$9)*1000)</f>
        <v>33340.094181864857</v>
      </c>
      <c r="AN16" s="46">
        <f>SUM(AM$16,'Statistics NZ'!AN$16-'Statistics NZ'!AM$16,$B$12/5*(AN$8-AN$9)*1000)</f>
        <v>33500.094181864857</v>
      </c>
      <c r="AO16" s="46">
        <f>SUM(AN$16,'Statistics NZ'!AO$16-'Statistics NZ'!AN$16,$B$12/5*(AO$8-AO$9)*1000)</f>
        <v>33640.094181864857</v>
      </c>
      <c r="AP16" s="46">
        <f>SUM(AO$16,'Statistics NZ'!AP$16-'Statistics NZ'!AO$16,$B$12/5*(AP$8-AP$9)*1000)</f>
        <v>33730.094181864857</v>
      </c>
      <c r="AQ16" s="46">
        <f>SUM(AP$16,'Statistics NZ'!AQ$16-'Statistics NZ'!AP$16,$B$12/5*(AQ$8-AQ$9)*1000)</f>
        <v>33790.094181864857</v>
      </c>
      <c r="AR16" s="46">
        <f>SUM(AQ$16,'Statistics NZ'!AR$16-'Statistics NZ'!AQ$16,$B$12/5*(AR$8-AR$9)*1000)</f>
        <v>33820.094181864857</v>
      </c>
      <c r="AS16" s="46">
        <f>SUM(AR$16,'Statistics NZ'!AS$16-'Statistics NZ'!AR$16,$B$12/5*(AS$8-AS$9)*1000)</f>
        <v>33820.094181864857</v>
      </c>
      <c r="AT16" s="46">
        <f>SUM(AS$16,'Statistics NZ'!AT$16-'Statistics NZ'!AS$16,$B$12/5*(AT$8-AT$9)*1000)</f>
        <v>33800.094181864857</v>
      </c>
      <c r="AU16" s="46">
        <f>SUM(AT$16,'Statistics NZ'!AU$16-'Statistics NZ'!AT$16,$B$12/5*(AU$8-AU$9)*1000)</f>
        <v>33760.094181864857</v>
      </c>
      <c r="AV16" s="46">
        <f>SUM(AU$16,'Statistics NZ'!AV$16-'Statistics NZ'!AU$16,$B$12/5*(AV$8-AV$9)*1000)</f>
        <v>33710.094181864857</v>
      </c>
      <c r="AW16" s="46">
        <f>SUM(AV$16,'Statistics NZ'!AW$16-'Statistics NZ'!AV$16,$B$12/5*(AW$8-AW$9)*1000)</f>
        <v>33650.094181864857</v>
      </c>
      <c r="AX16" s="46">
        <f>SUM(AW$16,'Statistics NZ'!AX$16-'Statistics NZ'!AW$16,$B$12/5*(AX$8-AX$9)*1000)</f>
        <v>33580.094181864857</v>
      </c>
      <c r="AY16" s="46">
        <f>SUM(AX$16,'Statistics NZ'!AY$16-'Statistics NZ'!AX$16,$B$12/5*(AY$8-AY$9)*1000)</f>
        <v>33520.094181864857</v>
      </c>
      <c r="AZ16" s="46">
        <f>SUM(AY$16,'Statistics NZ'!AZ$16-'Statistics NZ'!AY$16,$B$12/5*(AZ$8-AZ$9)*1000)</f>
        <v>33470.094181864857</v>
      </c>
      <c r="BA16" s="46">
        <f>SUM(AZ$16,'Statistics NZ'!BA$16-'Statistics NZ'!AZ$16,$B$12/5*(BA$8-BA$9)*1000)</f>
        <v>33430.094181864857</v>
      </c>
      <c r="BB16" s="46">
        <f>SUM(BA$16,'Statistics NZ'!BB$16-'Statistics NZ'!BA$16,$B$12/5*(BB$8-BB$9)*1000)</f>
        <v>33400.094181864857</v>
      </c>
      <c r="BC16" s="46">
        <f>SUM(BB$16,'Statistics NZ'!BC$16-'Statistics NZ'!BB$16,$B$12/5*(BC$8-BC$9)*1000)</f>
        <v>33390.094181864857</v>
      </c>
      <c r="BD16" s="46">
        <f>SUM(BC$16,'Statistics NZ'!BD$16-'Statistics NZ'!BC$16,$B$12/5*(BD$8-BD$9)*1000)</f>
        <v>33390.094181864857</v>
      </c>
      <c r="BE16" s="46">
        <f>SUM(BD$16,'Statistics NZ'!BE$16-'Statistics NZ'!BD$16,$B$12/5*(BE$8-BE$9)*1000)</f>
        <v>33420.094181864857</v>
      </c>
      <c r="BF16" s="46">
        <f>SUM(BE$16,'Statistics NZ'!BF$16-'Statistics NZ'!BE$16,$B$12/5*(BF$8-BF$9)*1000)</f>
        <v>33470.094181864857</v>
      </c>
      <c r="BG16" s="46">
        <f>SUM(BF$16,'Statistics NZ'!BG$16-'Statistics NZ'!BF$16,$B$12/5*(BG$8-BG$9)*1000)</f>
        <v>33540.094181864857</v>
      </c>
      <c r="BH16" s="46">
        <f>SUM(BG$16,'Statistics NZ'!BH$16-'Statistics NZ'!BG$16,$B$12/5*(BH$8-BH$9)*1000)</f>
        <v>33620.094181864857</v>
      </c>
      <c r="BI16" s="46">
        <f>SUM(BH$16,'Statistics NZ'!BI$16-'Statistics NZ'!BH$16,$B$12/5*(BI$8-BI$9)*1000)</f>
        <v>33710.094181864857</v>
      </c>
    </row>
    <row r="17" spans="1:61" x14ac:dyDescent="0.25">
      <c r="A17" s="11">
        <v>2</v>
      </c>
      <c r="B17" s="44">
        <f>'Statistics NZ'!B$17*('Economic Forecasts'!D$10-'Economic Forecasts'!D$9)*1000000/SUM('Statistics NZ'!B$15:B$29,'Statistics NZ'!B$115:B$129)</f>
        <v>29876.871812768073</v>
      </c>
      <c r="C17" s="44">
        <f>'Statistics NZ'!C$17*('Economic Forecasts'!E$10-'Economic Forecasts'!E$9)*1000000/SUM('Statistics NZ'!C$15:C$29,'Statistics NZ'!C$115:C$129)</f>
        <v>29616.447885111636</v>
      </c>
      <c r="D17" s="44">
        <f>'Statistics NZ'!D$17*('Economic Forecasts'!F$10-'Economic Forecasts'!F$9)*1000000/SUM('Statistics NZ'!D$15:D$29,'Statistics NZ'!D$115:D$129)</f>
        <v>30442.921910419765</v>
      </c>
      <c r="E17" s="44">
        <f>'Statistics NZ'!E$17*('Economic Forecasts'!G$10-'Economic Forecasts'!G$9)*1000000/SUM('Statistics NZ'!E$15:E$29,'Statistics NZ'!E$115:E$129)</f>
        <v>31881.301877580005</v>
      </c>
      <c r="F17" s="44">
        <f>'Statistics NZ'!F$17*('Economic Forecasts'!H$10-'Economic Forecasts'!H$9)*1000000/SUM('Statistics NZ'!F$15:F$29,'Statistics NZ'!F$115:F$129)</f>
        <v>33122.791640055497</v>
      </c>
      <c r="G17" s="44">
        <f>'Statistics NZ'!G$17*('Economic Forecasts'!I$10-'Economic Forecasts'!I$9)*1000000/SUM('Statistics NZ'!G$15:G$29,'Statistics NZ'!G$115:G$129)</f>
        <v>32577.257304740255</v>
      </c>
      <c r="H17" s="44">
        <f>'Statistics NZ'!H$17*('Economic Forecasts'!J$10-'Economic Forecasts'!J$9)*1000000/SUM('Statistics NZ'!H$15:H$29,'Statistics NZ'!H$115:H$129)</f>
        <v>33192.089557160311</v>
      </c>
      <c r="I17" s="44">
        <f>'Statistics NZ'!I$17*('Economic Forecasts'!K$10-'Economic Forecasts'!K$9)*1000000/SUM('Statistics NZ'!I$15:I$29,'Statistics NZ'!I$115:I$129)</f>
        <v>32505.067177235658</v>
      </c>
      <c r="J17" s="44">
        <f>'Statistics NZ'!J$17*('Economic Forecasts'!L$10-'Economic Forecasts'!L$9)*1000000/SUM('Statistics NZ'!J$15:J$29,'Statistics NZ'!J$115:J$129)</f>
        <v>32173.536541224719</v>
      </c>
      <c r="K17" s="44">
        <f>'Statistics NZ'!K$17*('Economic Forecasts'!M$10-'Economic Forecasts'!M$9)*1000000/SUM('Statistics NZ'!K$15:K$29,'Statistics NZ'!K$115:K$129)</f>
        <v>31995.986465098515</v>
      </c>
      <c r="L17" s="44">
        <f>'Statistics NZ'!L$17*('Economic Forecasts'!N$10-'Economic Forecasts'!N$9)*1000000/SUM('Statistics NZ'!L$15:L$29,'Statistics NZ'!L$115:L$129)</f>
        <v>31036.263546105434</v>
      </c>
      <c r="M17" s="44">
        <f>'Statistics NZ'!M$17*('Economic Forecasts'!O$10-'Economic Forecasts'!O$9)*1000000/SUM('Statistics NZ'!M$15:M$29,'Statistics NZ'!M$115:M$129)</f>
        <v>31214.928001878681</v>
      </c>
      <c r="N17" s="44">
        <f>'Statistics NZ'!N$17*('Economic Forecasts'!P$10-'Economic Forecasts'!P$9)*1000000/SUM('Statistics NZ'!N$15:N$29,'Statistics NZ'!N$115:N$129)</f>
        <v>31183.455365727405</v>
      </c>
      <c r="O17" s="44">
        <f>'Statistics NZ'!O$17*('Economic Forecasts'!Q$10-'Economic Forecasts'!Q$9)*1000000/SUM('Statistics NZ'!O$15:O$29,'Statistics NZ'!O$115:O$129)</f>
        <v>31498.351539225408</v>
      </c>
      <c r="P17" s="44">
        <f>'Statistics NZ'!P$17*('Economic Forecasts'!R$10-'Economic Forecasts'!R$9)*1000000/SUM('Statistics NZ'!P$15:P$29,'Statistics NZ'!P$115:P$129)</f>
        <v>31197.450451288747</v>
      </c>
      <c r="Q17" s="44">
        <f>'Statistics NZ'!Q$17*('Economic Forecasts'!S$10-'Economic Forecasts'!S$9)*1000000/SUM('Statistics NZ'!Q$15:Q$29,'Statistics NZ'!Q$115:Q$129)</f>
        <v>30706.80353602114</v>
      </c>
      <c r="R17" s="44">
        <f>'Statistics NZ'!R$17*('Economic Forecasts'!T$10-'Economic Forecasts'!T$9)*1000000/SUM('Statistics NZ'!R$15:R$29,'Statistics NZ'!R$115:R$129)</f>
        <v>30802.424217266307</v>
      </c>
      <c r="S17" s="44">
        <f>'Statistics NZ'!S$17*('Economic Forecasts'!U$10-'Economic Forecasts'!U$9)*1000000/SUM('Statistics NZ'!S$15:S$29,'Statistics NZ'!S$115:S$129)</f>
        <v>31705.211501386661</v>
      </c>
      <c r="T17" s="44">
        <f>'Statistics NZ'!T$17*('Economic Forecasts'!V$10-'Economic Forecasts'!V$9)*1000000/SUM('Statistics NZ'!T$15:T$29,'Statistics NZ'!T$115:T$129)</f>
        <v>32348.117853011336</v>
      </c>
      <c r="U17" s="45">
        <f>SUM('Statistics NZ'!U$17,$B$12/5*(U$8-U$9)*1000)*('Economic Forecasts'!W$10-'Economic Forecasts'!W$9)*1000000/SUM('Statistics NZ'!U$15:U$29,'Statistics NZ'!U$115:U$129,SUM($B$12:$D$13)*(U$8-U$9)*1000)</f>
        <v>29613.050733310814</v>
      </c>
      <c r="V17" s="45">
        <f>SUM('Statistics NZ'!V$17,$B$12/5*(V$8-V$9)*1000)*('Economic Forecasts'!X$10-'Economic Forecasts'!X$9)*1000000/SUM('Statistics NZ'!V$15:V$29,'Statistics NZ'!V$115:V$129,SUM($B$12:$D$13)*(V$8-V$9)*1000)</f>
        <v>30070.564904495543</v>
      </c>
      <c r="W17" s="45">
        <f>SUM('Statistics NZ'!W$17,$B$12/5*(W$8-W$9)*1000)*('Economic Forecasts'!Y$10-'Economic Forecasts'!Y$9)*1000000/SUM('Statistics NZ'!W$15:W$29,'Statistics NZ'!W$115:W$129,SUM($B$12:$D$13)*(W$8-W$9)*1000)</f>
        <v>31001.119292052706</v>
      </c>
      <c r="X17" s="45">
        <f>SUM('Statistics NZ'!X$17,$B$12/5*(X$8-X$9)*1000)*('Economic Forecasts'!Z$10-'Economic Forecasts'!Z$9)*1000000/SUM('Statistics NZ'!X$15:X$29,'Statistics NZ'!X$115:X$129,SUM($B$12:$D$13)*(X$8-X$9)*1000)</f>
        <v>31431.008949922776</v>
      </c>
      <c r="Y17" s="45">
        <f>SUM('Statistics NZ'!Y$17,$B$12/5*(Y$8-Y$9)*1000)*('Economic Forecasts'!AA$10-'Economic Forecasts'!AA$9)*1000000/SUM('Statistics NZ'!Y$15:Y$29,'Statistics NZ'!Y$115:Y$129,SUM($B$12:$D$13)*(Y$8-Y$9)*1000)</f>
        <v>31791.636797058509</v>
      </c>
      <c r="Z17" s="46">
        <f>SUM(Y$17,'Statistics NZ'!Z$17-'Statistics NZ'!Y$17,$B$12/5*(Z$8-Z$9)*1000)</f>
        <v>31804.849592415758</v>
      </c>
      <c r="AA17" s="46">
        <f>SUM(Z$17,'Statistics NZ'!AA$17-'Statistics NZ'!Z$17,$B$12/5*(AA$8-AA$9)*1000)</f>
        <v>31812.777269630107</v>
      </c>
      <c r="AB17" s="46">
        <f>SUM(AA$17,'Statistics NZ'!AB$17-'Statistics NZ'!AA$17,$B$12/5*(AB$8-AB$9)*1000)</f>
        <v>31806.476852330139</v>
      </c>
      <c r="AC17" s="46">
        <f>SUM(AB$17,'Statistics NZ'!AC$17-'Statistics NZ'!AB$17,$B$12/5*(AC$8-AC$9)*1000)</f>
        <v>31816.476852330139</v>
      </c>
      <c r="AD17" s="46">
        <f>SUM(AC$17,'Statistics NZ'!AD$17-'Statistics NZ'!AC$17,$B$12/5*(AD$8-AD$9)*1000)</f>
        <v>31846.476852330139</v>
      </c>
      <c r="AE17" s="46">
        <f>SUM(AD$17,'Statistics NZ'!AE$17-'Statistics NZ'!AD$17,$B$12/5*(AE$8-AE$9)*1000)</f>
        <v>31896.476852330139</v>
      </c>
      <c r="AF17" s="46">
        <f>SUM(AE$17,'Statistics NZ'!AF$17-'Statistics NZ'!AE$17,$B$12/5*(AF$8-AF$9)*1000)</f>
        <v>31986.476852330139</v>
      </c>
      <c r="AG17" s="46">
        <f>SUM(AF$17,'Statistics NZ'!AG$17-'Statistics NZ'!AF$17,$B$12/5*(AG$8-AG$9)*1000)</f>
        <v>32106.476852330139</v>
      </c>
      <c r="AH17" s="46">
        <f>SUM(AG$17,'Statistics NZ'!AH$17-'Statistics NZ'!AG$17,$B$12/5*(AH$8-AH$9)*1000)</f>
        <v>32266.476852330139</v>
      </c>
      <c r="AI17" s="46">
        <f>SUM(AH$17,'Statistics NZ'!AI$17-'Statistics NZ'!AH$17,$B$12/5*(AI$8-AI$9)*1000)</f>
        <v>32446.476852330139</v>
      </c>
      <c r="AJ17" s="46">
        <f>SUM(AI$17,'Statistics NZ'!AJ$17-'Statistics NZ'!AI$17,$B$12/5*(AJ$8-AJ$9)*1000)</f>
        <v>32656.476852330139</v>
      </c>
      <c r="AK17" s="46">
        <f>SUM(AJ$17,'Statistics NZ'!AK$17-'Statistics NZ'!AJ$17,$B$12/5*(AK$8-AK$9)*1000)</f>
        <v>32886.476852330139</v>
      </c>
      <c r="AL17" s="46">
        <f>SUM(AK$17,'Statistics NZ'!AL$17-'Statistics NZ'!AK$17,$B$12/5*(AL$8-AL$9)*1000)</f>
        <v>33116.476852330139</v>
      </c>
      <c r="AM17" s="46">
        <f>SUM(AL$17,'Statistics NZ'!AM$17-'Statistics NZ'!AL$17,$B$12/5*(AM$8-AM$9)*1000)</f>
        <v>33326.476852330139</v>
      </c>
      <c r="AN17" s="46">
        <f>SUM(AM$17,'Statistics NZ'!AN$17-'Statistics NZ'!AM$17,$B$12/5*(AN$8-AN$9)*1000)</f>
        <v>33526.476852330139</v>
      </c>
      <c r="AO17" s="46">
        <f>SUM(AN$17,'Statistics NZ'!AO$17-'Statistics NZ'!AN$17,$B$12/5*(AO$8-AO$9)*1000)</f>
        <v>33686.476852330139</v>
      </c>
      <c r="AP17" s="46">
        <f>SUM(AO$17,'Statistics NZ'!AP$17-'Statistics NZ'!AO$17,$B$12/5*(AP$8-AP$9)*1000)</f>
        <v>33816.476852330139</v>
      </c>
      <c r="AQ17" s="46">
        <f>SUM(AP$17,'Statistics NZ'!AQ$17-'Statistics NZ'!AP$17,$B$12/5*(AQ$8-AQ$9)*1000)</f>
        <v>33916.476852330139</v>
      </c>
      <c r="AR17" s="46">
        <f>SUM(AQ$17,'Statistics NZ'!AR$17-'Statistics NZ'!AQ$17,$B$12/5*(AR$8-AR$9)*1000)</f>
        <v>33976.476852330139</v>
      </c>
      <c r="AS17" s="46">
        <f>SUM(AR$17,'Statistics NZ'!AS$17-'Statistics NZ'!AR$17,$B$12/5*(AS$8-AS$9)*1000)</f>
        <v>34016.476852330139</v>
      </c>
      <c r="AT17" s="46">
        <f>SUM(AS$17,'Statistics NZ'!AT$17-'Statistics NZ'!AS$17,$B$12/5*(AT$8-AT$9)*1000)</f>
        <v>34016.476852330139</v>
      </c>
      <c r="AU17" s="46">
        <f>SUM(AT$17,'Statistics NZ'!AU$17-'Statistics NZ'!AT$17,$B$12/5*(AU$8-AU$9)*1000)</f>
        <v>33996.476852330139</v>
      </c>
      <c r="AV17" s="46">
        <f>SUM(AU$17,'Statistics NZ'!AV$17-'Statistics NZ'!AU$17,$B$12/5*(AV$8-AV$9)*1000)</f>
        <v>33956.476852330139</v>
      </c>
      <c r="AW17" s="46">
        <f>SUM(AV$17,'Statistics NZ'!AW$17-'Statistics NZ'!AV$17,$B$12/5*(AW$8-AW$9)*1000)</f>
        <v>33906.476852330139</v>
      </c>
      <c r="AX17" s="46">
        <f>SUM(AW$17,'Statistics NZ'!AX$17-'Statistics NZ'!AW$17,$B$12/5*(AX$8-AX$9)*1000)</f>
        <v>33846.476852330139</v>
      </c>
      <c r="AY17" s="46">
        <f>SUM(AX$17,'Statistics NZ'!AY$17-'Statistics NZ'!AX$17,$B$12/5*(AY$8-AY$9)*1000)</f>
        <v>33786.476852330139</v>
      </c>
      <c r="AZ17" s="46">
        <f>SUM(AY$17,'Statistics NZ'!AZ$17-'Statistics NZ'!AY$17,$B$12/5*(AZ$8-AZ$9)*1000)</f>
        <v>33726.476852330139</v>
      </c>
      <c r="BA17" s="46">
        <f>SUM(AZ$17,'Statistics NZ'!BA$17-'Statistics NZ'!AZ$17,$B$12/5*(BA$8-BA$9)*1000)</f>
        <v>33676.476852330139</v>
      </c>
      <c r="BB17" s="46">
        <f>SUM(BA$17,'Statistics NZ'!BB$17-'Statistics NZ'!BA$17,$B$12/5*(BB$8-BB$9)*1000)</f>
        <v>33626.476852330139</v>
      </c>
      <c r="BC17" s="46">
        <f>SUM(BB$17,'Statistics NZ'!BC$17-'Statistics NZ'!BB$17,$B$12/5*(BC$8-BC$9)*1000)</f>
        <v>33606.476852330139</v>
      </c>
      <c r="BD17" s="46">
        <f>SUM(BC$17,'Statistics NZ'!BD$17-'Statistics NZ'!BC$17,$B$12/5*(BD$8-BD$9)*1000)</f>
        <v>33596.476852330139</v>
      </c>
      <c r="BE17" s="46">
        <f>SUM(BD$17,'Statistics NZ'!BE$17-'Statistics NZ'!BD$17,$B$12/5*(BE$8-BE$9)*1000)</f>
        <v>33606.476852330139</v>
      </c>
      <c r="BF17" s="46">
        <f>SUM(BE$17,'Statistics NZ'!BF$17-'Statistics NZ'!BE$17,$B$12/5*(BF$8-BF$9)*1000)</f>
        <v>33636.476852330139</v>
      </c>
      <c r="BG17" s="46">
        <f>SUM(BF$17,'Statistics NZ'!BG$17-'Statistics NZ'!BF$17,$B$12/5*(BG$8-BG$9)*1000)</f>
        <v>33686.476852330139</v>
      </c>
      <c r="BH17" s="46">
        <f>SUM(BG$17,'Statistics NZ'!BH$17-'Statistics NZ'!BG$17,$B$12/5*(BH$8-BH$9)*1000)</f>
        <v>33756.476852330139</v>
      </c>
      <c r="BI17" s="46">
        <f>SUM(BH$17,'Statistics NZ'!BI$17-'Statistics NZ'!BH$17,$B$12/5*(BI$8-BI$9)*1000)</f>
        <v>33836.476852330139</v>
      </c>
    </row>
    <row r="18" spans="1:61" x14ac:dyDescent="0.25">
      <c r="A18" s="11">
        <v>3</v>
      </c>
      <c r="B18" s="44">
        <f>'Statistics NZ'!B$18*('Economic Forecasts'!D$10-'Economic Forecasts'!D$9)*1000000/SUM('Statistics NZ'!B$15:B$29,'Statistics NZ'!B$115:B$129)</f>
        <v>28954.484357938112</v>
      </c>
      <c r="C18" s="44">
        <f>'Statistics NZ'!C$18*('Economic Forecasts'!E$10-'Economic Forecasts'!E$9)*1000000/SUM('Statistics NZ'!C$15:C$29,'Statistics NZ'!C$115:C$129)</f>
        <v>29785.082463816896</v>
      </c>
      <c r="D18" s="44">
        <f>'Statistics NZ'!D$18*('Economic Forecasts'!F$10-'Economic Forecasts'!F$9)*1000000/SUM('Statistics NZ'!D$15:D$29,'Statistics NZ'!D$115:D$129)</f>
        <v>29620.425232549056</v>
      </c>
      <c r="E18" s="44">
        <f>'Statistics NZ'!E$18*('Economic Forecasts'!G$10-'Economic Forecasts'!G$9)*1000000/SUM('Statistics NZ'!E$15:E$29,'Statistics NZ'!E$115:E$129)</f>
        <v>30499.286475209727</v>
      </c>
      <c r="F18" s="44">
        <f>'Statistics NZ'!F$18*('Economic Forecasts'!H$10-'Economic Forecasts'!H$9)*1000000/SUM('Statistics NZ'!F$15:F$29,'Statistics NZ'!F$115:F$129)</f>
        <v>32002.49300768604</v>
      </c>
      <c r="G18" s="44">
        <f>'Statistics NZ'!G$18*('Economic Forecasts'!I$10-'Economic Forecasts'!I$9)*1000000/SUM('Statistics NZ'!G$15:G$29,'Statistics NZ'!G$115:G$129)</f>
        <v>33127.799189643243</v>
      </c>
      <c r="H18" s="44">
        <f>'Statistics NZ'!H$18*('Economic Forecasts'!J$10-'Economic Forecasts'!J$9)*1000000/SUM('Statistics NZ'!H$15:H$29,'Statistics NZ'!H$115:H$129)</f>
        <v>32513.618227981686</v>
      </c>
      <c r="I18" s="44">
        <f>'Statistics NZ'!I$18*('Economic Forecasts'!K$10-'Economic Forecasts'!K$9)*1000000/SUM('Statistics NZ'!I$15:I$29,'Statistics NZ'!I$115:I$129)</f>
        <v>33291.651536658625</v>
      </c>
      <c r="J18" s="44">
        <f>'Statistics NZ'!J$18*('Economic Forecasts'!L$10-'Economic Forecasts'!L$9)*1000000/SUM('Statistics NZ'!J$15:J$29,'Statistics NZ'!J$115:J$129)</f>
        <v>32792.46361233286</v>
      </c>
      <c r="K18" s="44">
        <f>'Statistics NZ'!K$18*('Economic Forecasts'!M$10-'Economic Forecasts'!M$9)*1000000/SUM('Statistics NZ'!K$15:K$29,'Statistics NZ'!K$115:K$129)</f>
        <v>32574.033728101298</v>
      </c>
      <c r="L18" s="44">
        <f>'Statistics NZ'!L$18*('Economic Forecasts'!N$10-'Economic Forecasts'!N$9)*1000000/SUM('Statistics NZ'!L$15:L$29,'Statistics NZ'!L$115:L$129)</f>
        <v>32531.47238865697</v>
      </c>
      <c r="M18" s="44">
        <f>'Statistics NZ'!M$18*('Economic Forecasts'!O$10-'Economic Forecasts'!O$9)*1000000/SUM('Statistics NZ'!M$15:M$29,'Statistics NZ'!M$115:M$129)</f>
        <v>31363.217446068127</v>
      </c>
      <c r="N18" s="44">
        <f>'Statistics NZ'!N$18*('Economic Forecasts'!P$10-'Economic Forecasts'!P$9)*1000000/SUM('Statistics NZ'!N$15:N$29,'Statistics NZ'!N$115:N$129)</f>
        <v>31776.015087641463</v>
      </c>
      <c r="O18" s="44">
        <f>'Statistics NZ'!O$18*('Economic Forecasts'!Q$10-'Economic Forecasts'!Q$9)*1000000/SUM('Statistics NZ'!O$15:O$29,'Statistics NZ'!O$115:O$129)</f>
        <v>31435.312810327694</v>
      </c>
      <c r="P18" s="44">
        <f>'Statistics NZ'!P$18*('Economic Forecasts'!R$10-'Economic Forecasts'!R$9)*1000000/SUM('Statistics NZ'!P$15:P$29,'Statistics NZ'!P$115:P$129)</f>
        <v>32200.753698706631</v>
      </c>
      <c r="Q18" s="44">
        <f>'Statistics NZ'!Q$18*('Economic Forecasts'!S$10-'Economic Forecasts'!S$9)*1000000/SUM('Statistics NZ'!Q$15:Q$29,'Statistics NZ'!Q$115:Q$129)</f>
        <v>31147.571050892257</v>
      </c>
      <c r="R18" s="44">
        <f>'Statistics NZ'!R$18*('Economic Forecasts'!T$10-'Economic Forecasts'!T$9)*1000000/SUM('Statistics NZ'!R$15:R$29,'Statistics NZ'!R$115:R$129)</f>
        <v>31023.645458224786</v>
      </c>
      <c r="S18" s="44">
        <f>'Statistics NZ'!S$18*('Economic Forecasts'!U$10-'Economic Forecasts'!U$9)*1000000/SUM('Statistics NZ'!S$15:S$29,'Statistics NZ'!S$115:S$129)</f>
        <v>31598.960792601854</v>
      </c>
      <c r="T18" s="44">
        <f>'Statistics NZ'!T$18*('Economic Forecasts'!V$10-'Economic Forecasts'!V$9)*1000000/SUM('Statistics NZ'!T$15:T$29,'Statistics NZ'!T$115:T$129)</f>
        <v>32231.260941227058</v>
      </c>
      <c r="U18" s="45">
        <f>SUM('Statistics NZ'!U$18,$B$12/5*(U$8-U$9)*1000)*('Economic Forecasts'!W$10-'Economic Forecasts'!W$9)*1000000/SUM('Statistics NZ'!U$15:U$29,'Statistics NZ'!U$115:U$129,SUM($B$12:$D$13)*(U$8-U$9)*1000)</f>
        <v>32582.684358795981</v>
      </c>
      <c r="V18" s="45">
        <f>SUM('Statistics NZ'!V$18,$B$12/5*(V$8-V$9)*1000)*('Economic Forecasts'!X$10-'Economic Forecasts'!X$9)*1000000/SUM('Statistics NZ'!V$15:V$29,'Statistics NZ'!V$115:V$129,SUM($B$12:$D$13)*(V$8-V$9)*1000)</f>
        <v>30113.625372153383</v>
      </c>
      <c r="W18" s="45">
        <f>SUM('Statistics NZ'!W$18,$B$12/5*(W$8-W$9)*1000)*('Economic Forecasts'!Y$10-'Economic Forecasts'!Y$9)*1000000/SUM('Statistics NZ'!W$15:W$29,'Statistics NZ'!W$115:W$129,SUM($B$12:$D$13)*(W$8-W$9)*1000)</f>
        <v>30641.237107222594</v>
      </c>
      <c r="X18" s="45">
        <f>SUM('Statistics NZ'!X$18,$B$12/5*(X$8-X$9)*1000)*('Economic Forecasts'!Z$10-'Economic Forecasts'!Z$9)*1000000/SUM('Statistics NZ'!X$15:X$29,'Statistics NZ'!X$115:X$129,SUM($B$12:$D$13)*(X$8-X$9)*1000)</f>
        <v>31596.676317344463</v>
      </c>
      <c r="Y18" s="45">
        <f>SUM('Statistics NZ'!Y$18,$B$12/5*(Y$8-Y$9)*1000)*('Economic Forecasts'!AA$10-'Economic Forecasts'!AA$9)*1000000/SUM('Statistics NZ'!Y$15:Y$29,'Statistics NZ'!Y$115:Y$129,SUM($B$12:$D$13)*(Y$8-Y$9)*1000)</f>
        <v>31992.70023051387</v>
      </c>
      <c r="Z18" s="46">
        <f>SUM(Y$18,'Statistics NZ'!Z$18-'Statistics NZ'!Y$18,$B$12/5*(Z$8-Z$9)*1000)</f>
        <v>32025.913025871119</v>
      </c>
      <c r="AA18" s="46">
        <f>SUM(Z$18,'Statistics NZ'!AA$18-'Statistics NZ'!Z$18,$B$12/5*(AA$8-AA$9)*1000)</f>
        <v>32043.840703085469</v>
      </c>
      <c r="AB18" s="46">
        <f>SUM(AA$18,'Statistics NZ'!AB$18-'Statistics NZ'!AA$18,$B$12/5*(AB$8-AB$9)*1000)</f>
        <v>32037.540285785501</v>
      </c>
      <c r="AC18" s="46">
        <f>SUM(AB$18,'Statistics NZ'!AC$18-'Statistics NZ'!AB$18,$B$12/5*(AC$8-AC$9)*1000)</f>
        <v>32037.540285785501</v>
      </c>
      <c r="AD18" s="46">
        <f>SUM(AC$18,'Statistics NZ'!AD$18-'Statistics NZ'!AC$18,$B$12/5*(AD$8-AD$9)*1000)</f>
        <v>32047.540285785501</v>
      </c>
      <c r="AE18" s="46">
        <f>SUM(AD$18,'Statistics NZ'!AE$18-'Statistics NZ'!AD$18,$B$12/5*(AE$8-AE$9)*1000)</f>
        <v>32077.540285785501</v>
      </c>
      <c r="AF18" s="46">
        <f>SUM(AE$18,'Statistics NZ'!AF$18-'Statistics NZ'!AE$18,$B$12/5*(AF$8-AF$9)*1000)</f>
        <v>32127.540285785501</v>
      </c>
      <c r="AG18" s="46">
        <f>SUM(AF$18,'Statistics NZ'!AG$18-'Statistics NZ'!AF$18,$B$12/5*(AG$8-AG$9)*1000)</f>
        <v>32217.540285785501</v>
      </c>
      <c r="AH18" s="46">
        <f>SUM(AG$18,'Statistics NZ'!AH$18-'Statistics NZ'!AG$18,$B$12/5*(AH$8-AH$9)*1000)</f>
        <v>32347.540285785501</v>
      </c>
      <c r="AI18" s="46">
        <f>SUM(AH$18,'Statistics NZ'!AI$18-'Statistics NZ'!AH$18,$B$12/5*(AI$8-AI$9)*1000)</f>
        <v>32507.540285785501</v>
      </c>
      <c r="AJ18" s="46">
        <f>SUM(AI$18,'Statistics NZ'!AJ$18-'Statistics NZ'!AI$18,$B$12/5*(AJ$8-AJ$9)*1000)</f>
        <v>32697.540285785501</v>
      </c>
      <c r="AK18" s="46">
        <f>SUM(AJ$18,'Statistics NZ'!AK$18-'Statistics NZ'!AJ$18,$B$12/5*(AK$8-AK$9)*1000)</f>
        <v>32907.540285785501</v>
      </c>
      <c r="AL18" s="46">
        <f>SUM(AK$18,'Statistics NZ'!AL$18-'Statistics NZ'!AK$18,$B$12/5*(AL$8-AL$9)*1000)</f>
        <v>33127.540285785501</v>
      </c>
      <c r="AM18" s="46">
        <f>SUM(AL$18,'Statistics NZ'!AM$18-'Statistics NZ'!AL$18,$B$12/5*(AM$8-AM$9)*1000)</f>
        <v>33357.540285785501</v>
      </c>
      <c r="AN18" s="46">
        <f>SUM(AM$18,'Statistics NZ'!AN$18-'Statistics NZ'!AM$18,$B$12/5*(AN$8-AN$9)*1000)</f>
        <v>33577.540285785501</v>
      </c>
      <c r="AO18" s="46">
        <f>SUM(AN$18,'Statistics NZ'!AO$18-'Statistics NZ'!AN$18,$B$12/5*(AO$8-AO$9)*1000)</f>
        <v>33777.540285785501</v>
      </c>
      <c r="AP18" s="46">
        <f>SUM(AO$18,'Statistics NZ'!AP$18-'Statistics NZ'!AO$18,$B$12/5*(AP$8-AP$9)*1000)</f>
        <v>33937.540285785501</v>
      </c>
      <c r="AQ18" s="46">
        <f>SUM(AP$18,'Statistics NZ'!AQ$18-'Statistics NZ'!AP$18,$B$12/5*(AQ$8-AQ$9)*1000)</f>
        <v>34077.540285785501</v>
      </c>
      <c r="AR18" s="46">
        <f>SUM(AQ$18,'Statistics NZ'!AR$18-'Statistics NZ'!AQ$18,$B$12/5*(AR$8-AR$9)*1000)</f>
        <v>34177.540285785501</v>
      </c>
      <c r="AS18" s="46">
        <f>SUM(AR$18,'Statistics NZ'!AS$18-'Statistics NZ'!AR$18,$B$12/5*(AS$8-AS$9)*1000)</f>
        <v>34237.540285785501</v>
      </c>
      <c r="AT18" s="46">
        <f>SUM(AS$18,'Statistics NZ'!AT$18-'Statistics NZ'!AS$18,$B$12/5*(AT$8-AT$9)*1000)</f>
        <v>34277.540285785501</v>
      </c>
      <c r="AU18" s="46">
        <f>SUM(AT$18,'Statistics NZ'!AU$18-'Statistics NZ'!AT$18,$B$12/5*(AU$8-AU$9)*1000)</f>
        <v>34277.540285785501</v>
      </c>
      <c r="AV18" s="46">
        <f>SUM(AU$18,'Statistics NZ'!AV$18-'Statistics NZ'!AU$18,$B$12/5*(AV$8-AV$9)*1000)</f>
        <v>34257.540285785501</v>
      </c>
      <c r="AW18" s="46">
        <f>SUM(AV$18,'Statistics NZ'!AW$18-'Statistics NZ'!AV$18,$B$12/5*(AW$8-AW$9)*1000)</f>
        <v>34227.540285785501</v>
      </c>
      <c r="AX18" s="46">
        <f>SUM(AW$18,'Statistics NZ'!AX$18-'Statistics NZ'!AW$18,$B$12/5*(AX$8-AX$9)*1000)</f>
        <v>34177.540285785501</v>
      </c>
      <c r="AY18" s="46">
        <f>SUM(AX$18,'Statistics NZ'!AY$18-'Statistics NZ'!AX$18,$B$12/5*(AY$8-AY$9)*1000)</f>
        <v>34117.540285785501</v>
      </c>
      <c r="AZ18" s="46">
        <f>SUM(AY$18,'Statistics NZ'!AZ$18-'Statistics NZ'!AY$18,$B$12/5*(AZ$8-AZ$9)*1000)</f>
        <v>34057.540285785501</v>
      </c>
      <c r="BA18" s="46">
        <f>SUM(AZ$18,'Statistics NZ'!BA$18-'Statistics NZ'!AZ$18,$B$12/5*(BA$8-BA$9)*1000)</f>
        <v>33997.540285785501</v>
      </c>
      <c r="BB18" s="46">
        <f>SUM(BA$18,'Statistics NZ'!BB$18-'Statistics NZ'!BA$18,$B$12/5*(BB$8-BB$9)*1000)</f>
        <v>33947.540285785501</v>
      </c>
      <c r="BC18" s="46">
        <f>SUM(BB$18,'Statistics NZ'!BC$18-'Statistics NZ'!BB$18,$B$12/5*(BC$8-BC$9)*1000)</f>
        <v>33907.540285785501</v>
      </c>
      <c r="BD18" s="46">
        <f>SUM(BC$18,'Statistics NZ'!BD$18-'Statistics NZ'!BC$18,$B$12/5*(BD$8-BD$9)*1000)</f>
        <v>33877.540285785501</v>
      </c>
      <c r="BE18" s="46">
        <f>SUM(BD$18,'Statistics NZ'!BE$18-'Statistics NZ'!BD$18,$B$12/5*(BE$8-BE$9)*1000)</f>
        <v>33877.540285785501</v>
      </c>
      <c r="BF18" s="46">
        <f>SUM(BE$18,'Statistics NZ'!BF$18-'Statistics NZ'!BE$18,$B$12/5*(BF$8-BF$9)*1000)</f>
        <v>33887.540285785501</v>
      </c>
      <c r="BG18" s="46">
        <f>SUM(BF$18,'Statistics NZ'!BG$18-'Statistics NZ'!BF$18,$B$12/5*(BG$8-BG$9)*1000)</f>
        <v>33917.540285785501</v>
      </c>
      <c r="BH18" s="46">
        <f>SUM(BG$18,'Statistics NZ'!BH$18-'Statistics NZ'!BG$18,$B$12/5*(BH$8-BH$9)*1000)</f>
        <v>33967.540285785501</v>
      </c>
      <c r="BI18" s="46">
        <f>SUM(BH$18,'Statistics NZ'!BI$18-'Statistics NZ'!BH$18,$B$12/5*(BI$8-BI$9)*1000)</f>
        <v>34037.540285785501</v>
      </c>
    </row>
    <row r="19" spans="1:61" x14ac:dyDescent="0.25">
      <c r="A19" s="11">
        <v>4</v>
      </c>
      <c r="B19" s="44">
        <f>'Statistics NZ'!B$19*('Economic Forecasts'!D$10-'Economic Forecasts'!D$9)*1000000/SUM('Statistics NZ'!B$15:B$29,'Statistics NZ'!B$115:B$129)</f>
        <v>29049.903749817076</v>
      </c>
      <c r="C19" s="44">
        <f>'Statistics NZ'!C$19*('Economic Forecasts'!E$10-'Economic Forecasts'!E$9)*1000000/SUM('Statistics NZ'!C$15:C$29,'Statistics NZ'!C$115:C$129)</f>
        <v>28941.909570290587</v>
      </c>
      <c r="D19" s="44">
        <f>'Statistics NZ'!D$19*('Economic Forecasts'!F$10-'Economic Forecasts'!F$9)*1000000/SUM('Statistics NZ'!D$15:D$29,'Statistics NZ'!D$115:D$129)</f>
        <v>29852.411475025408</v>
      </c>
      <c r="E19" s="44">
        <f>'Statistics NZ'!E$19*('Economic Forecasts'!G$10-'Economic Forecasts'!G$9)*1000000/SUM('Statistics NZ'!E$15:E$29,'Statistics NZ'!E$115:E$129)</f>
        <v>29739.705490700871</v>
      </c>
      <c r="F19" s="44">
        <f>'Statistics NZ'!F$19*('Economic Forecasts'!H$10-'Economic Forecasts'!H$9)*1000000/SUM('Statistics NZ'!F$15:F$29,'Statistics NZ'!F$115:F$129)</f>
        <v>30681.386129891867</v>
      </c>
      <c r="G19" s="44">
        <f>'Statistics NZ'!G$19*('Economic Forecasts'!I$10-'Economic Forecasts'!I$9)*1000000/SUM('Statistics NZ'!G$15:G$29,'Statistics NZ'!G$115:G$129)</f>
        <v>32026.71541983727</v>
      </c>
      <c r="H19" s="44">
        <f>'Statistics NZ'!H$19*('Economic Forecasts'!J$10-'Economic Forecasts'!J$9)*1000000/SUM('Statistics NZ'!H$15:H$29,'Statistics NZ'!H$115:H$129)</f>
        <v>33011.870610347229</v>
      </c>
      <c r="I19" s="44">
        <f>'Statistics NZ'!I$19*('Economic Forecasts'!K$10-'Economic Forecasts'!K$9)*1000000/SUM('Statistics NZ'!I$15:I$29,'Statistics NZ'!I$115:I$129)</f>
        <v>32473.178622123916</v>
      </c>
      <c r="J19" s="44">
        <f>'Statistics NZ'!J$19*('Economic Forecasts'!L$10-'Economic Forecasts'!L$9)*1000000/SUM('Statistics NZ'!J$15:J$29,'Statistics NZ'!J$115:J$129)</f>
        <v>33571.458029417234</v>
      </c>
      <c r="K19" s="44">
        <f>'Statistics NZ'!K$19*('Economic Forecasts'!M$10-'Economic Forecasts'!M$9)*1000000/SUM('Statistics NZ'!K$15:K$29,'Statistics NZ'!K$115:K$129)</f>
        <v>33227.013043715553</v>
      </c>
      <c r="L19" s="44">
        <f>'Statistics NZ'!L$19*('Economic Forecasts'!N$10-'Economic Forecasts'!N$9)*1000000/SUM('Statistics NZ'!L$15:L$29,'Statistics NZ'!L$115:L$129)</f>
        <v>32980.03504142243</v>
      </c>
      <c r="M19" s="44">
        <f>'Statistics NZ'!M$19*('Economic Forecasts'!O$10-'Economic Forecasts'!O$9)*1000000/SUM('Statistics NZ'!M$15:M$29,'Statistics NZ'!M$115:M$129)</f>
        <v>32814.335578493432</v>
      </c>
      <c r="N19" s="44">
        <f>'Statistics NZ'!N$19*('Economic Forecasts'!P$10-'Economic Forecasts'!P$9)*1000000/SUM('Statistics NZ'!N$15:N$29,'Statistics NZ'!N$115:N$129)</f>
        <v>31850.08505288072</v>
      </c>
      <c r="O19" s="44">
        <f>'Statistics NZ'!O$19*('Economic Forecasts'!Q$10-'Economic Forecasts'!Q$9)*1000000/SUM('Statistics NZ'!O$15:O$29,'Statistics NZ'!O$115:O$129)</f>
        <v>32044.687189672281</v>
      </c>
      <c r="P19" s="44">
        <f>'Statistics NZ'!P$19*('Economic Forecasts'!R$10-'Economic Forecasts'!R$9)*1000000/SUM('Statistics NZ'!P$15:P$29,'Statistics NZ'!P$115:P$129)</f>
        <v>32126.826091002156</v>
      </c>
      <c r="Q19" s="44">
        <f>'Statistics NZ'!Q$19*('Economic Forecasts'!S$10-'Economic Forecasts'!S$9)*1000000/SUM('Statistics NZ'!Q$15:Q$29,'Statistics NZ'!Q$115:Q$129)</f>
        <v>32123.556262392587</v>
      </c>
      <c r="R19" s="44">
        <f>'Statistics NZ'!R$19*('Economic Forecasts'!T$10-'Economic Forecasts'!T$9)*1000000/SUM('Statistics NZ'!R$15:R$29,'Statistics NZ'!R$115:R$129)</f>
        <v>31392.347526488917</v>
      </c>
      <c r="S19" s="44">
        <f>'Statistics NZ'!S$19*('Economic Forecasts'!U$10-'Economic Forecasts'!U$9)*1000000/SUM('Statistics NZ'!S$15:S$29,'Statistics NZ'!S$115:S$129)</f>
        <v>32098.339123890448</v>
      </c>
      <c r="T19" s="44">
        <f>'Statistics NZ'!T$19*('Economic Forecasts'!V$10-'Economic Forecasts'!V$9)*1000000/SUM('Statistics NZ'!T$15:T$29,'Statistics NZ'!T$115:T$129)</f>
        <v>32326.871141777832</v>
      </c>
      <c r="U19" s="45">
        <f>SUM('Statistics NZ'!U$19,$B$12/5*(U$8-U$9)*1000)*('Economic Forecasts'!W$10-'Economic Forecasts'!W$9)*1000000/SUM('Statistics NZ'!U$15:U$29,'Statistics NZ'!U$115:U$129,SUM($B$12:$D$13)*(U$8-U$9)*1000)</f>
        <v>32508.17742195585</v>
      </c>
      <c r="V19" s="45">
        <f>SUM('Statistics NZ'!V$19,$B$12/5*(V$8-V$9)*1000)*('Economic Forecasts'!X$10-'Economic Forecasts'!X$9)*1000000/SUM('Statistics NZ'!V$15:V$29,'Statistics NZ'!V$115:V$129,SUM($B$12:$D$13)*(V$8-V$9)*1000)</f>
        <v>33170.918575860051</v>
      </c>
      <c r="W19" s="45">
        <f>SUM('Statistics NZ'!W$19,$B$12/5*(W$8-W$9)*1000)*('Economic Forecasts'!Y$10-'Economic Forecasts'!Y$9)*1000000/SUM('Statistics NZ'!W$15:W$29,'Statistics NZ'!W$115:W$129,SUM($B$12:$D$13)*(W$8-W$9)*1000)</f>
        <v>30739.386793994443</v>
      </c>
      <c r="X19" s="45">
        <f>SUM('Statistics NZ'!X$19,$B$12/5*(X$8-X$9)*1000)*('Economic Forecasts'!Z$10-'Economic Forecasts'!Z$9)*1000000/SUM('Statistics NZ'!X$15:X$29,'Statistics NZ'!X$115:X$129,SUM($B$12:$D$13)*(X$8-X$9)*1000)</f>
        <v>31276.386073662539</v>
      </c>
      <c r="Y19" s="45">
        <f>SUM('Statistics NZ'!Y$19,$B$12/5*(Y$8-Y$9)*1000)*('Economic Forecasts'!AA$10-'Economic Forecasts'!AA$9)*1000000/SUM('Statistics NZ'!Y$15:Y$29,'Statistics NZ'!Y$115:Y$129,SUM($B$12:$D$13)*(Y$8-Y$9)*1000)</f>
        <v>32216.104045464268</v>
      </c>
      <c r="Z19" s="46">
        <f>SUM(Y$19,'Statistics NZ'!Z$19-'Statistics NZ'!Y$19,$B$12/5*(Z$8-Z$9)*1000)</f>
        <v>32279.316840821517</v>
      </c>
      <c r="AA19" s="46">
        <f>SUM(Z$19,'Statistics NZ'!AA$19-'Statistics NZ'!Z$19,$B$12/5*(AA$8-AA$9)*1000)</f>
        <v>32317.244518035866</v>
      </c>
      <c r="AB19" s="46">
        <f>SUM(AA$19,'Statistics NZ'!AB$19-'Statistics NZ'!AA$19,$B$12/5*(AB$8-AB$9)*1000)</f>
        <v>32330.944100735898</v>
      </c>
      <c r="AC19" s="46">
        <f>SUM(AB$19,'Statistics NZ'!AC$19-'Statistics NZ'!AB$19,$B$12/5*(AC$8-AC$9)*1000)</f>
        <v>32320.944100735898</v>
      </c>
      <c r="AD19" s="46">
        <f>SUM(AC$19,'Statistics NZ'!AD$19-'Statistics NZ'!AC$19,$B$12/5*(AD$8-AD$9)*1000)</f>
        <v>32320.944100735898</v>
      </c>
      <c r="AE19" s="46">
        <f>SUM(AD$19,'Statistics NZ'!AE$19-'Statistics NZ'!AD$19,$B$12/5*(AE$8-AE$9)*1000)</f>
        <v>32330.944100735898</v>
      </c>
      <c r="AF19" s="46">
        <f>SUM(AE$19,'Statistics NZ'!AF$19-'Statistics NZ'!AE$19,$B$12/5*(AF$8-AF$9)*1000)</f>
        <v>32360.944100735898</v>
      </c>
      <c r="AG19" s="46">
        <f>SUM(AF$19,'Statistics NZ'!AG$19-'Statistics NZ'!AF$19,$B$12/5*(AG$8-AG$9)*1000)</f>
        <v>32420.944100735898</v>
      </c>
      <c r="AH19" s="46">
        <f>SUM(AG$19,'Statistics NZ'!AH$19-'Statistics NZ'!AG$19,$B$12/5*(AH$8-AH$9)*1000)</f>
        <v>32510.944100735898</v>
      </c>
      <c r="AI19" s="46">
        <f>SUM(AH$19,'Statistics NZ'!AI$19-'Statistics NZ'!AH$19,$B$12/5*(AI$8-AI$9)*1000)</f>
        <v>32640.944100735898</v>
      </c>
      <c r="AJ19" s="46">
        <f>SUM(AI$19,'Statistics NZ'!AJ$19-'Statistics NZ'!AI$19,$B$12/5*(AJ$8-AJ$9)*1000)</f>
        <v>32800.944100735898</v>
      </c>
      <c r="AK19" s="46">
        <f>SUM(AJ$19,'Statistics NZ'!AK$19-'Statistics NZ'!AJ$19,$B$12/5*(AK$8-AK$9)*1000)</f>
        <v>32990.944100735898</v>
      </c>
      <c r="AL19" s="46">
        <f>SUM(AK$19,'Statistics NZ'!AL$19-'Statistics NZ'!AK$19,$B$12/5*(AL$8-AL$9)*1000)</f>
        <v>33200.944100735898</v>
      </c>
      <c r="AM19" s="46">
        <f>SUM(AL$19,'Statistics NZ'!AM$19-'Statistics NZ'!AL$19,$B$12/5*(AM$8-AM$9)*1000)</f>
        <v>33430.944100735898</v>
      </c>
      <c r="AN19" s="46">
        <f>SUM(AM$19,'Statistics NZ'!AN$19-'Statistics NZ'!AM$19,$B$12/5*(AN$8-AN$9)*1000)</f>
        <v>33660.944100735898</v>
      </c>
      <c r="AO19" s="46">
        <f>SUM(AN$19,'Statistics NZ'!AO$19-'Statistics NZ'!AN$19,$B$12/5*(AO$8-AO$9)*1000)</f>
        <v>33880.944100735898</v>
      </c>
      <c r="AP19" s="46">
        <f>SUM(AO$19,'Statistics NZ'!AP$19-'Statistics NZ'!AO$19,$B$12/5*(AP$8-AP$9)*1000)</f>
        <v>34080.944100735898</v>
      </c>
      <c r="AQ19" s="46">
        <f>SUM(AP$19,'Statistics NZ'!AQ$19-'Statistics NZ'!AP$19,$B$12/5*(AQ$8-AQ$9)*1000)</f>
        <v>34250.944100735898</v>
      </c>
      <c r="AR19" s="46">
        <f>SUM(AQ$19,'Statistics NZ'!AR$19-'Statistics NZ'!AQ$19,$B$12/5*(AR$8-AR$9)*1000)</f>
        <v>34390.944100735898</v>
      </c>
      <c r="AS19" s="46">
        <f>SUM(AR$19,'Statistics NZ'!AS$19-'Statistics NZ'!AR$19,$B$12/5*(AS$8-AS$9)*1000)</f>
        <v>34490.944100735898</v>
      </c>
      <c r="AT19" s="46">
        <f>SUM(AS$19,'Statistics NZ'!AT$19-'Statistics NZ'!AS$19,$B$12/5*(AT$8-AT$9)*1000)</f>
        <v>34550.944100735898</v>
      </c>
      <c r="AU19" s="46">
        <f>SUM(AT$19,'Statistics NZ'!AU$19-'Statistics NZ'!AT$19,$B$12/5*(AU$8-AU$9)*1000)</f>
        <v>34590.944100735898</v>
      </c>
      <c r="AV19" s="46">
        <f>SUM(AU$19,'Statistics NZ'!AV$19-'Statistics NZ'!AU$19,$B$12/5*(AV$8-AV$9)*1000)</f>
        <v>34600.944100735898</v>
      </c>
      <c r="AW19" s="46">
        <f>SUM(AV$19,'Statistics NZ'!AW$19-'Statistics NZ'!AV$19,$B$12/5*(AW$8-AW$9)*1000)</f>
        <v>34580.944100735898</v>
      </c>
      <c r="AX19" s="46">
        <f>SUM(AW$19,'Statistics NZ'!AX$19-'Statistics NZ'!AW$19,$B$12/5*(AX$8-AX$9)*1000)</f>
        <v>34550.944100735898</v>
      </c>
      <c r="AY19" s="46">
        <f>SUM(AX$19,'Statistics NZ'!AY$19-'Statistics NZ'!AX$19,$B$12/5*(AY$8-AY$9)*1000)</f>
        <v>34500.944100735898</v>
      </c>
      <c r="AZ19" s="46">
        <f>SUM(AY$19,'Statistics NZ'!AZ$19-'Statistics NZ'!AY$19,$B$12/5*(AZ$8-AZ$9)*1000)</f>
        <v>34440.944100735898</v>
      </c>
      <c r="BA19" s="46">
        <f>SUM(AZ$19,'Statistics NZ'!BA$19-'Statistics NZ'!AZ$19,$B$12/5*(BA$8-BA$9)*1000)</f>
        <v>34380.944100735898</v>
      </c>
      <c r="BB19" s="46">
        <f>SUM(BA$19,'Statistics NZ'!BB$19-'Statistics NZ'!BA$19,$B$12/5*(BB$8-BB$9)*1000)</f>
        <v>34330.944100735898</v>
      </c>
      <c r="BC19" s="46">
        <f>SUM(BB$19,'Statistics NZ'!BC$19-'Statistics NZ'!BB$19,$B$12/5*(BC$8-BC$9)*1000)</f>
        <v>34280.944100735898</v>
      </c>
      <c r="BD19" s="46">
        <f>SUM(BC$19,'Statistics NZ'!BD$19-'Statistics NZ'!BC$19,$B$12/5*(BD$8-BD$9)*1000)</f>
        <v>34240.944100735898</v>
      </c>
      <c r="BE19" s="46">
        <f>SUM(BD$19,'Statistics NZ'!BE$19-'Statistics NZ'!BD$19,$B$12/5*(BE$8-BE$9)*1000)</f>
        <v>34220.944100735898</v>
      </c>
      <c r="BF19" s="46">
        <f>SUM(BE$19,'Statistics NZ'!BF$19-'Statistics NZ'!BE$19,$B$12/5*(BF$8-BF$9)*1000)</f>
        <v>34210.944100735898</v>
      </c>
      <c r="BG19" s="46">
        <f>SUM(BF$19,'Statistics NZ'!BG$19-'Statistics NZ'!BF$19,$B$12/5*(BG$8-BG$9)*1000)</f>
        <v>34230.944100735898</v>
      </c>
      <c r="BH19" s="46">
        <f>SUM(BG$19,'Statistics NZ'!BH$19-'Statistics NZ'!BG$19,$B$12/5*(BH$8-BH$9)*1000)</f>
        <v>34260.944100735898</v>
      </c>
      <c r="BI19" s="46">
        <f>SUM(BH$19,'Statistics NZ'!BI$19-'Statistics NZ'!BH$19,$B$12/5*(BI$8-BI$9)*1000)</f>
        <v>34310.944100735898</v>
      </c>
    </row>
    <row r="20" spans="1:61" x14ac:dyDescent="0.25">
      <c r="A20" s="11">
        <v>5</v>
      </c>
      <c r="B20" s="44">
        <f>'Statistics NZ'!B$20*('Economic Forecasts'!D$10-'Economic Forecasts'!D$9)*1000000/SUM('Statistics NZ'!B$15:B$29,'Statistics NZ'!B$115:B$129)</f>
        <v>30078.312751179208</v>
      </c>
      <c r="C20" s="44">
        <f>'Statistics NZ'!C$20*('Economic Forecasts'!E$10-'Economic Forecasts'!E$9)*1000000/SUM('Statistics NZ'!C$15:C$29,'Statistics NZ'!C$115:C$129)</f>
        <v>29142.163132503087</v>
      </c>
      <c r="D20" s="44">
        <f>'Statistics NZ'!D$20*('Economic Forecasts'!F$10-'Economic Forecasts'!F$9)*1000000/SUM('Statistics NZ'!D$15:D$29,'Statistics NZ'!D$115:D$129)</f>
        <v>29114.273430782465</v>
      </c>
      <c r="E20" s="44">
        <f>'Statistics NZ'!E$20*('Economic Forecasts'!G$10-'Economic Forecasts'!G$9)*1000000/SUM('Statistics NZ'!E$15:E$29,'Statistics NZ'!E$115:E$129)</f>
        <v>29971.79968041191</v>
      </c>
      <c r="F20" s="44">
        <f>'Statistics NZ'!F$20*('Economic Forecasts'!H$10-'Economic Forecasts'!H$9)*1000000/SUM('Statistics NZ'!F$15:F$29,'Statistics NZ'!F$115:F$129)</f>
        <v>29930.997423304776</v>
      </c>
      <c r="G20" s="44">
        <f>'Statistics NZ'!G$20*('Economic Forecasts'!I$10-'Economic Forecasts'!I$9)*1000000/SUM('Statistics NZ'!G$15:G$29,'Statistics NZ'!G$115:G$129)</f>
        <v>30756.234146984221</v>
      </c>
      <c r="H20" s="44">
        <f>'Statistics NZ'!H$20*('Economic Forecasts'!J$10-'Economic Forecasts'!J$9)*1000000/SUM('Statistics NZ'!H$15:H$29,'Statistics NZ'!H$115:H$129)</f>
        <v>31930.556929468807</v>
      </c>
      <c r="I20" s="44">
        <f>'Statistics NZ'!I$20*('Economic Forecasts'!K$10-'Economic Forecasts'!K$9)*1000000/SUM('Statistics NZ'!I$15:I$29,'Statistics NZ'!I$115:I$129)</f>
        <v>33047.17261413527</v>
      </c>
      <c r="J20" s="44">
        <f>'Statistics NZ'!J$20*('Economic Forecasts'!L$10-'Economic Forecasts'!L$9)*1000000/SUM('Statistics NZ'!J$15:J$29,'Statistics NZ'!J$115:J$129)</f>
        <v>32760.450143137608</v>
      </c>
      <c r="K20" s="44">
        <f>'Statistics NZ'!K$20*('Economic Forecasts'!M$10-'Economic Forecasts'!M$9)*1000000/SUM('Statistics NZ'!K$15:K$29,'Statistics NZ'!K$115:K$129)</f>
        <v>33954.924411941283</v>
      </c>
      <c r="L20" s="44">
        <f>'Statistics NZ'!L$20*('Economic Forecasts'!N$10-'Economic Forecasts'!N$9)*1000000/SUM('Statistics NZ'!L$15:L$29,'Statistics NZ'!L$115:L$129)</f>
        <v>33535.398325798713</v>
      </c>
      <c r="M20" s="44">
        <f>'Statistics NZ'!M$20*('Economic Forecasts'!O$10-'Economic Forecasts'!O$9)*1000000/SUM('Statistics NZ'!M$15:M$29,'Statistics NZ'!M$115:M$129)</f>
        <v>33248.611807905392</v>
      </c>
      <c r="N20" s="44">
        <f>'Statistics NZ'!N$20*('Economic Forecasts'!P$10-'Economic Forecasts'!P$9)*1000000/SUM('Statistics NZ'!N$15:N$29,'Statistics NZ'!N$115:N$129)</f>
        <v>33299.740086849044</v>
      </c>
      <c r="O20" s="44">
        <f>'Statistics NZ'!O$20*('Economic Forecasts'!Q$10-'Economic Forecasts'!Q$9)*1000000/SUM('Statistics NZ'!O$15:O$29,'Statistics NZ'!O$115:O$129)</f>
        <v>32139.245283018859</v>
      </c>
      <c r="P20" s="44">
        <f>'Statistics NZ'!P$20*('Economic Forecasts'!R$10-'Economic Forecasts'!R$9)*1000000/SUM('Statistics NZ'!P$15:P$29,'Statistics NZ'!P$115:P$129)</f>
        <v>32728.808039452888</v>
      </c>
      <c r="Q20" s="44">
        <f>'Statistics NZ'!Q$20*('Economic Forecasts'!S$10-'Economic Forecasts'!S$9)*1000000/SUM('Statistics NZ'!Q$15:Q$29,'Statistics NZ'!Q$115:Q$129)</f>
        <v>31997.622686715124</v>
      </c>
      <c r="R20" s="44">
        <f>'Statistics NZ'!R$20*('Economic Forecasts'!T$10-'Economic Forecasts'!T$9)*1000000/SUM('Statistics NZ'!R$15:R$29,'Statistics NZ'!R$115:R$129)</f>
        <v>32298.30117993792</v>
      </c>
      <c r="S20" s="44">
        <f>'Statistics NZ'!S$20*('Economic Forecasts'!U$10-'Economic Forecasts'!U$9)*1000000/SUM('Statistics NZ'!S$15:S$29,'Statistics NZ'!S$115:S$129)</f>
        <v>32395.841108487912</v>
      </c>
      <c r="T20" s="44">
        <f>'Statistics NZ'!T$20*('Economic Forecasts'!V$10-'Economic Forecasts'!V$9)*1000000/SUM('Statistics NZ'!T$15:T$29,'Statistics NZ'!T$115:T$129)</f>
        <v>32943.025767549472</v>
      </c>
      <c r="U20" s="45">
        <f>SUM('Statistics NZ'!U$20,$C$12/5*(U$8-U$9)*1000)*('Economic Forecasts'!W$10-'Economic Forecasts'!W$9)*1000000/SUM('Statistics NZ'!U$15:U$29,'Statistics NZ'!U$115:U$129,SUM($B$12:$D$13)*(U$8-U$9)*1000)</f>
        <v>32650.164700868536</v>
      </c>
      <c r="V20" s="45">
        <f>SUM('Statistics NZ'!V$20,$C$12/5*(V$8-V$9)*1000)*('Economic Forecasts'!X$10-'Economic Forecasts'!X$9)*1000000/SUM('Statistics NZ'!V$15:V$29,'Statistics NZ'!V$115:V$129,SUM($B$12:$D$13)*(V$8-V$9)*1000)</f>
        <v>33143.238223903769</v>
      </c>
      <c r="W20" s="45">
        <f>SUM('Statistics NZ'!W$20,$C$12/5*(W$8-W$9)*1000)*('Economic Forecasts'!Y$10-'Economic Forecasts'!Y$9)*1000000/SUM('Statistics NZ'!W$15:W$29,'Statistics NZ'!W$115:W$129,SUM($B$12:$D$13)*(W$8-W$9)*1000)</f>
        <v>33870.070405911589</v>
      </c>
      <c r="X20" s="45">
        <f>SUM('Statistics NZ'!X$20,$C$12/5*(X$8-X$9)*1000)*('Economic Forecasts'!Z$10-'Economic Forecasts'!Z$9)*1000000/SUM('Statistics NZ'!X$15:X$29,'Statistics NZ'!X$115:X$129,SUM($B$12:$D$13)*(X$8-X$9)*1000)</f>
        <v>31415.539896295821</v>
      </c>
      <c r="Y20" s="45">
        <f>SUM('Statistics NZ'!Y$20,$C$12/5*(Y$8-Y$9)*1000)*('Economic Forecasts'!AA$10-'Economic Forecasts'!AA$9)*1000000/SUM('Statistics NZ'!Y$15:Y$29,'Statistics NZ'!Y$115:Y$129,SUM($B$12:$D$13)*(Y$8-Y$9)*1000)</f>
        <v>31938.912761724951</v>
      </c>
      <c r="Z20" s="46">
        <f>SUM(Y$20,'Statistics NZ'!Z$20-'Statistics NZ'!Y$20,$C$12/5*(Z$8-Z$9)*1000)</f>
        <v>32489.530128317445</v>
      </c>
      <c r="AA20" s="46">
        <f>SUM(Z$20,'Statistics NZ'!AA$20-'Statistics NZ'!Z$20,$C$12/5*(AA$8-AA$9)*1000)</f>
        <v>32561.900548272941</v>
      </c>
      <c r="AB20" s="46">
        <f>SUM(AA$20,'Statistics NZ'!AB$20-'Statistics NZ'!AA$20,$C$12/5*(AB$8-AB$9)*1000)</f>
        <v>32597.67341091884</v>
      </c>
      <c r="AC20" s="46">
        <f>SUM(AB$20,'Statistics NZ'!AC$20-'Statistics NZ'!AB$20,$C$12/5*(AC$8-AC$9)*1000)</f>
        <v>32597.67341091884</v>
      </c>
      <c r="AD20" s="46">
        <f>SUM(AC$20,'Statistics NZ'!AD$20-'Statistics NZ'!AC$20,$C$12/5*(AD$8-AD$9)*1000)</f>
        <v>32597.67341091884</v>
      </c>
      <c r="AE20" s="46">
        <f>SUM(AD$20,'Statistics NZ'!AE$20-'Statistics NZ'!AD$20,$C$12/5*(AE$8-AE$9)*1000)</f>
        <v>32597.67341091884</v>
      </c>
      <c r="AF20" s="46">
        <f>SUM(AE$20,'Statistics NZ'!AF$20-'Statistics NZ'!AE$20,$C$12/5*(AF$8-AF$9)*1000)</f>
        <v>32617.67341091884</v>
      </c>
      <c r="AG20" s="46">
        <f>SUM(AF$20,'Statistics NZ'!AG$20-'Statistics NZ'!AF$20,$C$12/5*(AG$8-AG$9)*1000)</f>
        <v>32647.67341091884</v>
      </c>
      <c r="AH20" s="46">
        <f>SUM(AG$20,'Statistics NZ'!AH$20-'Statistics NZ'!AG$20,$C$12/5*(AH$8-AH$9)*1000)</f>
        <v>32707.67341091884</v>
      </c>
      <c r="AI20" s="46">
        <f>SUM(AH$20,'Statistics NZ'!AI$20-'Statistics NZ'!AH$20,$C$12/5*(AI$8-AI$9)*1000)</f>
        <v>32797.67341091884</v>
      </c>
      <c r="AJ20" s="46">
        <f>SUM(AI$20,'Statistics NZ'!AJ$20-'Statistics NZ'!AI$20,$C$12/5*(AJ$8-AJ$9)*1000)</f>
        <v>32927.67341091884</v>
      </c>
      <c r="AK20" s="46">
        <f>SUM(AJ$20,'Statistics NZ'!AK$20-'Statistics NZ'!AJ$20,$C$12/5*(AK$8-AK$9)*1000)</f>
        <v>33087.67341091884</v>
      </c>
      <c r="AL20" s="46">
        <f>SUM(AK$20,'Statistics NZ'!AL$20-'Statistics NZ'!AK$20,$C$12/5*(AL$8-AL$9)*1000)</f>
        <v>33287.67341091884</v>
      </c>
      <c r="AM20" s="46">
        <f>SUM(AL$20,'Statistics NZ'!AM$20-'Statistics NZ'!AL$20,$C$12/5*(AM$8-AM$9)*1000)</f>
        <v>33497.67341091884</v>
      </c>
      <c r="AN20" s="46">
        <f>SUM(AM$20,'Statistics NZ'!AN$20-'Statistics NZ'!AM$20,$C$12/5*(AN$8-AN$9)*1000)</f>
        <v>33727.67341091884</v>
      </c>
      <c r="AO20" s="46">
        <f>SUM(AN$20,'Statistics NZ'!AO$20-'Statistics NZ'!AN$20,$C$12/5*(AO$8-AO$9)*1000)</f>
        <v>33967.67341091884</v>
      </c>
      <c r="AP20" s="46">
        <f>SUM(AO$20,'Statistics NZ'!AP$20-'Statistics NZ'!AO$20,$C$12/5*(AP$8-AP$9)*1000)</f>
        <v>34187.67341091884</v>
      </c>
      <c r="AQ20" s="46">
        <f>SUM(AP$20,'Statistics NZ'!AQ$20-'Statistics NZ'!AP$20,$C$12/5*(AQ$8-AQ$9)*1000)</f>
        <v>34387.67341091884</v>
      </c>
      <c r="AR20" s="46">
        <f>SUM(AQ$20,'Statistics NZ'!AR$20-'Statistics NZ'!AQ$20,$C$12/5*(AR$8-AR$9)*1000)</f>
        <v>34557.67341091884</v>
      </c>
      <c r="AS20" s="46">
        <f>SUM(AR$20,'Statistics NZ'!AS$20-'Statistics NZ'!AR$20,$C$12/5*(AS$8-AS$9)*1000)</f>
        <v>34697.67341091884</v>
      </c>
      <c r="AT20" s="46">
        <f>SUM(AS$20,'Statistics NZ'!AT$20-'Statistics NZ'!AS$20,$C$12/5*(AT$8-AT$9)*1000)</f>
        <v>34797.67341091884</v>
      </c>
      <c r="AU20" s="46">
        <f>SUM(AT$20,'Statistics NZ'!AU$20-'Statistics NZ'!AT$20,$C$12/5*(AU$8-AU$9)*1000)</f>
        <v>34867.67341091884</v>
      </c>
      <c r="AV20" s="46">
        <f>SUM(AU$20,'Statistics NZ'!AV$20-'Statistics NZ'!AU$20,$C$12/5*(AV$8-AV$9)*1000)</f>
        <v>34907.67341091884</v>
      </c>
      <c r="AW20" s="46">
        <f>SUM(AV$20,'Statistics NZ'!AW$20-'Statistics NZ'!AV$20,$C$12/5*(AW$8-AW$9)*1000)</f>
        <v>34907.67341091884</v>
      </c>
      <c r="AX20" s="46">
        <f>SUM(AW$20,'Statistics NZ'!AX$20-'Statistics NZ'!AW$20,$C$12/5*(AX$8-AX$9)*1000)</f>
        <v>34897.67341091884</v>
      </c>
      <c r="AY20" s="46">
        <f>SUM(AX$20,'Statistics NZ'!AY$20-'Statistics NZ'!AX$20,$C$12/5*(AY$8-AY$9)*1000)</f>
        <v>34867.67341091884</v>
      </c>
      <c r="AZ20" s="46">
        <f>SUM(AY$20,'Statistics NZ'!AZ$20-'Statistics NZ'!AY$20,$C$12/5*(AZ$8-AZ$9)*1000)</f>
        <v>34817.67341091884</v>
      </c>
      <c r="BA20" s="46">
        <f>SUM(AZ$20,'Statistics NZ'!BA$20-'Statistics NZ'!AZ$20,$C$12/5*(BA$8-BA$9)*1000)</f>
        <v>34767.67341091884</v>
      </c>
      <c r="BB20" s="46">
        <f>SUM(BA$20,'Statistics NZ'!BB$20-'Statistics NZ'!BA$20,$C$12/5*(BB$8-BB$9)*1000)</f>
        <v>34707.67341091884</v>
      </c>
      <c r="BC20" s="46">
        <f>SUM(BB$20,'Statistics NZ'!BC$20-'Statistics NZ'!BB$20,$C$12/5*(BC$8-BC$9)*1000)</f>
        <v>34657.67341091884</v>
      </c>
      <c r="BD20" s="46">
        <f>SUM(BC$20,'Statistics NZ'!BD$20-'Statistics NZ'!BC$20,$C$12/5*(BD$8-BD$9)*1000)</f>
        <v>34607.67341091884</v>
      </c>
      <c r="BE20" s="46">
        <f>SUM(BD$20,'Statistics NZ'!BE$20-'Statistics NZ'!BD$20,$C$12/5*(BE$8-BE$9)*1000)</f>
        <v>34567.67341091884</v>
      </c>
      <c r="BF20" s="46">
        <f>SUM(BE$20,'Statistics NZ'!BF$20-'Statistics NZ'!BE$20,$C$12/5*(BF$8-BF$9)*1000)</f>
        <v>34547.67341091884</v>
      </c>
      <c r="BG20" s="46">
        <f>SUM(BF$20,'Statistics NZ'!BG$20-'Statistics NZ'!BF$20,$C$12/5*(BG$8-BG$9)*1000)</f>
        <v>34547.67341091884</v>
      </c>
      <c r="BH20" s="46">
        <f>SUM(BG$20,'Statistics NZ'!BH$20-'Statistics NZ'!BG$20,$C$12/5*(BH$8-BH$9)*1000)</f>
        <v>34557.67341091884</v>
      </c>
      <c r="BI20" s="46">
        <f>SUM(BH$20,'Statistics NZ'!BI$20-'Statistics NZ'!BH$20,$C$12/5*(BI$8-BI$9)*1000)</f>
        <v>34597.67341091884</v>
      </c>
    </row>
    <row r="21" spans="1:61" x14ac:dyDescent="0.25">
      <c r="A21" s="11">
        <v>6</v>
      </c>
      <c r="B21" s="44">
        <f>'Statistics NZ'!B$21*('Economic Forecasts'!D$10-'Economic Forecasts'!D$9)*1000000/SUM('Statistics NZ'!B$15:B$29,'Statistics NZ'!B$115:B$129)</f>
        <v>30650.829102452975</v>
      </c>
      <c r="C21" s="44">
        <f>'Statistics NZ'!C$21*('Economic Forecasts'!E$10-'Economic Forecasts'!E$9)*1000000/SUM('Statistics NZ'!C$15:C$29,'Statistics NZ'!C$115:C$129)</f>
        <v>30164.510265903737</v>
      </c>
      <c r="D21" s="44">
        <f>'Statistics NZ'!D$21*('Economic Forecasts'!F$10-'Economic Forecasts'!F$9)*1000000/SUM('Statistics NZ'!D$15:D$29,'Statistics NZ'!D$115:D$129)</f>
        <v>29377.894160869229</v>
      </c>
      <c r="E21" s="44">
        <f>'Statistics NZ'!E$21*('Economic Forecasts'!G$10-'Economic Forecasts'!G$9)*1000000/SUM('Statistics NZ'!E$15:E$29,'Statistics NZ'!E$115:E$129)</f>
        <v>29296.616583070703</v>
      </c>
      <c r="F21" s="44">
        <f>'Statistics NZ'!F$21*('Economic Forecasts'!H$10-'Economic Forecasts'!H$9)*1000000/SUM('Statistics NZ'!F$15:F$29,'Statistics NZ'!F$115:F$129)</f>
        <v>30174.081088818904</v>
      </c>
      <c r="G21" s="44">
        <f>'Statistics NZ'!G$21*('Economic Forecasts'!I$10-'Economic Forecasts'!I$9)*1000000/SUM('Statistics NZ'!G$15:G$29,'Statistics NZ'!G$115:G$129)</f>
        <v>29951.59600751062</v>
      </c>
      <c r="H21" s="44">
        <f>'Statistics NZ'!H$21*('Economic Forecasts'!J$10-'Economic Forecasts'!J$9)*1000000/SUM('Statistics NZ'!H$15:H$29,'Statistics NZ'!H$115:H$129)</f>
        <v>30637.220958222068</v>
      </c>
      <c r="I21" s="44">
        <f>'Statistics NZ'!I$21*('Economic Forecasts'!K$10-'Economic Forecasts'!K$9)*1000000/SUM('Statistics NZ'!I$15:I$29,'Statistics NZ'!I$115:I$129)</f>
        <v>31941.702703594881</v>
      </c>
      <c r="J21" s="44">
        <f>'Statistics NZ'!J$21*('Economic Forecasts'!L$10-'Economic Forecasts'!L$9)*1000000/SUM('Statistics NZ'!J$15:J$29,'Statistics NZ'!J$115:J$129)</f>
        <v>33272.665650261581</v>
      </c>
      <c r="K21" s="44">
        <f>'Statistics NZ'!K$21*('Economic Forecasts'!M$10-'Economic Forecasts'!M$9)*1000000/SUM('Statistics NZ'!K$15:K$29,'Statistics NZ'!K$115:K$129)</f>
        <v>33045.035201659121</v>
      </c>
      <c r="L21" s="44">
        <f>'Statistics NZ'!L$21*('Economic Forecasts'!N$10-'Economic Forecasts'!N$9)*1000000/SUM('Statistics NZ'!L$15:L$29,'Statistics NZ'!L$115:L$129)</f>
        <v>34165.522052302578</v>
      </c>
      <c r="M21" s="44">
        <f>'Statistics NZ'!M$21*('Economic Forecasts'!O$10-'Economic Forecasts'!O$9)*1000000/SUM('Statistics NZ'!M$15:M$29,'Statistics NZ'!M$115:M$129)</f>
        <v>33629.927521535392</v>
      </c>
      <c r="N21" s="44">
        <f>'Statistics NZ'!N$21*('Economic Forecasts'!P$10-'Economic Forecasts'!P$9)*1000000/SUM('Statistics NZ'!N$15:N$29,'Statistics NZ'!N$115:N$129)</f>
        <v>33680.671336650943</v>
      </c>
      <c r="O21" s="44">
        <f>'Statistics NZ'!O$21*('Economic Forecasts'!Q$10-'Economic Forecasts'!Q$9)*1000000/SUM('Statistics NZ'!O$15:O$29,'Statistics NZ'!O$115:O$129)</f>
        <v>33505.084409136034</v>
      </c>
      <c r="P21" s="44">
        <f>'Statistics NZ'!P$21*('Economic Forecasts'!R$10-'Economic Forecasts'!R$9)*1000000/SUM('Statistics NZ'!P$15:P$29,'Statistics NZ'!P$115:P$129)</f>
        <v>32823.857820787212</v>
      </c>
      <c r="Q21" s="44">
        <f>'Statistics NZ'!Q$21*('Economic Forecasts'!S$10-'Economic Forecasts'!S$9)*1000000/SUM('Statistics NZ'!Q$15:Q$29,'Statistics NZ'!Q$115:Q$129)</f>
        <v>32627.29056510243</v>
      </c>
      <c r="R21" s="44">
        <f>'Statistics NZ'!R$21*('Economic Forecasts'!T$10-'Economic Forecasts'!T$9)*1000000/SUM('Statistics NZ'!R$15:R$29,'Statistics NZ'!R$115:R$129)</f>
        <v>32182.423387054911</v>
      </c>
      <c r="S21" s="44">
        <f>'Statistics NZ'!S$21*('Economic Forecasts'!U$10-'Economic Forecasts'!U$9)*1000000/SUM('Statistics NZ'!S$15:S$29,'Statistics NZ'!S$115:S$129)</f>
        <v>33383.972700186627</v>
      </c>
      <c r="T21" s="44">
        <f>'Statistics NZ'!T$21*('Economic Forecasts'!V$10-'Economic Forecasts'!V$9)*1000000/SUM('Statistics NZ'!T$15:T$29,'Statistics NZ'!T$115:T$129)</f>
        <v>33187.362946734786</v>
      </c>
      <c r="U21" s="45">
        <f>SUM('Statistics NZ'!U$21,$C$12/5*(U$8-U$9)*1000)*('Economic Forecasts'!W$10-'Economic Forecasts'!W$9)*1000000/SUM('Statistics NZ'!U$15:U$29,'Statistics NZ'!U$115:U$129,SUM($B$12:$D$13)*(U$8-U$9)*1000)</f>
        <v>33278.15173994963</v>
      </c>
      <c r="V21" s="45">
        <f>SUM('Statistics NZ'!V$21,$C$12/5*(V$8-V$9)*1000)*('Economic Forecasts'!X$10-'Economic Forecasts'!X$9)*1000000/SUM('Statistics NZ'!V$15:V$29,'Statistics NZ'!V$115:V$129,SUM($B$12:$D$13)*(V$8-V$9)*1000)</f>
        <v>33272.419626877287</v>
      </c>
      <c r="W21" s="45">
        <f>SUM('Statistics NZ'!W$21,$C$12/5*(W$8-W$9)*1000)*('Economic Forecasts'!Y$10-'Economic Forecasts'!Y$9)*1000000/SUM('Statistics NZ'!W$15:W$29,'Statistics NZ'!W$115:W$129,SUM($B$12:$D$13)*(W$8-W$9)*1000)</f>
        <v>33837.353843654309</v>
      </c>
      <c r="X21" s="45">
        <f>SUM('Statistics NZ'!X$21,$C$12/5*(X$8-X$9)*1000)*('Economic Forecasts'!Z$10-'Economic Forecasts'!Z$9)*1000000/SUM('Statistics NZ'!X$15:X$29,'Statistics NZ'!X$115:X$129,SUM($B$12:$D$13)*(X$8-X$9)*1000)</f>
        <v>34585.308859630706</v>
      </c>
      <c r="Y21" s="45">
        <f>SUM('Statistics NZ'!Y$21,$C$12/5*(Y$8-Y$9)*1000)*('Economic Forecasts'!AA$10-'Economic Forecasts'!AA$9)*1000000/SUM('Statistics NZ'!Y$15:Y$29,'Statistics NZ'!Y$115:Y$129,SUM($B$12:$D$13)*(Y$8-Y$9)*1000)</f>
        <v>32072.955050695189</v>
      </c>
      <c r="Z21" s="46">
        <f>SUM(Y$21,'Statistics NZ'!Z$21-'Statistics NZ'!Y$21,$C$12/5*(Z$8-Z$9)*1000)</f>
        <v>32253.572417287683</v>
      </c>
      <c r="AA21" s="46">
        <f>SUM(Z$21,'Statistics NZ'!AA$21-'Statistics NZ'!Z$21,$C$12/5*(AA$8-AA$9)*1000)</f>
        <v>32805.942837243179</v>
      </c>
      <c r="AB21" s="46">
        <f>SUM(AA$21,'Statistics NZ'!AB$21-'Statistics NZ'!AA$21,$C$12/5*(AB$8-AB$9)*1000)</f>
        <v>32871.715699889079</v>
      </c>
      <c r="AC21" s="46">
        <f>SUM(AB$21,'Statistics NZ'!AC$21-'Statistics NZ'!AB$21,$C$12/5*(AC$8-AC$9)*1000)</f>
        <v>32901.715699889079</v>
      </c>
      <c r="AD21" s="46">
        <f>SUM(AC$21,'Statistics NZ'!AD$21-'Statistics NZ'!AC$21,$C$12/5*(AD$8-AD$9)*1000)</f>
        <v>32911.715699889079</v>
      </c>
      <c r="AE21" s="46">
        <f>SUM(AD$21,'Statistics NZ'!AE$21-'Statistics NZ'!AD$21,$C$12/5*(AE$8-AE$9)*1000)</f>
        <v>32911.715699889079</v>
      </c>
      <c r="AF21" s="46">
        <f>SUM(AE$21,'Statistics NZ'!AF$21-'Statistics NZ'!AE$21,$C$12/5*(AF$8-AF$9)*1000)</f>
        <v>32921.715699889079</v>
      </c>
      <c r="AG21" s="46">
        <f>SUM(AF$21,'Statistics NZ'!AG$21-'Statistics NZ'!AF$21,$C$12/5*(AG$8-AG$9)*1000)</f>
        <v>32931.715699889079</v>
      </c>
      <c r="AH21" s="46">
        <f>SUM(AG$21,'Statistics NZ'!AH$21-'Statistics NZ'!AG$21,$C$12/5*(AH$8-AH$9)*1000)</f>
        <v>32961.715699889079</v>
      </c>
      <c r="AI21" s="46">
        <f>SUM(AH$21,'Statistics NZ'!AI$21-'Statistics NZ'!AH$21,$C$12/5*(AI$8-AI$9)*1000)</f>
        <v>33031.715699889079</v>
      </c>
      <c r="AJ21" s="46">
        <f>SUM(AI$21,'Statistics NZ'!AJ$21-'Statistics NZ'!AI$21,$C$12/5*(AJ$8-AJ$9)*1000)</f>
        <v>33121.715699889079</v>
      </c>
      <c r="AK21" s="46">
        <f>SUM(AJ$21,'Statistics NZ'!AK$21-'Statistics NZ'!AJ$21,$C$12/5*(AK$8-AK$9)*1000)</f>
        <v>33251.715699889079</v>
      </c>
      <c r="AL21" s="46">
        <f>SUM(AK$21,'Statistics NZ'!AL$21-'Statistics NZ'!AK$21,$C$12/5*(AL$8-AL$9)*1000)</f>
        <v>33421.715699889079</v>
      </c>
      <c r="AM21" s="46">
        <f>SUM(AL$21,'Statistics NZ'!AM$21-'Statistics NZ'!AL$21,$C$12/5*(AM$8-AM$9)*1000)</f>
        <v>33611.715699889079</v>
      </c>
      <c r="AN21" s="46">
        <f>SUM(AM$21,'Statistics NZ'!AN$21-'Statistics NZ'!AM$21,$C$12/5*(AN$8-AN$9)*1000)</f>
        <v>33831.715699889079</v>
      </c>
      <c r="AO21" s="46">
        <f>SUM(AN$21,'Statistics NZ'!AO$21-'Statistics NZ'!AN$21,$C$12/5*(AO$8-AO$9)*1000)</f>
        <v>34061.715699889079</v>
      </c>
      <c r="AP21" s="46">
        <f>SUM(AO$21,'Statistics NZ'!AP$21-'Statistics NZ'!AO$21,$C$12/5*(AP$8-AP$9)*1000)</f>
        <v>34301.715699889079</v>
      </c>
      <c r="AQ21" s="46">
        <f>SUM(AP$21,'Statistics NZ'!AQ$21-'Statistics NZ'!AP$21,$C$12/5*(AQ$8-AQ$9)*1000)</f>
        <v>34521.715699889079</v>
      </c>
      <c r="AR21" s="46">
        <f>SUM(AQ$21,'Statistics NZ'!AR$21-'Statistics NZ'!AQ$21,$C$12/5*(AR$8-AR$9)*1000)</f>
        <v>34721.715699889079</v>
      </c>
      <c r="AS21" s="46">
        <f>SUM(AR$21,'Statistics NZ'!AS$21-'Statistics NZ'!AR$21,$C$12/5*(AS$8-AS$9)*1000)</f>
        <v>34901.715699889079</v>
      </c>
      <c r="AT21" s="46">
        <f>SUM(AS$21,'Statistics NZ'!AT$21-'Statistics NZ'!AS$21,$C$12/5*(AT$8-AT$9)*1000)</f>
        <v>35041.715699889079</v>
      </c>
      <c r="AU21" s="46">
        <f>SUM(AT$21,'Statistics NZ'!AU$21-'Statistics NZ'!AT$21,$C$12/5*(AU$8-AU$9)*1000)</f>
        <v>35141.715699889079</v>
      </c>
      <c r="AV21" s="46">
        <f>SUM(AU$21,'Statistics NZ'!AV$21-'Statistics NZ'!AU$21,$C$12/5*(AV$8-AV$9)*1000)</f>
        <v>35211.715699889079</v>
      </c>
      <c r="AW21" s="46">
        <f>SUM(AV$21,'Statistics NZ'!AW$21-'Statistics NZ'!AV$21,$C$12/5*(AW$8-AW$9)*1000)</f>
        <v>35251.715699889079</v>
      </c>
      <c r="AX21" s="46">
        <f>SUM(AW$21,'Statistics NZ'!AX$21-'Statistics NZ'!AW$21,$C$12/5*(AX$8-AX$9)*1000)</f>
        <v>35261.715699889079</v>
      </c>
      <c r="AY21" s="46">
        <f>SUM(AX$21,'Statistics NZ'!AY$21-'Statistics NZ'!AX$21,$C$12/5*(AY$8-AY$9)*1000)</f>
        <v>35251.715699889079</v>
      </c>
      <c r="AZ21" s="46">
        <f>SUM(AY$21,'Statistics NZ'!AZ$21-'Statistics NZ'!AY$21,$C$12/5*(AZ$8-AZ$9)*1000)</f>
        <v>35221.715699889079</v>
      </c>
      <c r="BA21" s="46">
        <f>SUM(AZ$21,'Statistics NZ'!BA$21-'Statistics NZ'!AZ$21,$C$12/5*(BA$8-BA$9)*1000)</f>
        <v>35181.715699889079</v>
      </c>
      <c r="BB21" s="46">
        <f>SUM(BA$21,'Statistics NZ'!BB$21-'Statistics NZ'!BA$21,$C$12/5*(BB$8-BB$9)*1000)</f>
        <v>35121.715699889079</v>
      </c>
      <c r="BC21" s="46">
        <f>SUM(BB$21,'Statistics NZ'!BC$21-'Statistics NZ'!BB$21,$C$12/5*(BC$8-BC$9)*1000)</f>
        <v>35071.715699889079</v>
      </c>
      <c r="BD21" s="46">
        <f>SUM(BC$21,'Statistics NZ'!BD$21-'Statistics NZ'!BC$21,$C$12/5*(BD$8-BD$9)*1000)</f>
        <v>35021.715699889079</v>
      </c>
      <c r="BE21" s="46">
        <f>SUM(BD$21,'Statistics NZ'!BE$21-'Statistics NZ'!BD$21,$C$12/5*(BE$8-BE$9)*1000)</f>
        <v>34971.715699889079</v>
      </c>
      <c r="BF21" s="46">
        <f>SUM(BE$21,'Statistics NZ'!BF$21-'Statistics NZ'!BE$21,$C$12/5*(BF$8-BF$9)*1000)</f>
        <v>34941.715699889079</v>
      </c>
      <c r="BG21" s="46">
        <f>SUM(BF$21,'Statistics NZ'!BG$21-'Statistics NZ'!BF$21,$C$12/5*(BG$8-BG$9)*1000)</f>
        <v>34921.715699889079</v>
      </c>
      <c r="BH21" s="46">
        <f>SUM(BG$21,'Statistics NZ'!BH$21-'Statistics NZ'!BG$21,$C$12/5*(BH$8-BH$9)*1000)</f>
        <v>34921.715699889079</v>
      </c>
      <c r="BI21" s="46">
        <f>SUM(BH$21,'Statistics NZ'!BI$21-'Statistics NZ'!BH$21,$C$12/5*(BI$8-BI$9)*1000)</f>
        <v>34941.715699889079</v>
      </c>
    </row>
    <row r="22" spans="1:61" x14ac:dyDescent="0.25">
      <c r="A22" s="11">
        <v>7</v>
      </c>
      <c r="B22" s="44">
        <f>'Statistics NZ'!B$22*('Economic Forecasts'!D$10-'Economic Forecasts'!D$9)*1000000/SUM('Statistics NZ'!B$15:B$29,'Statistics NZ'!B$115:B$129)</f>
        <v>29664.828719703717</v>
      </c>
      <c r="C22" s="44">
        <f>'Statistics NZ'!C$22*('Economic Forecasts'!E$10-'Economic Forecasts'!E$9)*1000000/SUM('Statistics NZ'!C$15:C$29,'Statistics NZ'!C$115:C$129)</f>
        <v>30733.651969033996</v>
      </c>
      <c r="D22" s="44">
        <f>'Statistics NZ'!D$22*('Economic Forecasts'!F$10-'Economic Forecasts'!F$9)*1000000/SUM('Statistics NZ'!D$15:D$29,'Statistics NZ'!D$115:D$129)</f>
        <v>30326.928789181587</v>
      </c>
      <c r="E22" s="44">
        <f>'Statistics NZ'!E$22*('Economic Forecasts'!G$10-'Economic Forecasts'!G$9)*1000000/SUM('Statistics NZ'!E$15:E$29,'Statistics NZ'!E$115:E$129)</f>
        <v>29528.710772781742</v>
      </c>
      <c r="F22" s="44">
        <f>'Statistics NZ'!F$22*('Economic Forecasts'!H$10-'Economic Forecasts'!H$9)*1000000/SUM('Statistics NZ'!F$15:F$29,'Statistics NZ'!F$115:F$129)</f>
        <v>29434.261237254166</v>
      </c>
      <c r="G22" s="44">
        <f>'Statistics NZ'!G$22*('Economic Forecasts'!I$10-'Economic Forecasts'!I$9)*1000000/SUM('Statistics NZ'!G$15:G$29,'Statistics NZ'!G$115:G$129)</f>
        <v>30279.803669664328</v>
      </c>
      <c r="H22" s="44">
        <f>'Statistics NZ'!H$22*('Economic Forecasts'!J$10-'Economic Forecasts'!J$9)*1000000/SUM('Statistics NZ'!H$15:H$29,'Statistics NZ'!H$115:H$129)</f>
        <v>29895.142941932947</v>
      </c>
      <c r="I22" s="44">
        <f>'Statistics NZ'!I$22*('Economic Forecasts'!K$10-'Economic Forecasts'!K$9)*1000000/SUM('Statistics NZ'!I$15:I$29,'Statistics NZ'!I$115:I$129)</f>
        <v>30602.383388901719</v>
      </c>
      <c r="J22" s="44">
        <f>'Statistics NZ'!J$22*('Economic Forecasts'!L$10-'Economic Forecasts'!L$9)*1000000/SUM('Statistics NZ'!J$15:J$29,'Statistics NZ'!J$115:J$129)</f>
        <v>32173.536541224719</v>
      </c>
      <c r="K22" s="44">
        <f>'Statistics NZ'!K$22*('Economic Forecasts'!M$10-'Economic Forecasts'!M$9)*1000000/SUM('Statistics NZ'!K$15:K$29,'Statistics NZ'!K$115:K$129)</f>
        <v>33516.036675216943</v>
      </c>
      <c r="L22" s="44">
        <f>'Statistics NZ'!L$22*('Economic Forecasts'!N$10-'Economic Forecasts'!N$9)*1000000/SUM('Statistics NZ'!L$15:L$29,'Statistics NZ'!L$115:L$129)</f>
        <v>33193.636304644075</v>
      </c>
      <c r="M22" s="44">
        <f>'Statistics NZ'!M$22*('Economic Forecasts'!O$10-'Economic Forecasts'!O$9)*1000000/SUM('Statistics NZ'!M$15:M$29,'Statistics NZ'!M$115:M$129)</f>
        <v>34180.716885667629</v>
      </c>
      <c r="N22" s="44">
        <f>'Statistics NZ'!N$22*('Economic Forecasts'!P$10-'Economic Forecasts'!P$9)*1000000/SUM('Statistics NZ'!N$15:N$29,'Statistics NZ'!N$115:N$129)</f>
        <v>33913.462655974319</v>
      </c>
      <c r="O22" s="44">
        <f>'Statistics NZ'!O$22*('Economic Forecasts'!Q$10-'Economic Forecasts'!Q$9)*1000000/SUM('Statistics NZ'!O$15:O$29,'Statistics NZ'!O$115:O$129)</f>
        <v>33820.278053624621</v>
      </c>
      <c r="P22" s="44">
        <f>'Statistics NZ'!P$22*('Economic Forecasts'!R$10-'Economic Forecasts'!R$9)*1000000/SUM('Statistics NZ'!P$15:P$29,'Statistics NZ'!P$115:P$129)</f>
        <v>34186.238019912547</v>
      </c>
      <c r="Q22" s="44">
        <f>'Statistics NZ'!Q$22*('Economic Forecasts'!S$10-'Economic Forecasts'!S$9)*1000000/SUM('Statistics NZ'!Q$15:Q$29,'Statistics NZ'!Q$115:Q$129)</f>
        <v>32763.718605419679</v>
      </c>
      <c r="R22" s="44">
        <f>'Statistics NZ'!R$22*('Economic Forecasts'!T$10-'Economic Forecasts'!T$9)*1000000/SUM('Statistics NZ'!R$15:R$29,'Statistics NZ'!R$115:R$129)</f>
        <v>32835.552765122804</v>
      </c>
      <c r="S22" s="44">
        <f>'Statistics NZ'!S$22*('Economic Forecasts'!U$10-'Economic Forecasts'!U$9)*1000000/SUM('Statistics NZ'!S$15:S$29,'Statistics NZ'!S$115:S$129)</f>
        <v>33139.596069981562</v>
      </c>
      <c r="T22" s="44">
        <f>'Statistics NZ'!T$22*('Economic Forecasts'!V$10-'Economic Forecasts'!V$9)*1000000/SUM('Statistics NZ'!T$15:T$29,'Statistics NZ'!T$115:T$129)</f>
        <v>34122.218241008995</v>
      </c>
      <c r="U22" s="45">
        <f>SUM('Statistics NZ'!U$22,$C$12/5*(U$8-U$9)*1000)*('Economic Forecasts'!W$10-'Economic Forecasts'!W$9)*1000000/SUM('Statistics NZ'!U$15:U$29,'Statistics NZ'!U$115:U$129,SUM($B$12:$D$13)*(U$8-U$9)*1000)</f>
        <v>33533.604094830072</v>
      </c>
      <c r="V22" s="45">
        <f>SUM('Statistics NZ'!V$22,$C$12/5*(V$8-V$9)*1000)*('Economic Forecasts'!X$10-'Economic Forecasts'!X$9)*1000000/SUM('Statistics NZ'!V$15:V$29,'Statistics NZ'!V$115:V$129,SUM($B$12:$D$13)*(V$8-V$9)*1000)</f>
        <v>33918.326641744898</v>
      </c>
      <c r="W22" s="45">
        <f>SUM('Statistics NZ'!W$22,$C$12/5*(W$8-W$9)*1000)*('Economic Forecasts'!Y$10-'Economic Forecasts'!Y$9)*1000000/SUM('Statistics NZ'!W$15:W$29,'Statistics NZ'!W$115:W$129,SUM($B$12:$D$13)*(W$8-W$9)*1000)</f>
        <v>33979.12561343587</v>
      </c>
      <c r="X22" s="45">
        <f>SUM('Statistics NZ'!X$22,$C$12/5*(X$8-X$9)*1000)*('Economic Forecasts'!Z$10-'Economic Forecasts'!Z$9)*1000000/SUM('Statistics NZ'!X$15:X$29,'Statistics NZ'!X$115:X$129,SUM($B$12:$D$13)*(X$8-X$9)*1000)</f>
        <v>34563.21987730782</v>
      </c>
      <c r="Y22" s="45">
        <f>SUM('Statistics NZ'!Y$22,$C$12/5*(Y$8-Y$9)*1000)*('Economic Forecasts'!AA$10-'Economic Forecasts'!AA$9)*1000000/SUM('Statistics NZ'!Y$15:Y$29,'Statistics NZ'!Y$115:Y$129,SUM($B$12:$D$13)*(Y$8-Y$9)*1000)</f>
        <v>35289.969985980933</v>
      </c>
      <c r="Z22" s="46">
        <f>SUM(Y$22,'Statistics NZ'!Z$22-'Statistics NZ'!Y$22,$C$12/5*(Z$8-Z$9)*1000)</f>
        <v>32730.587352573428</v>
      </c>
      <c r="AA22" s="46">
        <f>SUM(Z$22,'Statistics NZ'!AA$22-'Statistics NZ'!Z$22,$C$12/5*(AA$8-AA$9)*1000)</f>
        <v>32902.957772528927</v>
      </c>
      <c r="AB22" s="46">
        <f>SUM(AA$22,'Statistics NZ'!AB$22-'Statistics NZ'!AA$22,$C$12/5*(AB$8-AB$9)*1000)</f>
        <v>33458.730635174827</v>
      </c>
      <c r="AC22" s="46">
        <f>SUM(AB$22,'Statistics NZ'!AC$22-'Statistics NZ'!AB$22,$C$12/5*(AC$8-AC$9)*1000)</f>
        <v>33518.730635174827</v>
      </c>
      <c r="AD22" s="46">
        <f>SUM(AC$22,'Statistics NZ'!AD$22-'Statistics NZ'!AC$22,$C$12/5*(AD$8-AD$9)*1000)</f>
        <v>33548.730635174827</v>
      </c>
      <c r="AE22" s="46">
        <f>SUM(AD$22,'Statistics NZ'!AE$22-'Statistics NZ'!AD$22,$C$12/5*(AE$8-AE$9)*1000)</f>
        <v>33558.730635174827</v>
      </c>
      <c r="AF22" s="46">
        <f>SUM(AE$22,'Statistics NZ'!AF$22-'Statistics NZ'!AE$22,$C$12/5*(AF$8-AF$9)*1000)</f>
        <v>33558.730635174827</v>
      </c>
      <c r="AG22" s="46">
        <f>SUM(AF$22,'Statistics NZ'!AG$22-'Statistics NZ'!AF$22,$C$12/5*(AG$8-AG$9)*1000)</f>
        <v>33568.730635174827</v>
      </c>
      <c r="AH22" s="46">
        <f>SUM(AG$22,'Statistics NZ'!AH$22-'Statistics NZ'!AG$22,$C$12/5*(AH$8-AH$9)*1000)</f>
        <v>33588.730635174827</v>
      </c>
      <c r="AI22" s="46">
        <f>SUM(AH$22,'Statistics NZ'!AI$22-'Statistics NZ'!AH$22,$C$12/5*(AI$8-AI$9)*1000)</f>
        <v>33618.730635174827</v>
      </c>
      <c r="AJ22" s="46">
        <f>SUM(AI$22,'Statistics NZ'!AJ$22-'Statistics NZ'!AI$22,$C$12/5*(AJ$8-AJ$9)*1000)</f>
        <v>33688.730635174827</v>
      </c>
      <c r="AK22" s="46">
        <f>SUM(AJ$22,'Statistics NZ'!AK$22-'Statistics NZ'!AJ$22,$C$12/5*(AK$8-AK$9)*1000)</f>
        <v>33778.730635174827</v>
      </c>
      <c r="AL22" s="46">
        <f>SUM(AK$22,'Statistics NZ'!AL$22-'Statistics NZ'!AK$22,$C$12/5*(AL$8-AL$9)*1000)</f>
        <v>33918.730635174827</v>
      </c>
      <c r="AM22" s="46">
        <f>SUM(AL$22,'Statistics NZ'!AM$22-'Statistics NZ'!AL$22,$C$12/5*(AM$8-AM$9)*1000)</f>
        <v>34078.730635174827</v>
      </c>
      <c r="AN22" s="46">
        <f>SUM(AM$22,'Statistics NZ'!AN$22-'Statistics NZ'!AM$22,$C$12/5*(AN$8-AN$9)*1000)</f>
        <v>34278.730635174827</v>
      </c>
      <c r="AO22" s="46">
        <f>SUM(AN$22,'Statistics NZ'!AO$22-'Statistics NZ'!AN$22,$C$12/5*(AO$8-AO$9)*1000)</f>
        <v>34498.730635174827</v>
      </c>
      <c r="AP22" s="46">
        <f>SUM(AO$22,'Statistics NZ'!AP$22-'Statistics NZ'!AO$22,$C$12/5*(AP$8-AP$9)*1000)</f>
        <v>34738.730635174827</v>
      </c>
      <c r="AQ22" s="46">
        <f>SUM(AP$22,'Statistics NZ'!AQ$22-'Statistics NZ'!AP$22,$C$12/5*(AQ$8-AQ$9)*1000)</f>
        <v>34968.730635174827</v>
      </c>
      <c r="AR22" s="46">
        <f>SUM(AQ$22,'Statistics NZ'!AR$22-'Statistics NZ'!AQ$22,$C$12/5*(AR$8-AR$9)*1000)</f>
        <v>35198.730635174827</v>
      </c>
      <c r="AS22" s="46">
        <f>SUM(AR$22,'Statistics NZ'!AS$22-'Statistics NZ'!AR$22,$C$12/5*(AS$8-AS$9)*1000)</f>
        <v>35398.730635174827</v>
      </c>
      <c r="AT22" s="46">
        <f>SUM(AS$22,'Statistics NZ'!AT$22-'Statistics NZ'!AS$22,$C$12/5*(AT$8-AT$9)*1000)</f>
        <v>35578.730635174827</v>
      </c>
      <c r="AU22" s="46">
        <f>SUM(AT$22,'Statistics NZ'!AU$22-'Statistics NZ'!AT$22,$C$12/5*(AU$8-AU$9)*1000)</f>
        <v>35718.730635174827</v>
      </c>
      <c r="AV22" s="46">
        <f>SUM(AU$22,'Statistics NZ'!AV$22-'Statistics NZ'!AU$22,$C$12/5*(AV$8-AV$9)*1000)</f>
        <v>35828.730635174827</v>
      </c>
      <c r="AW22" s="46">
        <f>SUM(AV$22,'Statistics NZ'!AW$22-'Statistics NZ'!AV$22,$C$12/5*(AW$8-AW$9)*1000)</f>
        <v>35898.730635174827</v>
      </c>
      <c r="AX22" s="46">
        <f>SUM(AW$22,'Statistics NZ'!AX$22-'Statistics NZ'!AW$22,$C$12/5*(AX$8-AX$9)*1000)</f>
        <v>35938.730635174827</v>
      </c>
      <c r="AY22" s="46">
        <f>SUM(AX$22,'Statistics NZ'!AY$22-'Statistics NZ'!AX$22,$C$12/5*(AY$8-AY$9)*1000)</f>
        <v>35948.730635174827</v>
      </c>
      <c r="AZ22" s="46">
        <f>SUM(AY$22,'Statistics NZ'!AZ$22-'Statistics NZ'!AY$22,$C$12/5*(AZ$8-AZ$9)*1000)</f>
        <v>35938.730635174827</v>
      </c>
      <c r="BA22" s="46">
        <f>SUM(AZ$22,'Statistics NZ'!BA$22-'Statistics NZ'!AZ$22,$C$12/5*(BA$8-BA$9)*1000)</f>
        <v>35918.730635174827</v>
      </c>
      <c r="BB22" s="46">
        <f>SUM(BA$22,'Statistics NZ'!BB$22-'Statistics NZ'!BA$22,$C$12/5*(BB$8-BB$9)*1000)</f>
        <v>35868.730635174827</v>
      </c>
      <c r="BC22" s="46">
        <f>SUM(BB$22,'Statistics NZ'!BC$22-'Statistics NZ'!BB$22,$C$12/5*(BC$8-BC$9)*1000)</f>
        <v>35818.730635174827</v>
      </c>
      <c r="BD22" s="46">
        <f>SUM(BC$22,'Statistics NZ'!BD$22-'Statistics NZ'!BC$22,$C$12/5*(BD$8-BD$9)*1000)</f>
        <v>35768.730635174827</v>
      </c>
      <c r="BE22" s="46">
        <f>SUM(BD$22,'Statistics NZ'!BE$22-'Statistics NZ'!BD$22,$C$12/5*(BE$8-BE$9)*1000)</f>
        <v>35718.730635174827</v>
      </c>
      <c r="BF22" s="46">
        <f>SUM(BE$22,'Statistics NZ'!BF$22-'Statistics NZ'!BE$22,$C$12/5*(BF$8-BF$9)*1000)</f>
        <v>35678.730635174827</v>
      </c>
      <c r="BG22" s="46">
        <f>SUM(BF$22,'Statistics NZ'!BG$22-'Statistics NZ'!BF$22,$C$12/5*(BG$8-BG$9)*1000)</f>
        <v>35648.730635174827</v>
      </c>
      <c r="BH22" s="46">
        <f>SUM(BG$22,'Statistics NZ'!BH$22-'Statistics NZ'!BG$22,$C$12/5*(BH$8-BH$9)*1000)</f>
        <v>35628.730635174827</v>
      </c>
      <c r="BI22" s="46">
        <f>SUM(BH$22,'Statistics NZ'!BI$22-'Statistics NZ'!BH$22,$C$12/5*(BI$8-BI$9)*1000)</f>
        <v>35628.730635174827</v>
      </c>
    </row>
    <row r="23" spans="1:61" x14ac:dyDescent="0.25">
      <c r="A23" s="11">
        <v>8</v>
      </c>
      <c r="B23" s="44">
        <f>'Statistics NZ'!B$23*('Economic Forecasts'!D$10-'Economic Forecasts'!D$9)*1000000/SUM('Statistics NZ'!B$15:B$29,'Statistics NZ'!B$115:B$129)</f>
        <v>30343.366617509662</v>
      </c>
      <c r="C23" s="44">
        <f>'Statistics NZ'!C$23*('Economic Forecasts'!E$10-'Economic Forecasts'!E$9)*1000000/SUM('Statistics NZ'!C$15:C$29,'Statistics NZ'!C$115:C$129)</f>
        <v>29753.46348030966</v>
      </c>
      <c r="D23" s="44">
        <f>'Statistics NZ'!D$23*('Economic Forecasts'!F$10-'Economic Forecasts'!F$9)*1000000/SUM('Statistics NZ'!D$15:D$29,'Statistics NZ'!D$115:D$129)</f>
        <v>30938.528882982886</v>
      </c>
      <c r="E23" s="44">
        <f>'Statistics NZ'!E$23*('Economic Forecasts'!G$10-'Economic Forecasts'!G$9)*1000000/SUM('Statistics NZ'!E$15:E$29,'Statistics NZ'!E$115:E$129)</f>
        <v>30541.485418793553</v>
      </c>
      <c r="F23" s="44">
        <f>'Statistics NZ'!F$23*('Economic Forecasts'!H$10-'Economic Forecasts'!H$9)*1000000/SUM('Statistics NZ'!F$15:F$29,'Statistics NZ'!F$115:F$129)</f>
        <v>29719.620322857711</v>
      </c>
      <c r="G23" s="44">
        <f>'Statistics NZ'!G$23*('Economic Forecasts'!I$10-'Economic Forecasts'!I$9)*1000000/SUM('Statistics NZ'!G$15:G$29,'Statistics NZ'!G$115:G$129)</f>
        <v>29549.276937773826</v>
      </c>
      <c r="H23" s="44">
        <f>'Statistics NZ'!H$23*('Economic Forecasts'!J$10-'Economic Forecasts'!J$9)*1000000/SUM('Statistics NZ'!H$15:H$29,'Statistics NZ'!H$115:H$129)</f>
        <v>30202.575262967013</v>
      </c>
      <c r="I23" s="44">
        <f>'Statistics NZ'!I$23*('Economic Forecasts'!K$10-'Economic Forecasts'!K$9)*1000000/SUM('Statistics NZ'!I$15:I$29,'Statistics NZ'!I$115:I$129)</f>
        <v>29911.464694813978</v>
      </c>
      <c r="J23" s="44">
        <f>'Statistics NZ'!J$23*('Economic Forecasts'!L$10-'Economic Forecasts'!L$9)*1000000/SUM('Statistics NZ'!J$15:J$29,'Statistics NZ'!J$115:J$129)</f>
        <v>30850.313147821114</v>
      </c>
      <c r="K23" s="44">
        <f>'Statistics NZ'!K$23*('Economic Forecasts'!M$10-'Economic Forecasts'!M$9)*1000000/SUM('Statistics NZ'!K$15:K$29,'Statistics NZ'!K$115:K$129)</f>
        <v>32456.283359711841</v>
      </c>
      <c r="L23" s="44">
        <f>'Statistics NZ'!L$23*('Economic Forecasts'!N$10-'Economic Forecasts'!N$9)*1000000/SUM('Statistics NZ'!L$15:L$29,'Statistics NZ'!L$115:L$129)</f>
        <v>33706.279336376036</v>
      </c>
      <c r="M23" s="44">
        <f>'Statistics NZ'!M$23*('Economic Forecasts'!O$10-'Economic Forecasts'!O$9)*1000000/SUM('Statistics NZ'!M$15:M$29,'Statistics NZ'!M$115:M$129)</f>
        <v>33238.019704749</v>
      </c>
      <c r="N23" s="44">
        <f>'Statistics NZ'!N$23*('Economic Forecasts'!P$10-'Economic Forecasts'!P$9)*1000000/SUM('Statistics NZ'!N$15:N$29,'Statistics NZ'!N$115:N$129)</f>
        <v>34389.626718226689</v>
      </c>
      <c r="O23" s="44">
        <f>'Statistics NZ'!O$23*('Economic Forecasts'!Q$10-'Economic Forecasts'!Q$9)*1000000/SUM('Statistics NZ'!O$15:O$29,'Statistics NZ'!O$115:O$129)</f>
        <v>34103.95233366434</v>
      </c>
      <c r="P23" s="44">
        <f>'Statistics NZ'!P$23*('Economic Forecasts'!R$10-'Economic Forecasts'!R$9)*1000000/SUM('Statistics NZ'!P$15:P$29,'Statistics NZ'!P$115:P$129)</f>
        <v>34481.948450730459</v>
      </c>
      <c r="Q23" s="44">
        <f>'Statistics NZ'!Q$23*('Economic Forecasts'!S$10-'Economic Forecasts'!S$9)*1000000/SUM('Statistics NZ'!Q$15:Q$29,'Statistics NZ'!Q$115:Q$129)</f>
        <v>34127.999008592182</v>
      </c>
      <c r="R23" s="44">
        <f>'Statistics NZ'!R$23*('Economic Forecasts'!T$10-'Economic Forecasts'!T$9)*1000000/SUM('Statistics NZ'!R$15:R$29,'Statistics NZ'!R$115:R$129)</f>
        <v>32983.033592428459</v>
      </c>
      <c r="S23" s="44">
        <f>'Statistics NZ'!S$23*('Economic Forecasts'!U$10-'Economic Forecasts'!U$9)*1000000/SUM('Statistics NZ'!S$15:S$29,'Statistics NZ'!S$115:S$129)</f>
        <v>33862.100889718262</v>
      </c>
      <c r="T23" s="44">
        <f>'Statistics NZ'!T$23*('Economic Forecasts'!V$10-'Economic Forecasts'!V$9)*1000000/SUM('Statistics NZ'!T$15:T$29,'Statistics NZ'!T$115:T$129)</f>
        <v>33899.127773057204</v>
      </c>
      <c r="U23" s="45">
        <f>SUM('Statistics NZ'!U$23,$C$12/5*(U$8-U$9)*1000)*('Economic Forecasts'!W$10-'Economic Forecasts'!W$9)*1000000/SUM('Statistics NZ'!U$15:U$29,'Statistics NZ'!U$115:U$129,SUM($B$12:$D$13)*(U$8-U$9)*1000)</f>
        <v>34470.262729391703</v>
      </c>
      <c r="V23" s="45">
        <f>SUM('Statistics NZ'!V$23,$C$12/5*(V$8-V$9)*1000)*('Economic Forecasts'!X$10-'Economic Forecasts'!X$9)*1000000/SUM('Statistics NZ'!V$15:V$29,'Statistics NZ'!V$115:V$129,SUM($B$12:$D$13)*(V$8-V$9)*1000)</f>
        <v>34176.689447691941</v>
      </c>
      <c r="W23" s="45">
        <f>SUM('Statistics NZ'!W$23,$C$12/5*(W$8-W$9)*1000)*('Economic Forecasts'!Y$10-'Economic Forecasts'!Y$9)*1000000/SUM('Statistics NZ'!W$15:W$29,'Statistics NZ'!W$115:W$129,SUM($B$12:$D$13)*(W$8-W$9)*1000)</f>
        <v>34633.456858581529</v>
      </c>
      <c r="X23" s="45">
        <f>SUM('Statistics NZ'!X$23,$C$12/5*(X$8-X$9)*1000)*('Economic Forecasts'!Z$10-'Economic Forecasts'!Z$9)*1000000/SUM('Statistics NZ'!X$15:X$29,'Statistics NZ'!X$115:X$129,SUM($B$12:$D$13)*(X$8-X$9)*1000)</f>
        <v>34706.798262406614</v>
      </c>
      <c r="Y23" s="45">
        <f>SUM('Statistics NZ'!Y$23,$C$12/5*(Y$8-Y$9)*1000)*('Economic Forecasts'!AA$10-'Economic Forecasts'!AA$9)*1000000/SUM('Statistics NZ'!Y$15:Y$29,'Statistics NZ'!Y$115:Y$129,SUM($B$12:$D$13)*(Y$8-Y$9)*1000)</f>
        <v>35267.629604485897</v>
      </c>
      <c r="Z23" s="46">
        <f>SUM(Y$23,'Statistics NZ'!Z$23-'Statistics NZ'!Y$23,$C$12/5*(Z$8-Z$9)*1000)</f>
        <v>35608.246971078392</v>
      </c>
      <c r="AA23" s="46">
        <f>SUM(Z$23,'Statistics NZ'!AA$23-'Statistics NZ'!Z$23,$C$12/5*(AA$8-AA$9)*1000)</f>
        <v>33040.617391033891</v>
      </c>
      <c r="AB23" s="46">
        <f>SUM(AA$23,'Statistics NZ'!AB$23-'Statistics NZ'!AA$23,$C$12/5*(AB$8-AB$9)*1000)</f>
        <v>33216.39025367979</v>
      </c>
      <c r="AC23" s="46">
        <f>SUM(AB$23,'Statistics NZ'!AC$23-'Statistics NZ'!AB$23,$C$12/5*(AC$8-AC$9)*1000)</f>
        <v>33756.39025367979</v>
      </c>
      <c r="AD23" s="46">
        <f>SUM(AC$23,'Statistics NZ'!AD$23-'Statistics NZ'!AC$23,$C$12/5*(AD$8-AD$9)*1000)</f>
        <v>33816.39025367979</v>
      </c>
      <c r="AE23" s="46">
        <f>SUM(AD$23,'Statistics NZ'!AE$23-'Statistics NZ'!AD$23,$C$12/5*(AE$8-AE$9)*1000)</f>
        <v>33856.39025367979</v>
      </c>
      <c r="AF23" s="46">
        <f>SUM(AE$23,'Statistics NZ'!AF$23-'Statistics NZ'!AE$23,$C$12/5*(AF$8-AF$9)*1000)</f>
        <v>33866.39025367979</v>
      </c>
      <c r="AG23" s="46">
        <f>SUM(AF$23,'Statistics NZ'!AG$23-'Statistics NZ'!AF$23,$C$12/5*(AG$8-AG$9)*1000)</f>
        <v>33876.39025367979</v>
      </c>
      <c r="AH23" s="46">
        <f>SUM(AG$23,'Statistics NZ'!AH$23-'Statistics NZ'!AG$23,$C$12/5*(AH$8-AH$9)*1000)</f>
        <v>33876.39025367979</v>
      </c>
      <c r="AI23" s="46">
        <f>SUM(AH$23,'Statistics NZ'!AI$23-'Statistics NZ'!AH$23,$C$12/5*(AI$8-AI$9)*1000)</f>
        <v>33896.39025367979</v>
      </c>
      <c r="AJ23" s="46">
        <f>SUM(AI$23,'Statistics NZ'!AJ$23-'Statistics NZ'!AI$23,$C$12/5*(AJ$8-AJ$9)*1000)</f>
        <v>33936.39025367979</v>
      </c>
      <c r="AK23" s="46">
        <f>SUM(AJ$23,'Statistics NZ'!AK$23-'Statistics NZ'!AJ$23,$C$12/5*(AK$8-AK$9)*1000)</f>
        <v>34006.39025367979</v>
      </c>
      <c r="AL23" s="46">
        <f>SUM(AK$23,'Statistics NZ'!AL$23-'Statistics NZ'!AK$23,$C$12/5*(AL$8-AL$9)*1000)</f>
        <v>34096.39025367979</v>
      </c>
      <c r="AM23" s="46">
        <f>SUM(AL$23,'Statistics NZ'!AM$23-'Statistics NZ'!AL$23,$C$12/5*(AM$8-AM$9)*1000)</f>
        <v>34236.39025367979</v>
      </c>
      <c r="AN23" s="46">
        <f>SUM(AM$23,'Statistics NZ'!AN$23-'Statistics NZ'!AM$23,$C$12/5*(AN$8-AN$9)*1000)</f>
        <v>34406.39025367979</v>
      </c>
      <c r="AO23" s="46">
        <f>SUM(AN$23,'Statistics NZ'!AO$23-'Statistics NZ'!AN$23,$C$12/5*(AO$8-AO$9)*1000)</f>
        <v>34606.39025367979</v>
      </c>
      <c r="AP23" s="46">
        <f>SUM(AO$23,'Statistics NZ'!AP$23-'Statistics NZ'!AO$23,$C$12/5*(AP$8-AP$9)*1000)</f>
        <v>34826.39025367979</v>
      </c>
      <c r="AQ23" s="46">
        <f>SUM(AP$23,'Statistics NZ'!AQ$23-'Statistics NZ'!AP$23,$C$12/5*(AQ$8-AQ$9)*1000)</f>
        <v>35066.39025367979</v>
      </c>
      <c r="AR23" s="46">
        <f>SUM(AQ$23,'Statistics NZ'!AR$23-'Statistics NZ'!AQ$23,$C$12/5*(AR$8-AR$9)*1000)</f>
        <v>35306.39025367979</v>
      </c>
      <c r="AS23" s="46">
        <f>SUM(AR$23,'Statistics NZ'!AS$23-'Statistics NZ'!AR$23,$C$12/5*(AS$8-AS$9)*1000)</f>
        <v>35536.39025367979</v>
      </c>
      <c r="AT23" s="46">
        <f>SUM(AS$23,'Statistics NZ'!AT$23-'Statistics NZ'!AS$23,$C$12/5*(AT$8-AT$9)*1000)</f>
        <v>35736.39025367979</v>
      </c>
      <c r="AU23" s="46">
        <f>SUM(AT$23,'Statistics NZ'!AU$23-'Statistics NZ'!AT$23,$C$12/5*(AU$8-AU$9)*1000)</f>
        <v>35916.39025367979</v>
      </c>
      <c r="AV23" s="46">
        <f>SUM(AU$23,'Statistics NZ'!AV$23-'Statistics NZ'!AU$23,$C$12/5*(AV$8-AV$9)*1000)</f>
        <v>36056.39025367979</v>
      </c>
      <c r="AW23" s="46">
        <f>SUM(AV$23,'Statistics NZ'!AW$23-'Statistics NZ'!AV$23,$C$12/5*(AW$8-AW$9)*1000)</f>
        <v>36166.39025367979</v>
      </c>
      <c r="AX23" s="46">
        <f>SUM(AW$23,'Statistics NZ'!AX$23-'Statistics NZ'!AW$23,$C$12/5*(AX$8-AX$9)*1000)</f>
        <v>36246.39025367979</v>
      </c>
      <c r="AY23" s="46">
        <f>SUM(AX$23,'Statistics NZ'!AY$23-'Statistics NZ'!AX$23,$C$12/5*(AY$8-AY$9)*1000)</f>
        <v>36286.39025367979</v>
      </c>
      <c r="AZ23" s="46">
        <f>SUM(AY$23,'Statistics NZ'!AZ$23-'Statistics NZ'!AY$23,$C$12/5*(AZ$8-AZ$9)*1000)</f>
        <v>36306.39025367979</v>
      </c>
      <c r="BA23" s="46">
        <f>SUM(AZ$23,'Statistics NZ'!BA$23-'Statistics NZ'!AZ$23,$C$12/5*(BA$8-BA$9)*1000)</f>
        <v>36296.39025367979</v>
      </c>
      <c r="BB23" s="46">
        <f>SUM(BA$23,'Statistics NZ'!BB$23-'Statistics NZ'!BA$23,$C$12/5*(BB$8-BB$9)*1000)</f>
        <v>36266.39025367979</v>
      </c>
      <c r="BC23" s="46">
        <f>SUM(BB$23,'Statistics NZ'!BC$23-'Statistics NZ'!BB$23,$C$12/5*(BC$8-BC$9)*1000)</f>
        <v>36226.39025367979</v>
      </c>
      <c r="BD23" s="46">
        <f>SUM(BC$23,'Statistics NZ'!BD$23-'Statistics NZ'!BC$23,$C$12/5*(BD$8-BD$9)*1000)</f>
        <v>36176.39025367979</v>
      </c>
      <c r="BE23" s="46">
        <f>SUM(BD$23,'Statistics NZ'!BE$23-'Statistics NZ'!BD$23,$C$12/5*(BE$8-BE$9)*1000)</f>
        <v>36126.39025367979</v>
      </c>
      <c r="BF23" s="46">
        <f>SUM(BE$23,'Statistics NZ'!BF$23-'Statistics NZ'!BE$23,$C$12/5*(BF$8-BF$9)*1000)</f>
        <v>36076.39025367979</v>
      </c>
      <c r="BG23" s="46">
        <f>SUM(BF$23,'Statistics NZ'!BG$23-'Statistics NZ'!BF$23,$C$12/5*(BG$8-BG$9)*1000)</f>
        <v>36036.39025367979</v>
      </c>
      <c r="BH23" s="46">
        <f>SUM(BG$23,'Statistics NZ'!BH$23-'Statistics NZ'!BG$23,$C$12/5*(BH$8-BH$9)*1000)</f>
        <v>36006.39025367979</v>
      </c>
      <c r="BI23" s="46">
        <f>SUM(BH$23,'Statistics NZ'!BI$23-'Statistics NZ'!BH$23,$C$12/5*(BI$8-BI$9)*1000)</f>
        <v>35996.39025367979</v>
      </c>
    </row>
    <row r="24" spans="1:61" x14ac:dyDescent="0.25">
      <c r="A24" s="11">
        <v>9</v>
      </c>
      <c r="B24" s="44">
        <f>'Statistics NZ'!B$24*('Economic Forecasts'!D$10-'Economic Forecasts'!D$9)*1000000/SUM('Statistics NZ'!B$15:B$29,'Statistics NZ'!B$115:B$129)</f>
        <v>30502.398937307931</v>
      </c>
      <c r="C24" s="44">
        <f>'Statistics NZ'!C$24*('Economic Forecasts'!E$10-'Economic Forecasts'!E$9)*1000000/SUM('Statistics NZ'!C$15:C$29,'Statistics NZ'!C$115:C$129)</f>
        <v>30470.160439807023</v>
      </c>
      <c r="D24" s="44">
        <f>'Statistics NZ'!D$24*('Economic Forecasts'!F$10-'Economic Forecasts'!F$9)*1000000/SUM('Statistics NZ'!D$15:D$29,'Statistics NZ'!D$115:D$129)</f>
        <v>29936.770108653174</v>
      </c>
      <c r="E24" s="44">
        <f>'Statistics NZ'!E$24*('Economic Forecasts'!G$10-'Economic Forecasts'!G$9)*1000000/SUM('Statistics NZ'!E$15:E$29,'Statistics NZ'!E$115:E$129)</f>
        <v>31174.46957255093</v>
      </c>
      <c r="F24" s="44">
        <f>'Statistics NZ'!F$24*('Economic Forecasts'!H$10-'Economic Forecasts'!H$9)*1000000/SUM('Statistics NZ'!F$15:F$29,'Statistics NZ'!F$115:F$129)</f>
        <v>30808.212390160108</v>
      </c>
      <c r="G24" s="44">
        <f>'Statistics NZ'!G$24*('Economic Forecasts'!I$10-'Economic Forecasts'!I$9)*1000000/SUM('Statistics NZ'!G$15:G$29,'Statistics NZ'!G$115:G$129)</f>
        <v>29866.897255987085</v>
      </c>
      <c r="H24" s="44">
        <f>'Statistics NZ'!H$24*('Economic Forecasts'!J$10-'Economic Forecasts'!J$9)*1000000/SUM('Statistics NZ'!H$15:H$29,'Statistics NZ'!H$115:H$129)</f>
        <v>29524.103933788389</v>
      </c>
      <c r="I24" s="44">
        <f>'Statistics NZ'!I$24*('Economic Forecasts'!K$10-'Economic Forecasts'!K$9)*1000000/SUM('Statistics NZ'!I$15:I$29,'Statistics NZ'!I$115:I$129)</f>
        <v>30219.720727560813</v>
      </c>
      <c r="J24" s="44">
        <f>'Statistics NZ'!J$24*('Economic Forecasts'!L$10-'Economic Forecasts'!L$9)*1000000/SUM('Statistics NZ'!J$15:J$29,'Statistics NZ'!J$115:J$129)</f>
        <v>30188.701451119312</v>
      </c>
      <c r="K24" s="44">
        <f>'Statistics NZ'!K$24*('Economic Forecasts'!M$10-'Economic Forecasts'!M$9)*1000000/SUM('Statistics NZ'!K$15:K$29,'Statistics NZ'!K$115:K$129)</f>
        <v>31171.733886372323</v>
      </c>
      <c r="L24" s="44">
        <f>'Statistics NZ'!L$24*('Economic Forecasts'!N$10-'Economic Forecasts'!N$9)*1000000/SUM('Statistics NZ'!L$15:L$29,'Statistics NZ'!L$115:L$129)</f>
        <v>32670.313209751042</v>
      </c>
      <c r="M24" s="44">
        <f>'Statistics NZ'!M$24*('Economic Forecasts'!O$10-'Economic Forecasts'!O$9)*1000000/SUM('Statistics NZ'!M$15:M$29,'Statistics NZ'!M$115:M$129)</f>
        <v>33788.809068881237</v>
      </c>
      <c r="N24" s="44">
        <f>'Statistics NZ'!N$24*('Economic Forecasts'!P$10-'Economic Forecasts'!P$9)*1000000/SUM('Statistics NZ'!N$15:N$29,'Statistics NZ'!N$115:N$129)</f>
        <v>33479.62428814439</v>
      </c>
      <c r="O24" s="44">
        <f>'Statistics NZ'!O$24*('Economic Forecasts'!Q$10-'Economic Forecasts'!Q$9)*1000000/SUM('Statistics NZ'!O$15:O$29,'Statistics NZ'!O$115:O$129)</f>
        <v>34482.184707050641</v>
      </c>
      <c r="P24" s="44">
        <f>'Statistics NZ'!P$24*('Economic Forecasts'!R$10-'Economic Forecasts'!R$9)*1000000/SUM('Statistics NZ'!P$15:P$29,'Statistics NZ'!P$115:P$129)</f>
        <v>34767.097794733432</v>
      </c>
      <c r="Q24" s="44">
        <f>'Statistics NZ'!Q$24*('Economic Forecasts'!S$10-'Economic Forecasts'!S$9)*1000000/SUM('Statistics NZ'!Q$15:Q$29,'Statistics NZ'!Q$115:Q$129)</f>
        <v>34390.360624586894</v>
      </c>
      <c r="R24" s="44">
        <f>'Statistics NZ'!R$24*('Economic Forecasts'!T$10-'Economic Forecasts'!T$9)*1000000/SUM('Statistics NZ'!R$15:R$29,'Statistics NZ'!R$115:R$129)</f>
        <v>34310.361038179326</v>
      </c>
      <c r="S24" s="44">
        <f>'Statistics NZ'!S$24*('Economic Forecasts'!U$10-'Economic Forecasts'!U$9)*1000000/SUM('Statistics NZ'!S$15:S$29,'Statistics NZ'!S$115:S$129)</f>
        <v>34042.72709465243</v>
      </c>
      <c r="T24" s="44">
        <f>'Statistics NZ'!T$24*('Economic Forecasts'!V$10-'Economic Forecasts'!V$9)*1000000/SUM('Statistics NZ'!T$15:T$29,'Statistics NZ'!T$115:T$129)</f>
        <v>34653.386021846629</v>
      </c>
      <c r="U24" s="45">
        <f>SUM('Statistics NZ'!U$24,$C$12/5*(U$8-U$9)*1000)*('Economic Forecasts'!W$10-'Economic Forecasts'!W$9)*1000000/SUM('Statistics NZ'!U$15:U$29,'Statistics NZ'!U$115:U$129,SUM($B$12:$D$13)*(U$8-U$9)*1000)</f>
        <v>34246.74191887131</v>
      </c>
      <c r="V24" s="45">
        <f>SUM('Statistics NZ'!V$24,$C$12/5*(V$8-V$9)*1000)*('Economic Forecasts'!X$10-'Economic Forecasts'!X$9)*1000000/SUM('Statistics NZ'!V$15:V$29,'Statistics NZ'!V$115:V$129,SUM($B$12:$D$13)*(V$8-V$9)*1000)</f>
        <v>35134.784853078891</v>
      </c>
      <c r="W24" s="45">
        <f>SUM('Statistics NZ'!W$24,$C$12/5*(W$8-W$9)*1000)*('Economic Forecasts'!Y$10-'Economic Forecasts'!Y$9)*1000000/SUM('Statistics NZ'!W$15:W$29,'Statistics NZ'!W$115:W$129,SUM($B$12:$D$13)*(W$8-W$9)*1000)</f>
        <v>34895.189356639792</v>
      </c>
      <c r="X24" s="45">
        <f>SUM('Statistics NZ'!X$24,$C$12/5*(X$8-X$9)*1000)*('Economic Forecasts'!Z$10-'Economic Forecasts'!Z$9)*1000000/SUM('Statistics NZ'!X$15:X$29,'Statistics NZ'!X$115:X$129,SUM($B$12:$D$13)*(X$8-X$9)*1000)</f>
        <v>35369.467732093348</v>
      </c>
      <c r="Y24" s="45">
        <f>SUM('Statistics NZ'!Y$24,$C$12/5*(Y$8-Y$9)*1000)*('Economic Forecasts'!AA$10-'Economic Forecasts'!AA$9)*1000000/SUM('Statistics NZ'!Y$15:Y$29,'Statistics NZ'!Y$115:Y$129,SUM($B$12:$D$13)*(Y$8-Y$9)*1000)</f>
        <v>35401.671893456136</v>
      </c>
      <c r="Z24" s="46">
        <f>SUM(Y$24,'Statistics NZ'!Z$24-'Statistics NZ'!Y$24,$C$12/5*(Z$8-Z$9)*1000)</f>
        <v>35592.28926004863</v>
      </c>
      <c r="AA24" s="46">
        <f>SUM(Z$24,'Statistics NZ'!AA$24-'Statistics NZ'!Z$24,$C$12/5*(AA$8-AA$9)*1000)</f>
        <v>35934.65968000413</v>
      </c>
      <c r="AB24" s="46">
        <f>SUM(AA$24,'Statistics NZ'!AB$24-'Statistics NZ'!AA$24,$C$12/5*(AB$8-AB$9)*1000)</f>
        <v>33360.432542650029</v>
      </c>
      <c r="AC24" s="46">
        <f>SUM(AB$24,'Statistics NZ'!AC$24-'Statistics NZ'!AB$24,$C$12/5*(AC$8-AC$9)*1000)</f>
        <v>33530.432542650029</v>
      </c>
      <c r="AD24" s="46">
        <f>SUM(AC$24,'Statistics NZ'!AD$24-'Statistics NZ'!AC$24,$C$12/5*(AD$8-AD$9)*1000)</f>
        <v>34080.432542650029</v>
      </c>
      <c r="AE24" s="46">
        <f>SUM(AD$24,'Statistics NZ'!AE$24-'Statistics NZ'!AD$24,$C$12/5*(AE$8-AE$9)*1000)</f>
        <v>34140.432542650029</v>
      </c>
      <c r="AF24" s="46">
        <f>SUM(AE$24,'Statistics NZ'!AF$24-'Statistics NZ'!AE$24,$C$12/5*(AF$8-AF$9)*1000)</f>
        <v>34180.432542650029</v>
      </c>
      <c r="AG24" s="46">
        <f>SUM(AF$24,'Statistics NZ'!AG$24-'Statistics NZ'!AF$24,$C$12/5*(AG$8-AG$9)*1000)</f>
        <v>34190.432542650029</v>
      </c>
      <c r="AH24" s="46">
        <f>SUM(AG$24,'Statistics NZ'!AH$24-'Statistics NZ'!AG$24,$C$12/5*(AH$8-AH$9)*1000)</f>
        <v>34200.432542650029</v>
      </c>
      <c r="AI24" s="46">
        <f>SUM(AH$24,'Statistics NZ'!AI$24-'Statistics NZ'!AH$24,$C$12/5*(AI$8-AI$9)*1000)</f>
        <v>34210.432542650029</v>
      </c>
      <c r="AJ24" s="46">
        <f>SUM(AI$24,'Statistics NZ'!AJ$24-'Statistics NZ'!AI$24,$C$12/5*(AJ$8-AJ$9)*1000)</f>
        <v>34230.432542650029</v>
      </c>
      <c r="AK24" s="46">
        <f>SUM(AJ$24,'Statistics NZ'!AK$24-'Statistics NZ'!AJ$24,$C$12/5*(AK$8-AK$9)*1000)</f>
        <v>34270.432542650029</v>
      </c>
      <c r="AL24" s="46">
        <f>SUM(AK$24,'Statistics NZ'!AL$24-'Statistics NZ'!AK$24,$C$12/5*(AL$8-AL$9)*1000)</f>
        <v>34340.432542650029</v>
      </c>
      <c r="AM24" s="46">
        <f>SUM(AL$24,'Statistics NZ'!AM$24-'Statistics NZ'!AL$24,$C$12/5*(AM$8-AM$9)*1000)</f>
        <v>34440.432542650029</v>
      </c>
      <c r="AN24" s="46">
        <f>SUM(AM$24,'Statistics NZ'!AN$24-'Statistics NZ'!AM$24,$C$12/5*(AN$8-AN$9)*1000)</f>
        <v>34580.432542650029</v>
      </c>
      <c r="AO24" s="46">
        <f>SUM(AN$24,'Statistics NZ'!AO$24-'Statistics NZ'!AN$24,$C$12/5*(AO$8-AO$9)*1000)</f>
        <v>34750.432542650029</v>
      </c>
      <c r="AP24" s="46">
        <f>SUM(AO$24,'Statistics NZ'!AP$24-'Statistics NZ'!AO$24,$C$12/5*(AP$8-AP$9)*1000)</f>
        <v>34950.432542650029</v>
      </c>
      <c r="AQ24" s="46">
        <f>SUM(AP$24,'Statistics NZ'!AQ$24-'Statistics NZ'!AP$24,$C$12/5*(AQ$8-AQ$9)*1000)</f>
        <v>35170.432542650029</v>
      </c>
      <c r="AR24" s="46">
        <f>SUM(AQ$24,'Statistics NZ'!AR$24-'Statistics NZ'!AQ$24,$C$12/5*(AR$8-AR$9)*1000)</f>
        <v>35410.432542650029</v>
      </c>
      <c r="AS24" s="46">
        <f>SUM(AR$24,'Statistics NZ'!AS$24-'Statistics NZ'!AR$24,$C$12/5*(AS$8-AS$9)*1000)</f>
        <v>35650.432542650029</v>
      </c>
      <c r="AT24" s="46">
        <f>SUM(AS$24,'Statistics NZ'!AT$24-'Statistics NZ'!AS$24,$C$12/5*(AT$8-AT$9)*1000)</f>
        <v>35880.432542650029</v>
      </c>
      <c r="AU24" s="46">
        <f>SUM(AT$24,'Statistics NZ'!AU$24-'Statistics NZ'!AT$24,$C$12/5*(AU$8-AU$9)*1000)</f>
        <v>36090.432542650029</v>
      </c>
      <c r="AV24" s="46">
        <f>SUM(AU$24,'Statistics NZ'!AV$24-'Statistics NZ'!AU$24,$C$12/5*(AV$8-AV$9)*1000)</f>
        <v>36270.432542650029</v>
      </c>
      <c r="AW24" s="46">
        <f>SUM(AV$24,'Statistics NZ'!AW$24-'Statistics NZ'!AV$24,$C$12/5*(AW$8-AW$9)*1000)</f>
        <v>36420.432542650029</v>
      </c>
      <c r="AX24" s="46">
        <f>SUM(AW$24,'Statistics NZ'!AX$24-'Statistics NZ'!AW$24,$C$12/5*(AX$8-AX$9)*1000)</f>
        <v>36530.432542650029</v>
      </c>
      <c r="AY24" s="46">
        <f>SUM(AX$24,'Statistics NZ'!AY$24-'Statistics NZ'!AX$24,$C$12/5*(AY$8-AY$9)*1000)</f>
        <v>36600.432542650029</v>
      </c>
      <c r="AZ24" s="46">
        <f>SUM(AY$24,'Statistics NZ'!AZ$24-'Statistics NZ'!AY$24,$C$12/5*(AZ$8-AZ$9)*1000)</f>
        <v>36650.432542650029</v>
      </c>
      <c r="BA24" s="46">
        <f>SUM(AZ$24,'Statistics NZ'!BA$24-'Statistics NZ'!AZ$24,$C$12/5*(BA$8-BA$9)*1000)</f>
        <v>36670.432542650029</v>
      </c>
      <c r="BB24" s="46">
        <f>SUM(BA$24,'Statistics NZ'!BB$24-'Statistics NZ'!BA$24,$C$12/5*(BB$8-BB$9)*1000)</f>
        <v>36660.432542650029</v>
      </c>
      <c r="BC24" s="46">
        <f>SUM(BB$24,'Statistics NZ'!BC$24-'Statistics NZ'!BB$24,$C$12/5*(BC$8-BC$9)*1000)</f>
        <v>36640.432542650029</v>
      </c>
      <c r="BD24" s="46">
        <f>SUM(BC$24,'Statistics NZ'!BD$24-'Statistics NZ'!BC$24,$C$12/5*(BD$8-BD$9)*1000)</f>
        <v>36600.432542650029</v>
      </c>
      <c r="BE24" s="46">
        <f>SUM(BD$24,'Statistics NZ'!BE$24-'Statistics NZ'!BD$24,$C$12/5*(BE$8-BE$9)*1000)</f>
        <v>36550.432542650029</v>
      </c>
      <c r="BF24" s="46">
        <f>SUM(BE$24,'Statistics NZ'!BF$24-'Statistics NZ'!BE$24,$C$12/5*(BF$8-BF$9)*1000)</f>
        <v>36500.432542650029</v>
      </c>
      <c r="BG24" s="46">
        <f>SUM(BF$24,'Statistics NZ'!BG$24-'Statistics NZ'!BF$24,$C$12/5*(BG$8-BG$9)*1000)</f>
        <v>36460.432542650029</v>
      </c>
      <c r="BH24" s="46">
        <f>SUM(BG$24,'Statistics NZ'!BH$24-'Statistics NZ'!BG$24,$C$12/5*(BH$8-BH$9)*1000)</f>
        <v>36420.432542650029</v>
      </c>
      <c r="BI24" s="46">
        <f>SUM(BH$24,'Statistics NZ'!BI$24-'Statistics NZ'!BH$24,$C$12/5*(BI$8-BI$9)*1000)</f>
        <v>36390.432542650029</v>
      </c>
    </row>
    <row r="25" spans="1:61" x14ac:dyDescent="0.25">
      <c r="A25" s="11">
        <v>10</v>
      </c>
      <c r="B25" s="44">
        <f>'Statistics NZ'!B$25*('Economic Forecasts'!D$10-'Economic Forecasts'!D$9)*1000000/SUM('Statistics NZ'!B$15:B$29,'Statistics NZ'!B$115:B$129)</f>
        <v>31011.302360662386</v>
      </c>
      <c r="C25" s="44">
        <f>'Statistics NZ'!C$25*('Economic Forecasts'!E$10-'Economic Forecasts'!E$9)*1000000/SUM('Statistics NZ'!C$15:C$29,'Statistics NZ'!C$115:C$129)</f>
        <v>30554.477729159658</v>
      </c>
      <c r="D25" s="44">
        <f>'Statistics NZ'!D$25*('Economic Forecasts'!F$10-'Economic Forecasts'!F$9)*1000000/SUM('Statistics NZ'!D$15:D$29,'Statistics NZ'!D$115:D$129)</f>
        <v>30674.908152896118</v>
      </c>
      <c r="E25" s="44">
        <f>'Statistics NZ'!E$25*('Economic Forecasts'!G$10-'Economic Forecasts'!G$9)*1000000/SUM('Statistics NZ'!E$15:E$29,'Statistics NZ'!E$115:E$129)</f>
        <v>30119.495982955297</v>
      </c>
      <c r="F25" s="44">
        <f>'Statistics NZ'!F$25*('Economic Forecasts'!H$10-'Economic Forecasts'!H$9)*1000000/SUM('Statistics NZ'!F$15:F$29,'Statistics NZ'!F$115:F$129)</f>
        <v>31463.481401546018</v>
      </c>
      <c r="G25" s="44">
        <f>'Statistics NZ'!G$25*('Economic Forecasts'!I$10-'Economic Forecasts'!I$9)*1000000/SUM('Statistics NZ'!G$15:G$29,'Statistics NZ'!G$115:G$129)</f>
        <v>31031.505089435712</v>
      </c>
      <c r="H25" s="44">
        <f>'Statistics NZ'!H$25*('Economic Forecasts'!J$10-'Economic Forecasts'!J$9)*1000000/SUM('Statistics NZ'!H$15:H$29,'Statistics NZ'!H$115:H$129)</f>
        <v>29905.744056451364</v>
      </c>
      <c r="I25" s="44">
        <f>'Statistics NZ'!I$25*('Economic Forecasts'!K$10-'Economic Forecasts'!K$9)*1000000/SUM('Statistics NZ'!I$15:I$29,'Statistics NZ'!I$115:I$129)</f>
        <v>29656.356253920039</v>
      </c>
      <c r="J25" s="44">
        <f>'Statistics NZ'!J$25*('Economic Forecasts'!L$10-'Economic Forecasts'!L$9)*1000000/SUM('Statistics NZ'!J$15:J$29,'Statistics NZ'!J$115:J$129)</f>
        <v>30455.480361079721</v>
      </c>
      <c r="K25" s="44">
        <f>'Statistics NZ'!K$25*('Economic Forecasts'!M$10-'Economic Forecasts'!M$9)*1000000/SUM('Statistics NZ'!K$15:K$29,'Statistics NZ'!K$115:K$129)</f>
        <v>30540.163728647061</v>
      </c>
      <c r="L25" s="44">
        <f>'Statistics NZ'!L$25*('Economic Forecasts'!N$10-'Economic Forecasts'!N$9)*1000000/SUM('Statistics NZ'!L$15:L$29,'Statistics NZ'!L$115:L$129)</f>
        <v>31431.425883065484</v>
      </c>
      <c r="M25" s="44">
        <f>'Statistics NZ'!M$25*('Economic Forecasts'!O$10-'Economic Forecasts'!O$9)*1000000/SUM('Statistics NZ'!M$15:M$29,'Statistics NZ'!M$115:M$129)</f>
        <v>32782.55926902427</v>
      </c>
      <c r="N25" s="44">
        <f>'Statistics NZ'!N$25*('Economic Forecasts'!P$10-'Economic Forecasts'!P$9)*1000000/SUM('Statistics NZ'!N$15:N$29,'Statistics NZ'!N$115:N$129)</f>
        <v>33998.114044819187</v>
      </c>
      <c r="O25" s="44">
        <f>'Statistics NZ'!O$25*('Economic Forecasts'!Q$10-'Economic Forecasts'!Q$9)*1000000/SUM('Statistics NZ'!O$15:O$29,'Statistics NZ'!O$115:O$129)</f>
        <v>33568.123138033749</v>
      </c>
      <c r="P25" s="44">
        <f>'Statistics NZ'!P$25*('Economic Forecasts'!R$10-'Economic Forecasts'!R$9)*1000000/SUM('Statistics NZ'!P$15:P$29,'Statistics NZ'!P$115:P$129)</f>
        <v>35083.930399181183</v>
      </c>
      <c r="Q25" s="44">
        <f>'Statistics NZ'!Q$25*('Economic Forecasts'!S$10-'Economic Forecasts'!S$9)*1000000/SUM('Statistics NZ'!Q$15:Q$29,'Statistics NZ'!Q$115:Q$129)</f>
        <v>34673.711169861184</v>
      </c>
      <c r="R25" s="44">
        <f>'Statistics NZ'!R$25*('Economic Forecasts'!T$10-'Economic Forecasts'!T$9)*1000000/SUM('Statistics NZ'!R$15:R$29,'Statistics NZ'!R$115:R$129)</f>
        <v>34563.185313560447</v>
      </c>
      <c r="S25" s="44">
        <f>'Statistics NZ'!S$25*('Economic Forecasts'!U$10-'Economic Forecasts'!U$9)*1000000/SUM('Statistics NZ'!S$15:S$29,'Statistics NZ'!S$115:S$129)</f>
        <v>35349.61081270557</v>
      </c>
      <c r="T25" s="44">
        <f>'Statistics NZ'!T$25*('Economic Forecasts'!V$10-'Economic Forecasts'!V$9)*1000000/SUM('Statistics NZ'!T$15:T$29,'Statistics NZ'!T$115:T$129)</f>
        <v>34865.853134181678</v>
      </c>
      <c r="U25" s="45">
        <f>SUM('Statistics NZ'!U$25,$D$12/5*(U$8-U$9)*1000)*('Economic Forecasts'!W$10-'Economic Forecasts'!W$9)*1000000/SUM('Statistics NZ'!U$15:U$29,'Statistics NZ'!U$115:U$129,SUM($B$12:$D$13)*(U$8-U$9)*1000)</f>
        <v>35011.285385042538</v>
      </c>
      <c r="V25" s="45">
        <f>SUM('Statistics NZ'!V$25,$D$12/5*(V$8-V$9)*1000)*('Economic Forecasts'!X$10-'Economic Forecasts'!X$9)*1000000/SUM('Statistics NZ'!V$15:V$29,'Statistics NZ'!V$115:V$129,SUM($B$12:$D$13)*(V$8-V$9)*1000)</f>
        <v>34917.578597911772</v>
      </c>
      <c r="W25" s="45">
        <f>SUM('Statistics NZ'!W$25,$D$12/5*(W$8-W$9)*1000)*('Economic Forecasts'!Y$10-'Economic Forecasts'!Y$9)*1000000/SUM('Statistics NZ'!W$15:W$29,'Statistics NZ'!W$115:W$129,SUM($B$12:$D$13)*(W$8-W$9)*1000)</f>
        <v>35875.039731583929</v>
      </c>
      <c r="X25" s="45">
        <f>SUM('Statistics NZ'!X$25,$D$12/5*(X$8-X$9)*1000)*('Economic Forecasts'!Z$10-'Economic Forecasts'!Z$9)*1000000/SUM('Statistics NZ'!X$15:X$29,'Statistics NZ'!X$115:X$129,SUM($B$12:$D$13)*(X$8-X$9)*1000)</f>
        <v>35644.293673861088</v>
      </c>
      <c r="Y25" s="45">
        <f>SUM('Statistics NZ'!Y$25,$D$12/5*(Y$8-Y$9)*1000)*('Economic Forecasts'!AA$10-'Economic Forecasts'!AA$9)*1000000/SUM('Statistics NZ'!Y$15:Y$29,'Statistics NZ'!Y$115:Y$129,SUM($B$12:$D$13)*(Y$8-Y$9)*1000)</f>
        <v>36093.260032889164</v>
      </c>
      <c r="Z25" s="46">
        <f>SUM(Y$25,'Statistics NZ'!Z$25-'Statistics NZ'!Y$25,$D$12/5*(Z$8-Z$9)*1000)</f>
        <v>35803.338192645919</v>
      </c>
      <c r="AA25" s="46">
        <f>SUM(Z$25,'Statistics NZ'!AA$25-'Statistics NZ'!Z$25,$D$12/5*(AA$8-AA$9)*1000)</f>
        <v>35985.38508849997</v>
      </c>
      <c r="AB25" s="46">
        <f>SUM(AA$25,'Statistics NZ'!AB$25-'Statistics NZ'!AA$25,$D$12/5*(AB$8-AB$9)*1000)</f>
        <v>36321.006973231859</v>
      </c>
      <c r="AC25" s="46">
        <f>SUM(AB$25,'Statistics NZ'!AC$25-'Statistics NZ'!AB$25,$D$12/5*(AC$8-AC$9)*1000)</f>
        <v>33751.006973231859</v>
      </c>
      <c r="AD25" s="46">
        <f>SUM(AC$25,'Statistics NZ'!AD$25-'Statistics NZ'!AC$25,$D$12/5*(AD$8-AD$9)*1000)</f>
        <v>33921.006973231859</v>
      </c>
      <c r="AE25" s="46">
        <f>SUM(AD$25,'Statistics NZ'!AE$25-'Statistics NZ'!AD$25,$D$12/5*(AE$8-AE$9)*1000)</f>
        <v>34471.006973231859</v>
      </c>
      <c r="AF25" s="46">
        <f>SUM(AE$25,'Statistics NZ'!AF$25-'Statistics NZ'!AE$25,$D$12/5*(AF$8-AF$9)*1000)</f>
        <v>34531.006973231859</v>
      </c>
      <c r="AG25" s="46">
        <f>SUM(AF$25,'Statistics NZ'!AG$25-'Statistics NZ'!AF$25,$D$12/5*(AG$8-AG$9)*1000)</f>
        <v>34571.006973231859</v>
      </c>
      <c r="AH25" s="46">
        <f>SUM(AG$25,'Statistics NZ'!AH$25-'Statistics NZ'!AG$25,$D$12/5*(AH$8-AH$9)*1000)</f>
        <v>34591.006973231859</v>
      </c>
      <c r="AI25" s="46">
        <f>SUM(AH$25,'Statistics NZ'!AI$25-'Statistics NZ'!AH$25,$D$12/5*(AI$8-AI$9)*1000)</f>
        <v>34601.006973231859</v>
      </c>
      <c r="AJ25" s="46">
        <f>SUM(AI$25,'Statistics NZ'!AJ$25-'Statistics NZ'!AI$25,$D$12/5*(AJ$8-AJ$9)*1000)</f>
        <v>34611.006973231859</v>
      </c>
      <c r="AK25" s="46">
        <f>SUM(AJ$25,'Statistics NZ'!AK$25-'Statistics NZ'!AJ$25,$D$12/5*(AK$8-AK$9)*1000)</f>
        <v>34631.006973231859</v>
      </c>
      <c r="AL25" s="46">
        <f>SUM(AK$25,'Statistics NZ'!AL$25-'Statistics NZ'!AK$25,$D$12/5*(AL$8-AL$9)*1000)</f>
        <v>34671.006973231859</v>
      </c>
      <c r="AM25" s="46">
        <f>SUM(AL$25,'Statistics NZ'!AM$25-'Statistics NZ'!AL$25,$D$12/5*(AM$8-AM$9)*1000)</f>
        <v>34741.006973231859</v>
      </c>
      <c r="AN25" s="46">
        <f>SUM(AM$25,'Statistics NZ'!AN$25-'Statistics NZ'!AM$25,$D$12/5*(AN$8-AN$9)*1000)</f>
        <v>34851.006973231859</v>
      </c>
      <c r="AO25" s="46">
        <f>SUM(AN$25,'Statistics NZ'!AO$25-'Statistics NZ'!AN$25,$D$12/5*(AO$8-AO$9)*1000)</f>
        <v>34981.006973231859</v>
      </c>
      <c r="AP25" s="46">
        <f>SUM(AO$25,'Statistics NZ'!AP$25-'Statistics NZ'!AO$25,$D$12/5*(AP$8-AP$9)*1000)</f>
        <v>35161.006973231859</v>
      </c>
      <c r="AQ25" s="46">
        <f>SUM(AP$25,'Statistics NZ'!AQ$25-'Statistics NZ'!AP$25,$D$12/5*(AQ$8-AQ$9)*1000)</f>
        <v>35361.006973231859</v>
      </c>
      <c r="AR25" s="46">
        <f>SUM(AQ$25,'Statistics NZ'!AR$25-'Statistics NZ'!AQ$25,$D$12/5*(AR$8-AR$9)*1000)</f>
        <v>35591.006973231859</v>
      </c>
      <c r="AS25" s="46">
        <f>SUM(AR$25,'Statistics NZ'!AS$25-'Statistics NZ'!AR$25,$D$12/5*(AS$8-AS$9)*1000)</f>
        <v>35831.006973231859</v>
      </c>
      <c r="AT25" s="46">
        <f>SUM(AS$25,'Statistics NZ'!AT$25-'Statistics NZ'!AS$25,$D$12/5*(AT$8-AT$9)*1000)</f>
        <v>36071.006973231859</v>
      </c>
      <c r="AU25" s="46">
        <f>SUM(AT$25,'Statistics NZ'!AU$25-'Statistics NZ'!AT$25,$D$12/5*(AU$8-AU$9)*1000)</f>
        <v>36301.006973231859</v>
      </c>
      <c r="AV25" s="46">
        <f>SUM(AU$25,'Statistics NZ'!AV$25-'Statistics NZ'!AU$25,$D$12/5*(AV$8-AV$9)*1000)</f>
        <v>36511.006973231859</v>
      </c>
      <c r="AW25" s="46">
        <f>SUM(AV$25,'Statistics NZ'!AW$25-'Statistics NZ'!AV$25,$D$12/5*(AW$8-AW$9)*1000)</f>
        <v>36691.006973231859</v>
      </c>
      <c r="AX25" s="46">
        <f>SUM(AW$25,'Statistics NZ'!AX$25-'Statistics NZ'!AW$25,$D$12/5*(AX$8-AX$9)*1000)</f>
        <v>36841.006973231859</v>
      </c>
      <c r="AY25" s="46">
        <f>SUM(AX$25,'Statistics NZ'!AY$25-'Statistics NZ'!AX$25,$D$12/5*(AY$8-AY$9)*1000)</f>
        <v>36951.006973231859</v>
      </c>
      <c r="AZ25" s="46">
        <f>SUM(AY$25,'Statistics NZ'!AZ$25-'Statistics NZ'!AY$25,$D$12/5*(AZ$8-AZ$9)*1000)</f>
        <v>37031.006973231859</v>
      </c>
      <c r="BA25" s="46">
        <f>SUM(AZ$25,'Statistics NZ'!BA$25-'Statistics NZ'!AZ$25,$D$12/5*(BA$8-BA$9)*1000)</f>
        <v>37081.006973231859</v>
      </c>
      <c r="BB25" s="46">
        <f>SUM(BA$25,'Statistics NZ'!BB$25-'Statistics NZ'!BA$25,$D$12/5*(BB$8-BB$9)*1000)</f>
        <v>37101.006973231859</v>
      </c>
      <c r="BC25" s="46">
        <f>SUM(BB$25,'Statistics NZ'!BC$25-'Statistics NZ'!BB$25,$D$12/5*(BC$8-BC$9)*1000)</f>
        <v>37101.006973231859</v>
      </c>
      <c r="BD25" s="46">
        <f>SUM(BC$25,'Statistics NZ'!BD$25-'Statistics NZ'!BC$25,$D$12/5*(BD$8-BD$9)*1000)</f>
        <v>37071.006973231859</v>
      </c>
      <c r="BE25" s="46">
        <f>SUM(BD$25,'Statistics NZ'!BE$25-'Statistics NZ'!BD$25,$D$12/5*(BE$8-BE$9)*1000)</f>
        <v>37041.006973231859</v>
      </c>
      <c r="BF25" s="46">
        <f>SUM(BE$25,'Statistics NZ'!BF$25-'Statistics NZ'!BE$25,$D$12/5*(BF$8-BF$9)*1000)</f>
        <v>36991.006973231859</v>
      </c>
      <c r="BG25" s="46">
        <f>SUM(BF$25,'Statistics NZ'!BG$25-'Statistics NZ'!BF$25,$D$12/5*(BG$8-BG$9)*1000)</f>
        <v>36951.006973231859</v>
      </c>
      <c r="BH25" s="46">
        <f>SUM(BG$25,'Statistics NZ'!BH$25-'Statistics NZ'!BG$25,$D$12/5*(BH$8-BH$9)*1000)</f>
        <v>36901.006973231859</v>
      </c>
      <c r="BI25" s="46">
        <f>SUM(BH$25,'Statistics NZ'!BI$25-'Statistics NZ'!BH$25,$D$12/5*(BI$8-BI$9)*1000)</f>
        <v>36861.006973231859</v>
      </c>
    </row>
    <row r="26" spans="1:61" x14ac:dyDescent="0.25">
      <c r="A26" s="11">
        <v>11</v>
      </c>
      <c r="B26" s="44">
        <f>'Statistics NZ'!B$26*('Economic Forecasts'!D$10-'Economic Forecasts'!D$9)*1000000/SUM('Statistics NZ'!B$15:B$29,'Statistics NZ'!B$115:B$129)</f>
        <v>31774.657495694079</v>
      </c>
      <c r="C26" s="44">
        <f>'Statistics NZ'!C$26*('Economic Forecasts'!E$10-'Economic Forecasts'!E$9)*1000000/SUM('Statistics NZ'!C$15:C$29,'Statistics NZ'!C$115:C$129)</f>
        <v>31018.222820599123</v>
      </c>
      <c r="D26" s="44">
        <f>'Statistics NZ'!D$26*('Economic Forecasts'!F$10-'Economic Forecasts'!F$9)*1000000/SUM('Statistics NZ'!D$15:D$29,'Statistics NZ'!D$115:D$129)</f>
        <v>30769.811615727354</v>
      </c>
      <c r="E26" s="44">
        <f>'Statistics NZ'!E$26*('Economic Forecasts'!G$10-'Economic Forecasts'!G$9)*1000000/SUM('Statistics NZ'!E$15:E$29,'Statistics NZ'!E$115:E$129)</f>
        <v>30879.076967464152</v>
      </c>
      <c r="F26" s="44">
        <f>'Statistics NZ'!F$26*('Economic Forecasts'!H$10-'Economic Forecasts'!H$9)*1000000/SUM('Statistics NZ'!F$15:F$29,'Statistics NZ'!F$115:F$129)</f>
        <v>30332.613914154204</v>
      </c>
      <c r="G26" s="44">
        <f>'Statistics NZ'!G$26*('Economic Forecasts'!I$10-'Economic Forecasts'!I$9)*1000000/SUM('Statistics NZ'!G$15:G$29,'Statistics NZ'!G$115:G$129)</f>
        <v>31634.983694040911</v>
      </c>
      <c r="H26" s="44">
        <f>'Statistics NZ'!H$26*('Economic Forecasts'!J$10-'Economic Forecasts'!J$9)*1000000/SUM('Statistics NZ'!H$15:H$29,'Statistics NZ'!H$115:H$129)</f>
        <v>31146.074455106027</v>
      </c>
      <c r="I26" s="44">
        <f>'Statistics NZ'!I$26*('Economic Forecasts'!K$10-'Economic Forecasts'!K$9)*1000000/SUM('Statistics NZ'!I$15:I$29,'Statistics NZ'!I$115:I$129)</f>
        <v>30060.277952002103</v>
      </c>
      <c r="J26" s="44">
        <f>'Statistics NZ'!J$26*('Economic Forecasts'!L$10-'Economic Forecasts'!L$9)*1000000/SUM('Statistics NZ'!J$15:J$29,'Statistics NZ'!J$115:J$129)</f>
        <v>29921.922541158914</v>
      </c>
      <c r="K26" s="44">
        <f>'Statistics NZ'!K$26*('Economic Forecasts'!M$10-'Economic Forecasts'!M$9)*1000000/SUM('Statistics NZ'!K$15:K$29,'Statistics NZ'!K$115:K$129)</f>
        <v>30764.959886481476</v>
      </c>
      <c r="L26" s="44">
        <f>'Statistics NZ'!L$26*('Economic Forecasts'!N$10-'Economic Forecasts'!N$9)*1000000/SUM('Statistics NZ'!L$15:L$29,'Statistics NZ'!L$115:L$129)</f>
        <v>30790.62209340054</v>
      </c>
      <c r="M26" s="44">
        <f>'Statistics NZ'!M$26*('Economic Forecasts'!O$10-'Economic Forecasts'!O$9)*1000000/SUM('Statistics NZ'!M$15:M$29,'Statistics NZ'!M$115:M$129)</f>
        <v>31511.50689025758</v>
      </c>
      <c r="N26" s="44">
        <f>'Statistics NZ'!N$26*('Economic Forecasts'!P$10-'Economic Forecasts'!P$9)*1000000/SUM('Statistics NZ'!N$15:N$29,'Statistics NZ'!N$115:N$129)</f>
        <v>33098.693038342491</v>
      </c>
      <c r="O26" s="44">
        <f>'Statistics NZ'!O$26*('Economic Forecasts'!Q$10-'Economic Forecasts'!Q$9)*1000000/SUM('Statistics NZ'!O$15:O$29,'Statistics NZ'!O$115:O$129)</f>
        <v>34198.510427010915</v>
      </c>
      <c r="P26" s="44">
        <f>'Statistics NZ'!P$26*('Economic Forecasts'!R$10-'Economic Forecasts'!R$9)*1000000/SUM('Statistics NZ'!P$15:P$29,'Statistics NZ'!P$115:P$129)</f>
        <v>34228.482367172248</v>
      </c>
      <c r="Q26" s="44">
        <f>'Statistics NZ'!Q$26*('Economic Forecasts'!S$10-'Economic Forecasts'!S$9)*1000000/SUM('Statistics NZ'!Q$15:Q$29,'Statistics NZ'!Q$115:Q$129)</f>
        <v>34999.03957369463</v>
      </c>
      <c r="R26" s="44">
        <f>'Statistics NZ'!R$26*('Economic Forecasts'!T$10-'Economic Forecasts'!T$9)*1000000/SUM('Statistics NZ'!R$15:R$29,'Statistics NZ'!R$115:R$129)</f>
        <v>34826.543933749112</v>
      </c>
      <c r="S26" s="44">
        <f>'Statistics NZ'!S$26*('Economic Forecasts'!U$10-'Economic Forecasts'!U$9)*1000000/SUM('Statistics NZ'!S$15:S$29,'Statistics NZ'!S$115:S$129)</f>
        <v>35593.987442910628</v>
      </c>
      <c r="T26" s="44">
        <f>'Statistics NZ'!T$26*('Economic Forecasts'!V$10-'Economic Forecasts'!V$9)*1000000/SUM('Statistics NZ'!T$15:T$29,'Statistics NZ'!T$115:T$129)</f>
        <v>36066.292318874701</v>
      </c>
      <c r="U26" s="45">
        <f>SUM('Statistics NZ'!U$26,$D$12/5*(U$8-U$9)*1000)*('Economic Forecasts'!W$10-'Economic Forecasts'!W$9)*1000000/SUM('Statistics NZ'!U$15:U$29,'Statistics NZ'!U$115:U$129,SUM($B$12:$D$13)*(U$8-U$9)*1000)</f>
        <v>35224.162347442922</v>
      </c>
      <c r="V26" s="45">
        <f>SUM('Statistics NZ'!V$26,$D$12/5*(V$8-V$9)*1000)*('Economic Forecasts'!X$10-'Economic Forecasts'!X$9)*1000000/SUM('Statistics NZ'!V$15:V$29,'Statistics NZ'!V$115:V$129,SUM($B$12:$D$13)*(V$8-V$9)*1000)</f>
        <v>35681.901898838434</v>
      </c>
      <c r="W26" s="45">
        <f>SUM('Statistics NZ'!W$26,$D$12/5*(W$8-W$9)*1000)*('Economic Forecasts'!Y$10-'Economic Forecasts'!Y$9)*1000000/SUM('Statistics NZ'!W$15:W$29,'Statistics NZ'!W$115:W$129,SUM($B$12:$D$13)*(W$8-W$9)*1000)</f>
        <v>35656.929316535374</v>
      </c>
      <c r="X26" s="45">
        <f>SUM('Statistics NZ'!X$26,$D$12/5*(X$8-X$9)*1000)*('Economic Forecasts'!Z$10-'Economic Forecasts'!Z$9)*1000000/SUM('Statistics NZ'!X$15:X$29,'Statistics NZ'!X$115:X$129,SUM($B$12:$D$13)*(X$8-X$9)*1000)</f>
        <v>36627.25338722975</v>
      </c>
      <c r="Y26" s="45">
        <f>SUM('Statistics NZ'!Y$26,$D$12/5*(Y$8-Y$9)*1000)*('Economic Forecasts'!AA$10-'Economic Forecasts'!AA$9)*1000000/SUM('Statistics NZ'!Y$15:Y$29,'Statistics NZ'!Y$115:Y$129,SUM($B$12:$D$13)*(Y$8-Y$9)*1000)</f>
        <v>36372.514801577163</v>
      </c>
      <c r="Z26" s="46">
        <f>SUM(Y$26,'Statistics NZ'!Z$26-'Statistics NZ'!Y$26,$D$12/5*(Z$8-Z$9)*1000)</f>
        <v>36442.592961333918</v>
      </c>
      <c r="AA26" s="46">
        <f>SUM(Z$26,'Statistics NZ'!AA$26-'Statistics NZ'!Z$26,$D$12/5*(AA$8-AA$9)*1000)</f>
        <v>36154.639857187969</v>
      </c>
      <c r="AB26" s="46">
        <f>SUM(AA$26,'Statistics NZ'!AB$26-'Statistics NZ'!AA$26,$D$12/5*(AB$8-AB$9)*1000)</f>
        <v>36340.261741919858</v>
      </c>
      <c r="AC26" s="46">
        <f>SUM(AB$26,'Statistics NZ'!AC$26-'Statistics NZ'!AB$26,$D$12/5*(AC$8-AC$9)*1000)</f>
        <v>36660.261741919858</v>
      </c>
      <c r="AD26" s="46">
        <f>SUM(AC$26,'Statistics NZ'!AD$26-'Statistics NZ'!AC$26,$D$12/5*(AD$8-AD$9)*1000)</f>
        <v>34090.261741919858</v>
      </c>
      <c r="AE26" s="46">
        <f>SUM(AD$26,'Statistics NZ'!AE$26-'Statistics NZ'!AD$26,$D$12/5*(AE$8-AE$9)*1000)</f>
        <v>34270.261741919858</v>
      </c>
      <c r="AF26" s="46">
        <f>SUM(AE$26,'Statistics NZ'!AF$26-'Statistics NZ'!AE$26,$D$12/5*(AF$8-AF$9)*1000)</f>
        <v>34820.261741919858</v>
      </c>
      <c r="AG26" s="46">
        <f>SUM(AF$26,'Statistics NZ'!AG$26-'Statistics NZ'!AF$26,$D$12/5*(AG$8-AG$9)*1000)</f>
        <v>34880.261741919858</v>
      </c>
      <c r="AH26" s="46">
        <f>SUM(AG$26,'Statistics NZ'!AH$26-'Statistics NZ'!AG$26,$D$12/5*(AH$8-AH$9)*1000)</f>
        <v>34920.261741919858</v>
      </c>
      <c r="AI26" s="46">
        <f>SUM(AH$26,'Statistics NZ'!AI$26-'Statistics NZ'!AH$26,$D$12/5*(AI$8-AI$9)*1000)</f>
        <v>34940.261741919858</v>
      </c>
      <c r="AJ26" s="46">
        <f>SUM(AI$26,'Statistics NZ'!AJ$26-'Statistics NZ'!AI$26,$D$12/5*(AJ$8-AJ$9)*1000)</f>
        <v>34960.261741919858</v>
      </c>
      <c r="AK26" s="46">
        <f>SUM(AJ$26,'Statistics NZ'!AK$26-'Statistics NZ'!AJ$26,$D$12/5*(AK$8-AK$9)*1000)</f>
        <v>34970.261741919858</v>
      </c>
      <c r="AL26" s="46">
        <f>SUM(AK$26,'Statistics NZ'!AL$26-'Statistics NZ'!AK$26,$D$12/5*(AL$8-AL$9)*1000)</f>
        <v>34990.261741919858</v>
      </c>
      <c r="AM26" s="46">
        <f>SUM(AL$26,'Statistics NZ'!AM$26-'Statistics NZ'!AL$26,$D$12/5*(AM$8-AM$9)*1000)</f>
        <v>35040.261741919858</v>
      </c>
      <c r="AN26" s="46">
        <f>SUM(AM$26,'Statistics NZ'!AN$26-'Statistics NZ'!AM$26,$D$12/5*(AN$8-AN$9)*1000)</f>
        <v>35110.261741919858</v>
      </c>
      <c r="AO26" s="46">
        <f>SUM(AN$26,'Statistics NZ'!AO$26-'Statistics NZ'!AN$26,$D$12/5*(AO$8-AO$9)*1000)</f>
        <v>35210.261741919858</v>
      </c>
      <c r="AP26" s="46">
        <f>SUM(AO$26,'Statistics NZ'!AP$26-'Statistics NZ'!AO$26,$D$12/5*(AP$8-AP$9)*1000)</f>
        <v>35350.261741919858</v>
      </c>
      <c r="AQ26" s="46">
        <f>SUM(AP$26,'Statistics NZ'!AQ$26-'Statistics NZ'!AP$26,$D$12/5*(AQ$8-AQ$9)*1000)</f>
        <v>35530.261741919858</v>
      </c>
      <c r="AR26" s="46">
        <f>SUM(AQ$26,'Statistics NZ'!AR$26-'Statistics NZ'!AQ$26,$D$12/5*(AR$8-AR$9)*1000)</f>
        <v>35740.261741919858</v>
      </c>
      <c r="AS26" s="46">
        <f>SUM(AR$26,'Statistics NZ'!AS$26-'Statistics NZ'!AR$26,$D$12/5*(AS$8-AS$9)*1000)</f>
        <v>35960.261741919858</v>
      </c>
      <c r="AT26" s="46">
        <f>SUM(AS$26,'Statistics NZ'!AT$26-'Statistics NZ'!AS$26,$D$12/5*(AT$8-AT$9)*1000)</f>
        <v>36210.261741919858</v>
      </c>
      <c r="AU26" s="46">
        <f>SUM(AT$26,'Statistics NZ'!AU$26-'Statistics NZ'!AT$26,$D$12/5*(AU$8-AU$9)*1000)</f>
        <v>36450.261741919858</v>
      </c>
      <c r="AV26" s="46">
        <f>SUM(AU$26,'Statistics NZ'!AV$26-'Statistics NZ'!AU$26,$D$12/5*(AV$8-AV$9)*1000)</f>
        <v>36680.261741919858</v>
      </c>
      <c r="AW26" s="46">
        <f>SUM(AV$26,'Statistics NZ'!AW$26-'Statistics NZ'!AV$26,$D$12/5*(AW$8-AW$9)*1000)</f>
        <v>36900.261741919858</v>
      </c>
      <c r="AX26" s="46">
        <f>SUM(AW$26,'Statistics NZ'!AX$26-'Statistics NZ'!AW$26,$D$12/5*(AX$8-AX$9)*1000)</f>
        <v>37080.261741919858</v>
      </c>
      <c r="AY26" s="46">
        <f>SUM(AX$26,'Statistics NZ'!AY$26-'Statistics NZ'!AX$26,$D$12/5*(AY$8-AY$9)*1000)</f>
        <v>37230.261741919858</v>
      </c>
      <c r="AZ26" s="46">
        <f>SUM(AY$26,'Statistics NZ'!AZ$26-'Statistics NZ'!AY$26,$D$12/5*(AZ$8-AZ$9)*1000)</f>
        <v>37340.261741919858</v>
      </c>
      <c r="BA26" s="46">
        <f>SUM(AZ$26,'Statistics NZ'!BA$26-'Statistics NZ'!AZ$26,$D$12/5*(BA$8-BA$9)*1000)</f>
        <v>37420.261741919858</v>
      </c>
      <c r="BB26" s="46">
        <f>SUM(BA$26,'Statistics NZ'!BB$26-'Statistics NZ'!BA$26,$D$12/5*(BB$8-BB$9)*1000)</f>
        <v>37470.261741919858</v>
      </c>
      <c r="BC26" s="46">
        <f>SUM(BB$26,'Statistics NZ'!BC$26-'Statistics NZ'!BB$26,$D$12/5*(BC$8-BC$9)*1000)</f>
        <v>37490.261741919858</v>
      </c>
      <c r="BD26" s="46">
        <f>SUM(BC$26,'Statistics NZ'!BD$26-'Statistics NZ'!BC$26,$D$12/5*(BD$8-BD$9)*1000)</f>
        <v>37490.261741919858</v>
      </c>
      <c r="BE26" s="46">
        <f>SUM(BD$26,'Statistics NZ'!BE$26-'Statistics NZ'!BD$26,$D$12/5*(BE$8-BE$9)*1000)</f>
        <v>37470.261741919858</v>
      </c>
      <c r="BF26" s="46">
        <f>SUM(BE$26,'Statistics NZ'!BF$26-'Statistics NZ'!BE$26,$D$12/5*(BF$8-BF$9)*1000)</f>
        <v>37440.261741919858</v>
      </c>
      <c r="BG26" s="46">
        <f>SUM(BF$26,'Statistics NZ'!BG$26-'Statistics NZ'!BF$26,$D$12/5*(BG$8-BG$9)*1000)</f>
        <v>37390.261741919858</v>
      </c>
      <c r="BH26" s="46">
        <f>SUM(BG$26,'Statistics NZ'!BH$26-'Statistics NZ'!BG$26,$D$12/5*(BH$8-BH$9)*1000)</f>
        <v>37350.261741919858</v>
      </c>
      <c r="BI26" s="46">
        <f>SUM(BH$26,'Statistics NZ'!BI$26-'Statistics NZ'!BH$26,$D$12/5*(BI$8-BI$9)*1000)</f>
        <v>37310.261741919858</v>
      </c>
    </row>
    <row r="27" spans="1:61" x14ac:dyDescent="0.25">
      <c r="A27" s="11">
        <v>12</v>
      </c>
      <c r="B27" s="44">
        <f>'Statistics NZ'!B$27*('Economic Forecasts'!D$10-'Economic Forecasts'!D$9)*1000000/SUM('Statistics NZ'!B$15:B$29,'Statistics NZ'!B$115:B$129)</f>
        <v>31795.861805000513</v>
      </c>
      <c r="C27" s="44">
        <f>'Statistics NZ'!C$27*('Economic Forecasts'!E$10-'Economic Forecasts'!E$9)*1000000/SUM('Statistics NZ'!C$15:C$29,'Statistics NZ'!C$115:C$129)</f>
        <v>31713.840457758335</v>
      </c>
      <c r="D27" s="44">
        <f>'Statistics NZ'!D$27*('Economic Forecasts'!F$10-'Economic Forecasts'!F$9)*1000000/SUM('Statistics NZ'!D$15:D$29,'Statistics NZ'!D$115:D$129)</f>
        <v>31117.790979441888</v>
      </c>
      <c r="E27" s="44">
        <f>'Statistics NZ'!E$27*('Economic Forecasts'!G$10-'Economic Forecasts'!G$9)*1000000/SUM('Statistics NZ'!E$15:E$29,'Statistics NZ'!E$115:E$129)</f>
        <v>30984.574326423717</v>
      </c>
      <c r="F27" s="44">
        <f>'Statistics NZ'!F$27*('Economic Forecasts'!H$10-'Economic Forecasts'!H$9)*1000000/SUM('Statistics NZ'!F$15:F$29,'Statistics NZ'!F$115:F$129)</f>
        <v>31199.260025987183</v>
      </c>
      <c r="G27" s="44">
        <f>'Statistics NZ'!G$27*('Economic Forecasts'!I$10-'Economic Forecasts'!I$9)*1000000/SUM('Statistics NZ'!G$15:G$29,'Statistics NZ'!G$115:G$129)</f>
        <v>30565.661956056261</v>
      </c>
      <c r="H27" s="44">
        <f>'Statistics NZ'!H$27*('Economic Forecasts'!J$10-'Economic Forecasts'!J$9)*1000000/SUM('Statistics NZ'!H$15:H$29,'Statistics NZ'!H$115:H$129)</f>
        <v>31707.933524582077</v>
      </c>
      <c r="I27" s="44">
        <f>'Statistics NZ'!I$27*('Economic Forecasts'!K$10-'Economic Forecasts'!K$9)*1000000/SUM('Statistics NZ'!I$15:I$29,'Statistics NZ'!I$115:I$129)</f>
        <v>31335.820156471782</v>
      </c>
      <c r="J27" s="44">
        <f>'Statistics NZ'!J$27*('Economic Forecasts'!L$10-'Economic Forecasts'!L$9)*1000000/SUM('Statistics NZ'!J$15:J$29,'Statistics NZ'!J$115:J$129)</f>
        <v>30412.795735486055</v>
      </c>
      <c r="K27" s="44">
        <f>'Statistics NZ'!K$27*('Economic Forecasts'!M$10-'Economic Forecasts'!M$9)*1000000/SUM('Statistics NZ'!K$15:K$29,'Statistics NZ'!K$115:K$129)</f>
        <v>30326.072149757139</v>
      </c>
      <c r="L27" s="44">
        <f>'Statistics NZ'!L$27*('Economic Forecasts'!N$10-'Economic Forecasts'!N$9)*1000000/SUM('Statistics NZ'!L$15:L$29,'Statistics NZ'!L$115:L$129)</f>
        <v>31057.623672427599</v>
      </c>
      <c r="M27" s="44">
        <f>'Statistics NZ'!M$27*('Economic Forecasts'!O$10-'Economic Forecasts'!O$9)*1000000/SUM('Statistics NZ'!M$15:M$29,'Statistics NZ'!M$115:M$129)</f>
        <v>30928.941216656174</v>
      </c>
      <c r="N27" s="44">
        <f>'Statistics NZ'!N$27*('Economic Forecasts'!P$10-'Economic Forecasts'!P$9)*1000000/SUM('Statistics NZ'!N$15:N$29,'Statistics NZ'!N$115:N$129)</f>
        <v>31828.922205669503</v>
      </c>
      <c r="O27" s="44">
        <f>'Statistics NZ'!O$27*('Economic Forecasts'!Q$10-'Economic Forecasts'!Q$9)*1000000/SUM('Statistics NZ'!O$15:O$29,'Statistics NZ'!O$115:O$129)</f>
        <v>33315.968222442891</v>
      </c>
      <c r="P27" s="44">
        <f>'Statistics NZ'!P$27*('Economic Forecasts'!R$10-'Economic Forecasts'!R$9)*1000000/SUM('Statistics NZ'!P$15:P$29,'Statistics NZ'!P$115:P$129)</f>
        <v>34893.830836512534</v>
      </c>
      <c r="Q27" s="44">
        <f>'Statistics NZ'!Q$27*('Economic Forecasts'!S$10-'Economic Forecasts'!S$9)*1000000/SUM('Statistics NZ'!Q$15:Q$29,'Statistics NZ'!Q$115:Q$129)</f>
        <v>34127.999008592182</v>
      </c>
      <c r="R27" s="44">
        <f>'Statistics NZ'!R$27*('Economic Forecasts'!T$10-'Economic Forecasts'!T$9)*1000000/SUM('Statistics NZ'!R$15:R$29,'Statistics NZ'!R$115:R$129)</f>
        <v>35163.642967590597</v>
      </c>
      <c r="S27" s="44">
        <f>'Statistics NZ'!S$27*('Economic Forecasts'!U$10-'Economic Forecasts'!U$9)*1000000/SUM('Statistics NZ'!S$15:S$29,'Statistics NZ'!S$115:S$129)</f>
        <v>35870.239285751122</v>
      </c>
      <c r="T27" s="44">
        <f>'Statistics NZ'!T$27*('Economic Forecasts'!V$10-'Economic Forecasts'!V$9)*1000000/SUM('Statistics NZ'!T$15:T$29,'Statistics NZ'!T$115:T$129)</f>
        <v>36353.122920527028</v>
      </c>
      <c r="U27" s="45">
        <f>SUM('Statistics NZ'!U$27,$D$12/5*(U$8-U$9)*1000)*('Economic Forecasts'!W$10-'Economic Forecasts'!W$9)*1000000/SUM('Statistics NZ'!U$15:U$29,'Statistics NZ'!U$115:U$129,SUM($B$12:$D$13)*(U$8-U$9)*1000)</f>
        <v>36437.561033125021</v>
      </c>
      <c r="V27" s="45">
        <f>SUM('Statistics NZ'!V$27,$D$12/5*(V$8-V$9)*1000)*('Economic Forecasts'!X$10-'Economic Forecasts'!X$9)*1000000/SUM('Statistics NZ'!V$15:V$29,'Statistics NZ'!V$115:V$129,SUM($B$12:$D$13)*(V$8-V$9)*1000)</f>
        <v>35907.969354042099</v>
      </c>
      <c r="W27" s="45">
        <f>SUM('Statistics NZ'!W$27,$D$12/5*(W$8-W$9)*1000)*('Economic Forecasts'!Y$10-'Economic Forecasts'!Y$9)*1000000/SUM('Statistics NZ'!W$15:W$29,'Statistics NZ'!W$115:W$129,SUM($B$12:$D$13)*(W$8-W$9)*1000)</f>
        <v>36442.126810710164</v>
      </c>
      <c r="X27" s="45">
        <f>SUM('Statistics NZ'!X$27,$D$12/5*(X$8-X$9)*1000)*('Economic Forecasts'!Z$10-'Economic Forecasts'!Z$9)*1000000/SUM('Statistics NZ'!X$15:X$29,'Statistics NZ'!X$115:X$129,SUM($B$12:$D$13)*(X$8-X$9)*1000)</f>
        <v>36417.408055162283</v>
      </c>
      <c r="Y27" s="45">
        <f>SUM('Statistics NZ'!Y$27,$D$12/5*(Y$8-Y$9)*1000)*('Economic Forecasts'!AA$10-'Economic Forecasts'!AA$9)*1000000/SUM('Statistics NZ'!Y$15:Y$29,'Statistics NZ'!Y$115:Y$129,SUM($B$12:$D$13)*(Y$8-Y$9)*1000)</f>
        <v>37377.831968853956</v>
      </c>
      <c r="Z27" s="46">
        <f>SUM(Y$27,'Statistics NZ'!Z$27-'Statistics NZ'!Y$27,$D$12/5*(Z$8-Z$9)*1000)</f>
        <v>36807.910128610711</v>
      </c>
      <c r="AA27" s="46">
        <f>SUM(Z$27,'Statistics NZ'!AA$27-'Statistics NZ'!Z$27,$D$12/5*(AA$8-AA$9)*1000)</f>
        <v>36869.957024464762</v>
      </c>
      <c r="AB27" s="46">
        <f>SUM(AA$27,'Statistics NZ'!AB$27-'Statistics NZ'!AA$27,$D$12/5*(AB$8-AB$9)*1000)</f>
        <v>36575.578909196651</v>
      </c>
      <c r="AC27" s="46">
        <f>SUM(AB$27,'Statistics NZ'!AC$27-'Statistics NZ'!AB$27,$D$12/5*(AC$8-AC$9)*1000)</f>
        <v>36755.578909196651</v>
      </c>
      <c r="AD27" s="46">
        <f>SUM(AC$27,'Statistics NZ'!AD$27-'Statistics NZ'!AC$27,$D$12/5*(AD$8-AD$9)*1000)</f>
        <v>37085.578909196651</v>
      </c>
      <c r="AE27" s="46">
        <f>SUM(AD$27,'Statistics NZ'!AE$27-'Statistics NZ'!AD$27,$D$12/5*(AE$8-AE$9)*1000)</f>
        <v>34515.578909196651</v>
      </c>
      <c r="AF27" s="46">
        <f>SUM(AE$27,'Statistics NZ'!AF$27-'Statistics NZ'!AE$27,$D$12/5*(AF$8-AF$9)*1000)</f>
        <v>34695.578909196651</v>
      </c>
      <c r="AG27" s="46">
        <f>SUM(AF$27,'Statistics NZ'!AG$27-'Statistics NZ'!AF$27,$D$12/5*(AG$8-AG$9)*1000)</f>
        <v>35245.578909196651</v>
      </c>
      <c r="AH27" s="46">
        <f>SUM(AG$27,'Statistics NZ'!AH$27-'Statistics NZ'!AG$27,$D$12/5*(AH$8-AH$9)*1000)</f>
        <v>35315.578909196651</v>
      </c>
      <c r="AI27" s="46">
        <f>SUM(AH$27,'Statistics NZ'!AI$27-'Statistics NZ'!AH$27,$D$12/5*(AI$8-AI$9)*1000)</f>
        <v>35355.578909196651</v>
      </c>
      <c r="AJ27" s="46">
        <f>SUM(AI$27,'Statistics NZ'!AJ$27-'Statistics NZ'!AI$27,$D$12/5*(AJ$8-AJ$9)*1000)</f>
        <v>35375.578909196651</v>
      </c>
      <c r="AK27" s="46">
        <f>SUM(AJ$27,'Statistics NZ'!AK$27-'Statistics NZ'!AJ$27,$D$12/5*(AK$8-AK$9)*1000)</f>
        <v>35395.578909196651</v>
      </c>
      <c r="AL27" s="46">
        <f>SUM(AK$27,'Statistics NZ'!AL$27-'Statistics NZ'!AK$27,$D$12/5*(AL$8-AL$9)*1000)</f>
        <v>35405.578909196651</v>
      </c>
      <c r="AM27" s="46">
        <f>SUM(AL$27,'Statistics NZ'!AM$27-'Statistics NZ'!AL$27,$D$12/5*(AM$8-AM$9)*1000)</f>
        <v>35435.578909196651</v>
      </c>
      <c r="AN27" s="46">
        <f>SUM(AM$27,'Statistics NZ'!AN$27-'Statistics NZ'!AM$27,$D$12/5*(AN$8-AN$9)*1000)</f>
        <v>35475.578909196651</v>
      </c>
      <c r="AO27" s="46">
        <f>SUM(AN$27,'Statistics NZ'!AO$27-'Statistics NZ'!AN$27,$D$12/5*(AO$8-AO$9)*1000)</f>
        <v>35555.578909196651</v>
      </c>
      <c r="AP27" s="46">
        <f>SUM(AO$27,'Statistics NZ'!AP$27-'Statistics NZ'!AO$27,$D$12/5*(AP$8-AP$9)*1000)</f>
        <v>35655.578909196651</v>
      </c>
      <c r="AQ27" s="46">
        <f>SUM(AP$27,'Statistics NZ'!AQ$27-'Statistics NZ'!AP$27,$D$12/5*(AQ$8-AQ$9)*1000)</f>
        <v>35805.578909196651</v>
      </c>
      <c r="AR27" s="46">
        <f>SUM(AQ$27,'Statistics NZ'!AR$27-'Statistics NZ'!AQ$27,$D$12/5*(AR$8-AR$9)*1000)</f>
        <v>35975.578909196651</v>
      </c>
      <c r="AS27" s="46">
        <f>SUM(AR$27,'Statistics NZ'!AS$27-'Statistics NZ'!AR$27,$D$12/5*(AS$8-AS$9)*1000)</f>
        <v>36185.578909196651</v>
      </c>
      <c r="AT27" s="46">
        <f>SUM(AS$27,'Statistics NZ'!AT$27-'Statistics NZ'!AS$27,$D$12/5*(AT$8-AT$9)*1000)</f>
        <v>36415.578909196651</v>
      </c>
      <c r="AU27" s="46">
        <f>SUM(AT$27,'Statistics NZ'!AU$27-'Statistics NZ'!AT$27,$D$12/5*(AU$8-AU$9)*1000)</f>
        <v>36665.578909196651</v>
      </c>
      <c r="AV27" s="46">
        <f>SUM(AU$27,'Statistics NZ'!AV$27-'Statistics NZ'!AU$27,$D$12/5*(AV$8-AV$9)*1000)</f>
        <v>36905.578909196651</v>
      </c>
      <c r="AW27" s="46">
        <f>SUM(AV$27,'Statistics NZ'!AW$27-'Statistics NZ'!AV$27,$D$12/5*(AW$8-AW$9)*1000)</f>
        <v>37145.578909196651</v>
      </c>
      <c r="AX27" s="46">
        <f>SUM(AW$27,'Statistics NZ'!AX$27-'Statistics NZ'!AW$27,$D$12/5*(AX$8-AX$9)*1000)</f>
        <v>37355.578909196651</v>
      </c>
      <c r="AY27" s="46">
        <f>SUM(AX$27,'Statistics NZ'!AY$27-'Statistics NZ'!AX$27,$D$12/5*(AY$8-AY$9)*1000)</f>
        <v>37545.578909196651</v>
      </c>
      <c r="AZ27" s="46">
        <f>SUM(AY$27,'Statistics NZ'!AZ$27-'Statistics NZ'!AY$27,$D$12/5*(AZ$8-AZ$9)*1000)</f>
        <v>37695.578909196651</v>
      </c>
      <c r="BA27" s="46">
        <f>SUM(AZ$27,'Statistics NZ'!BA$27-'Statistics NZ'!AZ$27,$D$12/5*(BA$8-BA$9)*1000)</f>
        <v>37805.578909196651</v>
      </c>
      <c r="BB27" s="46">
        <f>SUM(BA$27,'Statistics NZ'!BB$27-'Statistics NZ'!BA$27,$D$12/5*(BB$8-BB$9)*1000)</f>
        <v>37895.578909196651</v>
      </c>
      <c r="BC27" s="46">
        <f>SUM(BB$27,'Statistics NZ'!BC$27-'Statistics NZ'!BB$27,$D$12/5*(BC$8-BC$9)*1000)</f>
        <v>37945.578909196651</v>
      </c>
      <c r="BD27" s="46">
        <f>SUM(BC$27,'Statistics NZ'!BD$27-'Statistics NZ'!BC$27,$D$12/5*(BD$8-BD$9)*1000)</f>
        <v>37965.578909196651</v>
      </c>
      <c r="BE27" s="46">
        <f>SUM(BD$27,'Statistics NZ'!BE$27-'Statistics NZ'!BD$27,$D$12/5*(BE$8-BE$9)*1000)</f>
        <v>37965.578909196651</v>
      </c>
      <c r="BF27" s="46">
        <f>SUM(BE$27,'Statistics NZ'!BF$27-'Statistics NZ'!BE$27,$D$12/5*(BF$8-BF$9)*1000)</f>
        <v>37945.578909196651</v>
      </c>
      <c r="BG27" s="46">
        <f>SUM(BF$27,'Statistics NZ'!BG$27-'Statistics NZ'!BF$27,$D$12/5*(BG$8-BG$9)*1000)</f>
        <v>37915.578909196651</v>
      </c>
      <c r="BH27" s="46">
        <f>SUM(BG$27,'Statistics NZ'!BH$27-'Statistics NZ'!BG$27,$D$12/5*(BH$8-BH$9)*1000)</f>
        <v>37875.578909196651</v>
      </c>
      <c r="BI27" s="46">
        <f>SUM(BH$27,'Statistics NZ'!BI$27-'Statistics NZ'!BH$27,$D$12/5*(BI$8-BI$9)*1000)</f>
        <v>37825.578909196651</v>
      </c>
    </row>
    <row r="28" spans="1:61" x14ac:dyDescent="0.25">
      <c r="A28" s="11">
        <v>13</v>
      </c>
      <c r="B28" s="44">
        <f>'Statistics NZ'!B$28*('Economic Forecasts'!D$10-'Economic Forecasts'!D$9)*1000000/SUM('Statistics NZ'!B$15:B$29,'Statistics NZ'!B$115:B$129)</f>
        <v>32601.625558645075</v>
      </c>
      <c r="C28" s="44">
        <f>'Statistics NZ'!C$28*('Economic Forecasts'!E$10-'Economic Forecasts'!E$9)*1000000/SUM('Statistics NZ'!C$15:C$29,'Statistics NZ'!C$115:C$129)</f>
        <v>31713.840457758335</v>
      </c>
      <c r="D28" s="44">
        <f>'Statistics NZ'!D$28*('Economic Forecasts'!F$10-'Economic Forecasts'!F$9)*1000000/SUM('Statistics NZ'!D$15:D$29,'Statistics NZ'!D$115:D$129)</f>
        <v>31761.025560853595</v>
      </c>
      <c r="E28" s="44">
        <f>'Statistics NZ'!E$28*('Economic Forecasts'!G$10-'Economic Forecasts'!G$9)*1000000/SUM('Statistics NZ'!E$15:E$29,'Statistics NZ'!E$115:E$129)</f>
        <v>31258.867459718585</v>
      </c>
      <c r="F28" s="44">
        <f>'Statistics NZ'!F$28*('Economic Forecasts'!H$10-'Economic Forecasts'!H$9)*1000000/SUM('Statistics NZ'!F$15:F$29,'Statistics NZ'!F$115:F$129)</f>
        <v>31273.242011143655</v>
      </c>
      <c r="G28" s="44">
        <f>'Statistics NZ'!G$28*('Economic Forecasts'!I$10-'Economic Forecasts'!I$9)*1000000/SUM('Statistics NZ'!G$15:G$29,'Statistics NZ'!G$115:G$129)</f>
        <v>31370.300095529863</v>
      </c>
      <c r="H28" s="44">
        <f>'Statistics NZ'!H$28*('Economic Forecasts'!J$10-'Economic Forecasts'!J$9)*1000000/SUM('Statistics NZ'!H$15:H$29,'Statistics NZ'!H$115:H$129)</f>
        <v>30647.822072740484</v>
      </c>
      <c r="I28" s="44">
        <f>'Statistics NZ'!I$28*('Economic Forecasts'!K$10-'Economic Forecasts'!K$9)*1000000/SUM('Statistics NZ'!I$15:I$29,'Statistics NZ'!I$115:I$129)</f>
        <v>31814.148483147914</v>
      </c>
      <c r="J28" s="44">
        <f>'Statistics NZ'!J$28*('Economic Forecasts'!L$10-'Economic Forecasts'!L$9)*1000000/SUM('Statistics NZ'!J$15:J$29,'Statistics NZ'!J$115:J$129)</f>
        <v>31618.636408507082</v>
      </c>
      <c r="K28" s="44">
        <f>'Statistics NZ'!K$28*('Economic Forecasts'!M$10-'Economic Forecasts'!M$9)*1000000/SUM('Statistics NZ'!K$15:K$29,'Statistics NZ'!K$115:K$129)</f>
        <v>30829.187360148451</v>
      </c>
      <c r="L28" s="44">
        <f>'Statistics NZ'!L$28*('Economic Forecasts'!N$10-'Economic Forecasts'!N$9)*1000000/SUM('Statistics NZ'!L$15:L$29,'Statistics NZ'!L$115:L$129)</f>
        <v>30587.700893339974</v>
      </c>
      <c r="M28" s="44">
        <f>'Statistics NZ'!M$28*('Economic Forecasts'!O$10-'Economic Forecasts'!O$9)*1000000/SUM('Statistics NZ'!M$15:M$29,'Statistics NZ'!M$115:M$129)</f>
        <v>31140.783279783962</v>
      </c>
      <c r="N28" s="44">
        <f>'Statistics NZ'!N$28*('Economic Forecasts'!P$10-'Economic Forecasts'!P$9)*1000000/SUM('Statistics NZ'!N$15:N$29,'Statistics NZ'!N$115:N$129)</f>
        <v>31310.432448994703</v>
      </c>
      <c r="O28" s="44">
        <f>'Statistics NZ'!O$28*('Economic Forecasts'!Q$10-'Economic Forecasts'!Q$9)*1000000/SUM('Statistics NZ'!O$15:O$29,'Statistics NZ'!O$115:O$129)</f>
        <v>32076.206554121141</v>
      </c>
      <c r="P28" s="44">
        <f>'Statistics NZ'!P$28*('Economic Forecasts'!R$10-'Economic Forecasts'!R$9)*1000000/SUM('Statistics NZ'!P$15:P$29,'Statistics NZ'!P$115:P$129)</f>
        <v>34048.943891318529</v>
      </c>
      <c r="Q28" s="44">
        <f>'Statistics NZ'!Q$28*('Economic Forecasts'!S$10-'Economic Forecasts'!S$9)*1000000/SUM('Statistics NZ'!Q$15:Q$29,'Statistics NZ'!Q$115:Q$129)</f>
        <v>34873.10599801717</v>
      </c>
      <c r="R28" s="44">
        <f>'Statistics NZ'!R$28*('Economic Forecasts'!T$10-'Economic Forecasts'!T$9)*1000000/SUM('Statistics NZ'!R$15:R$29,'Statistics NZ'!R$115:R$129)</f>
        <v>34278.758003756688</v>
      </c>
      <c r="S28" s="44">
        <f>'Statistics NZ'!S$28*('Economic Forecasts'!U$10-'Economic Forecasts'!U$9)*1000000/SUM('Statistics NZ'!S$15:S$29,'Statistics NZ'!S$115:S$129)</f>
        <v>36146.491128591631</v>
      </c>
      <c r="T28" s="44">
        <f>'Statistics NZ'!T$28*('Economic Forecasts'!V$10-'Economic Forecasts'!V$9)*1000000/SUM('Statistics NZ'!T$15:T$29,'Statistics NZ'!T$115:T$129)</f>
        <v>36586.836744095577</v>
      </c>
      <c r="U28" s="45">
        <f>SUM('Statistics NZ'!U$28,$D$12/5*(U$8-U$9)*1000)*('Economic Forecasts'!W$10-'Economic Forecasts'!W$9)*1000000/SUM('Statistics NZ'!U$15:U$29,'Statistics NZ'!U$115:U$129,SUM($B$12:$D$13)*(U$8-U$9)*1000)</f>
        <v>36756.876476725578</v>
      </c>
      <c r="V28" s="45">
        <f>SUM('Statistics NZ'!V$28,$D$12/5*(V$8-V$9)*1000)*('Economic Forecasts'!X$10-'Economic Forecasts'!X$9)*1000000/SUM('Statistics NZ'!V$15:V$29,'Statistics NZ'!V$115:V$129,SUM($B$12:$D$13)*(V$8-V$9)*1000)</f>
        <v>37156.72291611947</v>
      </c>
      <c r="W28" s="45">
        <f>SUM('Statistics NZ'!W$28,$D$12/5*(W$8-W$9)*1000)*('Economic Forecasts'!Y$10-'Economic Forecasts'!Y$9)*1000000/SUM('Statistics NZ'!W$15:W$29,'Statistics NZ'!W$115:W$129,SUM($B$12:$D$13)*(W$8-W$9)*1000)</f>
        <v>36692.953788016006</v>
      </c>
      <c r="X28" s="45">
        <f>SUM('Statistics NZ'!X$28,$D$12/5*(X$8-X$9)*1000)*('Economic Forecasts'!Z$10-'Economic Forecasts'!Z$9)*1000000/SUM('Statistics NZ'!X$15:X$29,'Statistics NZ'!X$115:X$129,SUM($B$12:$D$13)*(X$8-X$9)*1000)</f>
        <v>37234.700401109258</v>
      </c>
      <c r="Y28" s="45">
        <f>SUM('Statistics NZ'!Y$28,$D$12/5*(Y$8-Y$9)*1000)*('Economic Forecasts'!AA$10-'Economic Forecasts'!AA$9)*1000000/SUM('Statistics NZ'!Y$15:Y$29,'Statistics NZ'!Y$115:Y$129,SUM($B$12:$D$13)*(Y$8-Y$9)*1000)</f>
        <v>37176.768535398594</v>
      </c>
      <c r="Z28" s="46">
        <f>SUM(Y$28,'Statistics NZ'!Z$28-'Statistics NZ'!Y$28,$D$12/5*(Z$8-Z$9)*1000)</f>
        <v>37706.846695155349</v>
      </c>
      <c r="AA28" s="46">
        <f>SUM(Z$28,'Statistics NZ'!AA$28-'Statistics NZ'!Z$28,$D$12/5*(AA$8-AA$9)*1000)</f>
        <v>37128.893591009401</v>
      </c>
      <c r="AB28" s="46">
        <f>SUM(AA$28,'Statistics NZ'!AB$28-'Statistics NZ'!AA$28,$D$12/5*(AB$8-AB$9)*1000)</f>
        <v>37194.515475741289</v>
      </c>
      <c r="AC28" s="46">
        <f>SUM(AB$28,'Statistics NZ'!AC$28-'Statistics NZ'!AB$28,$D$12/5*(AC$8-AC$9)*1000)</f>
        <v>36904.515475741289</v>
      </c>
      <c r="AD28" s="46">
        <f>SUM(AC$28,'Statistics NZ'!AD$28-'Statistics NZ'!AC$28,$D$12/5*(AD$8-AD$9)*1000)</f>
        <v>37074.515475741289</v>
      </c>
      <c r="AE28" s="46">
        <f>SUM(AD$28,'Statistics NZ'!AE$28-'Statistics NZ'!AD$28,$D$12/5*(AE$8-AE$9)*1000)</f>
        <v>37404.515475741289</v>
      </c>
      <c r="AF28" s="46">
        <f>SUM(AE$28,'Statistics NZ'!AF$28-'Statistics NZ'!AE$28,$D$12/5*(AF$8-AF$9)*1000)</f>
        <v>34844.515475741289</v>
      </c>
      <c r="AG28" s="46">
        <f>SUM(AF$28,'Statistics NZ'!AG$28-'Statistics NZ'!AF$28,$D$12/5*(AG$8-AG$9)*1000)</f>
        <v>35024.515475741289</v>
      </c>
      <c r="AH28" s="46">
        <f>SUM(AG$28,'Statistics NZ'!AH$28-'Statistics NZ'!AG$28,$D$12/5*(AH$8-AH$9)*1000)</f>
        <v>35574.515475741289</v>
      </c>
      <c r="AI28" s="46">
        <f>SUM(AH$28,'Statistics NZ'!AI$28-'Statistics NZ'!AH$28,$D$12/5*(AI$8-AI$9)*1000)</f>
        <v>35644.515475741289</v>
      </c>
      <c r="AJ28" s="46">
        <f>SUM(AI$28,'Statistics NZ'!AJ$28-'Statistics NZ'!AI$28,$D$12/5*(AJ$8-AJ$9)*1000)</f>
        <v>35684.515475741289</v>
      </c>
      <c r="AK28" s="46">
        <f>SUM(AJ$28,'Statistics NZ'!AK$28-'Statistics NZ'!AJ$28,$D$12/5*(AK$8-AK$9)*1000)</f>
        <v>35714.515475741289</v>
      </c>
      <c r="AL28" s="46">
        <f>SUM(AK$28,'Statistics NZ'!AL$28-'Statistics NZ'!AK$28,$D$12/5*(AL$8-AL$9)*1000)</f>
        <v>35724.515475741289</v>
      </c>
      <c r="AM28" s="46">
        <f>SUM(AL$28,'Statistics NZ'!AM$28-'Statistics NZ'!AL$28,$D$12/5*(AM$8-AM$9)*1000)</f>
        <v>35744.515475741289</v>
      </c>
      <c r="AN28" s="46">
        <f>SUM(AM$28,'Statistics NZ'!AN$28-'Statistics NZ'!AM$28,$D$12/5*(AN$8-AN$9)*1000)</f>
        <v>35774.515475741289</v>
      </c>
      <c r="AO28" s="46">
        <f>SUM(AN$28,'Statistics NZ'!AO$28-'Statistics NZ'!AN$28,$D$12/5*(AO$8-AO$9)*1000)</f>
        <v>35824.515475741289</v>
      </c>
      <c r="AP28" s="46">
        <f>SUM(AO$28,'Statistics NZ'!AP$28-'Statistics NZ'!AO$28,$D$12/5*(AP$8-AP$9)*1000)</f>
        <v>35894.515475741289</v>
      </c>
      <c r="AQ28" s="46">
        <f>SUM(AP$28,'Statistics NZ'!AQ$28-'Statistics NZ'!AP$28,$D$12/5*(AQ$8-AQ$9)*1000)</f>
        <v>36004.515475741289</v>
      </c>
      <c r="AR28" s="46">
        <f>SUM(AQ$28,'Statistics NZ'!AR$28-'Statistics NZ'!AQ$28,$D$12/5*(AR$8-AR$9)*1000)</f>
        <v>36144.515475741289</v>
      </c>
      <c r="AS28" s="46">
        <f>SUM(AR$28,'Statistics NZ'!AS$28-'Statistics NZ'!AR$28,$D$12/5*(AS$8-AS$9)*1000)</f>
        <v>36324.515475741289</v>
      </c>
      <c r="AT28" s="46">
        <f>SUM(AS$28,'Statistics NZ'!AT$28-'Statistics NZ'!AS$28,$D$12/5*(AT$8-AT$9)*1000)</f>
        <v>36534.515475741289</v>
      </c>
      <c r="AU28" s="46">
        <f>SUM(AT$28,'Statistics NZ'!AU$28-'Statistics NZ'!AT$28,$D$12/5*(AU$8-AU$9)*1000)</f>
        <v>36764.515475741289</v>
      </c>
      <c r="AV28" s="46">
        <f>SUM(AU$28,'Statistics NZ'!AV$28-'Statistics NZ'!AU$28,$D$12/5*(AV$8-AV$9)*1000)</f>
        <v>37014.515475741289</v>
      </c>
      <c r="AW28" s="46">
        <f>SUM(AV$28,'Statistics NZ'!AW$28-'Statistics NZ'!AV$28,$D$12/5*(AW$8-AW$9)*1000)</f>
        <v>37264.515475741289</v>
      </c>
      <c r="AX28" s="46">
        <f>SUM(AW$28,'Statistics NZ'!AX$28-'Statistics NZ'!AW$28,$D$12/5*(AX$8-AX$9)*1000)</f>
        <v>37504.515475741289</v>
      </c>
      <c r="AY28" s="46">
        <f>SUM(AX$28,'Statistics NZ'!AY$28-'Statistics NZ'!AX$28,$D$12/5*(AY$8-AY$9)*1000)</f>
        <v>37714.515475741289</v>
      </c>
      <c r="AZ28" s="46">
        <f>SUM(AY$28,'Statistics NZ'!AZ$28-'Statistics NZ'!AY$28,$D$12/5*(AZ$8-AZ$9)*1000)</f>
        <v>37904.515475741289</v>
      </c>
      <c r="BA28" s="46">
        <f>SUM(AZ$28,'Statistics NZ'!BA$28-'Statistics NZ'!AZ$28,$D$12/5*(BA$8-BA$9)*1000)</f>
        <v>38054.515475741289</v>
      </c>
      <c r="BB28" s="46">
        <f>SUM(BA$28,'Statistics NZ'!BB$28-'Statistics NZ'!BA$28,$D$12/5*(BB$8-BB$9)*1000)</f>
        <v>38174.515475741289</v>
      </c>
      <c r="BC28" s="46">
        <f>SUM(BB$28,'Statistics NZ'!BC$28-'Statistics NZ'!BB$28,$D$12/5*(BC$8-BC$9)*1000)</f>
        <v>38264.515475741289</v>
      </c>
      <c r="BD28" s="46">
        <f>SUM(BC$28,'Statistics NZ'!BD$28-'Statistics NZ'!BC$28,$D$12/5*(BD$8-BD$9)*1000)</f>
        <v>38314.515475741289</v>
      </c>
      <c r="BE28" s="46">
        <f>SUM(BD$28,'Statistics NZ'!BE$28-'Statistics NZ'!BD$28,$D$12/5*(BE$8-BE$9)*1000)</f>
        <v>38334.515475741289</v>
      </c>
      <c r="BF28" s="46">
        <f>SUM(BE$28,'Statistics NZ'!BF$28-'Statistics NZ'!BE$28,$D$12/5*(BF$8-BF$9)*1000)</f>
        <v>38334.515475741289</v>
      </c>
      <c r="BG28" s="46">
        <f>SUM(BF$28,'Statistics NZ'!BG$28-'Statistics NZ'!BF$28,$D$12/5*(BG$8-BG$9)*1000)</f>
        <v>38324.515475741289</v>
      </c>
      <c r="BH28" s="46">
        <f>SUM(BG$28,'Statistics NZ'!BH$28-'Statistics NZ'!BG$28,$D$12/5*(BH$8-BH$9)*1000)</f>
        <v>38294.515475741289</v>
      </c>
      <c r="BI28" s="46">
        <f>SUM(BH$28,'Statistics NZ'!BI$28-'Statistics NZ'!BH$28,$D$12/5*(BI$8-BI$9)*1000)</f>
        <v>38254.515475741289</v>
      </c>
    </row>
    <row r="29" spans="1:61" x14ac:dyDescent="0.25">
      <c r="A29" s="11">
        <v>14</v>
      </c>
      <c r="B29" s="44">
        <f>'Statistics NZ'!B$29*('Economic Forecasts'!D$10-'Economic Forecasts'!D$9)*1000000/SUM('Statistics NZ'!B$15:B$29,'Statistics NZ'!B$115:B$129)</f>
        <v>32824.270806362649</v>
      </c>
      <c r="C29" s="44">
        <f>'Statistics NZ'!C$29*('Economic Forecasts'!E$10-'Economic Forecasts'!E$9)*1000000/SUM('Statistics NZ'!C$15:C$29,'Statistics NZ'!C$115:C$129)</f>
        <v>32441.077078424772</v>
      </c>
      <c r="D29" s="44">
        <f>'Statistics NZ'!D$29*('Economic Forecasts'!F$10-'Economic Forecasts'!F$9)*1000000/SUM('Statistics NZ'!D$15:D$29,'Statistics NZ'!D$115:D$129)</f>
        <v>31750.480731650125</v>
      </c>
      <c r="E29" s="44">
        <f>'Statistics NZ'!E$29*('Economic Forecasts'!G$10-'Economic Forecasts'!G$9)*1000000/SUM('Statistics NZ'!E$15:E$29,'Statistics NZ'!E$115:E$129)</f>
        <v>31828.55319810022</v>
      </c>
      <c r="F29" s="44">
        <f>'Statistics NZ'!F$29*('Economic Forecasts'!H$10-'Economic Forecasts'!H$9)*1000000/SUM('Statistics NZ'!F$15:F$29,'Statistics NZ'!F$115:F$129)</f>
        <v>31526.894531680136</v>
      </c>
      <c r="G29" s="44">
        <f>'Statistics NZ'!G$29*('Economic Forecasts'!I$10-'Economic Forecasts'!I$9)*1000000/SUM('Statistics NZ'!G$15:G$29,'Statistics NZ'!G$115:G$129)</f>
        <v>31539.697598576935</v>
      </c>
      <c r="H29" s="44">
        <f>'Statistics NZ'!H$29*('Economic Forecasts'!J$10-'Economic Forecasts'!J$9)*1000000/SUM('Statistics NZ'!H$15:H$29,'Statistics NZ'!H$115:H$129)</f>
        <v>31485.310119695339</v>
      </c>
      <c r="I29" s="44">
        <f>'Statistics NZ'!I$29*('Economic Forecasts'!K$10-'Economic Forecasts'!K$9)*1000000/SUM('Statistics NZ'!I$15:I$29,'Statistics NZ'!I$115:I$129)</f>
        <v>30825.603274683912</v>
      </c>
      <c r="J29" s="44">
        <f>'Statistics NZ'!J$29*('Economic Forecasts'!L$10-'Economic Forecasts'!L$9)*1000000/SUM('Statistics NZ'!J$15:J$29,'Statistics NZ'!J$115:J$129)</f>
        <v>32045.482664443731</v>
      </c>
      <c r="K29" s="44">
        <f>'Statistics NZ'!K$29*('Economic Forecasts'!M$10-'Economic Forecasts'!M$9)*1000000/SUM('Statistics NZ'!K$15:K$29,'Statistics NZ'!K$115:K$129)</f>
        <v>32028.100201932004</v>
      </c>
      <c r="L29" s="44">
        <f>'Statistics NZ'!L$29*('Economic Forecasts'!N$10-'Economic Forecasts'!N$9)*1000000/SUM('Statistics NZ'!L$15:L$29,'Statistics NZ'!L$115:L$129)</f>
        <v>31185.784430360589</v>
      </c>
      <c r="M29" s="44">
        <f>'Statistics NZ'!M$29*('Economic Forecasts'!O$10-'Economic Forecasts'!O$9)*1000000/SUM('Statistics NZ'!M$15:M$29,'Statistics NZ'!M$115:M$129)</f>
        <v>30823.020185092282</v>
      </c>
      <c r="N29" s="44">
        <f>'Statistics NZ'!N$29*('Economic Forecasts'!P$10-'Economic Forecasts'!P$9)*1000000/SUM('Statistics NZ'!N$15:N$29,'Statistics NZ'!N$115:N$129)</f>
        <v>31479.735226684432</v>
      </c>
      <c r="O29" s="44">
        <f>'Statistics NZ'!O$29*('Economic Forecasts'!Q$10-'Economic Forecasts'!Q$9)*1000000/SUM('Statistics NZ'!O$15:O$29,'Statistics NZ'!O$115:O$129)</f>
        <v>31571.896722939411</v>
      </c>
      <c r="P29" s="44">
        <f>'Statistics NZ'!P$29*('Economic Forecasts'!R$10-'Economic Forecasts'!R$9)*1000000/SUM('Statistics NZ'!P$15:P$29,'Statistics NZ'!P$115:P$129)</f>
        <v>32728.808039452888</v>
      </c>
      <c r="Q29" s="44">
        <f>'Statistics NZ'!Q$29*('Economic Forecasts'!S$10-'Economic Forecasts'!S$9)*1000000/SUM('Statistics NZ'!Q$15:Q$29,'Statistics NZ'!Q$115:Q$129)</f>
        <v>34044.043291473878</v>
      </c>
      <c r="R29" s="44">
        <f>'Statistics NZ'!R$29*('Economic Forecasts'!T$10-'Economic Forecasts'!T$9)*1000000/SUM('Statistics NZ'!R$15:R$29,'Statistics NZ'!R$115:R$129)</f>
        <v>35079.368209130233</v>
      </c>
      <c r="S29" s="44">
        <f>'Statistics NZ'!S$29*('Economic Forecasts'!U$10-'Economic Forecasts'!U$9)*1000000/SUM('Statistics NZ'!S$15:S$29,'Statistics NZ'!S$115:S$129)</f>
        <v>35349.61081270557</v>
      </c>
      <c r="T29" s="44">
        <f>'Statistics NZ'!T$29*('Economic Forecasts'!V$10-'Economic Forecasts'!V$9)*1000000/SUM('Statistics NZ'!T$15:T$29,'Statistics NZ'!T$115:T$129)</f>
        <v>36905.537412598162</v>
      </c>
      <c r="U29" s="45">
        <f>SUM('Statistics NZ'!U$29,$D$12/5*(U$8-U$9)*1000)*('Economic Forecasts'!W$10-'Economic Forecasts'!W$9)*1000000/SUM('Statistics NZ'!U$15:U$29,'Statistics NZ'!U$115:U$129,SUM($B$12:$D$13)*(U$8-U$9)*1000)</f>
        <v>37012.328831606021</v>
      </c>
      <c r="V29" s="45">
        <f>SUM('Statistics NZ'!V$29,$D$12/5*(V$8-V$9)*1000)*('Economic Forecasts'!X$10-'Economic Forecasts'!X$9)*1000000/SUM('Statistics NZ'!V$15:V$29,'Statistics NZ'!V$115:V$129,SUM($B$12:$D$13)*(V$8-V$9)*1000)</f>
        <v>37511.971774296653</v>
      </c>
      <c r="W29" s="45">
        <f>SUM('Statistics NZ'!W$29,$D$12/5*(W$8-W$9)*1000)*('Economic Forecasts'!Y$10-'Economic Forecasts'!Y$9)*1000000/SUM('Statistics NZ'!W$15:W$29,'Statistics NZ'!W$115:W$129,SUM($B$12:$D$13)*(W$8-W$9)*1000)</f>
        <v>37979.805236802473</v>
      </c>
      <c r="X29" s="45">
        <f>SUM('Statistics NZ'!X$29,$D$12/5*(X$8-X$9)*1000)*('Economic Forecasts'!Z$10-'Economic Forecasts'!Z$9)*1000000/SUM('Statistics NZ'!X$15:X$29,'Statistics NZ'!X$115:X$129,SUM($B$12:$D$13)*(X$8-X$9)*1000)</f>
        <v>37521.857171306845</v>
      </c>
      <c r="Y29" s="45">
        <f>SUM('Statistics NZ'!Y$29,$D$12/5*(Y$8-Y$9)*1000)*('Economic Forecasts'!AA$10-'Economic Forecasts'!AA$9)*1000000/SUM('Statistics NZ'!Y$15:Y$29,'Statistics NZ'!Y$115:Y$129,SUM($B$12:$D$13)*(Y$8-Y$9)*1000)</f>
        <v>38048.043413705149</v>
      </c>
      <c r="Z29" s="46">
        <f>SUM(Y$29,'Statistics NZ'!Z$29-'Statistics NZ'!Y$29,$D$12/5*(Z$8-Z$9)*1000)</f>
        <v>37648.121573461904</v>
      </c>
      <c r="AA29" s="46">
        <f>SUM(Z$29,'Statistics NZ'!AA$29-'Statistics NZ'!Z$29,$D$12/5*(AA$8-AA$9)*1000)</f>
        <v>38170.168469315955</v>
      </c>
      <c r="AB29" s="46">
        <f>SUM(AA$29,'Statistics NZ'!AB$29-'Statistics NZ'!AA$29,$D$12/5*(AB$8-AB$9)*1000)</f>
        <v>37595.790354047844</v>
      </c>
      <c r="AC29" s="46">
        <f>SUM(AB$29,'Statistics NZ'!AC$29-'Statistics NZ'!AB$29,$D$12/5*(AC$8-AC$9)*1000)</f>
        <v>37655.790354047844</v>
      </c>
      <c r="AD29" s="46">
        <f>SUM(AC$29,'Statistics NZ'!AD$29-'Statistics NZ'!AC$29,$D$12/5*(AD$8-AD$9)*1000)</f>
        <v>37365.790354047844</v>
      </c>
      <c r="AE29" s="46">
        <f>SUM(AD$29,'Statistics NZ'!AE$29-'Statistics NZ'!AD$29,$D$12/5*(AE$8-AE$9)*1000)</f>
        <v>37545.790354047844</v>
      </c>
      <c r="AF29" s="46">
        <f>SUM(AE$29,'Statistics NZ'!AF$29-'Statistics NZ'!AE$29,$D$12/5*(AF$8-AF$9)*1000)</f>
        <v>37875.790354047844</v>
      </c>
      <c r="AG29" s="46">
        <f>SUM(AF$29,'Statistics NZ'!AG$29-'Statistics NZ'!AF$29,$D$12/5*(AG$8-AG$9)*1000)</f>
        <v>35315.790354047844</v>
      </c>
      <c r="AH29" s="46">
        <f>SUM(AG$29,'Statistics NZ'!AH$29-'Statistics NZ'!AG$29,$D$12/5*(AH$8-AH$9)*1000)</f>
        <v>35485.790354047844</v>
      </c>
      <c r="AI29" s="46">
        <f>SUM(AH$29,'Statistics NZ'!AI$29-'Statistics NZ'!AH$29,$D$12/5*(AI$8-AI$9)*1000)</f>
        <v>36045.790354047844</v>
      </c>
      <c r="AJ29" s="46">
        <f>SUM(AI$29,'Statistics NZ'!AJ$29-'Statistics NZ'!AI$29,$D$12/5*(AJ$8-AJ$9)*1000)</f>
        <v>36115.790354047844</v>
      </c>
      <c r="AK29" s="46">
        <f>SUM(AJ$29,'Statistics NZ'!AK$29-'Statistics NZ'!AJ$29,$D$12/5*(AK$8-AK$9)*1000)</f>
        <v>36165.790354047844</v>
      </c>
      <c r="AL29" s="46">
        <f>SUM(AK$29,'Statistics NZ'!AL$29-'Statistics NZ'!AK$29,$D$12/5*(AL$8-AL$9)*1000)</f>
        <v>36195.790354047844</v>
      </c>
      <c r="AM29" s="46">
        <f>SUM(AL$29,'Statistics NZ'!AM$29-'Statistics NZ'!AL$29,$D$12/5*(AM$8-AM$9)*1000)</f>
        <v>36205.790354047844</v>
      </c>
      <c r="AN29" s="46">
        <f>SUM(AM$29,'Statistics NZ'!AN$29-'Statistics NZ'!AM$29,$D$12/5*(AN$8-AN$9)*1000)</f>
        <v>36225.790354047844</v>
      </c>
      <c r="AO29" s="46">
        <f>SUM(AN$29,'Statistics NZ'!AO$29-'Statistics NZ'!AN$29,$D$12/5*(AO$8-AO$9)*1000)</f>
        <v>36255.790354047844</v>
      </c>
      <c r="AP29" s="46">
        <f>SUM(AO$29,'Statistics NZ'!AP$29-'Statistics NZ'!AO$29,$D$12/5*(AP$8-AP$9)*1000)</f>
        <v>36305.790354047844</v>
      </c>
      <c r="AQ29" s="46">
        <f>SUM(AP$29,'Statistics NZ'!AQ$29-'Statistics NZ'!AP$29,$D$12/5*(AQ$8-AQ$9)*1000)</f>
        <v>36385.790354047844</v>
      </c>
      <c r="AR29" s="46">
        <f>SUM(AQ$29,'Statistics NZ'!AR$29-'Statistics NZ'!AQ$29,$D$12/5*(AR$8-AR$9)*1000)</f>
        <v>36495.790354047844</v>
      </c>
      <c r="AS29" s="46">
        <f>SUM(AR$29,'Statistics NZ'!AS$29-'Statistics NZ'!AR$29,$D$12/5*(AS$8-AS$9)*1000)</f>
        <v>36645.790354047844</v>
      </c>
      <c r="AT29" s="46">
        <f>SUM(AS$29,'Statistics NZ'!AT$29-'Statistics NZ'!AS$29,$D$12/5*(AT$8-AT$9)*1000)</f>
        <v>36825.790354047844</v>
      </c>
      <c r="AU29" s="46">
        <f>SUM(AT$29,'Statistics NZ'!AU$29-'Statistics NZ'!AT$29,$D$12/5*(AU$8-AU$9)*1000)</f>
        <v>37035.790354047844</v>
      </c>
      <c r="AV29" s="46">
        <f>SUM(AU$29,'Statistics NZ'!AV$29-'Statistics NZ'!AU$29,$D$12/5*(AV$8-AV$9)*1000)</f>
        <v>37265.790354047844</v>
      </c>
      <c r="AW29" s="46">
        <f>SUM(AV$29,'Statistics NZ'!AW$29-'Statistics NZ'!AV$29,$D$12/5*(AW$8-AW$9)*1000)</f>
        <v>37515.790354047844</v>
      </c>
      <c r="AX29" s="46">
        <f>SUM(AW$29,'Statistics NZ'!AX$29-'Statistics NZ'!AW$29,$D$12/5*(AX$8-AX$9)*1000)</f>
        <v>37765.790354047844</v>
      </c>
      <c r="AY29" s="46">
        <f>SUM(AX$29,'Statistics NZ'!AY$29-'Statistics NZ'!AX$29,$D$12/5*(AY$8-AY$9)*1000)</f>
        <v>38005.790354047844</v>
      </c>
      <c r="AZ29" s="46">
        <f>SUM(AY$29,'Statistics NZ'!AZ$29-'Statistics NZ'!AY$29,$D$12/5*(AZ$8-AZ$9)*1000)</f>
        <v>38225.790354047844</v>
      </c>
      <c r="BA29" s="46">
        <f>SUM(AZ$29,'Statistics NZ'!BA$29-'Statistics NZ'!AZ$29,$D$12/5*(BA$8-BA$9)*1000)</f>
        <v>38405.790354047844</v>
      </c>
      <c r="BB29" s="46">
        <f>SUM(BA$29,'Statistics NZ'!BB$29-'Statistics NZ'!BA$29,$D$12/5*(BB$8-BB$9)*1000)</f>
        <v>38565.790354047844</v>
      </c>
      <c r="BC29" s="46">
        <f>SUM(BB$29,'Statistics NZ'!BC$29-'Statistics NZ'!BB$29,$D$12/5*(BC$8-BC$9)*1000)</f>
        <v>38685.790354047844</v>
      </c>
      <c r="BD29" s="46">
        <f>SUM(BC$29,'Statistics NZ'!BD$29-'Statistics NZ'!BC$29,$D$12/5*(BD$8-BD$9)*1000)</f>
        <v>38775.790354047844</v>
      </c>
      <c r="BE29" s="46">
        <f>SUM(BD$29,'Statistics NZ'!BE$29-'Statistics NZ'!BD$29,$D$12/5*(BE$8-BE$9)*1000)</f>
        <v>38825.790354047844</v>
      </c>
      <c r="BF29" s="46">
        <f>SUM(BE$29,'Statistics NZ'!BF$29-'Statistics NZ'!BE$29,$D$12/5*(BF$8-BF$9)*1000)</f>
        <v>38855.790354047844</v>
      </c>
      <c r="BG29" s="46">
        <f>SUM(BF$29,'Statistics NZ'!BG$29-'Statistics NZ'!BF$29,$D$12/5*(BG$8-BG$9)*1000)</f>
        <v>38855.790354047844</v>
      </c>
      <c r="BH29" s="46">
        <f>SUM(BG$29,'Statistics NZ'!BH$29-'Statistics NZ'!BG$29,$D$12/5*(BH$8-BH$9)*1000)</f>
        <v>38845.790354047844</v>
      </c>
      <c r="BI29" s="46">
        <f>SUM(BH$29,'Statistics NZ'!BI$29-'Statistics NZ'!BH$29,$D$12/5*(BI$8-BI$9)*1000)</f>
        <v>38815.790354047844</v>
      </c>
    </row>
    <row r="30" spans="1:61" x14ac:dyDescent="0.25">
      <c r="A30" s="11">
        <v>15</v>
      </c>
      <c r="B30" s="44">
        <f>'Statistics NZ'!B$30*'Economic Forecasts'!D$9*1000000/SUM('Statistics NZ'!B$30:B$110,'Statistics NZ'!B$130:B$210)</f>
        <v>31337.962637122608</v>
      </c>
      <c r="C30" s="44">
        <f>'Statistics NZ'!C$30*'Economic Forecasts'!E$9*1000000/SUM('Statistics NZ'!C$30:C$110,'Statistics NZ'!C$130:C$210)</f>
        <v>30540.443382864822</v>
      </c>
      <c r="D30" s="44">
        <f>'Statistics NZ'!D$30*'Economic Forecasts'!F$9*1000000/SUM('Statistics NZ'!D$30:D$110,'Statistics NZ'!D$130:D$210)</f>
        <v>30322.748079804056</v>
      </c>
      <c r="E30" s="44">
        <f>'Statistics NZ'!E$30*'Economic Forecasts'!G$9*1000000/SUM('Statistics NZ'!E$30:E$110,'Statistics NZ'!E$130:E$210)</f>
        <v>29646.630250717346</v>
      </c>
      <c r="F30" s="44">
        <f>'Statistics NZ'!F$30*'Economic Forecasts'!H$9*1000000/SUM('Statistics NZ'!F$30:F$110,'Statistics NZ'!F$130:F$210)</f>
        <v>29828.656125908132</v>
      </c>
      <c r="G30" s="44">
        <f>'Statistics NZ'!G$30*'Economic Forecasts'!I$9*1000000/SUM('Statistics NZ'!G$30:G$110,'Statistics NZ'!G$130:G$210)</f>
        <v>29408.481944916304</v>
      </c>
      <c r="H30" s="44">
        <f>'Statistics NZ'!H$30*'Economic Forecasts'!J$9*1000000/SUM('Statistics NZ'!H$30:H$110,'Statistics NZ'!H$130:H$210)</f>
        <v>29495.061703690782</v>
      </c>
      <c r="I30" s="44">
        <f>'Statistics NZ'!I$30*'Economic Forecasts'!K$9*1000000/SUM('Statistics NZ'!I$30:I$110,'Statistics NZ'!I$130:I$210)</f>
        <v>29342.041032346438</v>
      </c>
      <c r="J30" s="44">
        <f>'Statistics NZ'!J$30*'Economic Forecasts'!L$9*1000000/SUM('Statistics NZ'!J$30:J$110,'Statistics NZ'!J$130:J$210)</f>
        <v>28582.766856971659</v>
      </c>
      <c r="K30" s="44">
        <f>'Statistics NZ'!K$30*'Economic Forecasts'!M$9*1000000/SUM('Statistics NZ'!K$30:K$110,'Statistics NZ'!K$130:K$210)</f>
        <v>29588.370581768759</v>
      </c>
      <c r="L30" s="44">
        <f>'Statistics NZ'!L$30*'Economic Forecasts'!N$9*1000000/SUM('Statistics NZ'!L$30:L$110,'Statistics NZ'!L$130:L$210)</f>
        <v>29686.939208499251</v>
      </c>
      <c r="M30" s="44">
        <f>'Statistics NZ'!M$30*'Economic Forecasts'!O$9*1000000/SUM('Statistics NZ'!M$30:M$110,'Statistics NZ'!M$130:M$210)</f>
        <v>29162.177917987581</v>
      </c>
      <c r="N30" s="44">
        <f>'Statistics NZ'!N$30*'Economic Forecasts'!P$9*1000000/SUM('Statistics NZ'!N$30:N$110,'Statistics NZ'!N$130:N$210)</f>
        <v>28982.975311951523</v>
      </c>
      <c r="O30" s="44">
        <f>'Statistics NZ'!O$30*'Economic Forecasts'!Q$9*1000000/SUM('Statistics NZ'!O$30:O$110,'Statistics NZ'!O$130:O$210)</f>
        <v>29813.043792401542</v>
      </c>
      <c r="P30" s="44">
        <f>'Statistics NZ'!P$30*'Economic Forecasts'!R$9*1000000/SUM('Statistics NZ'!P$30:P$110,'Statistics NZ'!P$130:P$210)</f>
        <v>30144.68080960141</v>
      </c>
      <c r="Q30" s="44">
        <f>'Statistics NZ'!Q$30*'Economic Forecasts'!S$9*1000000/SUM('Statistics NZ'!Q$30:Q$110,'Statistics NZ'!Q$130:Q$210)</f>
        <v>30994.818124175526</v>
      </c>
      <c r="R30" s="44">
        <f>'Statistics NZ'!R$30*'Economic Forecasts'!T$9*1000000/SUM('Statistics NZ'!R$30:R$110,'Statistics NZ'!R$130:R$210)</f>
        <v>32512.996347812579</v>
      </c>
      <c r="S30" s="44">
        <f>'Statistics NZ'!S$30*'Economic Forecasts'!U$9*1000000/SUM('Statistics NZ'!S$30:S$110,'Statistics NZ'!S$130:S$210)</f>
        <v>33557.253424236551</v>
      </c>
      <c r="T30" s="44">
        <f>'Statistics NZ'!T$30*'Economic Forecasts'!V$9*1000000/SUM('Statistics NZ'!T$30:T$110,'Statistics NZ'!T$130:T$210)</f>
        <v>33798.391004462988</v>
      </c>
      <c r="U30" s="45">
        <f>SUM('Statistics NZ'!U$30,$E$12/5*(U$8-U$9)*1000)*'Economic Forecasts'!W$9*1000000/SUM('Statistics NZ'!U$30:U$110,'Statistics NZ'!U$130:U$210,SUM($E$12:$T$13)*(U$8-U$9)*1000)</f>
        <v>34813.465358267284</v>
      </c>
      <c r="V30" s="45">
        <f>SUM('Statistics NZ'!V$30,$E$12/5*(V$8-V$9)*1000)*'Economic Forecasts'!X$9*1000000/SUM('Statistics NZ'!V$30:V$110,'Statistics NZ'!V$130:V$210,SUM($E$12:$T$13)*(V$8-V$9)*1000)</f>
        <v>34802.240462336056</v>
      </c>
      <c r="W30" s="45">
        <f>SUM('Statistics NZ'!W$30,$E$12/5*(W$8-W$9)*1000)*'Economic Forecasts'!Y$9*1000000/SUM('Statistics NZ'!W$30:W$110,'Statistics NZ'!W$130:W$210,SUM($E$12:$T$13)*(W$8-W$9)*1000)</f>
        <v>34885.852296135963</v>
      </c>
      <c r="X30" s="45">
        <f>SUM('Statistics NZ'!X$30,$E$12/5*(X$8-X$9)*1000)*'Economic Forecasts'!Z$9*1000000/SUM('Statistics NZ'!X$30:X$110,'Statistics NZ'!X$130:X$210,SUM($E$12:$T$13)*(X$8-X$9)*1000)</f>
        <v>34886.174758502566</v>
      </c>
      <c r="Y30" s="45">
        <f>SUM('Statistics NZ'!Y$30,$E$12/5*(Y$8-Y$9)*1000)*'Economic Forecasts'!AA$9*1000000/SUM('Statistics NZ'!Y$30:Y$110,'Statistics NZ'!Y$130:Y$210,SUM($E$12:$T$13)*(Y$8-Y$9)*1000)</f>
        <v>34061.180638075886</v>
      </c>
      <c r="Z30" s="46">
        <f>SUM(Y$30,'Statistics NZ'!Z$30-'Statistics NZ'!Y$30,$E$12/5*(Z$8-Z$9)*1000)</f>
        <v>34188.886017799647</v>
      </c>
      <c r="AA30" s="46">
        <f>SUM(Z$30,'Statistics NZ'!AA$30-'Statistics NZ'!Z$30,$E$12/5*(AA$8-AA$9)*1000)</f>
        <v>33795.509245633904</v>
      </c>
      <c r="AB30" s="46">
        <f>SUM(AA$30,'Statistics NZ'!AB$30-'Statistics NZ'!AA$30,$E$12/5*(AB$8-AB$9)*1000)</f>
        <v>34313.266751956558</v>
      </c>
      <c r="AC30" s="46">
        <f>SUM(AB$30,'Statistics NZ'!AC$30-'Statistics NZ'!AB$30,$E$12/5*(AC$8-AC$9)*1000)</f>
        <v>33733.266751956558</v>
      </c>
      <c r="AD30" s="46">
        <f>SUM(AC$30,'Statistics NZ'!AD$30-'Statistics NZ'!AC$30,$E$12/5*(AD$8-AD$9)*1000)</f>
        <v>33793.266751956558</v>
      </c>
      <c r="AE30" s="46">
        <f>SUM(AD$30,'Statistics NZ'!AE$30-'Statistics NZ'!AD$30,$E$12/5*(AE$8-AE$9)*1000)</f>
        <v>33503.266751956558</v>
      </c>
      <c r="AF30" s="46">
        <f>SUM(AE$30,'Statistics NZ'!AF$30-'Statistics NZ'!AE$30,$E$12/5*(AF$8-AF$9)*1000)</f>
        <v>33683.266751956558</v>
      </c>
      <c r="AG30" s="46">
        <f>SUM(AF$30,'Statistics NZ'!AG$30-'Statistics NZ'!AF$30,$E$12/5*(AG$8-AG$9)*1000)</f>
        <v>34023.266751956558</v>
      </c>
      <c r="AH30" s="46">
        <f>SUM(AG$30,'Statistics NZ'!AH$30-'Statistics NZ'!AG$30,$E$12/5*(AH$8-AH$9)*1000)</f>
        <v>31453.266751956558</v>
      </c>
      <c r="AI30" s="46">
        <f>SUM(AH$30,'Statistics NZ'!AI$30-'Statistics NZ'!AH$30,$E$12/5*(AI$8-AI$9)*1000)</f>
        <v>31643.266751956558</v>
      </c>
      <c r="AJ30" s="46">
        <f>SUM(AI$30,'Statistics NZ'!AJ$30-'Statistics NZ'!AI$30,$E$12/5*(AJ$8-AJ$9)*1000)</f>
        <v>32193.266751956558</v>
      </c>
      <c r="AK30" s="46">
        <f>SUM(AJ$30,'Statistics NZ'!AK$30-'Statistics NZ'!AJ$30,$E$12/5*(AK$8-AK$9)*1000)</f>
        <v>32273.266751956558</v>
      </c>
      <c r="AL30" s="46">
        <f>SUM(AK$30,'Statistics NZ'!AL$30-'Statistics NZ'!AK$30,$E$12/5*(AL$8-AL$9)*1000)</f>
        <v>32323.266751956558</v>
      </c>
      <c r="AM30" s="46">
        <f>SUM(AL$30,'Statistics NZ'!AM$30-'Statistics NZ'!AL$30,$E$12/5*(AM$8-AM$9)*1000)</f>
        <v>32343.266751956558</v>
      </c>
      <c r="AN30" s="46">
        <f>SUM(AM$30,'Statistics NZ'!AN$30-'Statistics NZ'!AM$30,$E$12/5*(AN$8-AN$9)*1000)</f>
        <v>32363.266751956558</v>
      </c>
      <c r="AO30" s="46">
        <f>SUM(AN$30,'Statistics NZ'!AO$30-'Statistics NZ'!AN$30,$E$12/5*(AO$8-AO$9)*1000)</f>
        <v>32383.266751956558</v>
      </c>
      <c r="AP30" s="46">
        <f>SUM(AO$30,'Statistics NZ'!AP$30-'Statistics NZ'!AO$30,$E$12/5*(AP$8-AP$9)*1000)</f>
        <v>32413.266751956558</v>
      </c>
      <c r="AQ30" s="46">
        <f>SUM(AP$30,'Statistics NZ'!AQ$30-'Statistics NZ'!AP$30,$E$12/5*(AQ$8-AQ$9)*1000)</f>
        <v>32473.266751956558</v>
      </c>
      <c r="AR30" s="46">
        <f>SUM(AQ$30,'Statistics NZ'!AR$30-'Statistics NZ'!AQ$30,$E$12/5*(AR$8-AR$9)*1000)</f>
        <v>32553.266751956558</v>
      </c>
      <c r="AS30" s="46">
        <f>SUM(AR$30,'Statistics NZ'!AS$30-'Statistics NZ'!AR$30,$E$12/5*(AS$8-AS$9)*1000)</f>
        <v>32663.266751956558</v>
      </c>
      <c r="AT30" s="46">
        <f>SUM(AS$30,'Statistics NZ'!AT$30-'Statistics NZ'!AS$30,$E$12/5*(AT$8-AT$9)*1000)</f>
        <v>32813.266751956558</v>
      </c>
      <c r="AU30" s="46">
        <f>SUM(AT$30,'Statistics NZ'!AU$30-'Statistics NZ'!AT$30,$E$12/5*(AU$8-AU$9)*1000)</f>
        <v>32993.266751956558</v>
      </c>
      <c r="AV30" s="46">
        <f>SUM(AU$30,'Statistics NZ'!AV$30-'Statistics NZ'!AU$30,$E$12/5*(AV$8-AV$9)*1000)</f>
        <v>33203.266751956558</v>
      </c>
      <c r="AW30" s="46">
        <f>SUM(AV$30,'Statistics NZ'!AW$30-'Statistics NZ'!AV$30,$E$12/5*(AW$8-AW$9)*1000)</f>
        <v>33443.266751956558</v>
      </c>
      <c r="AX30" s="46">
        <f>SUM(AW$30,'Statistics NZ'!AX$30-'Statistics NZ'!AW$30,$E$12/5*(AX$8-AX$9)*1000)</f>
        <v>33693.266751956558</v>
      </c>
      <c r="AY30" s="46">
        <f>SUM(AX$30,'Statistics NZ'!AY$30-'Statistics NZ'!AX$30,$E$12/5*(AY$8-AY$9)*1000)</f>
        <v>33943.266751956558</v>
      </c>
      <c r="AZ30" s="46">
        <f>SUM(AY$30,'Statistics NZ'!AZ$30-'Statistics NZ'!AY$30,$E$12/5*(AZ$8-AZ$9)*1000)</f>
        <v>34183.266751956558</v>
      </c>
      <c r="BA30" s="46">
        <f>SUM(AZ$30,'Statistics NZ'!BA$30-'Statistics NZ'!AZ$30,$E$12/5*(BA$8-BA$9)*1000)</f>
        <v>34403.266751956558</v>
      </c>
      <c r="BB30" s="46">
        <f>SUM(BA$30,'Statistics NZ'!BB$30-'Statistics NZ'!BA$30,$E$12/5*(BB$8-BB$9)*1000)</f>
        <v>34593.266751956558</v>
      </c>
      <c r="BC30" s="46">
        <f>SUM(BB$30,'Statistics NZ'!BC$30-'Statistics NZ'!BB$30,$E$12/5*(BC$8-BC$9)*1000)</f>
        <v>34753.266751956558</v>
      </c>
      <c r="BD30" s="46">
        <f>SUM(BC$30,'Statistics NZ'!BD$30-'Statistics NZ'!BC$30,$E$12/5*(BD$8-BD$9)*1000)</f>
        <v>34873.266751956558</v>
      </c>
      <c r="BE30" s="46">
        <f>SUM(BD$30,'Statistics NZ'!BE$30-'Statistics NZ'!BD$30,$E$12/5*(BE$8-BE$9)*1000)</f>
        <v>34963.266751956558</v>
      </c>
      <c r="BF30" s="46">
        <f>SUM(BE$30,'Statistics NZ'!BF$30-'Statistics NZ'!BE$30,$E$12/5*(BF$8-BF$9)*1000)</f>
        <v>35013.266751956558</v>
      </c>
      <c r="BG30" s="46">
        <f>SUM(BF$30,'Statistics NZ'!BG$30-'Statistics NZ'!BF$30,$E$12/5*(BG$8-BG$9)*1000)</f>
        <v>35043.266751956558</v>
      </c>
      <c r="BH30" s="46">
        <f>SUM(BG$30,'Statistics NZ'!BH$30-'Statistics NZ'!BG$30,$E$12/5*(BH$8-BH$9)*1000)</f>
        <v>35053.266751956558</v>
      </c>
      <c r="BI30" s="46">
        <f>SUM(BH$30,'Statistics NZ'!BI$30-'Statistics NZ'!BH$30,$E$12/5*(BI$8-BI$9)*1000)</f>
        <v>35043.266751956558</v>
      </c>
    </row>
    <row r="31" spans="1:61" x14ac:dyDescent="0.25">
      <c r="A31" s="11">
        <v>16</v>
      </c>
      <c r="B31" s="44">
        <f>'Statistics NZ'!B$31*'Economic Forecasts'!D$9*1000000/SUM('Statistics NZ'!B$30:B$110,'Statistics NZ'!B$130:B$210)</f>
        <v>31298.826873604503</v>
      </c>
      <c r="C31" s="44">
        <f>'Statistics NZ'!C$31*'Economic Forecasts'!E$9*1000000/SUM('Statistics NZ'!C$30:C$110,'Statistics NZ'!C$130:C$210)</f>
        <v>31591.1917564875</v>
      </c>
      <c r="D31" s="44">
        <f>'Statistics NZ'!D$31*'Economic Forecasts'!F$9*1000000/SUM('Statistics NZ'!D$30:D$110,'Statistics NZ'!D$130:D$210)</f>
        <v>30597.784343566451</v>
      </c>
      <c r="E31" s="44">
        <f>'Statistics NZ'!E$31*'Economic Forecasts'!G$9*1000000/SUM('Statistics NZ'!E$30:E$110,'Statistics NZ'!E$130:E$210)</f>
        <v>30480.227197892658</v>
      </c>
      <c r="F31" s="44">
        <f>'Statistics NZ'!F$31*'Economic Forecasts'!H$9*1000000/SUM('Statistics NZ'!F$30:F$110,'Statistics NZ'!F$130:F$210)</f>
        <v>29965.979764764663</v>
      </c>
      <c r="G31" s="44">
        <f>'Statistics NZ'!G$31*'Economic Forecasts'!I$9*1000000/SUM('Statistics NZ'!G$30:G$110,'Statistics NZ'!G$130:G$210)</f>
        <v>30184.457253416098</v>
      </c>
      <c r="H31" s="44">
        <f>'Statistics NZ'!H$31*'Economic Forecasts'!J$9*1000000/SUM('Statistics NZ'!H$30:H$110,'Statistics NZ'!H$130:H$210)</f>
        <v>29632.613623694673</v>
      </c>
      <c r="I31" s="44">
        <f>'Statistics NZ'!I$31*'Economic Forecasts'!K$9*1000000/SUM('Statistics NZ'!I$30:I$110,'Statistics NZ'!I$130:I$210)</f>
        <v>29753.790355219327</v>
      </c>
      <c r="J31" s="44">
        <f>'Statistics NZ'!J$31*'Economic Forecasts'!L$9*1000000/SUM('Statistics NZ'!J$30:J$110,'Statistics NZ'!J$130:J$210)</f>
        <v>29479.940023413619</v>
      </c>
      <c r="K31" s="44">
        <f>'Statistics NZ'!K$31*'Economic Forecasts'!M$9*1000000/SUM('Statistics NZ'!K$30:K$110,'Statistics NZ'!K$130:K$210)</f>
        <v>29013.933640562977</v>
      </c>
      <c r="L31" s="44">
        <f>'Statistics NZ'!L$31*'Economic Forecasts'!N$9*1000000/SUM('Statistics NZ'!L$30:L$110,'Statistics NZ'!L$130:L$210)</f>
        <v>30125.086884584023</v>
      </c>
      <c r="M31" s="44">
        <f>'Statistics NZ'!M$31*'Economic Forecasts'!O$9*1000000/SUM('Statistics NZ'!M$30:M$110,'Statistics NZ'!M$130:M$210)</f>
        <v>30393.144222063442</v>
      </c>
      <c r="N31" s="44">
        <f>'Statistics NZ'!N$31*'Economic Forecasts'!P$9*1000000/SUM('Statistics NZ'!N$30:N$110,'Statistics NZ'!N$130:N$210)</f>
        <v>29785.339922208117</v>
      </c>
      <c r="O31" s="44">
        <f>'Statistics NZ'!O$31*'Economic Forecasts'!Q$9*1000000/SUM('Statistics NZ'!O$30:O$110,'Statistics NZ'!O$130:O$210)</f>
        <v>29626.220628794807</v>
      </c>
      <c r="P31" s="44">
        <f>'Statistics NZ'!P$31*'Economic Forecasts'!R$9*1000000/SUM('Statistics NZ'!P$30:P$110,'Statistics NZ'!P$130:P$210)</f>
        <v>30419.79523680768</v>
      </c>
      <c r="Q31" s="44">
        <f>'Statistics NZ'!Q$31*'Economic Forecasts'!S$9*1000000/SUM('Statistics NZ'!Q$30:Q$110,'Statistics NZ'!Q$130:Q$210)</f>
        <v>30627.251370779857</v>
      </c>
      <c r="R31" s="44">
        <f>'Statistics NZ'!R$31*'Economic Forecasts'!T$9*1000000/SUM('Statistics NZ'!R$30:R$110,'Statistics NZ'!R$130:R$210)</f>
        <v>31208.493278421014</v>
      </c>
      <c r="S31" s="44">
        <f>'Statistics NZ'!S$31*'Economic Forecasts'!U$9*1000000/SUM('Statistics NZ'!S$30:S$110,'Statistics NZ'!S$130:S$210)</f>
        <v>32987.487411764152</v>
      </c>
      <c r="T31" s="44">
        <f>'Statistics NZ'!T$31*'Economic Forecasts'!V$9*1000000/SUM('Statistics NZ'!T$30:T$110,'Statistics NZ'!T$130:T$210)</f>
        <v>34759.81151104156</v>
      </c>
      <c r="U31" s="45">
        <f>SUM('Statistics NZ'!U$31,$E$12/5*(U$8-U$9)*1000)*'Economic Forecasts'!W$9*1000000/SUM('Statistics NZ'!U$30:U$110,'Statistics NZ'!U$130:U$210,SUM($E$12:$T$13)*(U$8-U$9)*1000)</f>
        <v>34189.453619191147</v>
      </c>
      <c r="V31" s="45">
        <f>SUM('Statistics NZ'!V$31,$E$12/5*(V$8-V$9)*1000)*'Economic Forecasts'!X$9*1000000/SUM('Statistics NZ'!V$30:V$110,'Statistics NZ'!V$130:V$210,SUM($E$12:$T$13)*(V$8-V$9)*1000)</f>
        <v>35148.769094445292</v>
      </c>
      <c r="W31" s="45">
        <f>SUM('Statistics NZ'!W$31,$E$12/5*(W$8-W$9)*1000)*'Economic Forecasts'!Y$9*1000000/SUM('Statistics NZ'!W$30:W$110,'Statistics NZ'!W$130:W$210,SUM($E$12:$T$13)*(W$8-W$9)*1000)</f>
        <v>35163.136174614294</v>
      </c>
      <c r="X31" s="45">
        <f>SUM('Statistics NZ'!X$31,$E$12/5*(X$8-X$9)*1000)*'Economic Forecasts'!Z$9*1000000/SUM('Statistics NZ'!X$30:X$110,'Statistics NZ'!X$130:X$210,SUM($E$12:$T$13)*(X$8-X$9)*1000)</f>
        <v>35252.669419859936</v>
      </c>
      <c r="Y31" s="45">
        <f>SUM('Statistics NZ'!Y$31,$E$12/5*(Y$8-Y$9)*1000)*'Economic Forecasts'!AA$9*1000000/SUM('Statistics NZ'!Y$30:Y$110,'Statistics NZ'!Y$130:Y$210,SUM($E$12:$T$13)*(Y$8-Y$9)*1000)</f>
        <v>35270.06651488442</v>
      </c>
      <c r="Z31" s="46">
        <f>SUM(Y$31,'Statistics NZ'!Z$31-'Statistics NZ'!Y$31,$E$12/5*(Z$8-Z$9)*1000)</f>
        <v>34467.77189460818</v>
      </c>
      <c r="AA31" s="46">
        <f>SUM(Z$31,'Statistics NZ'!AA$31-'Statistics NZ'!Z$31,$E$12/5*(AA$8-AA$9)*1000)</f>
        <v>34594.395122442438</v>
      </c>
      <c r="AB31" s="46">
        <f>SUM(AA$31,'Statistics NZ'!AB$31-'Statistics NZ'!AA$31,$E$12/5*(AB$8-AB$9)*1000)</f>
        <v>34192.152628765092</v>
      </c>
      <c r="AC31" s="46">
        <f>SUM(AB$31,'Statistics NZ'!AC$31-'Statistics NZ'!AB$31,$E$12/5*(AC$8-AC$9)*1000)</f>
        <v>34702.152628765092</v>
      </c>
      <c r="AD31" s="46">
        <f>SUM(AC$31,'Statistics NZ'!AD$31-'Statistics NZ'!AC$31,$E$12/5*(AD$8-AD$9)*1000)</f>
        <v>34122.152628765092</v>
      </c>
      <c r="AE31" s="46">
        <f>SUM(AD$31,'Statistics NZ'!AE$31-'Statistics NZ'!AD$31,$E$12/5*(AE$8-AE$9)*1000)</f>
        <v>34192.152628765092</v>
      </c>
      <c r="AF31" s="46">
        <f>SUM(AE$31,'Statistics NZ'!AF$31-'Statistics NZ'!AE$31,$E$12/5*(AF$8-AF$9)*1000)</f>
        <v>33902.152628765092</v>
      </c>
      <c r="AG31" s="46">
        <f>SUM(AF$31,'Statistics NZ'!AG$31-'Statistics NZ'!AF$31,$E$12/5*(AG$8-AG$9)*1000)</f>
        <v>34082.152628765092</v>
      </c>
      <c r="AH31" s="46">
        <f>SUM(AG$31,'Statistics NZ'!AH$31-'Statistics NZ'!AG$31,$E$12/5*(AH$8-AH$9)*1000)</f>
        <v>34422.152628765092</v>
      </c>
      <c r="AI31" s="46">
        <f>SUM(AH$31,'Statistics NZ'!AI$31-'Statistics NZ'!AH$31,$E$12/5*(AI$8-AI$9)*1000)</f>
        <v>31862.152628765092</v>
      </c>
      <c r="AJ31" s="46">
        <f>SUM(AI$31,'Statistics NZ'!AJ$31-'Statistics NZ'!AI$31,$E$12/5*(AJ$8-AJ$9)*1000)</f>
        <v>32042.152628765092</v>
      </c>
      <c r="AK31" s="46">
        <f>SUM(AJ$31,'Statistics NZ'!AK$31-'Statistics NZ'!AJ$31,$E$12/5*(AK$8-AK$9)*1000)</f>
        <v>32602.152628765092</v>
      </c>
      <c r="AL31" s="46">
        <f>SUM(AK$31,'Statistics NZ'!AL$31-'Statistics NZ'!AK$31,$E$12/5*(AL$8-AL$9)*1000)</f>
        <v>32672.152628765092</v>
      </c>
      <c r="AM31" s="46">
        <f>SUM(AL$31,'Statistics NZ'!AM$31-'Statistics NZ'!AL$31,$E$12/5*(AM$8-AM$9)*1000)</f>
        <v>32722.152628765092</v>
      </c>
      <c r="AN31" s="46">
        <f>SUM(AM$31,'Statistics NZ'!AN$31-'Statistics NZ'!AM$31,$E$12/5*(AN$8-AN$9)*1000)</f>
        <v>32752.152628765092</v>
      </c>
      <c r="AO31" s="46">
        <f>SUM(AN$31,'Statistics NZ'!AO$31-'Statistics NZ'!AN$31,$E$12/5*(AO$8-AO$9)*1000)</f>
        <v>32772.152628765092</v>
      </c>
      <c r="AP31" s="46">
        <f>SUM(AO$31,'Statistics NZ'!AP$31-'Statistics NZ'!AO$31,$E$12/5*(AP$8-AP$9)*1000)</f>
        <v>32792.152628765092</v>
      </c>
      <c r="AQ31" s="46">
        <f>SUM(AP$31,'Statistics NZ'!AQ$31-'Statistics NZ'!AP$31,$E$12/5*(AQ$8-AQ$9)*1000)</f>
        <v>32832.152628765092</v>
      </c>
      <c r="AR31" s="46">
        <f>SUM(AQ$31,'Statistics NZ'!AR$31-'Statistics NZ'!AQ$31,$E$12/5*(AR$8-AR$9)*1000)</f>
        <v>32882.152628765092</v>
      </c>
      <c r="AS31" s="46">
        <f>SUM(AR$31,'Statistics NZ'!AS$31-'Statistics NZ'!AR$31,$E$12/5*(AS$8-AS$9)*1000)</f>
        <v>32962.152628765092</v>
      </c>
      <c r="AT31" s="46">
        <f>SUM(AS$31,'Statistics NZ'!AT$31-'Statistics NZ'!AS$31,$E$12/5*(AT$8-AT$9)*1000)</f>
        <v>33072.152628765092</v>
      </c>
      <c r="AU31" s="46">
        <f>SUM(AT$31,'Statistics NZ'!AU$31-'Statistics NZ'!AT$31,$E$12/5*(AU$8-AU$9)*1000)</f>
        <v>33232.152628765092</v>
      </c>
      <c r="AV31" s="46">
        <f>SUM(AU$31,'Statistics NZ'!AV$31-'Statistics NZ'!AU$31,$E$12/5*(AV$8-AV$9)*1000)</f>
        <v>33412.152628765092</v>
      </c>
      <c r="AW31" s="46">
        <f>SUM(AV$31,'Statistics NZ'!AW$31-'Statistics NZ'!AV$31,$E$12/5*(AW$8-AW$9)*1000)</f>
        <v>33622.152628765092</v>
      </c>
      <c r="AX31" s="46">
        <f>SUM(AW$31,'Statistics NZ'!AX$31-'Statistics NZ'!AW$31,$E$12/5*(AX$8-AX$9)*1000)</f>
        <v>33862.152628765092</v>
      </c>
      <c r="AY31" s="46">
        <f>SUM(AX$31,'Statistics NZ'!AY$31-'Statistics NZ'!AX$31,$E$12/5*(AY$8-AY$9)*1000)</f>
        <v>34112.152628765092</v>
      </c>
      <c r="AZ31" s="46">
        <f>SUM(AY$31,'Statistics NZ'!AZ$31-'Statistics NZ'!AY$31,$E$12/5*(AZ$8-AZ$9)*1000)</f>
        <v>34372.152628765092</v>
      </c>
      <c r="BA31" s="46">
        <f>SUM(AZ$31,'Statistics NZ'!BA$31-'Statistics NZ'!AZ$31,$E$12/5*(BA$8-BA$9)*1000)</f>
        <v>34612.152628765092</v>
      </c>
      <c r="BB31" s="46">
        <f>SUM(BA$31,'Statistics NZ'!BB$31-'Statistics NZ'!BA$31,$E$12/5*(BB$8-BB$9)*1000)</f>
        <v>34832.152628765092</v>
      </c>
      <c r="BC31" s="46">
        <f>SUM(BB$31,'Statistics NZ'!BC$31-'Statistics NZ'!BB$31,$E$12/5*(BC$8-BC$9)*1000)</f>
        <v>35022.152628765092</v>
      </c>
      <c r="BD31" s="46">
        <f>SUM(BC$31,'Statistics NZ'!BD$31-'Statistics NZ'!BC$31,$E$12/5*(BD$8-BD$9)*1000)</f>
        <v>35182.152628765092</v>
      </c>
      <c r="BE31" s="46">
        <f>SUM(BD$31,'Statistics NZ'!BE$31-'Statistics NZ'!BD$31,$E$12/5*(BE$8-BE$9)*1000)</f>
        <v>35302.152628765092</v>
      </c>
      <c r="BF31" s="46">
        <f>SUM(BE$31,'Statistics NZ'!BF$31-'Statistics NZ'!BE$31,$E$12/5*(BF$8-BF$9)*1000)</f>
        <v>35392.152628765092</v>
      </c>
      <c r="BG31" s="46">
        <f>SUM(BF$31,'Statistics NZ'!BG$31-'Statistics NZ'!BF$31,$E$12/5*(BG$8-BG$9)*1000)</f>
        <v>35452.152628765092</v>
      </c>
      <c r="BH31" s="46">
        <f>SUM(BG$31,'Statistics NZ'!BH$31-'Statistics NZ'!BG$31,$E$12/5*(BH$8-BH$9)*1000)</f>
        <v>35482.152628765092</v>
      </c>
      <c r="BI31" s="46">
        <f>SUM(BH$31,'Statistics NZ'!BI$31-'Statistics NZ'!BH$31,$E$12/5*(BI$8-BI$9)*1000)</f>
        <v>35492.152628765092</v>
      </c>
    </row>
    <row r="32" spans="1:61" x14ac:dyDescent="0.25">
      <c r="A32" s="11">
        <v>17</v>
      </c>
      <c r="B32" s="44">
        <f>'Statistics NZ'!B$32*'Economic Forecasts'!D$9*1000000/SUM('Statistics NZ'!B$30:B$110,'Statistics NZ'!B$130:B$210)</f>
        <v>30212.809435977084</v>
      </c>
      <c r="C32" s="44">
        <f>'Statistics NZ'!C$32*'Economic Forecasts'!E$9*1000000/SUM('Statistics NZ'!C$30:C$110,'Statistics NZ'!C$130:C$210)</f>
        <v>31502.811052164099</v>
      </c>
      <c r="D32" s="44">
        <f>'Statistics NZ'!D$32*'Economic Forecasts'!F$9*1000000/SUM('Statistics NZ'!D$30:D$110,'Statistics NZ'!D$130:D$210)</f>
        <v>31756.86574085083</v>
      </c>
      <c r="E32" s="44">
        <f>'Statistics NZ'!E$32*'Economic Forecasts'!G$9*1000000/SUM('Statistics NZ'!E$30:E$110,'Statistics NZ'!E$130:E$210)</f>
        <v>30823.472999670728</v>
      </c>
      <c r="F32" s="44">
        <f>'Statistics NZ'!F$32*'Economic Forecasts'!H$9*1000000/SUM('Statistics NZ'!F$30:F$110,'Statistics NZ'!F$130:F$210)</f>
        <v>30819.348091944539</v>
      </c>
      <c r="G32" s="44">
        <f>'Statistics NZ'!G$32*'Economic Forecasts'!I$9*1000000/SUM('Statistics NZ'!G$30:G$110,'Statistics NZ'!G$130:G$210)</f>
        <v>30282.681976011008</v>
      </c>
      <c r="H32" s="44">
        <f>'Statistics NZ'!H$32*'Economic Forecasts'!J$9*1000000/SUM('Statistics NZ'!H$30:H$110,'Statistics NZ'!H$130:H$210)</f>
        <v>30349.848635143517</v>
      </c>
      <c r="I32" s="44">
        <f>'Statistics NZ'!I$32*'Economic Forecasts'!K$9*1000000/SUM('Statistics NZ'!I$30:I$110,'Statistics NZ'!I$130:I$210)</f>
        <v>29842.022352977809</v>
      </c>
      <c r="J32" s="44">
        <f>'Statistics NZ'!J$32*'Economic Forecasts'!L$9*1000000/SUM('Statistics NZ'!J$30:J$110,'Statistics NZ'!J$130:J$210)</f>
        <v>29918.774724390667</v>
      </c>
      <c r="K32" s="44">
        <f>'Statistics NZ'!K$32*'Economic Forecasts'!M$9*1000000/SUM('Statistics NZ'!K$30:K$110,'Statistics NZ'!K$130:K$210)</f>
        <v>29870.720942700409</v>
      </c>
      <c r="L32" s="44">
        <f>'Statistics NZ'!L$32*'Economic Forecasts'!N$9*1000000/SUM('Statistics NZ'!L$30:L$110,'Statistics NZ'!L$130:L$210)</f>
        <v>29540.889983137658</v>
      </c>
      <c r="M32" s="44">
        <f>'Statistics NZ'!M$32*'Economic Forecasts'!O$9*1000000/SUM('Statistics NZ'!M$30:M$110,'Statistics NZ'!M$130:M$210)</f>
        <v>30735.079306528951</v>
      </c>
      <c r="N32" s="44">
        <f>'Statistics NZ'!N$32*'Economic Forecasts'!P$9*1000000/SUM('Statistics NZ'!N$30:N$110,'Statistics NZ'!N$130:N$210)</f>
        <v>30851.897757793096</v>
      </c>
      <c r="O32" s="44">
        <f>'Statistics NZ'!O$32*'Economic Forecasts'!Q$9*1000000/SUM('Statistics NZ'!O$30:O$110,'Statistics NZ'!O$130:O$210)</f>
        <v>30304.6836966298</v>
      </c>
      <c r="P32" s="44">
        <f>'Statistics NZ'!P$32*'Economic Forecasts'!R$9*1000000/SUM('Statistics NZ'!P$30:P$110,'Statistics NZ'!P$130:P$210)</f>
        <v>29977.647050226176</v>
      </c>
      <c r="Q32" s="44">
        <f>'Statistics NZ'!Q$32*'Economic Forecasts'!S$9*1000000/SUM('Statistics NZ'!Q$30:Q$110,'Statistics NZ'!Q$130:Q$210)</f>
        <v>30816.001865766822</v>
      </c>
      <c r="R32" s="44">
        <f>'Statistics NZ'!R$32*'Economic Forecasts'!T$9*1000000/SUM('Statistics NZ'!R$30:R$110,'Statistics NZ'!R$130:R$210)</f>
        <v>30869.919962701068</v>
      </c>
      <c r="S32" s="44">
        <f>'Statistics NZ'!S$32*'Economic Forecasts'!U$9*1000000/SUM('Statistics NZ'!S$30:S$110,'Statistics NZ'!S$130:S$210)</f>
        <v>31523.778172826431</v>
      </c>
      <c r="T32" s="44">
        <f>'Statistics NZ'!T$32*'Economic Forecasts'!V$9*1000000/SUM('Statistics NZ'!T$30:T$110,'Statistics NZ'!T$130:T$210)</f>
        <v>33996.622036747234</v>
      </c>
      <c r="U32" s="45">
        <f>SUM('Statistics NZ'!U$32,$E$12/5*(U$8-U$9)*1000)*'Economic Forecasts'!W$9*1000000/SUM('Statistics NZ'!U$30:U$110,'Statistics NZ'!U$130:U$210,SUM($E$12:$T$13)*(U$8-U$9)*1000)</f>
        <v>35080.898960728489</v>
      </c>
      <c r="V32" s="45">
        <f>SUM('Statistics NZ'!V$32,$E$12/5*(V$8-V$9)*1000)*'Economic Forecasts'!X$9*1000000/SUM('Statistics NZ'!V$30:V$110,'Statistics NZ'!V$130:V$210,SUM($E$12:$T$13)*(V$8-V$9)*1000)</f>
        <v>34465.61264828709</v>
      </c>
      <c r="W32" s="45">
        <f>SUM('Statistics NZ'!W$32,$E$12/5*(W$8-W$9)*1000)*'Economic Forecasts'!Y$9*1000000/SUM('Statistics NZ'!W$30:W$110,'Statistics NZ'!W$130:W$210,SUM($E$12:$T$13)*(W$8-W$9)*1000)</f>
        <v>35450.32304875258</v>
      </c>
      <c r="X32" s="45">
        <f>SUM('Statistics NZ'!X$32,$E$12/5*(X$8-X$9)*1000)*'Economic Forecasts'!Z$9*1000000/SUM('Statistics NZ'!X$30:X$110,'Statistics NZ'!X$130:X$210,SUM($E$12:$T$13)*(X$8-X$9)*1000)</f>
        <v>35470.5851644508</v>
      </c>
      <c r="Y32" s="45">
        <f>SUM('Statistics NZ'!Y$32,$E$12/5*(Y$8-Y$9)*1000)*'Economic Forecasts'!AA$9*1000000/SUM('Statistics NZ'!Y$30:Y$110,'Statistics NZ'!Y$130:Y$210,SUM($E$12:$T$13)*(Y$8-Y$9)*1000)</f>
        <v>35577.242434401334</v>
      </c>
      <c r="Z32" s="46">
        <f>SUM(Y$32,'Statistics NZ'!Z$32-'Statistics NZ'!Y$32,$E$12/5*(Z$8-Z$9)*1000)</f>
        <v>35634.947814125095</v>
      </c>
      <c r="AA32" s="46">
        <f>SUM(Z$32,'Statistics NZ'!AA$32-'Statistics NZ'!Z$32,$E$12/5*(AA$8-AA$9)*1000)</f>
        <v>34831.571041959352</v>
      </c>
      <c r="AB32" s="46">
        <f>SUM(AA$32,'Statistics NZ'!AB$32-'Statistics NZ'!AA$32,$E$12/5*(AB$8-AB$9)*1000)</f>
        <v>34939.328548282007</v>
      </c>
      <c r="AC32" s="46">
        <f>SUM(AB$32,'Statistics NZ'!AC$32-'Statistics NZ'!AB$32,$E$12/5*(AC$8-AC$9)*1000)</f>
        <v>34539.328548282007</v>
      </c>
      <c r="AD32" s="46">
        <f>SUM(AC$32,'Statistics NZ'!AD$32-'Statistics NZ'!AC$32,$E$12/5*(AD$8-AD$9)*1000)</f>
        <v>35049.328548282007</v>
      </c>
      <c r="AE32" s="46">
        <f>SUM(AD$32,'Statistics NZ'!AE$32-'Statistics NZ'!AD$32,$E$12/5*(AE$8-AE$9)*1000)</f>
        <v>34469.328548282007</v>
      </c>
      <c r="AF32" s="46">
        <f>SUM(AE$32,'Statistics NZ'!AF$32-'Statistics NZ'!AE$32,$E$12/5*(AF$8-AF$9)*1000)</f>
        <v>34539.328548282007</v>
      </c>
      <c r="AG32" s="46">
        <f>SUM(AF$32,'Statistics NZ'!AG$32-'Statistics NZ'!AF$32,$E$12/5*(AG$8-AG$9)*1000)</f>
        <v>34249.328548282007</v>
      </c>
      <c r="AH32" s="46">
        <f>SUM(AG$32,'Statistics NZ'!AH$32-'Statistics NZ'!AG$32,$E$12/5*(AH$8-AH$9)*1000)</f>
        <v>34429.328548282007</v>
      </c>
      <c r="AI32" s="46">
        <f>SUM(AH$32,'Statistics NZ'!AI$32-'Statistics NZ'!AH$32,$E$12/5*(AI$8-AI$9)*1000)</f>
        <v>34769.328548282007</v>
      </c>
      <c r="AJ32" s="46">
        <f>SUM(AI$32,'Statistics NZ'!AJ$32-'Statistics NZ'!AI$32,$E$12/5*(AJ$8-AJ$9)*1000)</f>
        <v>32209.328548282007</v>
      </c>
      <c r="AK32" s="46">
        <f>SUM(AJ$32,'Statistics NZ'!AK$32-'Statistics NZ'!AJ$32,$E$12/5*(AK$8-AK$9)*1000)</f>
        <v>32399.328548282007</v>
      </c>
      <c r="AL32" s="46">
        <f>SUM(AK$32,'Statistics NZ'!AL$32-'Statistics NZ'!AK$32,$E$12/5*(AL$8-AL$9)*1000)</f>
        <v>32959.328548282007</v>
      </c>
      <c r="AM32" s="46">
        <f>SUM(AL$32,'Statistics NZ'!AM$32-'Statistics NZ'!AL$32,$E$12/5*(AM$8-AM$9)*1000)</f>
        <v>33039.328548282007</v>
      </c>
      <c r="AN32" s="46">
        <f>SUM(AM$32,'Statistics NZ'!AN$32-'Statistics NZ'!AM$32,$E$12/5*(AN$8-AN$9)*1000)</f>
        <v>33089.328548282007</v>
      </c>
      <c r="AO32" s="46">
        <f>SUM(AN$32,'Statistics NZ'!AO$32-'Statistics NZ'!AN$32,$E$12/5*(AO$8-AO$9)*1000)</f>
        <v>33119.328548282007</v>
      </c>
      <c r="AP32" s="46">
        <f>SUM(AO$32,'Statistics NZ'!AP$32-'Statistics NZ'!AO$32,$E$12/5*(AP$8-AP$9)*1000)</f>
        <v>33139.328548282007</v>
      </c>
      <c r="AQ32" s="46">
        <f>SUM(AP$32,'Statistics NZ'!AQ$32-'Statistics NZ'!AP$32,$E$12/5*(AQ$8-AQ$9)*1000)</f>
        <v>33169.328548282007</v>
      </c>
      <c r="AR32" s="46">
        <f>SUM(AQ$32,'Statistics NZ'!AR$32-'Statistics NZ'!AQ$32,$E$12/5*(AR$8-AR$9)*1000)</f>
        <v>33199.328548282007</v>
      </c>
      <c r="AS32" s="46">
        <f>SUM(AR$32,'Statistics NZ'!AS$32-'Statistics NZ'!AR$32,$E$12/5*(AS$8-AS$9)*1000)</f>
        <v>33259.328548282007</v>
      </c>
      <c r="AT32" s="46">
        <f>SUM(AS$32,'Statistics NZ'!AT$32-'Statistics NZ'!AS$32,$E$12/5*(AT$8-AT$9)*1000)</f>
        <v>33339.328548282007</v>
      </c>
      <c r="AU32" s="46">
        <f>SUM(AT$32,'Statistics NZ'!AU$32-'Statistics NZ'!AT$32,$E$12/5*(AU$8-AU$9)*1000)</f>
        <v>33449.328548282007</v>
      </c>
      <c r="AV32" s="46">
        <f>SUM(AU$32,'Statistics NZ'!AV$32-'Statistics NZ'!AU$32,$E$12/5*(AV$8-AV$9)*1000)</f>
        <v>33599.328548282007</v>
      </c>
      <c r="AW32" s="46">
        <f>SUM(AV$32,'Statistics NZ'!AW$32-'Statistics NZ'!AV$32,$E$12/5*(AW$8-AW$9)*1000)</f>
        <v>33789.328548282007</v>
      </c>
      <c r="AX32" s="46">
        <f>SUM(AW$32,'Statistics NZ'!AX$32-'Statistics NZ'!AW$32,$E$12/5*(AX$8-AX$9)*1000)</f>
        <v>34009.328548282007</v>
      </c>
      <c r="AY32" s="46">
        <f>SUM(AX$32,'Statistics NZ'!AY$32-'Statistics NZ'!AX$32,$E$12/5*(AY$8-AY$9)*1000)</f>
        <v>34249.328548282007</v>
      </c>
      <c r="AZ32" s="46">
        <f>SUM(AY$32,'Statistics NZ'!AZ$32-'Statistics NZ'!AY$32,$E$12/5*(AZ$8-AZ$9)*1000)</f>
        <v>34499.328548282007</v>
      </c>
      <c r="BA32" s="46">
        <f>SUM(AZ$32,'Statistics NZ'!BA$32-'Statistics NZ'!AZ$32,$E$12/5*(BA$8-BA$9)*1000)</f>
        <v>34749.328548282007</v>
      </c>
      <c r="BB32" s="46">
        <f>SUM(BA$32,'Statistics NZ'!BB$32-'Statistics NZ'!BA$32,$E$12/5*(BB$8-BB$9)*1000)</f>
        <v>34999.328548282007</v>
      </c>
      <c r="BC32" s="46">
        <f>SUM(BB$32,'Statistics NZ'!BC$32-'Statistics NZ'!BB$32,$E$12/5*(BC$8-BC$9)*1000)</f>
        <v>35219.328548282007</v>
      </c>
      <c r="BD32" s="46">
        <f>SUM(BC$32,'Statistics NZ'!BD$32-'Statistics NZ'!BC$32,$E$12/5*(BD$8-BD$9)*1000)</f>
        <v>35409.328548282007</v>
      </c>
      <c r="BE32" s="46">
        <f>SUM(BD$32,'Statistics NZ'!BE$32-'Statistics NZ'!BD$32,$E$12/5*(BE$8-BE$9)*1000)</f>
        <v>35569.328548282007</v>
      </c>
      <c r="BF32" s="46">
        <f>SUM(BE$32,'Statistics NZ'!BF$32-'Statistics NZ'!BE$32,$E$12/5*(BF$8-BF$9)*1000)</f>
        <v>35699.328548282007</v>
      </c>
      <c r="BG32" s="46">
        <f>SUM(BF$32,'Statistics NZ'!BG$32-'Statistics NZ'!BF$32,$E$12/5*(BG$8-BG$9)*1000)</f>
        <v>35789.328548282007</v>
      </c>
      <c r="BH32" s="46">
        <f>SUM(BG$32,'Statistics NZ'!BH$32-'Statistics NZ'!BG$32,$E$12/5*(BH$8-BH$9)*1000)</f>
        <v>35849.328548282007</v>
      </c>
      <c r="BI32" s="46">
        <f>SUM(BH$32,'Statistics NZ'!BI$32-'Statistics NZ'!BH$32,$E$12/5*(BI$8-BI$9)*1000)</f>
        <v>35879.328548282007</v>
      </c>
    </row>
    <row r="33" spans="1:61" x14ac:dyDescent="0.25">
      <c r="A33" s="11">
        <v>18</v>
      </c>
      <c r="B33" s="44">
        <f>'Statistics NZ'!B$33*'Economic Forecasts'!D$9*1000000/SUM('Statistics NZ'!B$30:B$110,'Statistics NZ'!B$130:B$210)</f>
        <v>29527.93357441025</v>
      </c>
      <c r="C33" s="44">
        <f>'Statistics NZ'!C$33*'Economic Forecasts'!E$9*1000000/SUM('Statistics NZ'!C$30:C$110,'Statistics NZ'!C$130:C$210)</f>
        <v>30019.979235182564</v>
      </c>
      <c r="D33" s="44">
        <f>'Statistics NZ'!D$33*'Economic Forecasts'!F$9*1000000/SUM('Statistics NZ'!D$30:D$110,'Statistics NZ'!D$130:D$210)</f>
        <v>31177.325042208638</v>
      </c>
      <c r="E33" s="44">
        <f>'Statistics NZ'!E$33*'Economic Forecasts'!G$9*1000000/SUM('Statistics NZ'!E$30:E$110,'Statistics NZ'!E$130:E$210)</f>
        <v>31558.999717766597</v>
      </c>
      <c r="F33" s="44">
        <f>'Statistics NZ'!F$33*'Economic Forecasts'!H$9*1000000/SUM('Statistics NZ'!F$30:F$110,'Statistics NZ'!F$130:F$210)</f>
        <v>30789.921597903856</v>
      </c>
      <c r="G33" s="44">
        <f>'Statistics NZ'!G$33*'Economic Forecasts'!I$9*1000000/SUM('Statistics NZ'!G$30:G$110,'Statistics NZ'!G$130:G$210)</f>
        <v>30695.225810909636</v>
      </c>
      <c r="H33" s="44">
        <f>'Statistics NZ'!H$33*'Economic Forecasts'!J$9*1000000/SUM('Statistics NZ'!H$30:H$110,'Statistics NZ'!H$130:H$210)</f>
        <v>30055.094520849474</v>
      </c>
      <c r="I33" s="44">
        <f>'Statistics NZ'!I$33*'Economic Forecasts'!K$9*1000000/SUM('Statistics NZ'!I$30:I$110,'Statistics NZ'!I$130:I$210)</f>
        <v>30165.539678092216</v>
      </c>
      <c r="J33" s="44">
        <f>'Statistics NZ'!J$33*'Economic Forecasts'!L$9*1000000/SUM('Statistics NZ'!J$30:J$110,'Statistics NZ'!J$130:J$210)</f>
        <v>29879.76719541493</v>
      </c>
      <c r="K33" s="44">
        <f>'Statistics NZ'!K$33*'Economic Forecasts'!M$9*1000000/SUM('Statistics NZ'!K$30:K$110,'Statistics NZ'!K$130:K$210)</f>
        <v>30133.598864947122</v>
      </c>
      <c r="L33" s="44">
        <f>'Statistics NZ'!L$33*'Economic Forecasts'!N$9*1000000/SUM('Statistics NZ'!L$30:L$110,'Statistics NZ'!L$130:L$210)</f>
        <v>30144.560114632233</v>
      </c>
      <c r="M33" s="44">
        <f>'Statistics NZ'!M$33*'Economic Forecasts'!O$9*1000000/SUM('Statistics NZ'!M$30:M$110,'Statistics NZ'!M$130:M$210)</f>
        <v>30002.361268388562</v>
      </c>
      <c r="N33" s="44">
        <f>'Statistics NZ'!N$33*'Economic Forecasts'!P$9*1000000/SUM('Statistics NZ'!N$30:N$110,'Statistics NZ'!N$130:N$210)</f>
        <v>30979.101903321582</v>
      </c>
      <c r="O33" s="44">
        <f>'Statistics NZ'!O$33*'Economic Forecasts'!Q$9*1000000/SUM('Statistics NZ'!O$30:O$110,'Statistics NZ'!O$130:O$210)</f>
        <v>31169.969928071536</v>
      </c>
      <c r="P33" s="44">
        <f>'Statistics NZ'!P$33*'Economic Forecasts'!R$9*1000000/SUM('Statistics NZ'!P$30:P$110,'Statistics NZ'!P$130:P$210)</f>
        <v>30527.875904638713</v>
      </c>
      <c r="Q33" s="44">
        <f>'Statistics NZ'!Q$33*'Economic Forecasts'!S$9*1000000/SUM('Statistics NZ'!Q$30:Q$110,'Statistics NZ'!Q$130:Q$210)</f>
        <v>30140.473778445048</v>
      </c>
      <c r="R33" s="44">
        <f>'Statistics NZ'!R$33*'Economic Forecasts'!T$9*1000000/SUM('Statistics NZ'!R$30:R$110,'Statistics NZ'!R$130:R$210)</f>
        <v>30770.339575724614</v>
      </c>
      <c r="S33" s="44">
        <f>'Statistics NZ'!S$33*'Economic Forecasts'!U$9*1000000/SUM('Statistics NZ'!S$30:S$110,'Statistics NZ'!S$130:S$210)</f>
        <v>30826.3059851447</v>
      </c>
      <c r="T33" s="44">
        <f>'Statistics NZ'!T$33*'Economic Forecasts'!V$9*1000000/SUM('Statistics NZ'!T$30:T$110,'Statistics NZ'!T$130:T$210)</f>
        <v>32113.427230046949</v>
      </c>
      <c r="U33" s="45">
        <f>SUM('Statistics NZ'!U$33,$E$12/5*(U$8-U$9)*1000)*'Economic Forecasts'!W$9*1000000/SUM('Statistics NZ'!U$30:U$110,'Statistics NZ'!U$130:U$210,SUM($E$12:$T$13)*(U$8-U$9)*1000)</f>
        <v>34219.168463909053</v>
      </c>
      <c r="V33" s="45">
        <f>SUM('Statistics NZ'!V$33,$E$12/5*(V$8-V$9)*1000)*'Economic Forecasts'!X$9*1000000/SUM('Statistics NZ'!V$30:V$110,'Statistics NZ'!V$130:V$210,SUM($E$12:$T$13)*(V$8-V$9)*1000)</f>
        <v>35267.578911168464</v>
      </c>
      <c r="W33" s="45">
        <f>SUM('Statistics NZ'!W$33,$E$12/5*(W$8-W$9)*1000)*'Economic Forecasts'!Y$9*1000000/SUM('Statistics NZ'!W$30:W$110,'Statistics NZ'!W$130:W$210,SUM($E$12:$T$13)*(W$8-W$9)*1000)</f>
        <v>34667.986391617276</v>
      </c>
      <c r="X33" s="45">
        <f>SUM('Statistics NZ'!X$33,$E$12/5*(X$8-X$9)*1000)*'Economic Forecasts'!Z$9*1000000/SUM('Statistics NZ'!X$30:X$110,'Statistics NZ'!X$130:X$210,SUM($E$12:$T$13)*(X$8-X$9)*1000)</f>
        <v>35658.785125688373</v>
      </c>
      <c r="Y33" s="45">
        <f>SUM('Statistics NZ'!Y$33,$E$12/5*(Y$8-Y$9)*1000)*'Economic Forecasts'!AA$9*1000000/SUM('Statistics NZ'!Y$30:Y$110,'Statistics NZ'!Y$130:Y$210,SUM($E$12:$T$13)*(Y$8-Y$9)*1000)</f>
        <v>35696.149241956286</v>
      </c>
      <c r="Z33" s="46">
        <f>SUM(Y$33,'Statistics NZ'!Z$33-'Statistics NZ'!Y$33,$E$12/5*(Z$8-Z$9)*1000)</f>
        <v>35843.854621680046</v>
      </c>
      <c r="AA33" s="46">
        <f>SUM(Z$33,'Statistics NZ'!AA$33-'Statistics NZ'!Z$33,$E$12/5*(AA$8-AA$9)*1000)</f>
        <v>35890.477849514304</v>
      </c>
      <c r="AB33" s="46">
        <f>SUM(AA$33,'Statistics NZ'!AB$33-'Statistics NZ'!AA$33,$E$12/5*(AB$8-AB$9)*1000)</f>
        <v>35078.235355836958</v>
      </c>
      <c r="AC33" s="46">
        <f>SUM(AB$33,'Statistics NZ'!AC$33-'Statistics NZ'!AB$33,$E$12/5*(AC$8-AC$9)*1000)</f>
        <v>35188.235355836958</v>
      </c>
      <c r="AD33" s="46">
        <f>SUM(AC$33,'Statistics NZ'!AD$33-'Statistics NZ'!AC$33,$E$12/5*(AD$8-AD$9)*1000)</f>
        <v>34778.235355836958</v>
      </c>
      <c r="AE33" s="46">
        <f>SUM(AD$33,'Statistics NZ'!AE$33-'Statistics NZ'!AD$33,$E$12/5*(AE$8-AE$9)*1000)</f>
        <v>35298.235355836958</v>
      </c>
      <c r="AF33" s="46">
        <f>SUM(AE$33,'Statistics NZ'!AF$33-'Statistics NZ'!AE$33,$E$12/5*(AF$8-AF$9)*1000)</f>
        <v>34718.235355836958</v>
      </c>
      <c r="AG33" s="46">
        <f>SUM(AF$33,'Statistics NZ'!AG$33-'Statistics NZ'!AF$33,$E$12/5*(AG$8-AG$9)*1000)</f>
        <v>34788.235355836958</v>
      </c>
      <c r="AH33" s="46">
        <f>SUM(AG$33,'Statistics NZ'!AH$33-'Statistics NZ'!AG$33,$E$12/5*(AH$8-AH$9)*1000)</f>
        <v>34498.235355836958</v>
      </c>
      <c r="AI33" s="46">
        <f>SUM(AH$33,'Statistics NZ'!AI$33-'Statistics NZ'!AH$33,$E$12/5*(AI$8-AI$9)*1000)</f>
        <v>34688.235355836958</v>
      </c>
      <c r="AJ33" s="46">
        <f>SUM(AI$33,'Statistics NZ'!AJ$33-'Statistics NZ'!AI$33,$E$12/5*(AJ$8-AJ$9)*1000)</f>
        <v>35028.235355836958</v>
      </c>
      <c r="AK33" s="46">
        <f>SUM(AJ$33,'Statistics NZ'!AK$33-'Statistics NZ'!AJ$33,$E$12/5*(AK$8-AK$9)*1000)</f>
        <v>32468.235355836958</v>
      </c>
      <c r="AL33" s="46">
        <f>SUM(AK$33,'Statistics NZ'!AL$33-'Statistics NZ'!AK$33,$E$12/5*(AL$8-AL$9)*1000)</f>
        <v>32658.235355836958</v>
      </c>
      <c r="AM33" s="46">
        <f>SUM(AL$33,'Statistics NZ'!AM$33-'Statistics NZ'!AL$33,$E$12/5*(AM$8-AM$9)*1000)</f>
        <v>33218.235355836958</v>
      </c>
      <c r="AN33" s="46">
        <f>SUM(AM$33,'Statistics NZ'!AN$33-'Statistics NZ'!AM$33,$E$12/5*(AN$8-AN$9)*1000)</f>
        <v>33298.235355836958</v>
      </c>
      <c r="AO33" s="46">
        <f>SUM(AN$33,'Statistics NZ'!AO$33-'Statistics NZ'!AN$33,$E$12/5*(AO$8-AO$9)*1000)</f>
        <v>33348.235355836958</v>
      </c>
      <c r="AP33" s="46">
        <f>SUM(AO$33,'Statistics NZ'!AP$33-'Statistics NZ'!AO$33,$E$12/5*(AP$8-AP$9)*1000)</f>
        <v>33388.235355836958</v>
      </c>
      <c r="AQ33" s="46">
        <f>SUM(AP$33,'Statistics NZ'!AQ$33-'Statistics NZ'!AP$33,$E$12/5*(AQ$8-AQ$9)*1000)</f>
        <v>33408.235355836958</v>
      </c>
      <c r="AR33" s="46">
        <f>SUM(AQ$33,'Statistics NZ'!AR$33-'Statistics NZ'!AQ$33,$E$12/5*(AR$8-AR$9)*1000)</f>
        <v>33438.235355836958</v>
      </c>
      <c r="AS33" s="46">
        <f>SUM(AR$33,'Statistics NZ'!AS$33-'Statistics NZ'!AR$33,$E$12/5*(AS$8-AS$9)*1000)</f>
        <v>33468.235355836958</v>
      </c>
      <c r="AT33" s="46">
        <f>SUM(AS$33,'Statistics NZ'!AT$33-'Statistics NZ'!AS$33,$E$12/5*(AT$8-AT$9)*1000)</f>
        <v>33528.235355836958</v>
      </c>
      <c r="AU33" s="46">
        <f>SUM(AT$33,'Statistics NZ'!AU$33-'Statistics NZ'!AT$33,$E$12/5*(AU$8-AU$9)*1000)</f>
        <v>33608.235355836958</v>
      </c>
      <c r="AV33" s="46">
        <f>SUM(AU$33,'Statistics NZ'!AV$33-'Statistics NZ'!AU$33,$E$12/5*(AV$8-AV$9)*1000)</f>
        <v>33728.235355836958</v>
      </c>
      <c r="AW33" s="46">
        <f>SUM(AV$33,'Statistics NZ'!AW$33-'Statistics NZ'!AV$33,$E$12/5*(AW$8-AW$9)*1000)</f>
        <v>33878.235355836958</v>
      </c>
      <c r="AX33" s="46">
        <f>SUM(AW$33,'Statistics NZ'!AX$33-'Statistics NZ'!AW$33,$E$12/5*(AX$8-AX$9)*1000)</f>
        <v>34068.235355836958</v>
      </c>
      <c r="AY33" s="46">
        <f>SUM(AX$33,'Statistics NZ'!AY$33-'Statistics NZ'!AX$33,$E$12/5*(AY$8-AY$9)*1000)</f>
        <v>34288.235355836958</v>
      </c>
      <c r="AZ33" s="46">
        <f>SUM(AY$33,'Statistics NZ'!AZ$33-'Statistics NZ'!AY$33,$E$12/5*(AZ$8-AZ$9)*1000)</f>
        <v>34528.235355836958</v>
      </c>
      <c r="BA33" s="46">
        <f>SUM(AZ$33,'Statistics NZ'!BA$33-'Statistics NZ'!AZ$33,$E$12/5*(BA$8-BA$9)*1000)</f>
        <v>34778.235355836958</v>
      </c>
      <c r="BB33" s="46">
        <f>SUM(BA$33,'Statistics NZ'!BB$33-'Statistics NZ'!BA$33,$E$12/5*(BB$8-BB$9)*1000)</f>
        <v>35038.235355836958</v>
      </c>
      <c r="BC33" s="46">
        <f>SUM(BB$33,'Statistics NZ'!BC$33-'Statistics NZ'!BB$33,$E$12/5*(BC$8-BC$9)*1000)</f>
        <v>35288.235355836958</v>
      </c>
      <c r="BD33" s="46">
        <f>SUM(BC$33,'Statistics NZ'!BD$33-'Statistics NZ'!BC$33,$E$12/5*(BD$8-BD$9)*1000)</f>
        <v>35508.235355836958</v>
      </c>
      <c r="BE33" s="46">
        <f>SUM(BD$33,'Statistics NZ'!BE$33-'Statistics NZ'!BD$33,$E$12/5*(BE$8-BE$9)*1000)</f>
        <v>35698.235355836958</v>
      </c>
      <c r="BF33" s="46">
        <f>SUM(BE$33,'Statistics NZ'!BF$33-'Statistics NZ'!BE$33,$E$12/5*(BF$8-BF$9)*1000)</f>
        <v>35868.235355836958</v>
      </c>
      <c r="BG33" s="46">
        <f>SUM(BF$33,'Statistics NZ'!BG$33-'Statistics NZ'!BF$33,$E$12/5*(BG$8-BG$9)*1000)</f>
        <v>35988.235355836958</v>
      </c>
      <c r="BH33" s="46">
        <f>SUM(BG$33,'Statistics NZ'!BH$33-'Statistics NZ'!BG$33,$E$12/5*(BH$8-BH$9)*1000)</f>
        <v>36088.235355836958</v>
      </c>
      <c r="BI33" s="46">
        <f>SUM(BH$33,'Statistics NZ'!BI$33-'Statistics NZ'!BH$33,$E$12/5*(BI$8-BI$9)*1000)</f>
        <v>36148.235355836958</v>
      </c>
    </row>
    <row r="34" spans="1:61" x14ac:dyDescent="0.25">
      <c r="A34" s="11">
        <v>19</v>
      </c>
      <c r="B34" s="44">
        <f>'Statistics NZ'!B$34*'Economic Forecasts'!D$9*1000000/SUM('Statistics NZ'!B$30:B$110,'Statistics NZ'!B$130:B$210)</f>
        <v>28441.916136782831</v>
      </c>
      <c r="C34" s="44">
        <f>'Statistics NZ'!C$34*'Economic Forecasts'!E$9*1000000/SUM('Statistics NZ'!C$30:C$110,'Statistics NZ'!C$130:C$210)</f>
        <v>29509.33516575845</v>
      </c>
      <c r="D34" s="44">
        <f>'Statistics NZ'!D$34*'Economic Forecasts'!F$9*1000000/SUM('Statistics NZ'!D$30:D$110,'Statistics NZ'!D$130:D$210)</f>
        <v>29900.37096045466</v>
      </c>
      <c r="E34" s="44">
        <f>'Statistics NZ'!E$34*'Economic Forecasts'!G$9*1000000/SUM('Statistics NZ'!E$30:E$110,'Statistics NZ'!E$130:E$210)</f>
        <v>31186.332847264694</v>
      </c>
      <c r="F34" s="44">
        <f>'Statistics NZ'!F$34*'Economic Forecasts'!H$9*1000000/SUM('Statistics NZ'!F$30:F$110,'Statistics NZ'!F$130:F$210)</f>
        <v>31868.89304606232</v>
      </c>
      <c r="G34" s="44">
        <f>'Statistics NZ'!G$34*'Economic Forecasts'!I$9*1000000/SUM('Statistics NZ'!G$30:G$110,'Statistics NZ'!G$130:G$210)</f>
        <v>30911.32020061844</v>
      </c>
      <c r="H34" s="44">
        <f>'Statistics NZ'!H$34*'Economic Forecasts'!J$9*1000000/SUM('Statistics NZ'!H$30:H$110,'Statistics NZ'!H$130:H$210)</f>
        <v>30791.979806584586</v>
      </c>
      <c r="I34" s="44">
        <f>'Statistics NZ'!I$34*'Economic Forecasts'!K$9*1000000/SUM('Statistics NZ'!I$30:I$110,'Statistics NZ'!I$130:I$210)</f>
        <v>30234.164565237694</v>
      </c>
      <c r="J34" s="44">
        <f>'Statistics NZ'!J$34*'Economic Forecasts'!L$9*1000000/SUM('Statistics NZ'!J$30:J$110,'Statistics NZ'!J$130:J$210)</f>
        <v>30406.368836587382</v>
      </c>
      <c r="K34" s="44">
        <f>'Statistics NZ'!K$34*'Economic Forecasts'!M$9*1000000/SUM('Statistics NZ'!K$30:K$110,'Statistics NZ'!K$130:K$210)</f>
        <v>30367.268129166423</v>
      </c>
      <c r="L34" s="44">
        <f>'Statistics NZ'!L$34*'Economic Forecasts'!N$9*1000000/SUM('Statistics NZ'!L$30:L$110,'Statistics NZ'!L$130:L$210)</f>
        <v>30699.547171006277</v>
      </c>
      <c r="M34" s="44">
        <f>'Statistics NZ'!M$34*'Economic Forecasts'!O$9*1000000/SUM('Statistics NZ'!M$30:M$110,'Statistics NZ'!M$130:M$210)</f>
        <v>30666.692289635848</v>
      </c>
      <c r="N34" s="44">
        <f>'Statistics NZ'!N$34*'Economic Forecasts'!P$9*1000000/SUM('Statistics NZ'!N$30:N$110,'Statistics NZ'!N$130:N$210)</f>
        <v>30333.296241407741</v>
      </c>
      <c r="O34" s="44">
        <f>'Statistics NZ'!O$34*'Economic Forecasts'!Q$9*1000000/SUM('Statistics NZ'!O$30:O$110,'Statistics NZ'!O$130:O$210)</f>
        <v>31464.95387060849</v>
      </c>
      <c r="P34" s="44">
        <f>'Statistics NZ'!P$34*'Economic Forecasts'!R$9*1000000/SUM('Statistics NZ'!P$30:P$110,'Statistics NZ'!P$130:P$210)</f>
        <v>31412.172277801732</v>
      </c>
      <c r="Q34" s="44">
        <f>'Statistics NZ'!Q$34*'Economic Forecasts'!S$9*1000000/SUM('Statistics NZ'!Q$30:Q$110,'Statistics NZ'!Q$130:Q$210)</f>
        <v>30597.448661045073</v>
      </c>
      <c r="R34" s="44">
        <f>'Statistics NZ'!R$34*'Economic Forecasts'!T$9*1000000/SUM('Statistics NZ'!R$30:R$110,'Statistics NZ'!R$130:R$210)</f>
        <v>29993.612557308265</v>
      </c>
      <c r="S34" s="44">
        <f>'Statistics NZ'!S$34*'Economic Forecasts'!U$9*1000000/SUM('Statistics NZ'!S$30:S$110,'Statistics NZ'!S$130:S$210)</f>
        <v>31032.600575867466</v>
      </c>
      <c r="T34" s="44">
        <f>'Statistics NZ'!T$34*'Economic Forecasts'!V$9*1000000/SUM('Statistics NZ'!T$30:T$110,'Statistics NZ'!T$130:T$210)</f>
        <v>31647.584304178985</v>
      </c>
      <c r="U34" s="45">
        <f>SUM('Statistics NZ'!U$34,$E$12/5*(U$8-U$9)*1000)*'Economic Forecasts'!W$9*1000000/SUM('Statistics NZ'!U$30:U$110,'Statistics NZ'!U$130:U$210,SUM($E$12:$T$13)*(U$8-U$9)*1000)</f>
        <v>32307.513453723419</v>
      </c>
      <c r="V34" s="45">
        <f>SUM('Statistics NZ'!V$34,$E$12/5*(V$8-V$9)*1000)*'Economic Forecasts'!X$9*1000000/SUM('Statistics NZ'!V$30:V$110,'Statistics NZ'!V$130:V$210,SUM($E$12:$T$13)*(V$8-V$9)*1000)</f>
        <v>34366.604467684447</v>
      </c>
      <c r="W34" s="45">
        <f>SUM('Statistics NZ'!W$34,$E$12/5*(W$8-W$9)*1000)*'Economic Forecasts'!Y$9*1000000/SUM('Statistics NZ'!W$30:W$110,'Statistics NZ'!W$130:W$210,SUM($E$12:$T$13)*(W$8-W$9)*1000)</f>
        <v>35430.517057432691</v>
      </c>
      <c r="X34" s="45">
        <f>SUM('Statistics NZ'!X$34,$E$12/5*(X$8-X$9)*1000)*'Economic Forecasts'!Z$9*1000000/SUM('Statistics NZ'!X$30:X$110,'Statistics NZ'!X$130:X$210,SUM($E$12:$T$13)*(X$8-X$9)*1000)</f>
        <v>34836.648452913731</v>
      </c>
      <c r="Y34" s="45">
        <f>SUM('Statistics NZ'!Y$34,$E$12/5*(Y$8-Y$9)*1000)*'Economic Forecasts'!AA$9*1000000/SUM('Statistics NZ'!Y$30:Y$110,'Statistics NZ'!Y$130:Y$210,SUM($E$12:$T$13)*(Y$8-Y$9)*1000)</f>
        <v>35844.782751399951</v>
      </c>
      <c r="Z34" s="46">
        <f>SUM(Y$34,'Statistics NZ'!Z$34-'Statistics NZ'!Y$34,$E$12/5*(Z$8-Z$9)*1000)</f>
        <v>35922.488131123711</v>
      </c>
      <c r="AA34" s="46">
        <f>SUM(Z$34,'Statistics NZ'!AA$34-'Statistics NZ'!Z$34,$E$12/5*(AA$8-AA$9)*1000)</f>
        <v>36059.111358957969</v>
      </c>
      <c r="AB34" s="46">
        <f>SUM(AA$34,'Statistics NZ'!AB$34-'Statistics NZ'!AA$34,$E$12/5*(AB$8-AB$9)*1000)</f>
        <v>36096.868865280623</v>
      </c>
      <c r="AC34" s="46">
        <f>SUM(AB$34,'Statistics NZ'!AC$34-'Statistics NZ'!AB$34,$E$12/5*(AC$8-AC$9)*1000)</f>
        <v>35276.868865280623</v>
      </c>
      <c r="AD34" s="46">
        <f>SUM(AC$34,'Statistics NZ'!AD$34-'Statistics NZ'!AC$34,$E$12/5*(AD$8-AD$9)*1000)</f>
        <v>35386.868865280623</v>
      </c>
      <c r="AE34" s="46">
        <f>SUM(AD$34,'Statistics NZ'!AE$34-'Statistics NZ'!AD$34,$E$12/5*(AE$8-AE$9)*1000)</f>
        <v>34986.868865280623</v>
      </c>
      <c r="AF34" s="46">
        <f>SUM(AE$34,'Statistics NZ'!AF$34-'Statistics NZ'!AE$34,$E$12/5*(AF$8-AF$9)*1000)</f>
        <v>35506.868865280623</v>
      </c>
      <c r="AG34" s="46">
        <f>SUM(AF$34,'Statistics NZ'!AG$34-'Statistics NZ'!AF$34,$E$12/5*(AG$8-AG$9)*1000)</f>
        <v>34926.868865280623</v>
      </c>
      <c r="AH34" s="46">
        <f>SUM(AG$34,'Statistics NZ'!AH$34-'Statistics NZ'!AG$34,$E$12/5*(AH$8-AH$9)*1000)</f>
        <v>34996.868865280623</v>
      </c>
      <c r="AI34" s="46">
        <f>SUM(AH$34,'Statistics NZ'!AI$34-'Statistics NZ'!AH$34,$E$12/5*(AI$8-AI$9)*1000)</f>
        <v>34706.868865280623</v>
      </c>
      <c r="AJ34" s="46">
        <f>SUM(AI$34,'Statistics NZ'!AJ$34-'Statistics NZ'!AI$34,$E$12/5*(AJ$8-AJ$9)*1000)</f>
        <v>34896.868865280623</v>
      </c>
      <c r="AK34" s="46">
        <f>SUM(AJ$34,'Statistics NZ'!AK$34-'Statistics NZ'!AJ$34,$E$12/5*(AK$8-AK$9)*1000)</f>
        <v>35236.868865280623</v>
      </c>
      <c r="AL34" s="46">
        <f>SUM(AK$34,'Statistics NZ'!AL$34-'Statistics NZ'!AK$34,$E$12/5*(AL$8-AL$9)*1000)</f>
        <v>32686.868865280623</v>
      </c>
      <c r="AM34" s="46">
        <f>SUM(AL$34,'Statistics NZ'!AM$34-'Statistics NZ'!AL$34,$E$12/5*(AM$8-AM$9)*1000)</f>
        <v>32876.868865280623</v>
      </c>
      <c r="AN34" s="46">
        <f>SUM(AM$34,'Statistics NZ'!AN$34-'Statistics NZ'!AM$34,$E$12/5*(AN$8-AN$9)*1000)</f>
        <v>33436.868865280623</v>
      </c>
      <c r="AO34" s="46">
        <f>SUM(AN$34,'Statistics NZ'!AO$34-'Statistics NZ'!AN$34,$E$12/5*(AO$8-AO$9)*1000)</f>
        <v>33516.868865280623</v>
      </c>
      <c r="AP34" s="46">
        <f>SUM(AO$34,'Statistics NZ'!AP$34-'Statistics NZ'!AO$34,$E$12/5*(AP$8-AP$9)*1000)</f>
        <v>33576.868865280623</v>
      </c>
      <c r="AQ34" s="46">
        <f>SUM(AP$34,'Statistics NZ'!AQ$34-'Statistics NZ'!AP$34,$E$12/5*(AQ$8-AQ$9)*1000)</f>
        <v>33606.868865280623</v>
      </c>
      <c r="AR34" s="46">
        <f>SUM(AQ$34,'Statistics NZ'!AR$34-'Statistics NZ'!AQ$34,$E$12/5*(AR$8-AR$9)*1000)</f>
        <v>33636.868865280623</v>
      </c>
      <c r="AS34" s="46">
        <f>SUM(AR$34,'Statistics NZ'!AS$34-'Statistics NZ'!AR$34,$E$12/5*(AS$8-AS$9)*1000)</f>
        <v>33656.868865280623</v>
      </c>
      <c r="AT34" s="46">
        <f>SUM(AS$34,'Statistics NZ'!AT$34-'Statistics NZ'!AS$34,$E$12/5*(AT$8-AT$9)*1000)</f>
        <v>33696.868865280623</v>
      </c>
      <c r="AU34" s="46">
        <f>SUM(AT$34,'Statistics NZ'!AU$34-'Statistics NZ'!AT$34,$E$12/5*(AU$8-AU$9)*1000)</f>
        <v>33756.868865280623</v>
      </c>
      <c r="AV34" s="46">
        <f>SUM(AU$34,'Statistics NZ'!AV$34-'Statistics NZ'!AU$34,$E$12/5*(AV$8-AV$9)*1000)</f>
        <v>33846.868865280623</v>
      </c>
      <c r="AW34" s="46">
        <f>SUM(AV$34,'Statistics NZ'!AW$34-'Statistics NZ'!AV$34,$E$12/5*(AW$8-AW$9)*1000)</f>
        <v>33956.868865280623</v>
      </c>
      <c r="AX34" s="46">
        <f>SUM(AW$34,'Statistics NZ'!AX$34-'Statistics NZ'!AW$34,$E$12/5*(AX$8-AX$9)*1000)</f>
        <v>34116.868865280623</v>
      </c>
      <c r="AY34" s="46">
        <f>SUM(AX$34,'Statistics NZ'!AY$34-'Statistics NZ'!AX$34,$E$12/5*(AY$8-AY$9)*1000)</f>
        <v>34306.868865280623</v>
      </c>
      <c r="AZ34" s="46">
        <f>SUM(AY$34,'Statistics NZ'!AZ$34-'Statistics NZ'!AY$34,$E$12/5*(AZ$8-AZ$9)*1000)</f>
        <v>34526.868865280623</v>
      </c>
      <c r="BA34" s="46">
        <f>SUM(AZ$34,'Statistics NZ'!BA$34-'Statistics NZ'!AZ$34,$E$12/5*(BA$8-BA$9)*1000)</f>
        <v>34766.868865280623</v>
      </c>
      <c r="BB34" s="46">
        <f>SUM(BA$34,'Statistics NZ'!BB$34-'Statistics NZ'!BA$34,$E$12/5*(BB$8-BB$9)*1000)</f>
        <v>35016.868865280623</v>
      </c>
      <c r="BC34" s="46">
        <f>SUM(BB$34,'Statistics NZ'!BC$34-'Statistics NZ'!BB$34,$E$12/5*(BC$8-BC$9)*1000)</f>
        <v>35276.868865280623</v>
      </c>
      <c r="BD34" s="46">
        <f>SUM(BC$34,'Statistics NZ'!BD$34-'Statistics NZ'!BC$34,$E$12/5*(BD$8-BD$9)*1000)</f>
        <v>35526.868865280623</v>
      </c>
      <c r="BE34" s="46">
        <f>SUM(BD$34,'Statistics NZ'!BE$34-'Statistics NZ'!BD$34,$E$12/5*(BE$8-BE$9)*1000)</f>
        <v>35756.868865280623</v>
      </c>
      <c r="BF34" s="46">
        <f>SUM(BE$34,'Statistics NZ'!BF$34-'Statistics NZ'!BE$34,$E$12/5*(BF$8-BF$9)*1000)</f>
        <v>35946.868865280623</v>
      </c>
      <c r="BG34" s="46">
        <f>SUM(BF$34,'Statistics NZ'!BG$34-'Statistics NZ'!BF$34,$E$12/5*(BG$8-BG$9)*1000)</f>
        <v>36116.868865280623</v>
      </c>
      <c r="BH34" s="46">
        <f>SUM(BG$34,'Statistics NZ'!BH$34-'Statistics NZ'!BG$34,$E$12/5*(BH$8-BH$9)*1000)</f>
        <v>36236.868865280623</v>
      </c>
      <c r="BI34" s="46">
        <f>SUM(BH$34,'Statistics NZ'!BI$34-'Statistics NZ'!BH$34,$E$12/5*(BI$8-BI$9)*1000)</f>
        <v>36336.868865280623</v>
      </c>
    </row>
    <row r="35" spans="1:61" x14ac:dyDescent="0.25">
      <c r="A35" s="11">
        <v>20</v>
      </c>
      <c r="B35" s="44">
        <f>'Statistics NZ'!B$35*'Economic Forecasts'!D$9*1000000/SUM('Statistics NZ'!B$30:B$110,'Statistics NZ'!B$130:B$210)</f>
        <v>29077.872293952045</v>
      </c>
      <c r="C35" s="44">
        <f>'Statistics NZ'!C$35*'Economic Forecasts'!E$9*1000000/SUM('Statistics NZ'!C$30:C$110,'Statistics NZ'!C$130:C$210)</f>
        <v>28507.687183426555</v>
      </c>
      <c r="D35" s="44">
        <f>'Statistics NZ'!D$35*'Economic Forecasts'!F$9*1000000/SUM('Statistics NZ'!D$30:D$110,'Statistics NZ'!D$130:D$210)</f>
        <v>29536.930183340068</v>
      </c>
      <c r="E35" s="44">
        <f>'Statistics NZ'!E$35*'Economic Forecasts'!G$9*1000000/SUM('Statistics NZ'!E$30:E$110,'Statistics NZ'!E$130:E$210)</f>
        <v>29960.454983771582</v>
      </c>
      <c r="F35" s="44">
        <f>'Statistics NZ'!F$35*'Economic Forecasts'!H$9*1000000/SUM('Statistics NZ'!F$30:F$110,'Statistics NZ'!F$130:F$210)</f>
        <v>31584.436937002363</v>
      </c>
      <c r="G35" s="44">
        <f>'Statistics NZ'!G$35*'Economic Forecasts'!I$9*1000000/SUM('Statistics NZ'!G$30:G$110,'Statistics NZ'!G$130:G$210)</f>
        <v>32198.064066611765</v>
      </c>
      <c r="H35" s="44">
        <f>'Statistics NZ'!H$35*'Economic Forecasts'!J$9*1000000/SUM('Statistics NZ'!H$30:H$110,'Statistics NZ'!H$130:H$210)</f>
        <v>31027.783098019816</v>
      </c>
      <c r="I35" s="44">
        <f>'Statistics NZ'!I$35*'Economic Forecasts'!K$9*1000000/SUM('Statistics NZ'!I$30:I$110,'Statistics NZ'!I$130:I$210)</f>
        <v>30969.431213224998</v>
      </c>
      <c r="J35" s="44">
        <f>'Statistics NZ'!J$35*'Economic Forecasts'!L$9*1000000/SUM('Statistics NZ'!J$30:J$110,'Statistics NZ'!J$130:J$210)</f>
        <v>30455.128247807053</v>
      </c>
      <c r="K35" s="44">
        <f>'Statistics NZ'!K$35*'Economic Forecasts'!M$9*1000000/SUM('Statistics NZ'!K$30:K$110,'Statistics NZ'!K$130:K$210)</f>
        <v>30815.134218920077</v>
      </c>
      <c r="L35" s="44">
        <f>'Statistics NZ'!L$35*'Economic Forecasts'!N$9*1000000/SUM('Statistics NZ'!L$30:L$110,'Statistics NZ'!L$130:L$210)</f>
        <v>30962.435776657137</v>
      </c>
      <c r="M35" s="44">
        <f>'Statistics NZ'!M$35*'Economic Forecasts'!O$9*1000000/SUM('Statistics NZ'!M$30:M$110,'Statistics NZ'!M$130:M$210)</f>
        <v>31086.783964836344</v>
      </c>
      <c r="N35" s="44">
        <f>'Statistics NZ'!N$35*'Economic Forecasts'!P$9*1000000/SUM('Statistics NZ'!N$30:N$110,'Statistics NZ'!N$130:N$210)</f>
        <v>31165.015654478597</v>
      </c>
      <c r="O35" s="44">
        <f>'Statistics NZ'!O$35*'Economic Forecasts'!Q$9*1000000/SUM('Statistics NZ'!O$30:O$110,'Statistics NZ'!O$130:O$210)</f>
        <v>30629.16603342045</v>
      </c>
      <c r="P35" s="44">
        <f>'Statistics NZ'!P$35*'Economic Forecasts'!R$9*1000000/SUM('Statistics NZ'!P$30:P$110,'Statistics NZ'!P$130:P$210)</f>
        <v>31815.01840335377</v>
      </c>
      <c r="Q35" s="44">
        <f>'Statistics NZ'!Q$35*'Economic Forecasts'!S$9*1000000/SUM('Statistics NZ'!Q$30:Q$110,'Statistics NZ'!Q$130:Q$210)</f>
        <v>31451.793006775551</v>
      </c>
      <c r="R35" s="44">
        <f>'Statistics NZ'!R$35*'Economic Forecasts'!T$9*1000000/SUM('Statistics NZ'!R$30:R$110,'Statistics NZ'!R$130:R$210)</f>
        <v>30391.934105214084</v>
      </c>
      <c r="S35" s="44">
        <f>'Statistics NZ'!S$35*'Economic Forecasts'!U$9*1000000/SUM('Statistics NZ'!S$30:S$110,'Statistics NZ'!S$130:S$210)</f>
        <v>30394.069699820811</v>
      </c>
      <c r="T35" s="44">
        <f>'Statistics NZ'!T$35*'Economic Forecasts'!V$9*1000000/SUM('Statistics NZ'!T$30:T$110,'Statistics NZ'!T$130:T$210)</f>
        <v>31776.43447516374</v>
      </c>
      <c r="U35" s="45">
        <f>SUM('Statistics NZ'!U$35,$F$12/5*(U$8-U$9)*1000)*'Economic Forecasts'!W$9*1000000/SUM('Statistics NZ'!U$30:U$110,'Statistics NZ'!U$130:U$210,SUM($E$12:$T$13)*(U$8-U$9)*1000)</f>
        <v>31704.647396507513</v>
      </c>
      <c r="V35" s="45">
        <f>SUM('Statistics NZ'!V$35,$F$12/5*(V$8-V$9)*1000)*'Economic Forecasts'!X$9*1000000/SUM('Statistics NZ'!V$30:V$110,'Statistics NZ'!V$130:V$210,SUM($E$12:$T$13)*(V$8-V$9)*1000)</f>
        <v>32324.662076202738</v>
      </c>
      <c r="W35" s="45">
        <f>SUM('Statistics NZ'!W$35,$F$12/5*(W$8-W$9)*1000)*'Economic Forecasts'!Y$9*1000000/SUM('Statistics NZ'!W$30:W$110,'Statistics NZ'!W$130:W$210,SUM($E$12:$T$13)*(W$8-W$9)*1000)</f>
        <v>34422.973772222278</v>
      </c>
      <c r="X35" s="45">
        <f>SUM('Statistics NZ'!X$35,$F$12/5*(X$8-X$9)*1000)*'Economic Forecasts'!Z$9*1000000/SUM('Statistics NZ'!X$30:X$110,'Statistics NZ'!X$130:X$210,SUM($E$12:$T$13)*(X$8-X$9)*1000)</f>
        <v>35512.749285930287</v>
      </c>
      <c r="Y35" s="45">
        <f>SUM('Statistics NZ'!Y$35,$F$12/5*(Y$8-Y$9)*1000)*'Economic Forecasts'!AA$9*1000000/SUM('Statistics NZ'!Y$30:Y$110,'Statistics NZ'!Y$130:Y$210,SUM($E$12:$T$13)*(Y$8-Y$9)*1000)</f>
        <v>34962.940066670737</v>
      </c>
      <c r="Z35" s="46">
        <f>SUM(Y$35,'Statistics NZ'!Z$35-'Statistics NZ'!Y$35,$F$12/5*(Z$8-Z$9)*1000)</f>
        <v>35979.426650223948</v>
      </c>
      <c r="AA35" s="46">
        <f>SUM(Z$35,'Statistics NZ'!AA$35-'Statistics NZ'!Z$35,$F$12/5*(AA$8-AA$9)*1000)</f>
        <v>36037.318600355873</v>
      </c>
      <c r="AB35" s="46">
        <f>SUM(AA$35,'Statistics NZ'!AB$35-'Statistics NZ'!AA$35,$F$12/5*(AB$8-AB$9)*1000)</f>
        <v>36156.334843750774</v>
      </c>
      <c r="AC35" s="46">
        <f>SUM(AB$35,'Statistics NZ'!AC$35-'Statistics NZ'!AB$35,$F$12/5*(AC$8-AC$9)*1000)</f>
        <v>36186.334843750774</v>
      </c>
      <c r="AD35" s="46">
        <f>SUM(AC$35,'Statistics NZ'!AD$35-'Statistics NZ'!AC$35,$F$12/5*(AD$8-AD$9)*1000)</f>
        <v>35366.334843750774</v>
      </c>
      <c r="AE35" s="46">
        <f>SUM(AD$35,'Statistics NZ'!AE$35-'Statistics NZ'!AD$35,$F$12/5*(AE$8-AE$9)*1000)</f>
        <v>35476.334843750774</v>
      </c>
      <c r="AF35" s="46">
        <f>SUM(AE$35,'Statistics NZ'!AF$35-'Statistics NZ'!AE$35,$F$12/5*(AF$8-AF$9)*1000)</f>
        <v>35086.334843750774</v>
      </c>
      <c r="AG35" s="46">
        <f>SUM(AF$35,'Statistics NZ'!AG$35-'Statistics NZ'!AF$35,$F$12/5*(AG$8-AG$9)*1000)</f>
        <v>35596.334843750774</v>
      </c>
      <c r="AH35" s="46">
        <f>SUM(AG$35,'Statistics NZ'!AH$35-'Statistics NZ'!AG$35,$F$12/5*(AH$8-AH$9)*1000)</f>
        <v>35026.334843750774</v>
      </c>
      <c r="AI35" s="46">
        <f>SUM(AH$35,'Statistics NZ'!AI$35-'Statistics NZ'!AH$35,$F$12/5*(AI$8-AI$9)*1000)</f>
        <v>35096.334843750774</v>
      </c>
      <c r="AJ35" s="46">
        <f>SUM(AI$35,'Statistics NZ'!AJ$35-'Statistics NZ'!AI$35,$F$12/5*(AJ$8-AJ$9)*1000)</f>
        <v>34816.334843750774</v>
      </c>
      <c r="AK35" s="46">
        <f>SUM(AJ$35,'Statistics NZ'!AK$35-'Statistics NZ'!AJ$35,$F$12/5*(AK$8-AK$9)*1000)</f>
        <v>35006.334843750774</v>
      </c>
      <c r="AL35" s="46">
        <f>SUM(AK$35,'Statistics NZ'!AL$35-'Statistics NZ'!AK$35,$F$12/5*(AL$8-AL$9)*1000)</f>
        <v>35346.334843750774</v>
      </c>
      <c r="AM35" s="46">
        <f>SUM(AL$35,'Statistics NZ'!AM$35-'Statistics NZ'!AL$35,$F$12/5*(AM$8-AM$9)*1000)</f>
        <v>32796.334843750774</v>
      </c>
      <c r="AN35" s="46">
        <f>SUM(AM$35,'Statistics NZ'!AN$35-'Statistics NZ'!AM$35,$F$12/5*(AN$8-AN$9)*1000)</f>
        <v>32986.334843750774</v>
      </c>
      <c r="AO35" s="46">
        <f>SUM(AN$35,'Statistics NZ'!AO$35-'Statistics NZ'!AN$35,$F$12/5*(AO$8-AO$9)*1000)</f>
        <v>33556.334843750774</v>
      </c>
      <c r="AP35" s="46">
        <f>SUM(AO$35,'Statistics NZ'!AP$35-'Statistics NZ'!AO$35,$F$12/5*(AP$8-AP$9)*1000)</f>
        <v>33636.334843750774</v>
      </c>
      <c r="AQ35" s="46">
        <f>SUM(AP$35,'Statistics NZ'!AQ$35-'Statistics NZ'!AP$35,$F$12/5*(AQ$8-AQ$9)*1000)</f>
        <v>33696.334843750774</v>
      </c>
      <c r="AR35" s="46">
        <f>SUM(AQ$35,'Statistics NZ'!AR$35-'Statistics NZ'!AQ$35,$F$12/5*(AR$8-AR$9)*1000)</f>
        <v>33726.334843750774</v>
      </c>
      <c r="AS35" s="46">
        <f>SUM(AR$35,'Statistics NZ'!AS$35-'Statistics NZ'!AR$35,$F$12/5*(AS$8-AS$9)*1000)</f>
        <v>33756.334843750774</v>
      </c>
      <c r="AT35" s="46">
        <f>SUM(AS$35,'Statistics NZ'!AT$35-'Statistics NZ'!AS$35,$F$12/5*(AT$8-AT$9)*1000)</f>
        <v>33786.334843750774</v>
      </c>
      <c r="AU35" s="46">
        <f>SUM(AT$35,'Statistics NZ'!AU$35-'Statistics NZ'!AT$35,$F$12/5*(AU$8-AU$9)*1000)</f>
        <v>33826.334843750774</v>
      </c>
      <c r="AV35" s="46">
        <f>SUM(AU$35,'Statistics NZ'!AV$35-'Statistics NZ'!AU$35,$F$12/5*(AV$8-AV$9)*1000)</f>
        <v>33886.334843750774</v>
      </c>
      <c r="AW35" s="46">
        <f>SUM(AV$35,'Statistics NZ'!AW$35-'Statistics NZ'!AV$35,$F$12/5*(AW$8-AW$9)*1000)</f>
        <v>33966.334843750774</v>
      </c>
      <c r="AX35" s="46">
        <f>SUM(AW$35,'Statistics NZ'!AX$35-'Statistics NZ'!AW$35,$F$12/5*(AX$8-AX$9)*1000)</f>
        <v>34086.334843750774</v>
      </c>
      <c r="AY35" s="46">
        <f>SUM(AX$35,'Statistics NZ'!AY$35-'Statistics NZ'!AX$35,$F$12/5*(AY$8-AY$9)*1000)</f>
        <v>34246.334843750774</v>
      </c>
      <c r="AZ35" s="46">
        <f>SUM(AY$35,'Statistics NZ'!AZ$35-'Statistics NZ'!AY$35,$F$12/5*(AZ$8-AZ$9)*1000)</f>
        <v>34436.334843750774</v>
      </c>
      <c r="BA35" s="46">
        <f>SUM(AZ$35,'Statistics NZ'!BA$35-'Statistics NZ'!AZ$35,$F$12/5*(BA$8-BA$9)*1000)</f>
        <v>34656.334843750774</v>
      </c>
      <c r="BB35" s="46">
        <f>SUM(BA$35,'Statistics NZ'!BB$35-'Statistics NZ'!BA$35,$F$12/5*(BB$8-BB$9)*1000)</f>
        <v>34906.334843750774</v>
      </c>
      <c r="BC35" s="46">
        <f>SUM(BB$35,'Statistics NZ'!BC$35-'Statistics NZ'!BB$35,$F$12/5*(BC$8-BC$9)*1000)</f>
        <v>35166.334843750774</v>
      </c>
      <c r="BD35" s="46">
        <f>SUM(BC$35,'Statistics NZ'!BD$35-'Statistics NZ'!BC$35,$F$12/5*(BD$8-BD$9)*1000)</f>
        <v>35426.334843750774</v>
      </c>
      <c r="BE35" s="46">
        <f>SUM(BD$35,'Statistics NZ'!BE$35-'Statistics NZ'!BD$35,$F$12/5*(BE$8-BE$9)*1000)</f>
        <v>35676.334843750774</v>
      </c>
      <c r="BF35" s="46">
        <f>SUM(BE$35,'Statistics NZ'!BF$35-'Statistics NZ'!BE$35,$F$12/5*(BF$8-BF$9)*1000)</f>
        <v>35896.334843750774</v>
      </c>
      <c r="BG35" s="46">
        <f>SUM(BF$35,'Statistics NZ'!BG$35-'Statistics NZ'!BF$35,$F$12/5*(BG$8-BG$9)*1000)</f>
        <v>36096.334843750774</v>
      </c>
      <c r="BH35" s="46">
        <f>SUM(BG$35,'Statistics NZ'!BH$35-'Statistics NZ'!BG$35,$F$12/5*(BH$8-BH$9)*1000)</f>
        <v>36266.334843750774</v>
      </c>
      <c r="BI35" s="46">
        <f>SUM(BH$35,'Statistics NZ'!BI$35-'Statistics NZ'!BH$35,$F$12/5*(BI$8-BI$9)*1000)</f>
        <v>36396.334843750774</v>
      </c>
    </row>
    <row r="36" spans="1:61" x14ac:dyDescent="0.25">
      <c r="A36" s="11">
        <v>21</v>
      </c>
      <c r="B36" s="44">
        <f>'Statistics NZ'!B$36*'Economic Forecasts'!D$9*1000000/SUM('Statistics NZ'!B$30:B$110,'Statistics NZ'!B$130:B$210)</f>
        <v>29009.384707795361</v>
      </c>
      <c r="C36" s="44">
        <f>'Statistics NZ'!C$36*'Economic Forecasts'!E$9*1000000/SUM('Statistics NZ'!C$30:C$110,'Statistics NZ'!C$130:C$210)</f>
        <v>28831.7497659457</v>
      </c>
      <c r="D36" s="44">
        <f>'Statistics NZ'!D$36*'Economic Forecasts'!F$9*1000000/SUM('Statistics NZ'!D$30:D$110,'Statistics NZ'!D$130:D$210)</f>
        <v>28250.153377880288</v>
      </c>
      <c r="E36" s="44">
        <f>'Statistics NZ'!E$36*'Economic Forecasts'!G$9*1000000/SUM('Statistics NZ'!E$30:E$110,'Statistics NZ'!E$130:E$210)</f>
        <v>29411.261700926665</v>
      </c>
      <c r="F36" s="44">
        <f>'Statistics NZ'!F$36*'Economic Forecasts'!H$9*1000000/SUM('Statistics NZ'!F$30:F$110,'Statistics NZ'!F$130:F$210)</f>
        <v>30054.259246886719</v>
      </c>
      <c r="G36" s="44">
        <f>'Statistics NZ'!G$36*'Economic Forecasts'!I$9*1000000/SUM('Statistics NZ'!G$30:G$110,'Statistics NZ'!G$130:G$210)</f>
        <v>31539.958425225868</v>
      </c>
      <c r="H36" s="44">
        <f>'Statistics NZ'!H$36*'Economic Forecasts'!J$9*1000000/SUM('Statistics NZ'!H$30:H$110,'Statistics NZ'!H$130:H$210)</f>
        <v>31882.570029472554</v>
      </c>
      <c r="I36" s="44">
        <f>'Statistics NZ'!I$36*'Economic Forecasts'!K$9*1000000/SUM('Statistics NZ'!I$30:I$110,'Statistics NZ'!I$130:I$210)</f>
        <v>30812.57432832104</v>
      </c>
      <c r="J36" s="44">
        <f>'Statistics NZ'!J$36*'Economic Forecasts'!L$9*1000000/SUM('Statistics NZ'!J$30:J$110,'Statistics NZ'!J$130:J$210)</f>
        <v>31049.993064687056</v>
      </c>
      <c r="K36" s="44">
        <f>'Statistics NZ'!K$36*'Economic Forecasts'!M$9*1000000/SUM('Statistics NZ'!K$30:K$110,'Statistics NZ'!K$130:K$210)</f>
        <v>30737.244464180309</v>
      </c>
      <c r="L36" s="44">
        <f>'Statistics NZ'!L$36*'Economic Forecasts'!N$9*1000000/SUM('Statistics NZ'!L$30:L$110,'Statistics NZ'!L$130:L$210)</f>
        <v>31410.320067766017</v>
      </c>
      <c r="M36" s="44">
        <f>'Statistics NZ'!M$36*'Economic Forecasts'!O$9*1000000/SUM('Statistics NZ'!M$30:M$110,'Statistics NZ'!M$130:M$210)</f>
        <v>31448.258196985604</v>
      </c>
      <c r="N36" s="44">
        <f>'Statistics NZ'!N$36*'Economic Forecasts'!P$9*1000000/SUM('Statistics NZ'!N$30:N$110,'Statistics NZ'!N$130:N$210)</f>
        <v>31409.639011264142</v>
      </c>
      <c r="O36" s="44">
        <f>'Statistics NZ'!O$36*'Economic Forecasts'!Q$9*1000000/SUM('Statistics NZ'!O$30:O$110,'Statistics NZ'!O$130:O$210)</f>
        <v>31464.95387060849</v>
      </c>
      <c r="P36" s="44">
        <f>'Statistics NZ'!P$36*'Economic Forecasts'!R$9*1000000/SUM('Statistics NZ'!P$30:P$110,'Statistics NZ'!P$130:P$210)</f>
        <v>30979.84960647759</v>
      </c>
      <c r="Q36" s="44">
        <f>'Statistics NZ'!Q$36*'Economic Forecasts'!S$9*1000000/SUM('Statistics NZ'!Q$30:Q$110,'Statistics NZ'!Q$130:Q$210)</f>
        <v>31938.57059911036</v>
      </c>
      <c r="R36" s="44">
        <f>'Statistics NZ'!R$36*'Economic Forecasts'!T$9*1000000/SUM('Statistics NZ'!R$30:R$110,'Statistics NZ'!R$130:R$210)</f>
        <v>31248.325433211598</v>
      </c>
      <c r="S36" s="44">
        <f>'Statistics NZ'!S$36*'Economic Forecasts'!U$9*1000000/SUM('Statistics NZ'!S$30:S$110,'Statistics NZ'!S$130:S$210)</f>
        <v>30570.893634726039</v>
      </c>
      <c r="T36" s="44">
        <f>'Statistics NZ'!T$36*'Economic Forecasts'!V$9*1000000/SUM('Statistics NZ'!T$30:T$110,'Statistics NZ'!T$130:T$210)</f>
        <v>30953.775691184139</v>
      </c>
      <c r="U36" s="45">
        <f>SUM('Statistics NZ'!U$36,$F$12/5*(U$8-U$9)*1000)*'Economic Forecasts'!W$9*1000000/SUM('Statistics NZ'!U$30:U$110,'Statistics NZ'!U$130:U$210,SUM($E$12:$T$13)*(U$8-U$9)*1000)</f>
        <v>31674.932551789607</v>
      </c>
      <c r="V36" s="45">
        <f>SUM('Statistics NZ'!V$36,$F$12/5*(V$8-V$9)*1000)*'Economic Forecasts'!X$9*1000000/SUM('Statistics NZ'!V$30:V$110,'Statistics NZ'!V$130:V$210,SUM($E$12:$T$13)*(V$8-V$9)*1000)</f>
        <v>31671.20808422532</v>
      </c>
      <c r="W36" s="45">
        <f>SUM('Statistics NZ'!W$36,$F$12/5*(W$8-W$9)*1000)*'Economic Forecasts'!Y$9*1000000/SUM('Statistics NZ'!W$30:W$110,'Statistics NZ'!W$130:W$210,SUM($E$12:$T$13)*(W$8-W$9)*1000)</f>
        <v>32323.538692314905</v>
      </c>
      <c r="X36" s="45">
        <f>SUM('Statistics NZ'!X$36,$F$12/5*(X$8-X$9)*1000)*'Economic Forecasts'!Z$9*1000000/SUM('Statistics NZ'!X$30:X$110,'Statistics NZ'!X$130:X$210,SUM($E$12:$T$13)*(X$8-X$9)*1000)</f>
        <v>34442.981085211482</v>
      </c>
      <c r="Y36" s="45">
        <f>SUM('Statistics NZ'!Y$36,$F$12/5*(Y$8-Y$9)*1000)*'Economic Forecasts'!AA$9*1000000/SUM('Statistics NZ'!Y$30:Y$110,'Statistics NZ'!Y$130:Y$210,SUM($E$12:$T$13)*(Y$8-Y$9)*1000)</f>
        <v>35557.474104445428</v>
      </c>
      <c r="Z36" s="46">
        <f>SUM(Y$36,'Statistics NZ'!Z$36-'Statistics NZ'!Y$36,$F$12/5*(Z$8-Z$9)*1000)</f>
        <v>34983.960687998639</v>
      </c>
      <c r="AA36" s="46">
        <f>SUM(Z$36,'Statistics NZ'!AA$36-'Statistics NZ'!Z$36,$F$12/5*(AA$8-AA$9)*1000)</f>
        <v>36011.852638130564</v>
      </c>
      <c r="AB36" s="46">
        <f>SUM(AA$36,'Statistics NZ'!AB$36-'Statistics NZ'!AA$36,$F$12/5*(AB$8-AB$9)*1000)</f>
        <v>36070.868881525465</v>
      </c>
      <c r="AC36" s="46">
        <f>SUM(AB$36,'Statistics NZ'!AC$36-'Statistics NZ'!AB$36,$F$12/5*(AC$8-AC$9)*1000)</f>
        <v>36190.868881525465</v>
      </c>
      <c r="AD36" s="46">
        <f>SUM(AC$36,'Statistics NZ'!AD$36-'Statistics NZ'!AC$36,$F$12/5*(AD$8-AD$9)*1000)</f>
        <v>36230.868881525465</v>
      </c>
      <c r="AE36" s="46">
        <f>SUM(AD$36,'Statistics NZ'!AE$36-'Statistics NZ'!AD$36,$F$12/5*(AE$8-AE$9)*1000)</f>
        <v>35410.868881525465</v>
      </c>
      <c r="AF36" s="46">
        <f>SUM(AE$36,'Statistics NZ'!AF$36-'Statistics NZ'!AE$36,$F$12/5*(AF$8-AF$9)*1000)</f>
        <v>35530.868881525465</v>
      </c>
      <c r="AG36" s="46">
        <f>SUM(AF$36,'Statistics NZ'!AG$36-'Statistics NZ'!AF$36,$F$12/5*(AG$8-AG$9)*1000)</f>
        <v>35130.868881525465</v>
      </c>
      <c r="AH36" s="46">
        <f>SUM(AG$36,'Statistics NZ'!AH$36-'Statistics NZ'!AG$36,$F$12/5*(AH$8-AH$9)*1000)</f>
        <v>35650.868881525465</v>
      </c>
      <c r="AI36" s="46">
        <f>SUM(AH$36,'Statistics NZ'!AI$36-'Statistics NZ'!AH$36,$F$12/5*(AI$8-AI$9)*1000)</f>
        <v>35080.868881525465</v>
      </c>
      <c r="AJ36" s="46">
        <f>SUM(AI$36,'Statistics NZ'!AJ$36-'Statistics NZ'!AI$36,$F$12/5*(AJ$8-AJ$9)*1000)</f>
        <v>35160.868881525465</v>
      </c>
      <c r="AK36" s="46">
        <f>SUM(AJ$36,'Statistics NZ'!AK$36-'Statistics NZ'!AJ$36,$F$12/5*(AK$8-AK$9)*1000)</f>
        <v>34870.868881525465</v>
      </c>
      <c r="AL36" s="46">
        <f>SUM(AK$36,'Statistics NZ'!AL$36-'Statistics NZ'!AK$36,$F$12/5*(AL$8-AL$9)*1000)</f>
        <v>35070.868881525465</v>
      </c>
      <c r="AM36" s="46">
        <f>SUM(AL$36,'Statistics NZ'!AM$36-'Statistics NZ'!AL$36,$F$12/5*(AM$8-AM$9)*1000)</f>
        <v>35410.868881525465</v>
      </c>
      <c r="AN36" s="46">
        <f>SUM(AM$36,'Statistics NZ'!AN$36-'Statistics NZ'!AM$36,$F$12/5*(AN$8-AN$9)*1000)</f>
        <v>32860.868881525465</v>
      </c>
      <c r="AO36" s="46">
        <f>SUM(AN$36,'Statistics NZ'!AO$36-'Statistics NZ'!AN$36,$F$12/5*(AO$8-AO$9)*1000)</f>
        <v>33050.868881525465</v>
      </c>
      <c r="AP36" s="46">
        <f>SUM(AO$36,'Statistics NZ'!AP$36-'Statistics NZ'!AO$36,$F$12/5*(AP$8-AP$9)*1000)</f>
        <v>33620.868881525465</v>
      </c>
      <c r="AQ36" s="46">
        <f>SUM(AP$36,'Statistics NZ'!AQ$36-'Statistics NZ'!AP$36,$F$12/5*(AQ$8-AQ$9)*1000)</f>
        <v>33710.868881525465</v>
      </c>
      <c r="AR36" s="46">
        <f>SUM(AQ$36,'Statistics NZ'!AR$36-'Statistics NZ'!AQ$36,$F$12/5*(AR$8-AR$9)*1000)</f>
        <v>33770.868881525465</v>
      </c>
      <c r="AS36" s="46">
        <f>SUM(AR$36,'Statistics NZ'!AS$36-'Statistics NZ'!AR$36,$F$12/5*(AS$8-AS$9)*1000)</f>
        <v>33800.868881525465</v>
      </c>
      <c r="AT36" s="46">
        <f>SUM(AS$36,'Statistics NZ'!AT$36-'Statistics NZ'!AS$36,$F$12/5*(AT$8-AT$9)*1000)</f>
        <v>33830.868881525465</v>
      </c>
      <c r="AU36" s="46">
        <f>SUM(AT$36,'Statistics NZ'!AU$36-'Statistics NZ'!AT$36,$F$12/5*(AU$8-AU$9)*1000)</f>
        <v>33860.868881525465</v>
      </c>
      <c r="AV36" s="46">
        <f>SUM(AU$36,'Statistics NZ'!AV$36-'Statistics NZ'!AU$36,$F$12/5*(AV$8-AV$9)*1000)</f>
        <v>33910.868881525465</v>
      </c>
      <c r="AW36" s="46">
        <f>SUM(AV$36,'Statistics NZ'!AW$36-'Statistics NZ'!AV$36,$F$12/5*(AW$8-AW$9)*1000)</f>
        <v>33970.868881525465</v>
      </c>
      <c r="AX36" s="46">
        <f>SUM(AW$36,'Statistics NZ'!AX$36-'Statistics NZ'!AW$36,$F$12/5*(AX$8-AX$9)*1000)</f>
        <v>34060.868881525465</v>
      </c>
      <c r="AY36" s="46">
        <f>SUM(AX$36,'Statistics NZ'!AY$36-'Statistics NZ'!AX$36,$F$12/5*(AY$8-AY$9)*1000)</f>
        <v>34180.868881525465</v>
      </c>
      <c r="AZ36" s="46">
        <f>SUM(AY$36,'Statistics NZ'!AZ$36-'Statistics NZ'!AY$36,$F$12/5*(AZ$8-AZ$9)*1000)</f>
        <v>34340.868881525465</v>
      </c>
      <c r="BA36" s="46">
        <f>SUM(AZ$36,'Statistics NZ'!BA$36-'Statistics NZ'!AZ$36,$F$12/5*(BA$8-BA$9)*1000)</f>
        <v>34530.868881525465</v>
      </c>
      <c r="BB36" s="46">
        <f>SUM(BA$36,'Statistics NZ'!BB$36-'Statistics NZ'!BA$36,$F$12/5*(BB$8-BB$9)*1000)</f>
        <v>34760.868881525465</v>
      </c>
      <c r="BC36" s="46">
        <f>SUM(BB$36,'Statistics NZ'!BC$36-'Statistics NZ'!BB$36,$F$12/5*(BC$8-BC$9)*1000)</f>
        <v>35000.868881525465</v>
      </c>
      <c r="BD36" s="46">
        <f>SUM(BC$36,'Statistics NZ'!BD$36-'Statistics NZ'!BC$36,$F$12/5*(BD$8-BD$9)*1000)</f>
        <v>35260.868881525465</v>
      </c>
      <c r="BE36" s="46">
        <f>SUM(BD$36,'Statistics NZ'!BE$36-'Statistics NZ'!BD$36,$F$12/5*(BE$8-BE$9)*1000)</f>
        <v>35530.868881525465</v>
      </c>
      <c r="BF36" s="46">
        <f>SUM(BE$36,'Statistics NZ'!BF$36-'Statistics NZ'!BE$36,$F$12/5*(BF$8-BF$9)*1000)</f>
        <v>35780.868881525465</v>
      </c>
      <c r="BG36" s="46">
        <f>SUM(BF$36,'Statistics NZ'!BG$36-'Statistics NZ'!BF$36,$F$12/5*(BG$8-BG$9)*1000)</f>
        <v>36010.868881525465</v>
      </c>
      <c r="BH36" s="46">
        <f>SUM(BG$36,'Statistics NZ'!BH$36-'Statistics NZ'!BG$36,$F$12/5*(BH$8-BH$9)*1000)</f>
        <v>36210.868881525465</v>
      </c>
      <c r="BI36" s="46">
        <f>SUM(BH$36,'Statistics NZ'!BI$36-'Statistics NZ'!BH$36,$F$12/5*(BI$8-BI$9)*1000)</f>
        <v>36370.868881525465</v>
      </c>
    </row>
    <row r="37" spans="1:61" x14ac:dyDescent="0.25">
      <c r="A37" s="11">
        <v>22</v>
      </c>
      <c r="B37" s="44">
        <f>'Statistics NZ'!B$37*'Economic Forecasts'!D$9*1000000/SUM('Statistics NZ'!B$30:B$110,'Statistics NZ'!B$130:B$210)</f>
        <v>28608.243131734784</v>
      </c>
      <c r="C37" s="44">
        <f>'Statistics NZ'!C$37*'Economic Forecasts'!E$9*1000000/SUM('Statistics NZ'!C$30:C$110,'Statistics NZ'!C$130:C$210)</f>
        <v>28537.147418201024</v>
      </c>
      <c r="D37" s="44">
        <f>'Statistics NZ'!D$37*'Economic Forecasts'!F$9*1000000/SUM('Statistics NZ'!D$30:D$110,'Statistics NZ'!D$130:D$210)</f>
        <v>28250.153377880288</v>
      </c>
      <c r="E37" s="44">
        <f>'Statistics NZ'!E$37*'Economic Forecasts'!G$9*1000000/SUM('Statistics NZ'!E$30:E$110,'Statistics NZ'!E$130:E$210)</f>
        <v>27950.01528764288</v>
      </c>
      <c r="F37" s="44">
        <f>'Statistics NZ'!F$37*'Economic Forecasts'!H$9*1000000/SUM('Statistics NZ'!F$30:F$110,'Statistics NZ'!F$130:F$210)</f>
        <v>29259.743907788212</v>
      </c>
      <c r="G37" s="44">
        <f>'Statistics NZ'!G$37*'Economic Forecasts'!I$9*1000000/SUM('Statistics NZ'!G$30:G$110,'Statistics NZ'!G$130:G$210)</f>
        <v>29683.511168182053</v>
      </c>
      <c r="H37" s="44">
        <f>'Statistics NZ'!H$37*'Economic Forecasts'!J$9*1000000/SUM('Statistics NZ'!H$30:H$110,'Statistics NZ'!H$130:H$210)</f>
        <v>30850.930629443392</v>
      </c>
      <c r="I37" s="44">
        <f>'Statistics NZ'!I$37*'Economic Forecasts'!K$9*1000000/SUM('Statistics NZ'!I$30:I$110,'Statistics NZ'!I$130:I$210)</f>
        <v>31440.001867936862</v>
      </c>
      <c r="J37" s="44">
        <f>'Statistics NZ'!J$37*'Economic Forecasts'!L$9*1000000/SUM('Statistics NZ'!J$30:J$110,'Statistics NZ'!J$130:J$210)</f>
        <v>30825.699773076565</v>
      </c>
      <c r="K37" s="44">
        <f>'Statistics NZ'!K$37*'Economic Forecasts'!M$9*1000000/SUM('Statistics NZ'!K$30:K$110,'Statistics NZ'!K$130:K$210)</f>
        <v>31311.681405386087</v>
      </c>
      <c r="L37" s="44">
        <f>'Statistics NZ'!L$37*'Economic Forecasts'!N$9*1000000/SUM('Statistics NZ'!L$30:L$110,'Statistics NZ'!L$130:L$210)</f>
        <v>31303.217302500852</v>
      </c>
      <c r="M37" s="44">
        <f>'Statistics NZ'!M$37*'Economic Forecasts'!O$9*1000000/SUM('Statistics NZ'!M$30:M$110,'Statistics NZ'!M$130:M$210)</f>
        <v>31946.506462921068</v>
      </c>
      <c r="N37" s="44">
        <f>'Statistics NZ'!N$37*'Economic Forecasts'!P$9*1000000/SUM('Statistics NZ'!N$30:N$110,'Statistics NZ'!N$130:N$210)</f>
        <v>31722.756907949642</v>
      </c>
      <c r="O37" s="44">
        <f>'Statistics NZ'!O$37*'Economic Forecasts'!Q$9*1000000/SUM('Statistics NZ'!O$30:O$110,'Statistics NZ'!O$130:O$210)</f>
        <v>31789.436207399143</v>
      </c>
      <c r="P37" s="44">
        <f>'Statistics NZ'!P$37*'Economic Forecasts'!R$9*1000000/SUM('Statistics NZ'!P$30:P$110,'Statistics NZ'!P$130:P$210)</f>
        <v>32001.703193243735</v>
      </c>
      <c r="Q37" s="44">
        <f>'Statistics NZ'!Q$37*'Economic Forecasts'!S$9*1000000/SUM('Statistics NZ'!Q$30:Q$110,'Statistics NZ'!Q$130:Q$210)</f>
        <v>30925.278468127697</v>
      </c>
      <c r="R37" s="44">
        <f>'Statistics NZ'!R$37*'Economic Forecasts'!T$9*1000000/SUM('Statistics NZ'!R$30:R$110,'Statistics NZ'!R$130:R$210)</f>
        <v>31656.605019815062</v>
      </c>
      <c r="S37" s="44">
        <f>'Statistics NZ'!S$37*'Economic Forecasts'!U$9*1000000/SUM('Statistics NZ'!S$30:S$110,'Statistics NZ'!S$130:S$210)</f>
        <v>31209.424510772689</v>
      </c>
      <c r="T37" s="44">
        <f>'Statistics NZ'!T$37*'Economic Forecasts'!V$9*1000000/SUM('Statistics NZ'!T$30:T$110,'Statistics NZ'!T$130:T$210)</f>
        <v>31072.714310554689</v>
      </c>
      <c r="U37" s="45">
        <f>SUM('Statistics NZ'!U$37,$F$12/5*(U$8-U$9)*1000)*'Economic Forecasts'!W$9*1000000/SUM('Statistics NZ'!U$30:U$110,'Statistics NZ'!U$130:U$210,SUM($E$12:$T$13)*(U$8-U$9)*1000)</f>
        <v>30833.011951448781</v>
      </c>
      <c r="V37" s="45">
        <f>SUM('Statistics NZ'!V$37,$F$12/5*(V$8-V$9)*1000)*'Economic Forecasts'!X$9*1000000/SUM('Statistics NZ'!V$30:V$110,'Statistics NZ'!V$130:V$210,SUM($E$12:$T$13)*(V$8-V$9)*1000)</f>
        <v>31621.703993924002</v>
      </c>
      <c r="W37" s="45">
        <f>SUM('Statistics NZ'!W$37,$F$12/5*(W$8-W$9)*1000)*'Economic Forecasts'!Y$9*1000000/SUM('Statistics NZ'!W$30:W$110,'Statistics NZ'!W$130:W$210,SUM($E$12:$T$13)*(W$8-W$9)*1000)</f>
        <v>31669.940978758834</v>
      </c>
      <c r="X37" s="45">
        <f>SUM('Statistics NZ'!X$37,$F$12/5*(X$8-X$9)*1000)*'Economic Forecasts'!Z$9*1000000/SUM('Statistics NZ'!X$30:X$110,'Statistics NZ'!X$130:X$210,SUM($E$12:$T$13)*(X$8-X$9)*1000)</f>
        <v>32352.970989362693</v>
      </c>
      <c r="Y37" s="45">
        <f>SUM('Statistics NZ'!Y$37,$F$12/5*(Y$8-Y$9)*1000)*'Economic Forecasts'!AA$9*1000000/SUM('Statistics NZ'!Y$30:Y$110,'Statistics NZ'!Y$130:Y$210,SUM($E$12:$T$13)*(Y$8-Y$9)*1000)</f>
        <v>34487.312836450983</v>
      </c>
      <c r="Z37" s="46">
        <f>SUM(Y$37,'Statistics NZ'!Z$37-'Statistics NZ'!Y$37,$F$12/5*(Z$8-Z$9)*1000)</f>
        <v>35603.799420004194</v>
      </c>
      <c r="AA37" s="46">
        <f>SUM(Z$37,'Statistics NZ'!AA$37-'Statistics NZ'!Z$37,$F$12/5*(AA$8-AA$9)*1000)</f>
        <v>35041.691370136119</v>
      </c>
      <c r="AB37" s="46">
        <f>SUM(AA$37,'Statistics NZ'!AB$37-'Statistics NZ'!AA$37,$F$12/5*(AB$8-AB$9)*1000)</f>
        <v>36070.70761353102</v>
      </c>
      <c r="AC37" s="46">
        <f>SUM(AB$37,'Statistics NZ'!AC$37-'Statistics NZ'!AB$37,$F$12/5*(AC$8-AC$9)*1000)</f>
        <v>36130.70761353102</v>
      </c>
      <c r="AD37" s="46">
        <f>SUM(AC$37,'Statistics NZ'!AD$37-'Statistics NZ'!AC$37,$F$12/5*(AD$8-AD$9)*1000)</f>
        <v>36250.70761353102</v>
      </c>
      <c r="AE37" s="46">
        <f>SUM(AD$37,'Statistics NZ'!AE$37-'Statistics NZ'!AD$37,$F$12/5*(AE$8-AE$9)*1000)</f>
        <v>36290.70761353102</v>
      </c>
      <c r="AF37" s="46">
        <f>SUM(AE$37,'Statistics NZ'!AF$37-'Statistics NZ'!AE$37,$F$12/5*(AF$8-AF$9)*1000)</f>
        <v>35480.70761353102</v>
      </c>
      <c r="AG37" s="46">
        <f>SUM(AF$37,'Statistics NZ'!AG$37-'Statistics NZ'!AF$37,$F$12/5*(AG$8-AG$9)*1000)</f>
        <v>35600.70761353102</v>
      </c>
      <c r="AH37" s="46">
        <f>SUM(AG$37,'Statistics NZ'!AH$37-'Statistics NZ'!AG$37,$F$12/5*(AH$8-AH$9)*1000)</f>
        <v>35200.70761353102</v>
      </c>
      <c r="AI37" s="46">
        <f>SUM(AH$37,'Statistics NZ'!AI$37-'Statistics NZ'!AH$37,$F$12/5*(AI$8-AI$9)*1000)</f>
        <v>35730.70761353102</v>
      </c>
      <c r="AJ37" s="46">
        <f>SUM(AI$37,'Statistics NZ'!AJ$37-'Statistics NZ'!AI$37,$F$12/5*(AJ$8-AJ$9)*1000)</f>
        <v>35160.70761353102</v>
      </c>
      <c r="AK37" s="46">
        <f>SUM(AJ$37,'Statistics NZ'!AK$37-'Statistics NZ'!AJ$37,$F$12/5*(AK$8-AK$9)*1000)</f>
        <v>35240.70761353102</v>
      </c>
      <c r="AL37" s="46">
        <f>SUM(AK$37,'Statistics NZ'!AL$37-'Statistics NZ'!AK$37,$F$12/5*(AL$8-AL$9)*1000)</f>
        <v>34960.70761353102</v>
      </c>
      <c r="AM37" s="46">
        <f>SUM(AL$37,'Statistics NZ'!AM$37-'Statistics NZ'!AL$37,$F$12/5*(AM$8-AM$9)*1000)</f>
        <v>35150.70761353102</v>
      </c>
      <c r="AN37" s="46">
        <f>SUM(AM$37,'Statistics NZ'!AN$37-'Statistics NZ'!AM$37,$F$12/5*(AN$8-AN$9)*1000)</f>
        <v>35500.70761353102</v>
      </c>
      <c r="AO37" s="46">
        <f>SUM(AN$37,'Statistics NZ'!AO$37-'Statistics NZ'!AN$37,$F$12/5*(AO$8-AO$9)*1000)</f>
        <v>32960.70761353102</v>
      </c>
      <c r="AP37" s="46">
        <f>SUM(AO$37,'Statistics NZ'!AP$37-'Statistics NZ'!AO$37,$F$12/5*(AP$8-AP$9)*1000)</f>
        <v>33150.70761353102</v>
      </c>
      <c r="AQ37" s="46">
        <f>SUM(AP$37,'Statistics NZ'!AQ$37-'Statistics NZ'!AP$37,$F$12/5*(AQ$8-AQ$9)*1000)</f>
        <v>33720.70761353102</v>
      </c>
      <c r="AR37" s="46">
        <f>SUM(AQ$37,'Statistics NZ'!AR$37-'Statistics NZ'!AQ$37,$F$12/5*(AR$8-AR$9)*1000)</f>
        <v>33810.70761353102</v>
      </c>
      <c r="AS37" s="46">
        <f>SUM(AR$37,'Statistics NZ'!AS$37-'Statistics NZ'!AR$37,$F$12/5*(AS$8-AS$9)*1000)</f>
        <v>33870.70761353102</v>
      </c>
      <c r="AT37" s="46">
        <f>SUM(AS$37,'Statistics NZ'!AT$37-'Statistics NZ'!AS$37,$F$12/5*(AT$8-AT$9)*1000)</f>
        <v>33910.70761353102</v>
      </c>
      <c r="AU37" s="46">
        <f>SUM(AT$37,'Statistics NZ'!AU$37-'Statistics NZ'!AT$37,$F$12/5*(AU$8-AU$9)*1000)</f>
        <v>33940.70761353102</v>
      </c>
      <c r="AV37" s="46">
        <f>SUM(AU$37,'Statistics NZ'!AV$37-'Statistics NZ'!AU$37,$F$12/5*(AV$8-AV$9)*1000)</f>
        <v>33980.70761353102</v>
      </c>
      <c r="AW37" s="46">
        <f>SUM(AV$37,'Statistics NZ'!AW$37-'Statistics NZ'!AV$37,$F$12/5*(AW$8-AW$9)*1000)</f>
        <v>34020.70761353102</v>
      </c>
      <c r="AX37" s="46">
        <f>SUM(AW$37,'Statistics NZ'!AX$37-'Statistics NZ'!AW$37,$F$12/5*(AX$8-AX$9)*1000)</f>
        <v>34090.70761353102</v>
      </c>
      <c r="AY37" s="46">
        <f>SUM(AX$37,'Statistics NZ'!AY$37-'Statistics NZ'!AX$37,$F$12/5*(AY$8-AY$9)*1000)</f>
        <v>34180.70761353102</v>
      </c>
      <c r="AZ37" s="46">
        <f>SUM(AY$37,'Statistics NZ'!AZ$37-'Statistics NZ'!AY$37,$F$12/5*(AZ$8-AZ$9)*1000)</f>
        <v>34300.70761353102</v>
      </c>
      <c r="BA37" s="46">
        <f>SUM(AZ$37,'Statistics NZ'!BA$37-'Statistics NZ'!AZ$37,$F$12/5*(BA$8-BA$9)*1000)</f>
        <v>34470.70761353102</v>
      </c>
      <c r="BB37" s="46">
        <f>SUM(BA$37,'Statistics NZ'!BB$37-'Statistics NZ'!BA$37,$F$12/5*(BB$8-BB$9)*1000)</f>
        <v>34660.70761353102</v>
      </c>
      <c r="BC37" s="46">
        <f>SUM(BB$37,'Statistics NZ'!BC$37-'Statistics NZ'!BB$37,$F$12/5*(BC$8-BC$9)*1000)</f>
        <v>34890.70761353102</v>
      </c>
      <c r="BD37" s="46">
        <f>SUM(BC$37,'Statistics NZ'!BD$37-'Statistics NZ'!BC$37,$F$12/5*(BD$8-BD$9)*1000)</f>
        <v>35140.70761353102</v>
      </c>
      <c r="BE37" s="46">
        <f>SUM(BD$37,'Statistics NZ'!BE$37-'Statistics NZ'!BD$37,$F$12/5*(BE$8-BE$9)*1000)</f>
        <v>35400.70761353102</v>
      </c>
      <c r="BF37" s="46">
        <f>SUM(BE$37,'Statistics NZ'!BF$37-'Statistics NZ'!BE$37,$F$12/5*(BF$8-BF$9)*1000)</f>
        <v>35670.70761353102</v>
      </c>
      <c r="BG37" s="46">
        <f>SUM(BF$37,'Statistics NZ'!BG$37-'Statistics NZ'!BF$37,$F$12/5*(BG$8-BG$9)*1000)</f>
        <v>35920.70761353102</v>
      </c>
      <c r="BH37" s="46">
        <f>SUM(BG$37,'Statistics NZ'!BH$37-'Statistics NZ'!BG$37,$F$12/5*(BH$8-BH$9)*1000)</f>
        <v>36150.70761353102</v>
      </c>
      <c r="BI37" s="46">
        <f>SUM(BH$37,'Statistics NZ'!BI$37-'Statistics NZ'!BH$37,$F$12/5*(BI$8-BI$9)*1000)</f>
        <v>36350.70761353102</v>
      </c>
    </row>
    <row r="38" spans="1:61" x14ac:dyDescent="0.25">
      <c r="A38" s="11">
        <v>23</v>
      </c>
      <c r="B38" s="44">
        <f>'Statistics NZ'!B$38*'Economic Forecasts'!D$9*1000000/SUM('Statistics NZ'!B$30:B$110,'Statistics NZ'!B$130:B$210)</f>
        <v>28256.021260071833</v>
      </c>
      <c r="C38" s="44">
        <f>'Statistics NZ'!C$38*'Economic Forecasts'!E$9*1000000/SUM('Statistics NZ'!C$30:C$110,'Statistics NZ'!C$130:C$210)</f>
        <v>28134.524209616626</v>
      </c>
      <c r="D38" s="44">
        <f>'Statistics NZ'!D$38*'Economic Forecasts'!F$9*1000000/SUM('Statistics NZ'!D$30:D$110,'Statistics NZ'!D$130:D$210)</f>
        <v>28014.408008941096</v>
      </c>
      <c r="E38" s="44">
        <f>'Statistics NZ'!E$38*'Economic Forecasts'!G$9*1000000/SUM('Statistics NZ'!E$30:E$110,'Statistics NZ'!E$130:E$210)</f>
        <v>27832.331012747545</v>
      </c>
      <c r="F38" s="44">
        <f>'Statistics NZ'!F$38*'Economic Forecasts'!H$9*1000000/SUM('Statistics NZ'!F$30:F$110,'Statistics NZ'!F$130:F$210)</f>
        <v>27857.081025182208</v>
      </c>
      <c r="G38" s="44">
        <f>'Statistics NZ'!G$38*'Economic Forecasts'!I$9*1000000/SUM('Statistics NZ'!G$30:G$110,'Statistics NZ'!G$130:G$210)</f>
        <v>28917.358331941748</v>
      </c>
      <c r="H38" s="44">
        <f>'Statistics NZ'!H$38*'Economic Forecasts'!J$9*1000000/SUM('Statistics NZ'!H$30:H$110,'Statistics NZ'!H$130:H$210)</f>
        <v>29210.132726539876</v>
      </c>
      <c r="I38" s="44">
        <f>'Statistics NZ'!I$38*'Economic Forecasts'!K$9*1000000/SUM('Statistics NZ'!I$30:I$110,'Statistics NZ'!I$130:I$210)</f>
        <v>30420.432116061147</v>
      </c>
      <c r="J38" s="44">
        <f>'Statistics NZ'!J$38*'Economic Forecasts'!L$9*1000000/SUM('Statistics NZ'!J$30:J$110,'Statistics NZ'!J$130:J$210)</f>
        <v>31576.594705859508</v>
      </c>
      <c r="K38" s="44">
        <f>'Statistics NZ'!K$38*'Economic Forecasts'!M$9*1000000/SUM('Statistics NZ'!K$30:K$110,'Statistics NZ'!K$130:K$210)</f>
        <v>31691.393959742451</v>
      </c>
      <c r="L38" s="44">
        <f>'Statistics NZ'!L$38*'Economic Forecasts'!N$9*1000000/SUM('Statistics NZ'!L$30:L$110,'Statistics NZ'!L$130:L$210)</f>
        <v>32276.878804911452</v>
      </c>
      <c r="M38" s="44">
        <f>'Statistics NZ'!M$38*'Economic Forecasts'!O$9*1000000/SUM('Statistics NZ'!M$30:M$110,'Statistics NZ'!M$130:M$210)</f>
        <v>32229.824104335356</v>
      </c>
      <c r="N38" s="44">
        <f>'Statistics NZ'!N$38*'Economic Forecasts'!P$9*1000000/SUM('Statistics NZ'!N$30:N$110,'Statistics NZ'!N$130:N$210)</f>
        <v>32534.906452477655</v>
      </c>
      <c r="O38" s="44">
        <f>'Statistics NZ'!O$38*'Economic Forecasts'!Q$9*1000000/SUM('Statistics NZ'!O$30:O$110,'Statistics NZ'!O$130:O$210)</f>
        <v>32310.574505881094</v>
      </c>
      <c r="P38" s="44">
        <f>'Statistics NZ'!P$38*'Economic Forecasts'!R$9*1000000/SUM('Statistics NZ'!P$30:P$110,'Statistics NZ'!P$130:P$210)</f>
        <v>32571.583078171017</v>
      </c>
      <c r="Q38" s="44">
        <f>'Statistics NZ'!Q$38*'Economic Forecasts'!S$9*1000000/SUM('Statistics NZ'!Q$30:Q$110,'Statistics NZ'!Q$130:Q$210)</f>
        <v>31948.504835688618</v>
      </c>
      <c r="R38" s="44">
        <f>'Statistics NZ'!R$38*'Economic Forecasts'!T$9*1000000/SUM('Statistics NZ'!R$30:R$110,'Statistics NZ'!R$130:R$210)</f>
        <v>30481.556453492893</v>
      </c>
      <c r="S38" s="44">
        <f>'Statistics NZ'!S$38*'Economic Forecasts'!U$9*1000000/SUM('Statistics NZ'!S$30:S$110,'Statistics NZ'!S$130:S$210)</f>
        <v>31877.426042636886</v>
      </c>
      <c r="T38" s="44">
        <f>'Statistics NZ'!T$38*'Economic Forecasts'!V$9*1000000/SUM('Statistics NZ'!T$30:T$110,'Statistics NZ'!T$130:T$210)</f>
        <v>31895.373094534283</v>
      </c>
      <c r="U38" s="45">
        <f>SUM('Statistics NZ'!U$38,$F$12/5*(U$8-U$9)*1000)*'Economic Forecasts'!W$9*1000000/SUM('Statistics NZ'!U$30:U$110,'Statistics NZ'!U$130:U$210,SUM($E$12:$T$13)*(U$8-U$9)*1000)</f>
        <v>31001.396071516949</v>
      </c>
      <c r="V38" s="45">
        <f>SUM('Statistics NZ'!V$38,$F$12/5*(V$8-V$9)*1000)*'Economic Forecasts'!X$9*1000000/SUM('Statistics NZ'!V$30:V$110,'Statistics NZ'!V$130:V$210,SUM($E$12:$T$13)*(V$8-V$9)*1000)</f>
        <v>30839.539367163154</v>
      </c>
      <c r="W38" s="45">
        <f>SUM('Statistics NZ'!W$38,$F$12/5*(W$8-W$9)*1000)*'Economic Forecasts'!Y$9*1000000/SUM('Statistics NZ'!W$30:W$110,'Statistics NZ'!W$130:W$210,SUM($E$12:$T$13)*(W$8-W$9)*1000)</f>
        <v>31679.843974418767</v>
      </c>
      <c r="X38" s="45">
        <f>SUM('Statistics NZ'!X$38,$F$12/5*(X$8-X$9)*1000)*'Economic Forecasts'!Z$9*1000000/SUM('Statistics NZ'!X$30:X$110,'Statistics NZ'!X$130:X$210,SUM($E$12:$T$13)*(X$8-X$9)*1000)</f>
        <v>31748.750061178922</v>
      </c>
      <c r="Y38" s="45">
        <f>SUM('Statistics NZ'!Y$38,$F$12/5*(Y$8-Y$9)*1000)*'Economic Forecasts'!AA$9*1000000/SUM('Statistics NZ'!Y$30:Y$110,'Statistics NZ'!Y$130:Y$210,SUM($E$12:$T$13)*(Y$8-Y$9)*1000)</f>
        <v>32455.988207387458</v>
      </c>
      <c r="Z38" s="46">
        <f>SUM(Y$38,'Statistics NZ'!Z$38-'Statistics NZ'!Y$38,$F$12/5*(Z$8-Z$9)*1000)</f>
        <v>34602.474790940672</v>
      </c>
      <c r="AA38" s="46">
        <f>SUM(Z$38,'Statistics NZ'!AA$38-'Statistics NZ'!Z$38,$F$12/5*(AA$8-AA$9)*1000)</f>
        <v>35730.366741072598</v>
      </c>
      <c r="AB38" s="46">
        <f>SUM(AA$38,'Statistics NZ'!AB$38-'Statistics NZ'!AA$38,$F$12/5*(AB$8-AB$9)*1000)</f>
        <v>35169.382984467498</v>
      </c>
      <c r="AC38" s="46">
        <f>SUM(AB$38,'Statistics NZ'!AC$38-'Statistics NZ'!AB$38,$F$12/5*(AC$8-AC$9)*1000)</f>
        <v>36209.382984467498</v>
      </c>
      <c r="AD38" s="46">
        <f>SUM(AC$38,'Statistics NZ'!AD$38-'Statistics NZ'!AC$38,$F$12/5*(AD$8-AD$9)*1000)</f>
        <v>36269.382984467498</v>
      </c>
      <c r="AE38" s="46">
        <f>SUM(AD$38,'Statistics NZ'!AE$38-'Statistics NZ'!AD$38,$F$12/5*(AE$8-AE$9)*1000)</f>
        <v>36399.382984467498</v>
      </c>
      <c r="AF38" s="46">
        <f>SUM(AE$38,'Statistics NZ'!AF$38-'Statistics NZ'!AE$38,$F$12/5*(AF$8-AF$9)*1000)</f>
        <v>36439.382984467498</v>
      </c>
      <c r="AG38" s="46">
        <f>SUM(AF$38,'Statistics NZ'!AG$38-'Statistics NZ'!AF$38,$F$12/5*(AG$8-AG$9)*1000)</f>
        <v>35629.382984467498</v>
      </c>
      <c r="AH38" s="46">
        <f>SUM(AG$38,'Statistics NZ'!AH$38-'Statistics NZ'!AG$38,$F$12/5*(AH$8-AH$9)*1000)</f>
        <v>35749.382984467498</v>
      </c>
      <c r="AI38" s="46">
        <f>SUM(AH$38,'Statistics NZ'!AI$38-'Statistics NZ'!AH$38,$F$12/5*(AI$8-AI$9)*1000)</f>
        <v>35359.382984467498</v>
      </c>
      <c r="AJ38" s="46">
        <f>SUM(AI$38,'Statistics NZ'!AJ$38-'Statistics NZ'!AI$38,$F$12/5*(AJ$8-AJ$9)*1000)</f>
        <v>35889.382984467498</v>
      </c>
      <c r="AK38" s="46">
        <f>SUM(AJ$38,'Statistics NZ'!AK$38-'Statistics NZ'!AJ$38,$F$12/5*(AK$8-AK$9)*1000)</f>
        <v>35319.382984467498</v>
      </c>
      <c r="AL38" s="46">
        <f>SUM(AK$38,'Statistics NZ'!AL$38-'Statistics NZ'!AK$38,$F$12/5*(AL$8-AL$9)*1000)</f>
        <v>35399.382984467498</v>
      </c>
      <c r="AM38" s="46">
        <f>SUM(AL$38,'Statistics NZ'!AM$38-'Statistics NZ'!AL$38,$F$12/5*(AM$8-AM$9)*1000)</f>
        <v>35129.382984467498</v>
      </c>
      <c r="AN38" s="46">
        <f>SUM(AM$38,'Statistics NZ'!AN$38-'Statistics NZ'!AM$38,$F$12/5*(AN$8-AN$9)*1000)</f>
        <v>35319.382984467498</v>
      </c>
      <c r="AO38" s="46">
        <f>SUM(AN$38,'Statistics NZ'!AO$38-'Statistics NZ'!AN$38,$F$12/5*(AO$8-AO$9)*1000)</f>
        <v>35669.382984467498</v>
      </c>
      <c r="AP38" s="46">
        <f>SUM(AO$38,'Statistics NZ'!AP$38-'Statistics NZ'!AO$38,$F$12/5*(AP$8-AP$9)*1000)</f>
        <v>33129.382984467498</v>
      </c>
      <c r="AQ38" s="46">
        <f>SUM(AP$38,'Statistics NZ'!AQ$38-'Statistics NZ'!AP$38,$F$12/5*(AQ$8-AQ$9)*1000)</f>
        <v>33329.382984467498</v>
      </c>
      <c r="AR38" s="46">
        <f>SUM(AQ$38,'Statistics NZ'!AR$38-'Statistics NZ'!AQ$38,$F$12/5*(AR$8-AR$9)*1000)</f>
        <v>33899.382984467498</v>
      </c>
      <c r="AS38" s="46">
        <f>SUM(AR$38,'Statistics NZ'!AS$38-'Statistics NZ'!AR$38,$F$12/5*(AS$8-AS$9)*1000)</f>
        <v>33999.382984467498</v>
      </c>
      <c r="AT38" s="46">
        <f>SUM(AS$38,'Statistics NZ'!AT$38-'Statistics NZ'!AS$38,$F$12/5*(AT$8-AT$9)*1000)</f>
        <v>34059.382984467498</v>
      </c>
      <c r="AU38" s="46">
        <f>SUM(AT$38,'Statistics NZ'!AU$38-'Statistics NZ'!AT$38,$F$12/5*(AU$8-AU$9)*1000)</f>
        <v>34099.382984467498</v>
      </c>
      <c r="AV38" s="46">
        <f>SUM(AU$38,'Statistics NZ'!AV$38-'Statistics NZ'!AU$38,$F$12/5*(AV$8-AV$9)*1000)</f>
        <v>34139.382984467498</v>
      </c>
      <c r="AW38" s="46">
        <f>SUM(AV$38,'Statistics NZ'!AW$38-'Statistics NZ'!AV$38,$F$12/5*(AW$8-AW$9)*1000)</f>
        <v>34179.382984467498</v>
      </c>
      <c r="AX38" s="46">
        <f>SUM(AW$38,'Statistics NZ'!AX$38-'Statistics NZ'!AW$38,$F$12/5*(AX$8-AX$9)*1000)</f>
        <v>34219.382984467498</v>
      </c>
      <c r="AY38" s="46">
        <f>SUM(AX$38,'Statistics NZ'!AY$38-'Statistics NZ'!AX$38,$F$12/5*(AY$8-AY$9)*1000)</f>
        <v>34289.382984467498</v>
      </c>
      <c r="AZ38" s="46">
        <f>SUM(AY$38,'Statistics NZ'!AZ$38-'Statistics NZ'!AY$38,$F$12/5*(AZ$8-AZ$9)*1000)</f>
        <v>34389.382984467498</v>
      </c>
      <c r="BA38" s="46">
        <f>SUM(AZ$38,'Statistics NZ'!BA$38-'Statistics NZ'!AZ$38,$F$12/5*(BA$8-BA$9)*1000)</f>
        <v>34519.382984467498</v>
      </c>
      <c r="BB38" s="46">
        <f>SUM(BA$38,'Statistics NZ'!BB$38-'Statistics NZ'!BA$38,$F$12/5*(BB$8-BB$9)*1000)</f>
        <v>34679.382984467498</v>
      </c>
      <c r="BC38" s="46">
        <f>SUM(BB$38,'Statistics NZ'!BC$38-'Statistics NZ'!BB$38,$F$12/5*(BC$8-BC$9)*1000)</f>
        <v>34879.382984467498</v>
      </c>
      <c r="BD38" s="46">
        <f>SUM(BC$38,'Statistics NZ'!BD$38-'Statistics NZ'!BC$38,$F$12/5*(BD$8-BD$9)*1000)</f>
        <v>35109.382984467498</v>
      </c>
      <c r="BE38" s="46">
        <f>SUM(BD$38,'Statistics NZ'!BE$38-'Statistics NZ'!BD$38,$F$12/5*(BE$8-BE$9)*1000)</f>
        <v>35359.382984467498</v>
      </c>
      <c r="BF38" s="46">
        <f>SUM(BE$38,'Statistics NZ'!BF$38-'Statistics NZ'!BE$38,$F$12/5*(BF$8-BF$9)*1000)</f>
        <v>35629.382984467498</v>
      </c>
      <c r="BG38" s="46">
        <f>SUM(BF$38,'Statistics NZ'!BG$38-'Statistics NZ'!BF$38,$F$12/5*(BG$8-BG$9)*1000)</f>
        <v>35899.382984467498</v>
      </c>
      <c r="BH38" s="46">
        <f>SUM(BG$38,'Statistics NZ'!BH$38-'Statistics NZ'!BG$38,$F$12/5*(BH$8-BH$9)*1000)</f>
        <v>36149.382984467498</v>
      </c>
      <c r="BI38" s="46">
        <f>SUM(BH$38,'Statistics NZ'!BI$38-'Statistics NZ'!BH$38,$F$12/5*(BI$8-BI$9)*1000)</f>
        <v>36389.382984467498</v>
      </c>
    </row>
    <row r="39" spans="1:61" x14ac:dyDescent="0.25">
      <c r="A39" s="11">
        <v>24</v>
      </c>
      <c r="B39" s="44">
        <f>'Statistics NZ'!B$39*'Economic Forecasts'!D$9*1000000/SUM('Statistics NZ'!B$30:B$110,'Statistics NZ'!B$130:B$210)</f>
        <v>27258.059290360161</v>
      </c>
      <c r="C39" s="44">
        <f>'Statistics NZ'!C$39*'Economic Forecasts'!E$9*1000000/SUM('Statistics NZ'!C$30:C$110,'Statistics NZ'!C$130:C$210)</f>
        <v>27928.302566195354</v>
      </c>
      <c r="D39" s="44">
        <f>'Statistics NZ'!D$39*'Economic Forecasts'!F$9*1000000/SUM('Statistics NZ'!D$30:D$110,'Statistics NZ'!D$130:D$210)</f>
        <v>27749.194468884503</v>
      </c>
      <c r="E39" s="44">
        <f>'Statistics NZ'!E$39*'Economic Forecasts'!G$9*1000000/SUM('Statistics NZ'!E$30:E$110,'Statistics NZ'!E$130:E$210)</f>
        <v>27763.681852391928</v>
      </c>
      <c r="F39" s="44">
        <f>'Statistics NZ'!F$39*'Economic Forecasts'!H$9*1000000/SUM('Statistics NZ'!F$30:F$110,'Statistics NZ'!F$130:F$210)</f>
        <v>27709.948554978779</v>
      </c>
      <c r="G39" s="44">
        <f>'Statistics NZ'!G$39*'Economic Forecasts'!I$9*1000000/SUM('Statistics NZ'!G$30:G$110,'Statistics NZ'!G$130:G$210)</f>
        <v>27679.726827245871</v>
      </c>
      <c r="H39" s="44">
        <f>'Statistics NZ'!H$39*'Economic Forecasts'!J$9*1000000/SUM('Statistics NZ'!H$30:H$110,'Statistics NZ'!H$130:H$210)</f>
        <v>28630.449635094919</v>
      </c>
      <c r="I39" s="44">
        <f>'Statistics NZ'!I$39*'Economic Forecasts'!K$9*1000000/SUM('Statistics NZ'!I$30:I$110,'Statistics NZ'!I$130:I$210)</f>
        <v>29038.130817845027</v>
      </c>
      <c r="J39" s="44">
        <f>'Statistics NZ'!J$39*'Economic Forecasts'!L$9*1000000/SUM('Statistics NZ'!J$30:J$110,'Statistics NZ'!J$130:J$210)</f>
        <v>30864.707302052302</v>
      </c>
      <c r="K39" s="44">
        <f>'Statistics NZ'!K$39*'Economic Forecasts'!M$9*1000000/SUM('Statistics NZ'!K$30:K$110,'Statistics NZ'!K$130:K$210)</f>
        <v>32470.291507140111</v>
      </c>
      <c r="L39" s="44">
        <f>'Statistics NZ'!L$39*'Economic Forecasts'!N$9*1000000/SUM('Statistics NZ'!L$30:L$110,'Statistics NZ'!L$130:L$210)</f>
        <v>32968.178471622981</v>
      </c>
      <c r="M39" s="44">
        <f>'Statistics NZ'!M$39*'Economic Forecasts'!O$9*1000000/SUM('Statistics NZ'!M$30:M$110,'Statistics NZ'!M$130:M$210)</f>
        <v>33343.55552230875</v>
      </c>
      <c r="N39" s="44">
        <f>'Statistics NZ'!N$39*'Economic Forecasts'!P$9*1000000/SUM('Statistics NZ'!N$30:N$110,'Statistics NZ'!N$130:N$210)</f>
        <v>32936.088757605954</v>
      </c>
      <c r="O39" s="44">
        <f>'Statistics NZ'!O$39*'Economic Forecasts'!Q$9*1000000/SUM('Statistics NZ'!O$30:O$110,'Statistics NZ'!O$130:O$210)</f>
        <v>33087.365554561737</v>
      </c>
      <c r="P39" s="44">
        <f>'Statistics NZ'!P$39*'Economic Forecasts'!R$9*1000000/SUM('Statistics NZ'!P$30:P$110,'Statistics NZ'!P$130:P$210)</f>
        <v>33328.147752988261</v>
      </c>
      <c r="Q39" s="44">
        <f>'Statistics NZ'!Q$39*'Economic Forecasts'!S$9*1000000/SUM('Statistics NZ'!Q$30:Q$110,'Statistics NZ'!Q$130:Q$210)</f>
        <v>32494.887847492995</v>
      </c>
      <c r="R39" s="44">
        <f>'Statistics NZ'!R$39*'Economic Forecasts'!T$9*1000000/SUM('Statistics NZ'!R$30:R$110,'Statistics NZ'!R$130:R$210)</f>
        <v>31497.276400652736</v>
      </c>
      <c r="S39" s="44">
        <f>'Statistics NZ'!S$39*'Economic Forecasts'!U$9*1000000/SUM('Statistics NZ'!S$30:S$110,'Statistics NZ'!S$130:S$210)</f>
        <v>30728.070465752906</v>
      </c>
      <c r="T39" s="44">
        <f>'Statistics NZ'!T$39*'Economic Forecasts'!V$9*1000000/SUM('Statistics NZ'!T$30:T$110,'Statistics NZ'!T$130:T$210)</f>
        <v>32519.800846229649</v>
      </c>
      <c r="U39" s="45">
        <f>SUM('Statistics NZ'!U$39,$F$12/5*(U$8-U$9)*1000)*'Economic Forecasts'!W$9*1000000/SUM('Statistics NZ'!U$30:U$110,'Statistics NZ'!U$130:U$210,SUM($E$12:$T$13)*(U$8-U$9)*1000)</f>
        <v>31972.080998968722</v>
      </c>
      <c r="V39" s="45">
        <f>SUM('Statistics NZ'!V$39,$F$12/5*(V$8-V$9)*1000)*'Economic Forecasts'!X$9*1000000/SUM('Statistics NZ'!V$30:V$110,'Statistics NZ'!V$130:V$210,SUM($E$12:$T$13)*(V$8-V$9)*1000)</f>
        <v>31166.266363151863</v>
      </c>
      <c r="W39" s="45">
        <f>SUM('Statistics NZ'!W$39,$F$12/5*(W$8-W$9)*1000)*'Economic Forecasts'!Y$9*1000000/SUM('Statistics NZ'!W$30:W$110,'Statistics NZ'!W$130:W$210,SUM($E$12:$T$13)*(W$8-W$9)*1000)</f>
        <v>31055.955247842525</v>
      </c>
      <c r="X39" s="45">
        <f>SUM('Statistics NZ'!X$39,$F$12/5*(X$8-X$9)*1000)*'Economic Forecasts'!Z$9*1000000/SUM('Statistics NZ'!X$30:X$110,'Statistics NZ'!X$130:X$210,SUM($E$12:$T$13)*(X$8-X$9)*1000)</f>
        <v>31927.044761298715</v>
      </c>
      <c r="Y39" s="45">
        <f>SUM('Statistics NZ'!Y$39,$F$12/5*(Y$8-Y$9)*1000)*'Economic Forecasts'!AA$9*1000000/SUM('Statistics NZ'!Y$30:Y$110,'Statistics NZ'!Y$130:Y$210,SUM($E$12:$T$13)*(Y$8-Y$9)*1000)</f>
        <v>32029.905480315596</v>
      </c>
      <c r="Z39" s="46">
        <f>SUM(Y$39,'Statistics NZ'!Z$39-'Statistics NZ'!Y$39,$F$12/5*(Z$8-Z$9)*1000)</f>
        <v>32736.392063868807</v>
      </c>
      <c r="AA39" s="46">
        <f>SUM(Z$39,'Statistics NZ'!AA$39-'Statistics NZ'!Z$39,$F$12/5*(AA$8-AA$9)*1000)</f>
        <v>34894.284014000732</v>
      </c>
      <c r="AB39" s="46">
        <f>SUM(AA$39,'Statistics NZ'!AB$39-'Statistics NZ'!AA$39,$F$12/5*(AB$8-AB$9)*1000)</f>
        <v>36013.300257395633</v>
      </c>
      <c r="AC39" s="46">
        <f>SUM(AB$39,'Statistics NZ'!AC$39-'Statistics NZ'!AB$39,$F$12/5*(AC$8-AC$9)*1000)</f>
        <v>35463.300257395633</v>
      </c>
      <c r="AD39" s="46">
        <f>SUM(AC$39,'Statistics NZ'!AD$39-'Statistics NZ'!AC$39,$F$12/5*(AD$8-AD$9)*1000)</f>
        <v>36503.300257395633</v>
      </c>
      <c r="AE39" s="46">
        <f>SUM(AD$39,'Statistics NZ'!AE$39-'Statistics NZ'!AD$39,$F$12/5*(AE$8-AE$9)*1000)</f>
        <v>36563.300257395633</v>
      </c>
      <c r="AF39" s="46">
        <f>SUM(AE$39,'Statistics NZ'!AF$39-'Statistics NZ'!AE$39,$F$12/5*(AF$8-AF$9)*1000)</f>
        <v>36703.300257395633</v>
      </c>
      <c r="AG39" s="46">
        <f>SUM(AF$39,'Statistics NZ'!AG$39-'Statistics NZ'!AF$39,$F$12/5*(AG$8-AG$9)*1000)</f>
        <v>36743.300257395633</v>
      </c>
      <c r="AH39" s="46">
        <f>SUM(AG$39,'Statistics NZ'!AH$39-'Statistics NZ'!AG$39,$F$12/5*(AH$8-AH$9)*1000)</f>
        <v>35943.300257395633</v>
      </c>
      <c r="AI39" s="46">
        <f>SUM(AH$39,'Statistics NZ'!AI$39-'Statistics NZ'!AH$39,$F$12/5*(AI$8-AI$9)*1000)</f>
        <v>36063.300257395633</v>
      </c>
      <c r="AJ39" s="46">
        <f>SUM(AI$39,'Statistics NZ'!AJ$39-'Statistics NZ'!AI$39,$F$12/5*(AJ$8-AJ$9)*1000)</f>
        <v>35683.300257395633</v>
      </c>
      <c r="AK39" s="46">
        <f>SUM(AJ$39,'Statistics NZ'!AK$39-'Statistics NZ'!AJ$39,$F$12/5*(AK$8-AK$9)*1000)</f>
        <v>36213.300257395633</v>
      </c>
      <c r="AL39" s="46">
        <f>SUM(AK$39,'Statistics NZ'!AL$39-'Statistics NZ'!AK$39,$F$12/5*(AL$8-AL$9)*1000)</f>
        <v>35653.300257395633</v>
      </c>
      <c r="AM39" s="46">
        <f>SUM(AL$39,'Statistics NZ'!AM$39-'Statistics NZ'!AL$39,$F$12/5*(AM$8-AM$9)*1000)</f>
        <v>35733.300257395633</v>
      </c>
      <c r="AN39" s="46">
        <f>SUM(AM$39,'Statistics NZ'!AN$39-'Statistics NZ'!AM$39,$F$12/5*(AN$8-AN$9)*1000)</f>
        <v>35463.300257395633</v>
      </c>
      <c r="AO39" s="46">
        <f>SUM(AN$39,'Statistics NZ'!AO$39-'Statistics NZ'!AN$39,$F$12/5*(AO$8-AO$9)*1000)</f>
        <v>35663.300257395633</v>
      </c>
      <c r="AP39" s="46">
        <f>SUM(AO$39,'Statistics NZ'!AP$39-'Statistics NZ'!AO$39,$F$12/5*(AP$8-AP$9)*1000)</f>
        <v>36013.300257395633</v>
      </c>
      <c r="AQ39" s="46">
        <f>SUM(AP$39,'Statistics NZ'!AQ$39-'Statistics NZ'!AP$39,$F$12/5*(AQ$8-AQ$9)*1000)</f>
        <v>33483.300257395633</v>
      </c>
      <c r="AR39" s="46">
        <f>SUM(AQ$39,'Statistics NZ'!AR$39-'Statistics NZ'!AQ$39,$F$12/5*(AR$8-AR$9)*1000)</f>
        <v>33683.300257395633</v>
      </c>
      <c r="AS39" s="46">
        <f>SUM(AR$39,'Statistics NZ'!AS$39-'Statistics NZ'!AR$39,$F$12/5*(AS$8-AS$9)*1000)</f>
        <v>34253.300257395633</v>
      </c>
      <c r="AT39" s="46">
        <f>SUM(AS$39,'Statistics NZ'!AT$39-'Statistics NZ'!AS$39,$F$12/5*(AT$8-AT$9)*1000)</f>
        <v>34353.300257395633</v>
      </c>
      <c r="AU39" s="46">
        <f>SUM(AT$39,'Statistics NZ'!AU$39-'Statistics NZ'!AT$39,$F$12/5*(AU$8-AU$9)*1000)</f>
        <v>34423.300257395633</v>
      </c>
      <c r="AV39" s="46">
        <f>SUM(AU$39,'Statistics NZ'!AV$39-'Statistics NZ'!AU$39,$F$12/5*(AV$8-AV$9)*1000)</f>
        <v>34473.300257395633</v>
      </c>
      <c r="AW39" s="46">
        <f>SUM(AV$39,'Statistics NZ'!AW$39-'Statistics NZ'!AV$39,$F$12/5*(AW$8-AW$9)*1000)</f>
        <v>34503.300257395633</v>
      </c>
      <c r="AX39" s="46">
        <f>SUM(AW$39,'Statistics NZ'!AX$39-'Statistics NZ'!AW$39,$F$12/5*(AX$8-AX$9)*1000)</f>
        <v>34543.300257395633</v>
      </c>
      <c r="AY39" s="46">
        <f>SUM(AX$39,'Statistics NZ'!AY$39-'Statistics NZ'!AX$39,$F$12/5*(AY$8-AY$9)*1000)</f>
        <v>34603.300257395633</v>
      </c>
      <c r="AZ39" s="46">
        <f>SUM(AY$39,'Statistics NZ'!AZ$39-'Statistics NZ'!AY$39,$F$12/5*(AZ$8-AZ$9)*1000)</f>
        <v>34673.300257395633</v>
      </c>
      <c r="BA39" s="46">
        <f>SUM(AZ$39,'Statistics NZ'!BA$39-'Statistics NZ'!AZ$39,$F$12/5*(BA$8-BA$9)*1000)</f>
        <v>34773.300257395633</v>
      </c>
      <c r="BB39" s="46">
        <f>SUM(BA$39,'Statistics NZ'!BB$39-'Statistics NZ'!BA$39,$F$12/5*(BB$8-BB$9)*1000)</f>
        <v>34903.300257395633</v>
      </c>
      <c r="BC39" s="46">
        <f>SUM(BB$39,'Statistics NZ'!BC$39-'Statistics NZ'!BB$39,$F$12/5*(BC$8-BC$9)*1000)</f>
        <v>35073.300257395633</v>
      </c>
      <c r="BD39" s="46">
        <f>SUM(BC$39,'Statistics NZ'!BD$39-'Statistics NZ'!BC$39,$F$12/5*(BD$8-BD$9)*1000)</f>
        <v>35273.300257395633</v>
      </c>
      <c r="BE39" s="46">
        <f>SUM(BD$39,'Statistics NZ'!BE$39-'Statistics NZ'!BD$39,$F$12/5*(BE$8-BE$9)*1000)</f>
        <v>35503.300257395633</v>
      </c>
      <c r="BF39" s="46">
        <f>SUM(BE$39,'Statistics NZ'!BF$39-'Statistics NZ'!BE$39,$F$12/5*(BF$8-BF$9)*1000)</f>
        <v>35763.300257395633</v>
      </c>
      <c r="BG39" s="46">
        <f>SUM(BF$39,'Statistics NZ'!BG$39-'Statistics NZ'!BF$39,$F$12/5*(BG$8-BG$9)*1000)</f>
        <v>36033.300257395633</v>
      </c>
      <c r="BH39" s="46">
        <f>SUM(BG$39,'Statistics NZ'!BH$39-'Statistics NZ'!BG$39,$F$12/5*(BH$8-BH$9)*1000)</f>
        <v>36303.300257395633</v>
      </c>
      <c r="BI39" s="46">
        <f>SUM(BH$39,'Statistics NZ'!BI$39-'Statistics NZ'!BH$39,$F$12/5*(BI$8-BI$9)*1000)</f>
        <v>36563.300257395633</v>
      </c>
    </row>
    <row r="40" spans="1:61" x14ac:dyDescent="0.25">
      <c r="A40" s="11">
        <v>25</v>
      </c>
      <c r="B40" s="44">
        <f>'Statistics NZ'!B$40*'Economic Forecasts'!D$9*1000000/SUM('Statistics NZ'!B$30:B$110,'Statistics NZ'!B$130:B$210)</f>
        <v>26553.615547034267</v>
      </c>
      <c r="C40" s="44">
        <f>'Statistics NZ'!C$40*'Economic Forecasts'!E$9*1000000/SUM('Statistics NZ'!C$30:C$110,'Statistics NZ'!C$130:C$210)</f>
        <v>27162.336462059196</v>
      </c>
      <c r="D40" s="44">
        <f>'Statistics NZ'!D$40*'Economic Forecasts'!F$9*1000000/SUM('Statistics NZ'!D$30:D$110,'Statistics NZ'!D$130:D$210)</f>
        <v>27552.739994768508</v>
      </c>
      <c r="E40" s="44">
        <f>'Statistics NZ'!E$40*'Economic Forecasts'!G$9*1000000/SUM('Statistics NZ'!E$30:E$110,'Statistics NZ'!E$130:E$210)</f>
        <v>27626.383531680702</v>
      </c>
      <c r="F40" s="44">
        <f>'Statistics NZ'!F$40*'Economic Forecasts'!H$9*1000000/SUM('Statistics NZ'!F$30:F$110,'Statistics NZ'!F$130:F$210)</f>
        <v>27719.757386325677</v>
      </c>
      <c r="G40" s="44">
        <f>'Statistics NZ'!G$40*'Economic Forecasts'!I$9*1000000/SUM('Statistics NZ'!G$30:G$110,'Statistics NZ'!G$130:G$210)</f>
        <v>27620.791993688927</v>
      </c>
      <c r="H40" s="44">
        <f>'Statistics NZ'!H$40*'Economic Forecasts'!J$9*1000000/SUM('Statistics NZ'!H$30:H$110,'Statistics NZ'!H$130:H$210)</f>
        <v>27539.859412206955</v>
      </c>
      <c r="I40" s="44">
        <f>'Statistics NZ'!I$40*'Economic Forecasts'!K$9*1000000/SUM('Statistics NZ'!I$30:I$110,'Statistics NZ'!I$130:I$210)</f>
        <v>28665.595716198124</v>
      </c>
      <c r="J40" s="44">
        <f>'Statistics NZ'!J$40*'Economic Forecasts'!L$9*1000000/SUM('Statistics NZ'!J$30:J$110,'Statistics NZ'!J$130:J$210)</f>
        <v>29655.473903804439</v>
      </c>
      <c r="K40" s="44">
        <f>'Statistics NZ'!K$40*'Economic Forecasts'!M$9*1000000/SUM('Statistics NZ'!K$30:K$110,'Statistics NZ'!K$130:K$210)</f>
        <v>31856.90968856445</v>
      </c>
      <c r="L40" s="44">
        <f>'Statistics NZ'!L$40*'Economic Forecasts'!N$9*1000000/SUM('Statistics NZ'!L$30:L$110,'Statistics NZ'!L$130:L$210)</f>
        <v>33854.210438816626</v>
      </c>
      <c r="M40" s="44">
        <f>'Statistics NZ'!M$40*'Economic Forecasts'!O$9*1000000/SUM('Statistics NZ'!M$30:M$110,'Statistics NZ'!M$130:M$210)</f>
        <v>34203.278020393474</v>
      </c>
      <c r="N40" s="44">
        <f>'Statistics NZ'!N$40*'Economic Forecasts'!P$9*1000000/SUM('Statistics NZ'!N$30:N$110,'Statistics NZ'!N$130:N$210)</f>
        <v>34227.700081433635</v>
      </c>
      <c r="O40" s="44">
        <f>'Statistics NZ'!O$40*'Economic Forecasts'!Q$9*1000000/SUM('Statistics NZ'!O$30:O$110,'Statistics NZ'!O$130:O$210)</f>
        <v>33687.166237720216</v>
      </c>
      <c r="P40" s="44">
        <f>'Statistics NZ'!P$40*'Economic Forecasts'!R$9*1000000/SUM('Statistics NZ'!P$30:P$110,'Statistics NZ'!P$130:P$210)</f>
        <v>34399.128916041234</v>
      </c>
      <c r="Q40" s="44">
        <f>'Statistics NZ'!Q$40*'Economic Forecasts'!S$9*1000000/SUM('Statistics NZ'!Q$30:Q$110,'Statistics NZ'!Q$130:Q$210)</f>
        <v>33210.152881127819</v>
      </c>
      <c r="R40" s="44">
        <f>'Statistics NZ'!R$40*'Economic Forecasts'!T$9*1000000/SUM('Statistics NZ'!R$30:R$110,'Statistics NZ'!R$130:R$210)</f>
        <v>31965.304219442074</v>
      </c>
      <c r="S40" s="44">
        <f>'Statistics NZ'!S$40*'Economic Forecasts'!U$9*1000000/SUM('Statistics NZ'!S$30:S$110,'Statistics NZ'!S$130:S$210)</f>
        <v>32132.83839305555</v>
      </c>
      <c r="T40" s="44">
        <f>'Statistics NZ'!T$40*'Economic Forecasts'!V$9*1000000/SUM('Statistics NZ'!T$30:T$110,'Statistics NZ'!T$130:T$210)</f>
        <v>31449.353271894746</v>
      </c>
      <c r="U40" s="45">
        <f>SUM('Statistics NZ'!U$40,$G$12/5*(U$8-U$9)*1000)*'Economic Forecasts'!W$9*1000000/SUM('Statistics NZ'!U$30:U$110,'Statistics NZ'!U$130:U$210,SUM($E$12:$T$13)*(U$8-U$9)*1000)</f>
        <v>32941.522971283193</v>
      </c>
      <c r="V40" s="45">
        <f>SUM('Statistics NZ'!V$40,$G$12/5*(V$8-V$9)*1000)*'Economic Forecasts'!X$9*1000000/SUM('Statistics NZ'!V$30:V$110,'Statistics NZ'!V$130:V$210,SUM($E$12:$T$13)*(V$8-V$9)*1000)</f>
        <v>32478.276396467783</v>
      </c>
      <c r="W40" s="45">
        <f>SUM('Statistics NZ'!W$40,$G$12/5*(W$8-W$9)*1000)*'Economic Forecasts'!Y$9*1000000/SUM('Statistics NZ'!W$30:W$110,'Statistics NZ'!W$130:W$210,SUM($E$12:$T$13)*(W$8-W$9)*1000)</f>
        <v>31709.078597734031</v>
      </c>
      <c r="X40" s="45">
        <f>SUM('Statistics NZ'!X$40,$G$12/5*(X$8-X$9)*1000)*'Economic Forecasts'!Z$9*1000000/SUM('Statistics NZ'!X$30:X$110,'Statistics NZ'!X$130:X$210,SUM($E$12:$T$13)*(X$8-X$9)*1000)</f>
        <v>31595.560011107013</v>
      </c>
      <c r="Y40" s="45">
        <f>SUM('Statistics NZ'!Y$40,$G$12/5*(Y$8-Y$9)*1000)*'Economic Forecasts'!AA$9*1000000/SUM('Statistics NZ'!Y$30:Y$110,'Statistics NZ'!Y$130:Y$210,SUM($E$12:$T$13)*(Y$8-Y$9)*1000)</f>
        <v>32461.379209736548</v>
      </c>
      <c r="Z40" s="46">
        <f>SUM(Y$40,'Statistics NZ'!Z$40-'Statistics NZ'!Y$40,$G$12/5*(Z$8-Z$9)*1000)</f>
        <v>32611.26614676401</v>
      </c>
      <c r="AA40" s="46">
        <f>SUM(Z$40,'Statistics NZ'!AA$40-'Statistics NZ'!Z$40,$G$12/5*(AA$8-AA$9)*1000)</f>
        <v>33361.198308980493</v>
      </c>
      <c r="AB40" s="46">
        <f>SUM(AA$40,'Statistics NZ'!AB$40-'Statistics NZ'!AA$40,$G$12/5*(AB$8-AB$9)*1000)</f>
        <v>35535.166651348183</v>
      </c>
      <c r="AC40" s="46">
        <f>SUM(AB$40,'Statistics NZ'!AC$40-'Statistics NZ'!AB$40,$G$12/5*(AC$8-AC$9)*1000)</f>
        <v>36665.166651348183</v>
      </c>
      <c r="AD40" s="46">
        <f>SUM(AC$40,'Statistics NZ'!AD$40-'Statistics NZ'!AC$40,$G$12/5*(AD$8-AD$9)*1000)</f>
        <v>36115.166651348183</v>
      </c>
      <c r="AE40" s="46">
        <f>SUM(AD$40,'Statistics NZ'!AE$40-'Statistics NZ'!AD$40,$G$12/5*(AE$8-AE$9)*1000)</f>
        <v>37165.166651348183</v>
      </c>
      <c r="AF40" s="46">
        <f>SUM(AE$40,'Statistics NZ'!AF$40-'Statistics NZ'!AE$40,$G$12/5*(AF$8-AF$9)*1000)</f>
        <v>37225.166651348183</v>
      </c>
      <c r="AG40" s="46">
        <f>SUM(AF$40,'Statistics NZ'!AG$40-'Statistics NZ'!AF$40,$G$12/5*(AG$8-AG$9)*1000)</f>
        <v>37365.166651348183</v>
      </c>
      <c r="AH40" s="46">
        <f>SUM(AG$40,'Statistics NZ'!AH$40-'Statistics NZ'!AG$40,$G$12/5*(AH$8-AH$9)*1000)</f>
        <v>37415.166651348183</v>
      </c>
      <c r="AI40" s="46">
        <f>SUM(AH$40,'Statistics NZ'!AI$40-'Statistics NZ'!AH$40,$G$12/5*(AI$8-AI$9)*1000)</f>
        <v>36615.166651348183</v>
      </c>
      <c r="AJ40" s="46">
        <f>SUM(AI$40,'Statistics NZ'!AJ$40-'Statistics NZ'!AI$40,$G$12/5*(AJ$8-AJ$9)*1000)</f>
        <v>36745.166651348183</v>
      </c>
      <c r="AK40" s="46">
        <f>SUM(AJ$40,'Statistics NZ'!AK$40-'Statistics NZ'!AJ$40,$G$12/5*(AK$8-AK$9)*1000)</f>
        <v>36355.166651348183</v>
      </c>
      <c r="AL40" s="46">
        <f>SUM(AK$40,'Statistics NZ'!AL$40-'Statistics NZ'!AK$40,$G$12/5*(AL$8-AL$9)*1000)</f>
        <v>36895.166651348183</v>
      </c>
      <c r="AM40" s="46">
        <f>SUM(AL$40,'Statistics NZ'!AM$40-'Statistics NZ'!AL$40,$G$12/5*(AM$8-AM$9)*1000)</f>
        <v>36335.166651348183</v>
      </c>
      <c r="AN40" s="46">
        <f>SUM(AM$40,'Statistics NZ'!AN$40-'Statistics NZ'!AM$40,$G$12/5*(AN$8-AN$9)*1000)</f>
        <v>36425.166651348183</v>
      </c>
      <c r="AO40" s="46">
        <f>SUM(AN$40,'Statistics NZ'!AO$40-'Statistics NZ'!AN$40,$G$12/5*(AO$8-AO$9)*1000)</f>
        <v>36155.166651348183</v>
      </c>
      <c r="AP40" s="46">
        <f>SUM(AO$40,'Statistics NZ'!AP$40-'Statistics NZ'!AO$40,$G$12/5*(AP$8-AP$9)*1000)</f>
        <v>36365.166651348183</v>
      </c>
      <c r="AQ40" s="46">
        <f>SUM(AP$40,'Statistics NZ'!AQ$40-'Statistics NZ'!AP$40,$G$12/5*(AQ$8-AQ$9)*1000)</f>
        <v>36715.166651348183</v>
      </c>
      <c r="AR40" s="46">
        <f>SUM(AQ$40,'Statistics NZ'!AR$40-'Statistics NZ'!AQ$40,$G$12/5*(AR$8-AR$9)*1000)</f>
        <v>34185.166651348183</v>
      </c>
      <c r="AS40" s="46">
        <f>SUM(AR$40,'Statistics NZ'!AS$40-'Statistics NZ'!AR$40,$G$12/5*(AS$8-AS$9)*1000)</f>
        <v>34395.166651348183</v>
      </c>
      <c r="AT40" s="46">
        <f>SUM(AS$40,'Statistics NZ'!AT$40-'Statistics NZ'!AS$40,$G$12/5*(AT$8-AT$9)*1000)</f>
        <v>34975.166651348183</v>
      </c>
      <c r="AU40" s="46">
        <f>SUM(AT$40,'Statistics NZ'!AU$40-'Statistics NZ'!AT$40,$G$12/5*(AU$8-AU$9)*1000)</f>
        <v>35065.166651348183</v>
      </c>
      <c r="AV40" s="46">
        <f>SUM(AU$40,'Statistics NZ'!AV$40-'Statistics NZ'!AU$40,$G$12/5*(AV$8-AV$9)*1000)</f>
        <v>35145.166651348183</v>
      </c>
      <c r="AW40" s="46">
        <f>SUM(AV$40,'Statistics NZ'!AW$40-'Statistics NZ'!AV$40,$G$12/5*(AW$8-AW$9)*1000)</f>
        <v>35195.166651348183</v>
      </c>
      <c r="AX40" s="46">
        <f>SUM(AW$40,'Statistics NZ'!AX$40-'Statistics NZ'!AW$40,$G$12/5*(AX$8-AX$9)*1000)</f>
        <v>35235.166651348183</v>
      </c>
      <c r="AY40" s="46">
        <f>SUM(AX$40,'Statistics NZ'!AY$40-'Statistics NZ'!AX$40,$G$12/5*(AY$8-AY$9)*1000)</f>
        <v>35275.166651348183</v>
      </c>
      <c r="AZ40" s="46">
        <f>SUM(AY$40,'Statistics NZ'!AZ$40-'Statistics NZ'!AY$40,$G$12/5*(AZ$8-AZ$9)*1000)</f>
        <v>35335.166651348183</v>
      </c>
      <c r="BA40" s="46">
        <f>SUM(AZ$40,'Statistics NZ'!BA$40-'Statistics NZ'!AZ$40,$G$12/5*(BA$8-BA$9)*1000)</f>
        <v>35405.166651348183</v>
      </c>
      <c r="BB40" s="46">
        <f>SUM(BA$40,'Statistics NZ'!BB$40-'Statistics NZ'!BA$40,$G$12/5*(BB$8-BB$9)*1000)</f>
        <v>35515.166651348183</v>
      </c>
      <c r="BC40" s="46">
        <f>SUM(BB$40,'Statistics NZ'!BC$40-'Statistics NZ'!BB$40,$G$12/5*(BC$8-BC$9)*1000)</f>
        <v>35645.166651348183</v>
      </c>
      <c r="BD40" s="46">
        <f>SUM(BC$40,'Statistics NZ'!BD$40-'Statistics NZ'!BC$40,$G$12/5*(BD$8-BD$9)*1000)</f>
        <v>35815.166651348183</v>
      </c>
      <c r="BE40" s="46">
        <f>SUM(BD$40,'Statistics NZ'!BE$40-'Statistics NZ'!BD$40,$G$12/5*(BE$8-BE$9)*1000)</f>
        <v>36025.166651348183</v>
      </c>
      <c r="BF40" s="46">
        <f>SUM(BE$40,'Statistics NZ'!BF$40-'Statistics NZ'!BE$40,$G$12/5*(BF$8-BF$9)*1000)</f>
        <v>36265.166651348183</v>
      </c>
      <c r="BG40" s="46">
        <f>SUM(BF$40,'Statistics NZ'!BG$40-'Statistics NZ'!BF$40,$G$12/5*(BG$8-BG$9)*1000)</f>
        <v>36515.166651348183</v>
      </c>
      <c r="BH40" s="46">
        <f>SUM(BG$40,'Statistics NZ'!BH$40-'Statistics NZ'!BG$40,$G$12/5*(BH$8-BH$9)*1000)</f>
        <v>36795.166651348183</v>
      </c>
      <c r="BI40" s="46">
        <f>SUM(BH$40,'Statistics NZ'!BI$40-'Statistics NZ'!BH$40,$G$12/5*(BI$8-BI$9)*1000)</f>
        <v>37065.166651348183</v>
      </c>
    </row>
    <row r="41" spans="1:61" x14ac:dyDescent="0.25">
      <c r="A41" s="11">
        <v>26</v>
      </c>
      <c r="B41" s="44">
        <f>'Statistics NZ'!B$41*'Economic Forecasts'!D$9*1000000/SUM('Statistics NZ'!B$30:B$110,'Statistics NZ'!B$130:B$210)</f>
        <v>26230.745498009903</v>
      </c>
      <c r="C41" s="44">
        <f>'Statistics NZ'!C$41*'Economic Forecasts'!E$9*1000000/SUM('Statistics NZ'!C$30:C$110,'Statistics NZ'!C$130:C$210)</f>
        <v>26710.612862184022</v>
      </c>
      <c r="D41" s="44">
        <f>'Statistics NZ'!D$41*'Economic Forecasts'!F$9*1000000/SUM('Statistics NZ'!D$30:D$110,'Statistics NZ'!D$130:D$210)</f>
        <v>27022.312914655311</v>
      </c>
      <c r="E41" s="44">
        <f>'Statistics NZ'!E$41*'Economic Forecasts'!G$9*1000000/SUM('Statistics NZ'!E$30:E$110,'Statistics NZ'!E$130:E$210)</f>
        <v>27489.085210969472</v>
      </c>
      <c r="F41" s="44">
        <f>'Statistics NZ'!F$41*'Economic Forecasts'!H$9*1000000/SUM('Statistics NZ'!F$30:F$110,'Statistics NZ'!F$130:F$210)</f>
        <v>27749.183880366367</v>
      </c>
      <c r="G41" s="44">
        <f>'Statistics NZ'!G$41*'Economic Forecasts'!I$9*1000000/SUM('Statistics NZ'!G$30:G$110,'Statistics NZ'!G$130:G$210)</f>
        <v>27561.857160131978</v>
      </c>
      <c r="H41" s="44">
        <f>'Statistics NZ'!H$41*'Economic Forecasts'!J$9*1000000/SUM('Statistics NZ'!H$30:H$110,'Statistics NZ'!H$130:H$210)</f>
        <v>27490.733726491279</v>
      </c>
      <c r="I41" s="44">
        <f>'Statistics NZ'!I$41*'Economic Forecasts'!K$9*1000000/SUM('Statistics NZ'!I$30:I$110,'Statistics NZ'!I$130:I$210)</f>
        <v>27685.240185548395</v>
      </c>
      <c r="J41" s="44">
        <f>'Statistics NZ'!J$41*'Economic Forecasts'!L$9*1000000/SUM('Statistics NZ'!J$30:J$110,'Statistics NZ'!J$130:J$210)</f>
        <v>29538.451316877221</v>
      </c>
      <c r="K41" s="44">
        <f>'Statistics NZ'!K$41*'Economic Forecasts'!M$9*1000000/SUM('Statistics NZ'!K$30:K$110,'Statistics NZ'!K$130:K$210)</f>
        <v>30776.189341550191</v>
      </c>
      <c r="L41" s="44">
        <f>'Statistics NZ'!L$41*'Economic Forecasts'!N$9*1000000/SUM('Statistics NZ'!L$30:L$110,'Statistics NZ'!L$130:L$210)</f>
        <v>33425.79937775596</v>
      </c>
      <c r="M41" s="44">
        <f>'Statistics NZ'!M$41*'Economic Forecasts'!O$9*1000000/SUM('Statistics NZ'!M$30:M$110,'Statistics NZ'!M$130:M$210)</f>
        <v>35346.318159892486</v>
      </c>
      <c r="N41" s="44">
        <f>'Statistics NZ'!N$41*'Economic Forecasts'!P$9*1000000/SUM('Statistics NZ'!N$30:N$110,'Statistics NZ'!N$130:N$210)</f>
        <v>35480.171668175637</v>
      </c>
      <c r="O41" s="44">
        <f>'Statistics NZ'!O$41*'Economic Forecasts'!Q$9*1000000/SUM('Statistics NZ'!O$30:O$110,'Statistics NZ'!O$130:O$210)</f>
        <v>35211.249940827809</v>
      </c>
      <c r="P41" s="44">
        <f>'Statistics NZ'!P$41*'Economic Forecasts'!R$9*1000000/SUM('Statistics NZ'!P$30:P$110,'Statistics NZ'!P$130:P$210)</f>
        <v>35136.042560343754</v>
      </c>
      <c r="Q41" s="44">
        <f>'Statistics NZ'!Q$41*'Economic Forecasts'!S$9*1000000/SUM('Statistics NZ'!Q$30:Q$110,'Statistics NZ'!Q$130:Q$210)</f>
        <v>34392.327033940921</v>
      </c>
      <c r="R41" s="44">
        <f>'Statistics NZ'!R$41*'Economic Forecasts'!T$9*1000000/SUM('Statistics NZ'!R$30:R$110,'Statistics NZ'!R$130:R$210)</f>
        <v>32622.534773486677</v>
      </c>
      <c r="S41" s="44">
        <f>'Statistics NZ'!S$41*'Economic Forecasts'!U$9*1000000/SUM('Statistics NZ'!S$30:S$110,'Statistics NZ'!S$130:S$210)</f>
        <v>32810.663476858921</v>
      </c>
      <c r="T41" s="44">
        <f>'Statistics NZ'!T$41*'Economic Forecasts'!V$9*1000000/SUM('Statistics NZ'!T$30:T$110,'Statistics NZ'!T$130:T$210)</f>
        <v>33104.582391468153</v>
      </c>
      <c r="U41" s="45">
        <f>SUM('Statistics NZ'!U$41,$G$12/5*(U$8-U$9)*1000)*'Economic Forecasts'!W$9*1000000/SUM('Statistics NZ'!U$30:U$110,'Statistics NZ'!U$130:U$210,SUM($E$12:$T$13)*(U$8-U$9)*1000)</f>
        <v>31990.647940310031</v>
      </c>
      <c r="V41" s="45">
        <f>SUM('Statistics NZ'!V$41,$G$12/5*(V$8-V$9)*1000)*'Economic Forecasts'!X$9*1000000/SUM('Statistics NZ'!V$30:V$110,'Statistics NZ'!V$130:V$210,SUM($E$12:$T$13)*(V$8-V$9)*1000)</f>
        <v>33408.953294132589</v>
      </c>
      <c r="W41" s="45">
        <f>SUM('Statistics NZ'!W$41,$G$12/5*(W$8-W$9)*1000)*'Economic Forecasts'!Y$9*1000000/SUM('Statistics NZ'!W$30:W$110,'Statistics NZ'!W$130:W$210,SUM($E$12:$T$13)*(W$8-W$9)*1000)</f>
        <v>32976.662042206408</v>
      </c>
      <c r="X41" s="45">
        <f>SUM('Statistics NZ'!X$41,$G$12/5*(X$8-X$9)*1000)*'Economic Forecasts'!Z$9*1000000/SUM('Statistics NZ'!X$30:X$110,'Statistics NZ'!X$130:X$210,SUM($E$12:$T$13)*(X$8-X$9)*1000)</f>
        <v>32219.591461526321</v>
      </c>
      <c r="Y41" s="45">
        <f>SUM('Statistics NZ'!Y$41,$G$12/5*(Y$8-Y$9)*1000)*'Economic Forecasts'!AA$9*1000000/SUM('Statistics NZ'!Y$30:Y$110,'Statistics NZ'!Y$130:Y$210,SUM($E$12:$T$13)*(Y$8-Y$9)*1000)</f>
        <v>32144.294389590046</v>
      </c>
      <c r="Z41" s="46">
        <f>SUM(Y$41,'Statistics NZ'!Z$41-'Statistics NZ'!Y$41,$G$12/5*(Z$8-Z$9)*1000)</f>
        <v>33104.181326617509</v>
      </c>
      <c r="AA41" s="46">
        <f>SUM(Z$41,'Statistics NZ'!AA$41-'Statistics NZ'!Z$41,$G$12/5*(AA$8-AA$9)*1000)</f>
        <v>33234.113488833988</v>
      </c>
      <c r="AB41" s="46">
        <f>SUM(AA$41,'Statistics NZ'!AB$41-'Statistics NZ'!AA$41,$G$12/5*(AB$8-AB$9)*1000)</f>
        <v>33968.081831201678</v>
      </c>
      <c r="AC41" s="46">
        <f>SUM(AB$41,'Statistics NZ'!AC$41-'Statistics NZ'!AB$41,$G$12/5*(AC$8-AC$9)*1000)</f>
        <v>36138.081831201678</v>
      </c>
      <c r="AD41" s="46">
        <f>SUM(AC$41,'Statistics NZ'!AD$41-'Statistics NZ'!AC$41,$G$12/5*(AD$8-AD$9)*1000)</f>
        <v>37268.081831201678</v>
      </c>
      <c r="AE41" s="46">
        <f>SUM(AD$41,'Statistics NZ'!AE$41-'Statistics NZ'!AD$41,$G$12/5*(AE$8-AE$9)*1000)</f>
        <v>36728.081831201678</v>
      </c>
      <c r="AF41" s="46">
        <f>SUM(AE$41,'Statistics NZ'!AF$41-'Statistics NZ'!AE$41,$G$12/5*(AF$8-AF$9)*1000)</f>
        <v>37778.081831201678</v>
      </c>
      <c r="AG41" s="46">
        <f>SUM(AF$41,'Statistics NZ'!AG$41-'Statistics NZ'!AF$41,$G$12/5*(AG$8-AG$9)*1000)</f>
        <v>37848.081831201678</v>
      </c>
      <c r="AH41" s="46">
        <f>SUM(AG$41,'Statistics NZ'!AH$41-'Statistics NZ'!AG$41,$G$12/5*(AH$8-AH$9)*1000)</f>
        <v>37988.081831201678</v>
      </c>
      <c r="AI41" s="46">
        <f>SUM(AH$41,'Statistics NZ'!AI$41-'Statistics NZ'!AH$41,$G$12/5*(AI$8-AI$9)*1000)</f>
        <v>38038.081831201678</v>
      </c>
      <c r="AJ41" s="46">
        <f>SUM(AI$41,'Statistics NZ'!AJ$41-'Statistics NZ'!AI$41,$G$12/5*(AJ$8-AJ$9)*1000)</f>
        <v>37238.081831201678</v>
      </c>
      <c r="AK41" s="46">
        <f>SUM(AJ$41,'Statistics NZ'!AK$41-'Statistics NZ'!AJ$41,$G$12/5*(AK$8-AK$9)*1000)</f>
        <v>37368.081831201678</v>
      </c>
      <c r="AL41" s="46">
        <f>SUM(AK$41,'Statistics NZ'!AL$41-'Statistics NZ'!AK$41,$G$12/5*(AL$8-AL$9)*1000)</f>
        <v>36998.081831201678</v>
      </c>
      <c r="AM41" s="46">
        <f>SUM(AL$41,'Statistics NZ'!AM$41-'Statistics NZ'!AL$41,$G$12/5*(AM$8-AM$9)*1000)</f>
        <v>37528.081831201678</v>
      </c>
      <c r="AN41" s="46">
        <f>SUM(AM$41,'Statistics NZ'!AN$41-'Statistics NZ'!AM$41,$G$12/5*(AN$8-AN$9)*1000)</f>
        <v>36978.081831201678</v>
      </c>
      <c r="AO41" s="46">
        <f>SUM(AN$41,'Statistics NZ'!AO$41-'Statistics NZ'!AN$41,$G$12/5*(AO$8-AO$9)*1000)</f>
        <v>37068.081831201678</v>
      </c>
      <c r="AP41" s="46">
        <f>SUM(AO$41,'Statistics NZ'!AP$41-'Statistics NZ'!AO$41,$G$12/5*(AP$8-AP$9)*1000)</f>
        <v>36808.081831201678</v>
      </c>
      <c r="AQ41" s="46">
        <f>SUM(AP$41,'Statistics NZ'!AQ$41-'Statistics NZ'!AP$41,$G$12/5*(AQ$8-AQ$9)*1000)</f>
        <v>37018.081831201678</v>
      </c>
      <c r="AR41" s="46">
        <f>SUM(AQ$41,'Statistics NZ'!AR$41-'Statistics NZ'!AQ$41,$G$12/5*(AR$8-AR$9)*1000)</f>
        <v>37378.081831201678</v>
      </c>
      <c r="AS41" s="46">
        <f>SUM(AR$41,'Statistics NZ'!AS$41-'Statistics NZ'!AR$41,$G$12/5*(AS$8-AS$9)*1000)</f>
        <v>34848.081831201678</v>
      </c>
      <c r="AT41" s="46">
        <f>SUM(AS$41,'Statistics NZ'!AT$41-'Statistics NZ'!AS$41,$G$12/5*(AT$8-AT$9)*1000)</f>
        <v>35058.081831201678</v>
      </c>
      <c r="AU41" s="46">
        <f>SUM(AT$41,'Statistics NZ'!AU$41-'Statistics NZ'!AT$41,$G$12/5*(AU$8-AU$9)*1000)</f>
        <v>35638.081831201678</v>
      </c>
      <c r="AV41" s="46">
        <f>SUM(AU$41,'Statistics NZ'!AV$41-'Statistics NZ'!AU$41,$G$12/5*(AV$8-AV$9)*1000)</f>
        <v>35738.081831201678</v>
      </c>
      <c r="AW41" s="46">
        <f>SUM(AV$41,'Statistics NZ'!AW$41-'Statistics NZ'!AV$41,$G$12/5*(AW$8-AW$9)*1000)</f>
        <v>35818.081831201678</v>
      </c>
      <c r="AX41" s="46">
        <f>SUM(AW$41,'Statistics NZ'!AX$41-'Statistics NZ'!AW$41,$G$12/5*(AX$8-AX$9)*1000)</f>
        <v>35868.081831201678</v>
      </c>
      <c r="AY41" s="46">
        <f>SUM(AX$41,'Statistics NZ'!AY$41-'Statistics NZ'!AX$41,$G$12/5*(AY$8-AY$9)*1000)</f>
        <v>35918.081831201678</v>
      </c>
      <c r="AZ41" s="46">
        <f>SUM(AY$41,'Statistics NZ'!AZ$41-'Statistics NZ'!AY$41,$G$12/5*(AZ$8-AZ$9)*1000)</f>
        <v>35968.081831201678</v>
      </c>
      <c r="BA41" s="46">
        <f>SUM(AZ$41,'Statistics NZ'!BA$41-'Statistics NZ'!AZ$41,$G$12/5*(BA$8-BA$9)*1000)</f>
        <v>36018.081831201678</v>
      </c>
      <c r="BB41" s="46">
        <f>SUM(BA$41,'Statistics NZ'!BB$41-'Statistics NZ'!BA$41,$G$12/5*(BB$8-BB$9)*1000)</f>
        <v>36098.081831201678</v>
      </c>
      <c r="BC41" s="46">
        <f>SUM(BB$41,'Statistics NZ'!BC$41-'Statistics NZ'!BB$41,$G$12/5*(BC$8-BC$9)*1000)</f>
        <v>36208.081831201678</v>
      </c>
      <c r="BD41" s="46">
        <f>SUM(BC$41,'Statistics NZ'!BD$41-'Statistics NZ'!BC$41,$G$12/5*(BD$8-BD$9)*1000)</f>
        <v>36348.081831201678</v>
      </c>
      <c r="BE41" s="46">
        <f>SUM(BD$41,'Statistics NZ'!BE$41-'Statistics NZ'!BD$41,$G$12/5*(BE$8-BE$9)*1000)</f>
        <v>36518.081831201678</v>
      </c>
      <c r="BF41" s="46">
        <f>SUM(BE$41,'Statistics NZ'!BF$41-'Statistics NZ'!BE$41,$G$12/5*(BF$8-BF$9)*1000)</f>
        <v>36728.081831201678</v>
      </c>
      <c r="BG41" s="46">
        <f>SUM(BF$41,'Statistics NZ'!BG$41-'Statistics NZ'!BF$41,$G$12/5*(BG$8-BG$9)*1000)</f>
        <v>36968.081831201678</v>
      </c>
      <c r="BH41" s="46">
        <f>SUM(BG$41,'Statistics NZ'!BH$41-'Statistics NZ'!BG$41,$G$12/5*(BH$8-BH$9)*1000)</f>
        <v>37238.081831201678</v>
      </c>
      <c r="BI41" s="46">
        <f>SUM(BH$41,'Statistics NZ'!BI$41-'Statistics NZ'!BH$41,$G$12/5*(BI$8-BI$9)*1000)</f>
        <v>37508.081831201678</v>
      </c>
    </row>
    <row r="42" spans="1:61" x14ac:dyDescent="0.25">
      <c r="A42" s="11">
        <v>27</v>
      </c>
      <c r="B42" s="44">
        <f>'Statistics NZ'!B$42*'Economic Forecasts'!D$9*1000000/SUM('Statistics NZ'!B$30:B$110,'Statistics NZ'!B$130:B$210)</f>
        <v>26211.177616250843</v>
      </c>
      <c r="C42" s="44">
        <f>'Statistics NZ'!C$42*'Economic Forecasts'!E$9*1000000/SUM('Statistics NZ'!C$30:C$110,'Statistics NZ'!C$130:C$210)</f>
        <v>26484.75106224644</v>
      </c>
      <c r="D42" s="44">
        <f>'Statistics NZ'!D$42*'Economic Forecasts'!F$9*1000000/SUM('Statistics NZ'!D$30:D$110,'Statistics NZ'!D$130:D$210)</f>
        <v>26766.922098304516</v>
      </c>
      <c r="E42" s="44">
        <f>'Statistics NZ'!E$42*'Economic Forecasts'!G$9*1000000/SUM('Statistics NZ'!E$30:E$110,'Statistics NZ'!E$130:E$210)</f>
        <v>27175.260477915239</v>
      </c>
      <c r="F42" s="44">
        <f>'Statistics NZ'!F$42*'Economic Forecasts'!H$9*1000000/SUM('Statistics NZ'!F$30:F$110,'Statistics NZ'!F$130:F$210)</f>
        <v>27729.566217672571</v>
      </c>
      <c r="G42" s="44">
        <f>'Statistics NZ'!G$42*'Economic Forecasts'!I$9*1000000/SUM('Statistics NZ'!G$30:G$110,'Statistics NZ'!G$130:G$210)</f>
        <v>27630.614465948416</v>
      </c>
      <c r="H42" s="44">
        <f>'Statistics NZ'!H$42*'Economic Forecasts'!J$9*1000000/SUM('Statistics NZ'!H$30:H$110,'Statistics NZ'!H$130:H$210)</f>
        <v>27559.50968649322</v>
      </c>
      <c r="I42" s="44">
        <f>'Statistics NZ'!I$42*'Economic Forecasts'!K$9*1000000/SUM('Statistics NZ'!I$30:I$110,'Statistics NZ'!I$130:I$210)</f>
        <v>27528.383300644437</v>
      </c>
      <c r="J42" s="44">
        <f>'Statistics NZ'!J$42*'Economic Forecasts'!L$9*1000000/SUM('Statistics NZ'!J$30:J$110,'Statistics NZ'!J$130:J$210)</f>
        <v>28475.496152288379</v>
      </c>
      <c r="K42" s="44">
        <f>'Statistics NZ'!K$42*'Economic Forecasts'!M$9*1000000/SUM('Statistics NZ'!K$30:K$110,'Statistics NZ'!K$130:K$210)</f>
        <v>30873.5515349749</v>
      </c>
      <c r="L42" s="44">
        <f>'Statistics NZ'!L$42*'Economic Forecasts'!N$9*1000000/SUM('Statistics NZ'!L$30:L$110,'Statistics NZ'!L$130:L$210)</f>
        <v>32374.244955152513</v>
      </c>
      <c r="M42" s="44">
        <f>'Statistics NZ'!M$42*'Economic Forecasts'!O$9*1000000/SUM('Statistics NZ'!M$30:M$110,'Statistics NZ'!M$130:M$210)</f>
        <v>34926.226484691993</v>
      </c>
      <c r="N42" s="44">
        <f>'Statistics NZ'!N$42*'Economic Forecasts'!P$9*1000000/SUM('Statistics NZ'!N$30:N$110,'Statistics NZ'!N$130:N$210)</f>
        <v>36634.793912203415</v>
      </c>
      <c r="O42" s="44">
        <f>'Statistics NZ'!O$42*'Economic Forecasts'!Q$9*1000000/SUM('Statistics NZ'!O$30:O$110,'Statistics NZ'!O$130:O$210)</f>
        <v>36440.34970139846</v>
      </c>
      <c r="P42" s="44">
        <f>'Statistics NZ'!P$42*'Economic Forecasts'!R$9*1000000/SUM('Statistics NZ'!P$30:P$110,'Statistics NZ'!P$130:P$210)</f>
        <v>36865.333245640315</v>
      </c>
      <c r="Q42" s="44">
        <f>'Statistics NZ'!Q$42*'Economic Forecasts'!S$9*1000000/SUM('Statistics NZ'!Q$30:Q$110,'Statistics NZ'!Q$130:Q$210)</f>
        <v>35197.000196780093</v>
      </c>
      <c r="R42" s="44">
        <f>'Statistics NZ'!R$42*'Economic Forecasts'!T$9*1000000/SUM('Statistics NZ'!R$30:R$110,'Statistics NZ'!R$130:R$210)</f>
        <v>33907.121765482952</v>
      </c>
      <c r="S42" s="44">
        <f>'Statistics NZ'!S$42*'Economic Forecasts'!U$9*1000000/SUM('Statistics NZ'!S$30:S$110,'Statistics NZ'!S$130:S$210)</f>
        <v>33783.195118837677</v>
      </c>
      <c r="T42" s="44">
        <f>'Statistics NZ'!T$42*'Economic Forecasts'!V$9*1000000/SUM('Statistics NZ'!T$30:T$110,'Statistics NZ'!T$130:T$210)</f>
        <v>34105.649104503565</v>
      </c>
      <c r="U42" s="45">
        <f>SUM('Statistics NZ'!U$42,$G$12/5*(U$8-U$9)*1000)*'Economic Forecasts'!W$9*1000000/SUM('Statistics NZ'!U$30:U$110,'Statistics NZ'!U$130:U$210,SUM($E$12:$T$13)*(U$8-U$9)*1000)</f>
        <v>33753.728726906105</v>
      </c>
      <c r="V42" s="45">
        <f>SUM('Statistics NZ'!V$42,$G$12/5*(V$8-V$9)*1000)*'Economic Forecasts'!X$9*1000000/SUM('Statistics NZ'!V$30:V$110,'Statistics NZ'!V$130:V$210,SUM($E$12:$T$13)*(V$8-V$9)*1000)</f>
        <v>32567.383759010158</v>
      </c>
      <c r="W42" s="45">
        <f>SUM('Statistics NZ'!W$42,$G$12/5*(W$8-W$9)*1000)*'Economic Forecasts'!Y$9*1000000/SUM('Statistics NZ'!W$30:W$110,'Statistics NZ'!W$130:W$210,SUM($E$12:$T$13)*(W$8-W$9)*1000)</f>
        <v>34016.476586500161</v>
      </c>
      <c r="X42" s="45">
        <f>SUM('Statistics NZ'!X$42,$G$12/5*(X$8-X$9)*1000)*'Economic Forecasts'!Z$9*1000000/SUM('Statistics NZ'!X$30:X$110,'Statistics NZ'!X$130:X$210,SUM($E$12:$T$13)*(X$8-X$9)*1000)</f>
        <v>33606.328018013664</v>
      </c>
      <c r="Y42" s="45">
        <f>SUM('Statistics NZ'!Y$42,$G$12/5*(Y$8-Y$9)*1000)*'Economic Forecasts'!AA$9*1000000/SUM('Statistics NZ'!Y$30:Y$110,'Statistics NZ'!Y$130:Y$210,SUM($E$12:$T$13)*(Y$8-Y$9)*1000)</f>
        <v>32877.553036178833</v>
      </c>
      <c r="Z42" s="46">
        <f>SUM(Y$42,'Statistics NZ'!Z$42-'Statistics NZ'!Y$42,$G$12/5*(Z$8-Z$9)*1000)</f>
        <v>32877.439973206296</v>
      </c>
      <c r="AA42" s="46">
        <f>SUM(Z$42,'Statistics NZ'!AA$42-'Statistics NZ'!Z$42,$G$12/5*(AA$8-AA$9)*1000)</f>
        <v>33817.372135422775</v>
      </c>
      <c r="AB42" s="46">
        <f>SUM(AA$42,'Statistics NZ'!AB$42-'Statistics NZ'!AA$42,$G$12/5*(AB$8-AB$9)*1000)</f>
        <v>33941.340477790465</v>
      </c>
      <c r="AC42" s="46">
        <f>SUM(AB$42,'Statistics NZ'!AC$42-'Statistics NZ'!AB$42,$G$12/5*(AC$8-AC$9)*1000)</f>
        <v>34671.340477790465</v>
      </c>
      <c r="AD42" s="46">
        <f>SUM(AC$42,'Statistics NZ'!AD$42-'Statistics NZ'!AC$42,$G$12/5*(AD$8-AD$9)*1000)</f>
        <v>36831.340477790465</v>
      </c>
      <c r="AE42" s="46">
        <f>SUM(AD$42,'Statistics NZ'!AE$42-'Statistics NZ'!AD$42,$G$12/5*(AE$8-AE$9)*1000)</f>
        <v>37971.340477790465</v>
      </c>
      <c r="AF42" s="46">
        <f>SUM(AE$42,'Statistics NZ'!AF$42-'Statistics NZ'!AE$42,$G$12/5*(AF$8-AF$9)*1000)</f>
        <v>37431.340477790465</v>
      </c>
      <c r="AG42" s="46">
        <f>SUM(AF$42,'Statistics NZ'!AG$42-'Statistics NZ'!AF$42,$G$12/5*(AG$8-AG$9)*1000)</f>
        <v>38481.340477790465</v>
      </c>
      <c r="AH42" s="46">
        <f>SUM(AG$42,'Statistics NZ'!AH$42-'Statistics NZ'!AG$42,$G$12/5*(AH$8-AH$9)*1000)</f>
        <v>38561.340477790465</v>
      </c>
      <c r="AI42" s="46">
        <f>SUM(AH$42,'Statistics NZ'!AI$42-'Statistics NZ'!AH$42,$G$12/5*(AI$8-AI$9)*1000)</f>
        <v>38701.340477790465</v>
      </c>
      <c r="AJ42" s="46">
        <f>SUM(AI$42,'Statistics NZ'!AJ$42-'Statistics NZ'!AI$42,$G$12/5*(AJ$8-AJ$9)*1000)</f>
        <v>38761.340477790465</v>
      </c>
      <c r="AK42" s="46">
        <f>SUM(AJ$42,'Statistics NZ'!AK$42-'Statistics NZ'!AJ$42,$G$12/5*(AK$8-AK$9)*1000)</f>
        <v>37961.340477790465</v>
      </c>
      <c r="AL42" s="46">
        <f>SUM(AK$42,'Statistics NZ'!AL$42-'Statistics NZ'!AK$42,$G$12/5*(AL$8-AL$9)*1000)</f>
        <v>38101.340477790465</v>
      </c>
      <c r="AM42" s="46">
        <f>SUM(AL$42,'Statistics NZ'!AM$42-'Statistics NZ'!AL$42,$G$12/5*(AM$8-AM$9)*1000)</f>
        <v>37721.340477790465</v>
      </c>
      <c r="AN42" s="46">
        <f>SUM(AM$42,'Statistics NZ'!AN$42-'Statistics NZ'!AM$42,$G$12/5*(AN$8-AN$9)*1000)</f>
        <v>38261.340477790465</v>
      </c>
      <c r="AO42" s="46">
        <f>SUM(AN$42,'Statistics NZ'!AO$42-'Statistics NZ'!AN$42,$G$12/5*(AO$8-AO$9)*1000)</f>
        <v>37721.340477790465</v>
      </c>
      <c r="AP42" s="46">
        <f>SUM(AO$42,'Statistics NZ'!AP$42-'Statistics NZ'!AO$42,$G$12/5*(AP$8-AP$9)*1000)</f>
        <v>37811.340477790465</v>
      </c>
      <c r="AQ42" s="46">
        <f>SUM(AP$42,'Statistics NZ'!AQ$42-'Statistics NZ'!AP$42,$G$12/5*(AQ$8-AQ$9)*1000)</f>
        <v>37551.340477790465</v>
      </c>
      <c r="AR42" s="46">
        <f>SUM(AQ$42,'Statistics NZ'!AR$42-'Statistics NZ'!AQ$42,$G$12/5*(AR$8-AR$9)*1000)</f>
        <v>37761.340477790465</v>
      </c>
      <c r="AS42" s="46">
        <f>SUM(AR$42,'Statistics NZ'!AS$42-'Statistics NZ'!AR$42,$G$12/5*(AS$8-AS$9)*1000)</f>
        <v>38131.340477790465</v>
      </c>
      <c r="AT42" s="46">
        <f>SUM(AS$42,'Statistics NZ'!AT$42-'Statistics NZ'!AS$42,$G$12/5*(AT$8-AT$9)*1000)</f>
        <v>35601.340477790465</v>
      </c>
      <c r="AU42" s="46">
        <f>SUM(AT$42,'Statistics NZ'!AU$42-'Statistics NZ'!AT$42,$G$12/5*(AU$8-AU$9)*1000)</f>
        <v>35811.340477790465</v>
      </c>
      <c r="AV42" s="46">
        <f>SUM(AU$42,'Statistics NZ'!AV$42-'Statistics NZ'!AU$42,$G$12/5*(AV$8-AV$9)*1000)</f>
        <v>36401.340477790465</v>
      </c>
      <c r="AW42" s="46">
        <f>SUM(AV$42,'Statistics NZ'!AW$42-'Statistics NZ'!AV$42,$G$12/5*(AW$8-AW$9)*1000)</f>
        <v>36511.340477790465</v>
      </c>
      <c r="AX42" s="46">
        <f>SUM(AW$42,'Statistics NZ'!AX$42-'Statistics NZ'!AW$42,$G$12/5*(AX$8-AX$9)*1000)</f>
        <v>36581.340477790465</v>
      </c>
      <c r="AY42" s="46">
        <f>SUM(AX$42,'Statistics NZ'!AY$42-'Statistics NZ'!AX$42,$G$12/5*(AY$8-AY$9)*1000)</f>
        <v>36641.340477790465</v>
      </c>
      <c r="AZ42" s="46">
        <f>SUM(AY$42,'Statistics NZ'!AZ$42-'Statistics NZ'!AY$42,$G$12/5*(AZ$8-AZ$9)*1000)</f>
        <v>36691.340477790465</v>
      </c>
      <c r="BA42" s="46">
        <f>SUM(AZ$42,'Statistics NZ'!BA$42-'Statistics NZ'!AZ$42,$G$12/5*(BA$8-BA$9)*1000)</f>
        <v>36741.340477790465</v>
      </c>
      <c r="BB42" s="46">
        <f>SUM(BA$42,'Statistics NZ'!BB$42-'Statistics NZ'!BA$42,$G$12/5*(BB$8-BB$9)*1000)</f>
        <v>36811.340477790465</v>
      </c>
      <c r="BC42" s="46">
        <f>SUM(BB$42,'Statistics NZ'!BC$42-'Statistics NZ'!BB$42,$G$12/5*(BC$8-BC$9)*1000)</f>
        <v>36891.340477790465</v>
      </c>
      <c r="BD42" s="46">
        <f>SUM(BC$42,'Statistics NZ'!BD$42-'Statistics NZ'!BC$42,$G$12/5*(BD$8-BD$9)*1000)</f>
        <v>37001.340477790465</v>
      </c>
      <c r="BE42" s="46">
        <f>SUM(BD$42,'Statistics NZ'!BE$42-'Statistics NZ'!BD$42,$G$12/5*(BE$8-BE$9)*1000)</f>
        <v>37141.340477790465</v>
      </c>
      <c r="BF42" s="46">
        <f>SUM(BE$42,'Statistics NZ'!BF$42-'Statistics NZ'!BE$42,$G$12/5*(BF$8-BF$9)*1000)</f>
        <v>37321.340477790465</v>
      </c>
      <c r="BG42" s="46">
        <f>SUM(BF$42,'Statistics NZ'!BG$42-'Statistics NZ'!BF$42,$G$12/5*(BG$8-BG$9)*1000)</f>
        <v>37531.340477790465</v>
      </c>
      <c r="BH42" s="46">
        <f>SUM(BG$42,'Statistics NZ'!BH$42-'Statistics NZ'!BG$42,$G$12/5*(BH$8-BH$9)*1000)</f>
        <v>37781.340477790465</v>
      </c>
      <c r="BI42" s="46">
        <f>SUM(BH$42,'Statistics NZ'!BI$42-'Statistics NZ'!BH$42,$G$12/5*(BI$8-BI$9)*1000)</f>
        <v>38041.340477790465</v>
      </c>
    </row>
    <row r="43" spans="1:61" x14ac:dyDescent="0.25">
      <c r="A43" s="11">
        <v>28</v>
      </c>
      <c r="B43" s="44">
        <f>'Statistics NZ'!B$43*'Economic Forecasts'!D$9*1000000/SUM('Statistics NZ'!B$30:B$110,'Statistics NZ'!B$130:B$210)</f>
        <v>25487.165991165904</v>
      </c>
      <c r="C43" s="44">
        <f>'Statistics NZ'!C$43*'Economic Forecasts'!E$9*1000000/SUM('Statistics NZ'!C$30:C$110,'Statistics NZ'!C$130:C$210)</f>
        <v>26612.412079602462</v>
      </c>
      <c r="D43" s="44">
        <f>'Statistics NZ'!D$43*'Economic Forecasts'!F$9*1000000/SUM('Statistics NZ'!D$30:D$110,'Statistics NZ'!D$130:D$210)</f>
        <v>26698.163032363918</v>
      </c>
      <c r="E43" s="44">
        <f>'Statistics NZ'!E$43*'Economic Forecasts'!G$9*1000000/SUM('Statistics NZ'!E$30:E$110,'Statistics NZ'!E$130:E$210)</f>
        <v>27008.541088480179</v>
      </c>
      <c r="F43" s="44">
        <f>'Statistics NZ'!F$43*'Economic Forecasts'!H$9*1000000/SUM('Statistics NZ'!F$30:F$110,'Statistics NZ'!F$130:F$210)</f>
        <v>27386.257120531242</v>
      </c>
      <c r="G43" s="44">
        <f>'Statistics NZ'!G$43*'Economic Forecasts'!I$9*1000000/SUM('Statistics NZ'!G$30:G$110,'Statistics NZ'!G$130:G$210)</f>
        <v>27846.70885565722</v>
      </c>
      <c r="H43" s="44">
        <f>'Statistics NZ'!H$43*'Economic Forecasts'!J$9*1000000/SUM('Statistics NZ'!H$30:H$110,'Statistics NZ'!H$130:H$210)</f>
        <v>27638.110783638302</v>
      </c>
      <c r="I43" s="44">
        <f>'Statistics NZ'!I$43*'Economic Forecasts'!K$9*1000000/SUM('Statistics NZ'!I$30:I$110,'Statistics NZ'!I$130:I$210)</f>
        <v>27734.257962080883</v>
      </c>
      <c r="J43" s="44">
        <f>'Statistics NZ'!J$43*'Economic Forecasts'!L$9*1000000/SUM('Statistics NZ'!J$30:J$110,'Statistics NZ'!J$130:J$210)</f>
        <v>28270.706625165752</v>
      </c>
      <c r="K43" s="44">
        <f>'Statistics NZ'!K$43*'Economic Forecasts'!M$9*1000000/SUM('Statistics NZ'!K$30:K$110,'Statistics NZ'!K$130:K$210)</f>
        <v>29695.468994535939</v>
      </c>
      <c r="L43" s="44">
        <f>'Statistics NZ'!L$43*'Economic Forecasts'!N$9*1000000/SUM('Statistics NZ'!L$30:L$110,'Statistics NZ'!L$130:L$210)</f>
        <v>32549.504025586419</v>
      </c>
      <c r="M43" s="44">
        <f>'Statistics NZ'!M$43*'Economic Forecasts'!O$9*1000000/SUM('Statistics NZ'!M$30:M$110,'Statistics NZ'!M$130:M$210)</f>
        <v>34086.043134291016</v>
      </c>
      <c r="N43" s="44">
        <f>'Statistics NZ'!N$43*'Economic Forecasts'!P$9*1000000/SUM('Statistics NZ'!N$30:N$110,'Statistics NZ'!N$130:N$210)</f>
        <v>36292.321212703646</v>
      </c>
      <c r="O43" s="44">
        <f>'Statistics NZ'!O$43*'Economic Forecasts'!Q$9*1000000/SUM('Statistics NZ'!O$30:O$110,'Statistics NZ'!O$130:O$210)</f>
        <v>37403.963913685839</v>
      </c>
      <c r="P43" s="44">
        <f>'Statistics NZ'!P$43*'Economic Forecasts'!R$9*1000000/SUM('Statistics NZ'!P$30:P$110,'Statistics NZ'!P$130:P$210)</f>
        <v>37985.441984980134</v>
      </c>
      <c r="Q43" s="44">
        <f>'Statistics NZ'!Q$43*'Economic Forecasts'!S$9*1000000/SUM('Statistics NZ'!Q$30:Q$110,'Statistics NZ'!Q$130:Q$210)</f>
        <v>36826.214995614959</v>
      </c>
      <c r="R43" s="44">
        <f>'Statistics NZ'!R$43*'Economic Forecasts'!T$9*1000000/SUM('Statistics NZ'!R$30:R$110,'Statistics NZ'!R$130:R$210)</f>
        <v>34644.016629108715</v>
      </c>
      <c r="S43" s="44">
        <f>'Statistics NZ'!S$43*'Economic Forecasts'!U$9*1000000/SUM('Statistics NZ'!S$30:S$110,'Statistics NZ'!S$130:S$210)</f>
        <v>35394.257636863083</v>
      </c>
      <c r="T43" s="44">
        <f>'Statistics NZ'!T$43*'Economic Forecasts'!V$9*1000000/SUM('Statistics NZ'!T$30:T$110,'Statistics NZ'!T$130:T$210)</f>
        <v>34977.865646554223</v>
      </c>
      <c r="U43" s="45">
        <f>SUM('Statistics NZ'!U$43,$G$12/5*(U$8-U$9)*1000)*'Economic Forecasts'!W$9*1000000/SUM('Statistics NZ'!U$30:U$110,'Statistics NZ'!U$130:U$210,SUM($E$12:$T$13)*(U$8-U$9)*1000)</f>
        <v>34793.748292033008</v>
      </c>
      <c r="V43" s="45">
        <f>SUM('Statistics NZ'!V$43,$G$12/5*(V$8-V$9)*1000)*'Economic Forecasts'!X$9*1000000/SUM('Statistics NZ'!V$30:V$110,'Statistics NZ'!V$130:V$210,SUM($E$12:$T$13)*(V$8-V$9)*1000)</f>
        <v>34369.332645978189</v>
      </c>
      <c r="W43" s="45">
        <f>SUM('Statistics NZ'!W$43,$G$12/5*(W$8-W$9)*1000)*'Economic Forecasts'!Y$9*1000000/SUM('Statistics NZ'!W$30:W$110,'Statistics NZ'!W$130:W$210,SUM($E$12:$T$13)*(W$8-W$9)*1000)</f>
        <v>33204.430942385043</v>
      </c>
      <c r="X43" s="45">
        <f>SUM('Statistics NZ'!X$43,$G$12/5*(X$8-X$9)*1000)*'Economic Forecasts'!Z$9*1000000/SUM('Statistics NZ'!X$30:X$110,'Statistics NZ'!X$130:X$210,SUM($E$12:$T$13)*(X$8-X$9)*1000)</f>
        <v>34666.190957614701</v>
      </c>
      <c r="Y43" s="45">
        <f>SUM('Statistics NZ'!Y$43,$G$12/5*(Y$8-Y$9)*1000)*'Economic Forecasts'!AA$9*1000000/SUM('Statistics NZ'!Y$30:Y$110,'Statistics NZ'!Y$130:Y$210,SUM($E$12:$T$13)*(Y$8-Y$9)*1000)</f>
        <v>34284.616925578935</v>
      </c>
      <c r="Z43" s="46">
        <f>SUM(Y$43,'Statistics NZ'!Z$43-'Statistics NZ'!Y$43,$G$12/5*(Z$8-Z$9)*1000)</f>
        <v>33634.503862606398</v>
      </c>
      <c r="AA43" s="46">
        <f>SUM(Z$43,'Statistics NZ'!AA$43-'Statistics NZ'!Z$43,$G$12/5*(AA$8-AA$9)*1000)</f>
        <v>33624.436024822877</v>
      </c>
      <c r="AB43" s="46">
        <f>SUM(AA$43,'Statistics NZ'!AB$43-'Statistics NZ'!AA$43,$G$12/5*(AB$8-AB$9)*1000)</f>
        <v>34548.404367190567</v>
      </c>
      <c r="AC43" s="46">
        <f>SUM(AB$43,'Statistics NZ'!AC$43-'Statistics NZ'!AB$43,$G$12/5*(AC$8-AC$9)*1000)</f>
        <v>34658.404367190567</v>
      </c>
      <c r="AD43" s="46">
        <f>SUM(AC$43,'Statistics NZ'!AD$43-'Statistics NZ'!AC$43,$G$12/5*(AD$8-AD$9)*1000)</f>
        <v>35388.404367190567</v>
      </c>
      <c r="AE43" s="46">
        <f>SUM(AD$43,'Statistics NZ'!AE$43-'Statistics NZ'!AD$43,$G$12/5*(AE$8-AE$9)*1000)</f>
        <v>37558.404367190567</v>
      </c>
      <c r="AF43" s="46">
        <f>SUM(AE$43,'Statistics NZ'!AF$43-'Statistics NZ'!AE$43,$G$12/5*(AF$8-AF$9)*1000)</f>
        <v>38698.404367190567</v>
      </c>
      <c r="AG43" s="46">
        <f>SUM(AF$43,'Statistics NZ'!AG$43-'Statistics NZ'!AF$43,$G$12/5*(AG$8-AG$9)*1000)</f>
        <v>38168.404367190567</v>
      </c>
      <c r="AH43" s="46">
        <f>SUM(AG$43,'Statistics NZ'!AH$43-'Statistics NZ'!AG$43,$G$12/5*(AH$8-AH$9)*1000)</f>
        <v>39218.404367190567</v>
      </c>
      <c r="AI43" s="46">
        <f>SUM(AH$43,'Statistics NZ'!AI$43-'Statistics NZ'!AH$43,$G$12/5*(AI$8-AI$9)*1000)</f>
        <v>39298.404367190567</v>
      </c>
      <c r="AJ43" s="46">
        <f>SUM(AI$43,'Statistics NZ'!AJ$43-'Statistics NZ'!AI$43,$G$12/5*(AJ$8-AJ$9)*1000)</f>
        <v>39438.404367190567</v>
      </c>
      <c r="AK43" s="46">
        <f>SUM(AJ$43,'Statistics NZ'!AK$43-'Statistics NZ'!AJ$43,$G$12/5*(AK$8-AK$9)*1000)</f>
        <v>39498.404367190567</v>
      </c>
      <c r="AL43" s="46">
        <f>SUM(AK$43,'Statistics NZ'!AL$43-'Statistics NZ'!AK$43,$G$12/5*(AL$8-AL$9)*1000)</f>
        <v>38708.404367190567</v>
      </c>
      <c r="AM43" s="46">
        <f>SUM(AL$43,'Statistics NZ'!AM$43-'Statistics NZ'!AL$43,$G$12/5*(AM$8-AM$9)*1000)</f>
        <v>38848.404367190567</v>
      </c>
      <c r="AN43" s="46">
        <f>SUM(AM$43,'Statistics NZ'!AN$43-'Statistics NZ'!AM$43,$G$12/5*(AN$8-AN$9)*1000)</f>
        <v>38478.404367190567</v>
      </c>
      <c r="AO43" s="46">
        <f>SUM(AN$43,'Statistics NZ'!AO$43-'Statistics NZ'!AN$43,$G$12/5*(AO$8-AO$9)*1000)</f>
        <v>39018.404367190567</v>
      </c>
      <c r="AP43" s="46">
        <f>SUM(AO$43,'Statistics NZ'!AP$43-'Statistics NZ'!AO$43,$G$12/5*(AP$8-AP$9)*1000)</f>
        <v>38478.404367190567</v>
      </c>
      <c r="AQ43" s="46">
        <f>SUM(AP$43,'Statistics NZ'!AQ$43-'Statistics NZ'!AP$43,$G$12/5*(AQ$8-AQ$9)*1000)</f>
        <v>38578.404367190567</v>
      </c>
      <c r="AR43" s="46">
        <f>SUM(AQ$43,'Statistics NZ'!AR$43-'Statistics NZ'!AQ$43,$G$12/5*(AR$8-AR$9)*1000)</f>
        <v>38318.404367190567</v>
      </c>
      <c r="AS43" s="46">
        <f>SUM(AR$43,'Statistics NZ'!AS$43-'Statistics NZ'!AR$43,$G$12/5*(AS$8-AS$9)*1000)</f>
        <v>38528.404367190567</v>
      </c>
      <c r="AT43" s="46">
        <f>SUM(AS$43,'Statistics NZ'!AT$43-'Statistics NZ'!AS$43,$G$12/5*(AT$8-AT$9)*1000)</f>
        <v>38898.404367190567</v>
      </c>
      <c r="AU43" s="46">
        <f>SUM(AT$43,'Statistics NZ'!AU$43-'Statistics NZ'!AT$43,$G$12/5*(AU$8-AU$9)*1000)</f>
        <v>36378.404367190567</v>
      </c>
      <c r="AV43" s="46">
        <f>SUM(AU$43,'Statistics NZ'!AV$43-'Statistics NZ'!AU$43,$G$12/5*(AV$8-AV$9)*1000)</f>
        <v>36598.404367190567</v>
      </c>
      <c r="AW43" s="46">
        <f>SUM(AV$43,'Statistics NZ'!AW$43-'Statistics NZ'!AV$43,$G$12/5*(AW$8-AW$9)*1000)</f>
        <v>37188.404367190567</v>
      </c>
      <c r="AX43" s="46">
        <f>SUM(AW$43,'Statistics NZ'!AX$43-'Statistics NZ'!AW$43,$G$12/5*(AX$8-AX$9)*1000)</f>
        <v>37288.404367190567</v>
      </c>
      <c r="AY43" s="46">
        <f>SUM(AX$43,'Statistics NZ'!AY$43-'Statistics NZ'!AX$43,$G$12/5*(AY$8-AY$9)*1000)</f>
        <v>37378.404367190567</v>
      </c>
      <c r="AZ43" s="46">
        <f>SUM(AY$43,'Statistics NZ'!AZ$43-'Statistics NZ'!AY$43,$G$12/5*(AZ$8-AZ$9)*1000)</f>
        <v>37438.404367190567</v>
      </c>
      <c r="BA43" s="46">
        <f>SUM(AZ$43,'Statistics NZ'!BA$43-'Statistics NZ'!AZ$43,$G$12/5*(BA$8-BA$9)*1000)</f>
        <v>37488.404367190567</v>
      </c>
      <c r="BB43" s="46">
        <f>SUM(BA$43,'Statistics NZ'!BB$43-'Statistics NZ'!BA$43,$G$12/5*(BB$8-BB$9)*1000)</f>
        <v>37548.404367190567</v>
      </c>
      <c r="BC43" s="46">
        <f>SUM(BB$43,'Statistics NZ'!BC$43-'Statistics NZ'!BB$43,$G$12/5*(BC$8-BC$9)*1000)</f>
        <v>37608.404367190567</v>
      </c>
      <c r="BD43" s="46">
        <f>SUM(BC$43,'Statistics NZ'!BD$43-'Statistics NZ'!BC$43,$G$12/5*(BD$8-BD$9)*1000)</f>
        <v>37698.404367190567</v>
      </c>
      <c r="BE43" s="46">
        <f>SUM(BD$43,'Statistics NZ'!BE$43-'Statistics NZ'!BD$43,$G$12/5*(BE$8-BE$9)*1000)</f>
        <v>37808.404367190567</v>
      </c>
      <c r="BF43" s="46">
        <f>SUM(BE$43,'Statistics NZ'!BF$43-'Statistics NZ'!BE$43,$G$12/5*(BF$8-BF$9)*1000)</f>
        <v>37958.404367190567</v>
      </c>
      <c r="BG43" s="46">
        <f>SUM(BF$43,'Statistics NZ'!BG$43-'Statistics NZ'!BF$43,$G$12/5*(BG$8-BG$9)*1000)</f>
        <v>38138.404367190567</v>
      </c>
      <c r="BH43" s="46">
        <f>SUM(BG$43,'Statistics NZ'!BH$43-'Statistics NZ'!BG$43,$G$12/5*(BH$8-BH$9)*1000)</f>
        <v>38358.404367190567</v>
      </c>
      <c r="BI43" s="46">
        <f>SUM(BH$43,'Statistics NZ'!BI$43-'Statistics NZ'!BH$43,$G$12/5*(BI$8-BI$9)*1000)</f>
        <v>38598.404367190567</v>
      </c>
    </row>
    <row r="44" spans="1:61" x14ac:dyDescent="0.25">
      <c r="A44" s="11">
        <v>29</v>
      </c>
      <c r="B44" s="44">
        <f>'Statistics NZ'!B$44*'Economic Forecasts'!D$9*1000000/SUM('Statistics NZ'!B$30:B$110,'Statistics NZ'!B$130:B$210)</f>
        <v>26230.745498009903</v>
      </c>
      <c r="C44" s="44">
        <f>'Statistics NZ'!C$44*'Economic Forecasts'!E$9*1000000/SUM('Statistics NZ'!C$30:C$110,'Statistics NZ'!C$130:C$210)</f>
        <v>26072.307775403893</v>
      </c>
      <c r="D44" s="44">
        <f>'Statistics NZ'!D$44*'Economic Forecasts'!F$9*1000000/SUM('Statistics NZ'!D$30:D$110,'Statistics NZ'!D$130:D$210)</f>
        <v>26953.553848714713</v>
      </c>
      <c r="E44" s="44">
        <f>'Statistics NZ'!E$44*'Economic Forecasts'!G$9*1000000/SUM('Statistics NZ'!E$30:E$110,'Statistics NZ'!E$130:E$210)</f>
        <v>27018.348111388121</v>
      </c>
      <c r="F44" s="44">
        <f>'Statistics NZ'!F$44*'Economic Forecasts'!H$9*1000000/SUM('Statistics NZ'!F$30:F$110,'Statistics NZ'!F$130:F$210)</f>
        <v>27278.359975715393</v>
      </c>
      <c r="G44" s="44">
        <f>'Statistics NZ'!G$44*'Economic Forecasts'!I$9*1000000/SUM('Statistics NZ'!G$30:G$110,'Statistics NZ'!G$130:G$210)</f>
        <v>27640.436938207909</v>
      </c>
      <c r="H44" s="44">
        <f>'Statistics NZ'!H$44*'Economic Forecasts'!J$9*1000000/SUM('Statistics NZ'!H$30:H$110,'Statistics NZ'!H$130:H$210)</f>
        <v>27873.914075073539</v>
      </c>
      <c r="I44" s="44">
        <f>'Statistics NZ'!I$44*'Economic Forecasts'!K$9*1000000/SUM('Statistics NZ'!I$30:I$110,'Statistics NZ'!I$130:I$210)</f>
        <v>27744.061517387385</v>
      </c>
      <c r="J44" s="44">
        <f>'Statistics NZ'!J$44*'Economic Forecasts'!L$9*1000000/SUM('Statistics NZ'!J$30:J$110,'Statistics NZ'!J$130:J$210)</f>
        <v>28524.255563508053</v>
      </c>
      <c r="K44" s="44">
        <f>'Statistics NZ'!K$44*'Economic Forecasts'!M$9*1000000/SUM('Statistics NZ'!K$30:K$110,'Statistics NZ'!K$130:K$210)</f>
        <v>29442.327291631693</v>
      </c>
      <c r="L44" s="44">
        <f>'Statistics NZ'!L$44*'Economic Forecasts'!N$9*1000000/SUM('Statistics NZ'!L$30:L$110,'Statistics NZ'!L$130:L$210)</f>
        <v>31157.16807713926</v>
      </c>
      <c r="M44" s="44">
        <f>'Statistics NZ'!M$44*'Economic Forecasts'!O$9*1000000/SUM('Statistics NZ'!M$30:M$110,'Statistics NZ'!M$130:M$210)</f>
        <v>34144.660577342242</v>
      </c>
      <c r="N44" s="44">
        <f>'Statistics NZ'!N$44*'Economic Forecasts'!P$9*1000000/SUM('Statistics NZ'!N$30:N$110,'Statistics NZ'!N$130:N$210)</f>
        <v>35313.827785561465</v>
      </c>
      <c r="O44" s="44">
        <f>'Statistics NZ'!O$44*'Economic Forecasts'!Q$9*1000000/SUM('Statistics NZ'!O$30:O$110,'Statistics NZ'!O$130:O$210)</f>
        <v>37453.127904108667</v>
      </c>
      <c r="P44" s="44">
        <f>'Statistics NZ'!P$44*'Economic Forecasts'!R$9*1000000/SUM('Statistics NZ'!P$30:P$110,'Statistics NZ'!P$130:P$210)</f>
        <v>38948.342480202075</v>
      </c>
      <c r="Q44" s="44">
        <f>'Statistics NZ'!Q$44*'Economic Forecasts'!S$9*1000000/SUM('Statistics NZ'!Q$30:Q$110,'Statistics NZ'!Q$130:Q$210)</f>
        <v>38048.126094741114</v>
      </c>
      <c r="R44" s="44">
        <f>'Statistics NZ'!R$44*'Economic Forecasts'!T$9*1000000/SUM('Statistics NZ'!R$30:R$110,'Statistics NZ'!R$130:R$210)</f>
        <v>36406.589478591974</v>
      </c>
      <c r="S44" s="44">
        <f>'Statistics NZ'!S$44*'Economic Forecasts'!U$9*1000000/SUM('Statistics NZ'!S$30:S$110,'Statistics NZ'!S$130:S$210)</f>
        <v>36199.788895875783</v>
      </c>
      <c r="T44" s="44">
        <f>'Statistics NZ'!T$44*'Economic Forecasts'!V$9*1000000/SUM('Statistics NZ'!T$30:T$110,'Statistics NZ'!T$130:T$210)</f>
        <v>36732.210282269749</v>
      </c>
      <c r="U44" s="45">
        <f>SUM('Statistics NZ'!U$44,$G$12/5*(U$8-U$9)*1000)*'Economic Forecasts'!W$9*1000000/SUM('Statistics NZ'!U$30:U$110,'Statistics NZ'!U$130:U$210,SUM($E$12:$T$13)*(U$8-U$9)*1000)</f>
        <v>35675.288685331056</v>
      </c>
      <c r="V44" s="45">
        <f>SUM('Statistics NZ'!V$44,$G$12/5*(V$8-V$9)*1000)*'Economic Forecasts'!X$9*1000000/SUM('Statistics NZ'!V$30:V$110,'Statistics NZ'!V$130:V$210,SUM($E$12:$T$13)*(V$8-V$9)*1000)</f>
        <v>35408.918542305895</v>
      </c>
      <c r="W44" s="45">
        <f>SUM('Statistics NZ'!W$44,$G$12/5*(W$8-W$9)*1000)*'Economic Forecasts'!Y$9*1000000/SUM('Statistics NZ'!W$30:W$110,'Statistics NZ'!W$130:W$210,SUM($E$12:$T$13)*(W$8-W$9)*1000)</f>
        <v>34996.87315683427</v>
      </c>
      <c r="X44" s="45">
        <f>SUM('Statistics NZ'!X$44,$G$12/5*(X$8-X$9)*1000)*'Economic Forecasts'!Z$9*1000000/SUM('Statistics NZ'!X$30:X$110,'Statistics NZ'!X$130:X$210,SUM($E$12:$T$13)*(X$8-X$9)*1000)</f>
        <v>33853.959545957834</v>
      </c>
      <c r="Y44" s="45">
        <f>SUM('Statistics NZ'!Y$44,$G$12/5*(Y$8-Y$9)*1000)*'Economic Forecasts'!AA$9*1000000/SUM('Statistics NZ'!Y$30:Y$110,'Statistics NZ'!Y$130:Y$210,SUM($E$12:$T$13)*(Y$8-Y$9)*1000)</f>
        <v>35344.869292943797</v>
      </c>
      <c r="Z44" s="46">
        <f>SUM(Y$44,'Statistics NZ'!Z$44-'Statistics NZ'!Y$44,$G$12/5*(Z$8-Z$9)*1000)</f>
        <v>35034.756229971259</v>
      </c>
      <c r="AA44" s="46">
        <f>SUM(Z$44,'Statistics NZ'!AA$44-'Statistics NZ'!Z$44,$G$12/5*(AA$8-AA$9)*1000)</f>
        <v>34364.688392187738</v>
      </c>
      <c r="AB44" s="46">
        <f>SUM(AA$44,'Statistics NZ'!AB$44-'Statistics NZ'!AA$44,$G$12/5*(AB$8-AB$9)*1000)</f>
        <v>34348.656734555429</v>
      </c>
      <c r="AC44" s="46">
        <f>SUM(AB$44,'Statistics NZ'!AC$44-'Statistics NZ'!AB$44,$G$12/5*(AC$8-AC$9)*1000)</f>
        <v>35258.656734555429</v>
      </c>
      <c r="AD44" s="46">
        <f>SUM(AC$44,'Statistics NZ'!AD$44-'Statistics NZ'!AC$44,$G$12/5*(AD$8-AD$9)*1000)</f>
        <v>35378.656734555429</v>
      </c>
      <c r="AE44" s="46">
        <f>SUM(AD$44,'Statistics NZ'!AE$44-'Statistics NZ'!AD$44,$G$12/5*(AE$8-AE$9)*1000)</f>
        <v>36108.656734555429</v>
      </c>
      <c r="AF44" s="46">
        <f>SUM(AE$44,'Statistics NZ'!AF$44-'Statistics NZ'!AE$44,$G$12/5*(AF$8-AF$9)*1000)</f>
        <v>38278.656734555429</v>
      </c>
      <c r="AG44" s="46">
        <f>SUM(AF$44,'Statistics NZ'!AG$44-'Statistics NZ'!AF$44,$G$12/5*(AG$8-AG$9)*1000)</f>
        <v>39428.656734555429</v>
      </c>
      <c r="AH44" s="46">
        <f>SUM(AG$44,'Statistics NZ'!AH$44-'Statistics NZ'!AG$44,$G$12/5*(AH$8-AH$9)*1000)</f>
        <v>38888.656734555429</v>
      </c>
      <c r="AI44" s="46">
        <f>SUM(AH$44,'Statistics NZ'!AI$44-'Statistics NZ'!AH$44,$G$12/5*(AI$8-AI$9)*1000)</f>
        <v>39948.656734555429</v>
      </c>
      <c r="AJ44" s="46">
        <f>SUM(AI$44,'Statistics NZ'!AJ$44-'Statistics NZ'!AI$44,$G$12/5*(AJ$8-AJ$9)*1000)</f>
        <v>40028.656734555429</v>
      </c>
      <c r="AK44" s="46">
        <f>SUM(AJ$44,'Statistics NZ'!AK$44-'Statistics NZ'!AJ$44,$G$12/5*(AK$8-AK$9)*1000)</f>
        <v>40178.656734555429</v>
      </c>
      <c r="AL44" s="46">
        <f>SUM(AK$44,'Statistics NZ'!AL$44-'Statistics NZ'!AK$44,$G$12/5*(AL$8-AL$9)*1000)</f>
        <v>40238.656734555429</v>
      </c>
      <c r="AM44" s="46">
        <f>SUM(AL$44,'Statistics NZ'!AM$44-'Statistics NZ'!AL$44,$G$12/5*(AM$8-AM$9)*1000)</f>
        <v>39458.656734555429</v>
      </c>
      <c r="AN44" s="46">
        <f>SUM(AM$44,'Statistics NZ'!AN$44-'Statistics NZ'!AM$44,$G$12/5*(AN$8-AN$9)*1000)</f>
        <v>39598.656734555429</v>
      </c>
      <c r="AO44" s="46">
        <f>SUM(AN$44,'Statistics NZ'!AO$44-'Statistics NZ'!AN$44,$G$12/5*(AO$8-AO$9)*1000)</f>
        <v>39228.656734555429</v>
      </c>
      <c r="AP44" s="46">
        <f>SUM(AO$44,'Statistics NZ'!AP$44-'Statistics NZ'!AO$44,$G$12/5*(AP$8-AP$9)*1000)</f>
        <v>39778.656734555429</v>
      </c>
      <c r="AQ44" s="46">
        <f>SUM(AP$44,'Statistics NZ'!AQ$44-'Statistics NZ'!AP$44,$G$12/5*(AQ$8-AQ$9)*1000)</f>
        <v>39238.656734555429</v>
      </c>
      <c r="AR44" s="46">
        <f>SUM(AQ$44,'Statistics NZ'!AR$44-'Statistics NZ'!AQ$44,$G$12/5*(AR$8-AR$9)*1000)</f>
        <v>39338.656734555429</v>
      </c>
      <c r="AS44" s="46">
        <f>SUM(AR$44,'Statistics NZ'!AS$44-'Statistics NZ'!AR$44,$G$12/5*(AS$8-AS$9)*1000)</f>
        <v>39078.656734555429</v>
      </c>
      <c r="AT44" s="46">
        <f>SUM(AS$44,'Statistics NZ'!AT$44-'Statistics NZ'!AS$44,$G$12/5*(AT$8-AT$9)*1000)</f>
        <v>39298.656734555429</v>
      </c>
      <c r="AU44" s="46">
        <f>SUM(AT$44,'Statistics NZ'!AU$44-'Statistics NZ'!AT$44,$G$12/5*(AU$8-AU$9)*1000)</f>
        <v>39668.656734555429</v>
      </c>
      <c r="AV44" s="46">
        <f>SUM(AU$44,'Statistics NZ'!AV$44-'Statistics NZ'!AU$44,$G$12/5*(AV$8-AV$9)*1000)</f>
        <v>37148.656734555429</v>
      </c>
      <c r="AW44" s="46">
        <f>SUM(AV$44,'Statistics NZ'!AW$44-'Statistics NZ'!AV$44,$G$12/5*(AW$8-AW$9)*1000)</f>
        <v>37368.656734555429</v>
      </c>
      <c r="AX44" s="46">
        <f>SUM(AW$44,'Statistics NZ'!AX$44-'Statistics NZ'!AW$44,$G$12/5*(AX$8-AX$9)*1000)</f>
        <v>37968.656734555429</v>
      </c>
      <c r="AY44" s="46">
        <f>SUM(AX$44,'Statistics NZ'!AY$44-'Statistics NZ'!AX$44,$G$12/5*(AY$8-AY$9)*1000)</f>
        <v>38078.656734555429</v>
      </c>
      <c r="AZ44" s="46">
        <f>SUM(AY$44,'Statistics NZ'!AZ$44-'Statistics NZ'!AY$44,$G$12/5*(AZ$8-AZ$9)*1000)</f>
        <v>38158.656734555429</v>
      </c>
      <c r="BA44" s="46">
        <f>SUM(AZ$44,'Statistics NZ'!BA$44-'Statistics NZ'!AZ$44,$G$12/5*(BA$8-BA$9)*1000)</f>
        <v>38228.656734555429</v>
      </c>
      <c r="BB44" s="46">
        <f>SUM(BA$44,'Statistics NZ'!BB$44-'Statistics NZ'!BA$44,$G$12/5*(BB$8-BB$9)*1000)</f>
        <v>38278.656734555429</v>
      </c>
      <c r="BC44" s="46">
        <f>SUM(BB$44,'Statistics NZ'!BC$44-'Statistics NZ'!BB$44,$G$12/5*(BC$8-BC$9)*1000)</f>
        <v>38338.656734555429</v>
      </c>
      <c r="BD44" s="46">
        <f>SUM(BC$44,'Statistics NZ'!BD$44-'Statistics NZ'!BC$44,$G$12/5*(BD$8-BD$9)*1000)</f>
        <v>38408.656734555429</v>
      </c>
      <c r="BE44" s="46">
        <f>SUM(BD$44,'Statistics NZ'!BE$44-'Statistics NZ'!BD$44,$G$12/5*(BE$8-BE$9)*1000)</f>
        <v>38498.656734555429</v>
      </c>
      <c r="BF44" s="46">
        <f>SUM(BE$44,'Statistics NZ'!BF$44-'Statistics NZ'!BE$44,$G$12/5*(BF$8-BF$9)*1000)</f>
        <v>38608.656734555429</v>
      </c>
      <c r="BG44" s="46">
        <f>SUM(BF$44,'Statistics NZ'!BG$44-'Statistics NZ'!BF$44,$G$12/5*(BG$8-BG$9)*1000)</f>
        <v>38758.656734555429</v>
      </c>
      <c r="BH44" s="46">
        <f>SUM(BG$44,'Statistics NZ'!BH$44-'Statistics NZ'!BG$44,$G$12/5*(BH$8-BH$9)*1000)</f>
        <v>38948.656734555429</v>
      </c>
      <c r="BI44" s="46">
        <f>SUM(BH$44,'Statistics NZ'!BI$44-'Statistics NZ'!BH$44,$G$12/5*(BI$8-BI$9)*1000)</f>
        <v>39168.656734555429</v>
      </c>
    </row>
    <row r="45" spans="1:61" x14ac:dyDescent="0.25">
      <c r="A45" s="11">
        <v>30</v>
      </c>
      <c r="B45" s="44">
        <f>'Statistics NZ'!B$45*'Economic Forecasts'!D$9*1000000/SUM('Statistics NZ'!B$30:B$110,'Statistics NZ'!B$130:B$210)</f>
        <v>26494.91190175711</v>
      </c>
      <c r="C45" s="44">
        <f>'Statistics NZ'!C$45*'Economic Forecasts'!E$9*1000000/SUM('Statistics NZ'!C$30:C$110,'Statistics NZ'!C$130:C$210)</f>
        <v>26769.533331732957</v>
      </c>
      <c r="D45" s="44">
        <f>'Statistics NZ'!D$45*'Economic Forecasts'!F$9*1000000/SUM('Statistics NZ'!D$30:D$110,'Statistics NZ'!D$130:D$210)</f>
        <v>26462.417663424727</v>
      </c>
      <c r="E45" s="44">
        <f>'Statistics NZ'!E$45*'Economic Forecasts'!G$9*1000000/SUM('Statistics NZ'!E$30:E$110,'Statistics NZ'!E$130:E$210)</f>
        <v>27371.400936074137</v>
      </c>
      <c r="F45" s="44">
        <f>'Statistics NZ'!F$45*'Economic Forecasts'!H$9*1000000/SUM('Statistics NZ'!F$30:F$110,'Statistics NZ'!F$130:F$210)</f>
        <v>27474.536602653297</v>
      </c>
      <c r="G45" s="44">
        <f>'Statistics NZ'!G$45*'Economic Forecasts'!I$9*1000000/SUM('Statistics NZ'!G$30:G$110,'Statistics NZ'!G$130:G$210)</f>
        <v>27424.342548499106</v>
      </c>
      <c r="H45" s="44">
        <f>'Statistics NZ'!H$45*'Economic Forecasts'!J$9*1000000/SUM('Statistics NZ'!H$30:H$110,'Statistics NZ'!H$130:H$210)</f>
        <v>27765.837566499056</v>
      </c>
      <c r="I45" s="44">
        <f>'Statistics NZ'!I$45*'Economic Forecasts'!K$9*1000000/SUM('Statistics NZ'!I$30:I$110,'Statistics NZ'!I$130:I$210)</f>
        <v>28067.578842501793</v>
      </c>
      <c r="J45" s="44">
        <f>'Statistics NZ'!J$45*'Economic Forecasts'!L$9*1000000/SUM('Statistics NZ'!J$30:J$110,'Statistics NZ'!J$130:J$210)</f>
        <v>28436.488623312642</v>
      </c>
      <c r="K45" s="44">
        <f>'Statistics NZ'!K$45*'Economic Forecasts'!M$9*1000000/SUM('Statistics NZ'!K$30:K$110,'Statistics NZ'!K$130:K$210)</f>
        <v>29559.161923741343</v>
      </c>
      <c r="L45" s="44">
        <f>'Statistics NZ'!L$45*'Economic Forecasts'!N$9*1000000/SUM('Statistics NZ'!L$30:L$110,'Statistics NZ'!L$130:L$210)</f>
        <v>30806.649936271446</v>
      </c>
      <c r="M45" s="44">
        <f>'Statistics NZ'!M$45*'Economic Forecasts'!O$9*1000000/SUM('Statistics NZ'!M$30:M$110,'Statistics NZ'!M$130:M$210)</f>
        <v>32532.680893433382</v>
      </c>
      <c r="N45" s="44">
        <f>'Statistics NZ'!N$45*'Economic Forecasts'!P$9*1000000/SUM('Statistics NZ'!N$30:N$110,'Statistics NZ'!N$130:N$210)</f>
        <v>35392.107259732838</v>
      </c>
      <c r="O45" s="44">
        <f>'Statistics NZ'!O$45*'Economic Forecasts'!Q$9*1000000/SUM('Statistics NZ'!O$30:O$110,'Statistics NZ'!O$130:O$210)</f>
        <v>36361.687316721938</v>
      </c>
      <c r="P45" s="44">
        <f>'Statistics NZ'!P$45*'Economic Forecasts'!R$9*1000000/SUM('Statistics NZ'!P$30:P$110,'Statistics NZ'!P$130:P$210)</f>
        <v>38702.704598767916</v>
      </c>
      <c r="Q45" s="44">
        <f>'Statistics NZ'!Q$45*'Economic Forecasts'!S$9*1000000/SUM('Statistics NZ'!Q$30:Q$110,'Statistics NZ'!Q$130:Q$210)</f>
        <v>39180.629064662913</v>
      </c>
      <c r="R45" s="44">
        <f>'Statistics NZ'!R$45*'Economic Forecasts'!T$9*1000000/SUM('Statistics NZ'!R$30:R$110,'Statistics NZ'!R$130:R$210)</f>
        <v>37681.2184318906</v>
      </c>
      <c r="S45" s="44">
        <f>'Statistics NZ'!S$45*'Economic Forecasts'!U$9*1000000/SUM('Statistics NZ'!S$30:S$110,'Statistics NZ'!S$130:S$210)</f>
        <v>38036.793108502316</v>
      </c>
      <c r="T45" s="44">
        <f>'Statistics NZ'!T$45*'Economic Forecasts'!V$9*1000000/SUM('Statistics NZ'!T$30:T$110,'Statistics NZ'!T$130:T$210)</f>
        <v>37693.630788848313</v>
      </c>
      <c r="U45" s="45">
        <f>SUM('Statistics NZ'!U$45,$H$12/5*(U$8-U$9)*1000)*'Economic Forecasts'!W$9*1000000/SUM('Statistics NZ'!U$30:U$110,'Statistics NZ'!U$130:U$210,SUM($E$12:$T$13)*(U$8-U$9)*1000)</f>
        <v>37403.000649606161</v>
      </c>
      <c r="V45" s="45">
        <f>SUM('Statistics NZ'!V$45,$H$12/5*(V$8-V$9)*1000)*'Economic Forecasts'!X$9*1000000/SUM('Statistics NZ'!V$30:V$110,'Statistics NZ'!V$130:V$210,SUM($E$12:$T$13)*(V$8-V$9)*1000)</f>
        <v>36264.799455500877</v>
      </c>
      <c r="W45" s="45">
        <f>SUM('Statistics NZ'!W$45,$H$12/5*(W$8-W$9)*1000)*'Economic Forecasts'!Y$9*1000000/SUM('Statistics NZ'!W$30:W$110,'Statistics NZ'!W$130:W$210,SUM($E$12:$T$13)*(W$8-W$9)*1000)</f>
        <v>36020.64765011776</v>
      </c>
      <c r="X45" s="45">
        <f>SUM('Statistics NZ'!X$45,$H$12/5*(X$8-X$9)*1000)*'Economic Forecasts'!Z$9*1000000/SUM('Statistics NZ'!X$30:X$110,'Statistics NZ'!X$130:X$210,SUM($E$12:$T$13)*(X$8-X$9)*1000)</f>
        <v>35620.001843470716</v>
      </c>
      <c r="Y45" s="45">
        <f>SUM('Statistics NZ'!Y$45,$H$12/5*(Y$8-Y$9)*1000)*'Economic Forecasts'!AA$9*1000000/SUM('Statistics NZ'!Y$30:Y$110,'Statistics NZ'!Y$130:Y$210,SUM($E$12:$T$13)*(Y$8-Y$9)*1000)</f>
        <v>34504.765988497551</v>
      </c>
      <c r="Z45" s="46">
        <f>SUM(Y$45,'Statistics NZ'!Z$45-'Statistics NZ'!Y$45,$H$12/5*(Z$8-Z$9)*1000)</f>
        <v>36086.011078884047</v>
      </c>
      <c r="AA45" s="46">
        <f>SUM(Z$45,'Statistics NZ'!AA$45-'Statistics NZ'!Z$45,$H$12/5*(AA$8-AA$9)*1000)</f>
        <v>35766.758133115945</v>
      </c>
      <c r="AB45" s="46">
        <f>SUM(AA$45,'Statistics NZ'!AB$45-'Statistics NZ'!AA$45,$H$12/5*(AB$8-AB$9)*1000)</f>
        <v>35081.106758424168</v>
      </c>
      <c r="AC45" s="46">
        <f>SUM(AB$45,'Statistics NZ'!AC$45-'Statistics NZ'!AB$45,$H$12/5*(AC$8-AC$9)*1000)</f>
        <v>35051.106758424168</v>
      </c>
      <c r="AD45" s="46">
        <f>SUM(AC$45,'Statistics NZ'!AD$45-'Statistics NZ'!AC$45,$H$12/5*(AD$8-AD$9)*1000)</f>
        <v>35971.106758424168</v>
      </c>
      <c r="AE45" s="46">
        <f>SUM(AD$45,'Statistics NZ'!AE$45-'Statistics NZ'!AD$45,$H$12/5*(AE$8-AE$9)*1000)</f>
        <v>36091.106758424168</v>
      </c>
      <c r="AF45" s="46">
        <f>SUM(AE$45,'Statistics NZ'!AF$45-'Statistics NZ'!AE$45,$H$12/5*(AF$8-AF$9)*1000)</f>
        <v>36821.106758424168</v>
      </c>
      <c r="AG45" s="46">
        <f>SUM(AF$45,'Statistics NZ'!AG$45-'Statistics NZ'!AF$45,$H$12/5*(AG$8-AG$9)*1000)</f>
        <v>38991.106758424168</v>
      </c>
      <c r="AH45" s="46">
        <f>SUM(AG$45,'Statistics NZ'!AH$45-'Statistics NZ'!AG$45,$H$12/5*(AH$8-AH$9)*1000)</f>
        <v>40141.106758424168</v>
      </c>
      <c r="AI45" s="46">
        <f>SUM(AH$45,'Statistics NZ'!AI$45-'Statistics NZ'!AH$45,$H$12/5*(AI$8-AI$9)*1000)</f>
        <v>39611.106758424168</v>
      </c>
      <c r="AJ45" s="46">
        <f>SUM(AI$45,'Statistics NZ'!AJ$45-'Statistics NZ'!AI$45,$H$12/5*(AJ$8-AJ$9)*1000)</f>
        <v>40671.106758424168</v>
      </c>
      <c r="AK45" s="46">
        <f>SUM(AJ$45,'Statistics NZ'!AK$45-'Statistics NZ'!AJ$45,$H$12/5*(AK$8-AK$9)*1000)</f>
        <v>40751.106758424168</v>
      </c>
      <c r="AL45" s="46">
        <f>SUM(AK$45,'Statistics NZ'!AL$45-'Statistics NZ'!AK$45,$H$12/5*(AL$8-AL$9)*1000)</f>
        <v>40911.106758424168</v>
      </c>
      <c r="AM45" s="46">
        <f>SUM(AL$45,'Statistics NZ'!AM$45-'Statistics NZ'!AL$45,$H$12/5*(AM$8-AM$9)*1000)</f>
        <v>40971.106758424168</v>
      </c>
      <c r="AN45" s="46">
        <f>SUM(AM$45,'Statistics NZ'!AN$45-'Statistics NZ'!AM$45,$H$12/5*(AN$8-AN$9)*1000)</f>
        <v>40191.106758424168</v>
      </c>
      <c r="AO45" s="46">
        <f>SUM(AN$45,'Statistics NZ'!AO$45-'Statistics NZ'!AN$45,$H$12/5*(AO$8-AO$9)*1000)</f>
        <v>40331.106758424168</v>
      </c>
      <c r="AP45" s="46">
        <f>SUM(AO$45,'Statistics NZ'!AP$45-'Statistics NZ'!AO$45,$H$12/5*(AP$8-AP$9)*1000)</f>
        <v>39971.106758424168</v>
      </c>
      <c r="AQ45" s="46">
        <f>SUM(AP$45,'Statistics NZ'!AQ$45-'Statistics NZ'!AP$45,$H$12/5*(AQ$8-AQ$9)*1000)</f>
        <v>40521.106758424168</v>
      </c>
      <c r="AR45" s="46">
        <f>SUM(AQ$45,'Statistics NZ'!AR$45-'Statistics NZ'!AQ$45,$H$12/5*(AR$8-AR$9)*1000)</f>
        <v>39981.106758424168</v>
      </c>
      <c r="AS45" s="46">
        <f>SUM(AR$45,'Statistics NZ'!AS$45-'Statistics NZ'!AR$45,$H$12/5*(AS$8-AS$9)*1000)</f>
        <v>40081.106758424168</v>
      </c>
      <c r="AT45" s="46">
        <f>SUM(AS$45,'Statistics NZ'!AT$45-'Statistics NZ'!AS$45,$H$12/5*(AT$8-AT$9)*1000)</f>
        <v>39831.106758424168</v>
      </c>
      <c r="AU45" s="46">
        <f>SUM(AT$45,'Statistics NZ'!AU$45-'Statistics NZ'!AT$45,$H$12/5*(AU$8-AU$9)*1000)</f>
        <v>40051.106758424168</v>
      </c>
      <c r="AV45" s="46">
        <f>SUM(AU$45,'Statistics NZ'!AV$45-'Statistics NZ'!AU$45,$H$12/5*(AV$8-AV$9)*1000)</f>
        <v>40431.106758424168</v>
      </c>
      <c r="AW45" s="46">
        <f>SUM(AV$45,'Statistics NZ'!AW$45-'Statistics NZ'!AV$45,$H$12/5*(AW$8-AW$9)*1000)</f>
        <v>37911.106758424168</v>
      </c>
      <c r="AX45" s="46">
        <f>SUM(AW$45,'Statistics NZ'!AX$45-'Statistics NZ'!AW$45,$H$12/5*(AX$8-AX$9)*1000)</f>
        <v>38131.106758424168</v>
      </c>
      <c r="AY45" s="46">
        <f>SUM(AX$45,'Statistics NZ'!AY$45-'Statistics NZ'!AX$45,$H$12/5*(AY$8-AY$9)*1000)</f>
        <v>38731.106758424168</v>
      </c>
      <c r="AZ45" s="46">
        <f>SUM(AY$45,'Statistics NZ'!AZ$45-'Statistics NZ'!AY$45,$H$12/5*(AZ$8-AZ$9)*1000)</f>
        <v>38841.106758424168</v>
      </c>
      <c r="BA45" s="46">
        <f>SUM(AZ$45,'Statistics NZ'!BA$45-'Statistics NZ'!AZ$45,$H$12/5*(BA$8-BA$9)*1000)</f>
        <v>38931.106758424168</v>
      </c>
      <c r="BB45" s="46">
        <f>SUM(BA$45,'Statistics NZ'!BB$45-'Statistics NZ'!BA$45,$H$12/5*(BB$8-BB$9)*1000)</f>
        <v>39001.106758424168</v>
      </c>
      <c r="BC45" s="46">
        <f>SUM(BB$45,'Statistics NZ'!BC$45-'Statistics NZ'!BB$45,$H$12/5*(BC$8-BC$9)*1000)</f>
        <v>39061.106758424168</v>
      </c>
      <c r="BD45" s="46">
        <f>SUM(BC$45,'Statistics NZ'!BD$45-'Statistics NZ'!BC$45,$H$12/5*(BD$8-BD$9)*1000)</f>
        <v>39121.106758424168</v>
      </c>
      <c r="BE45" s="46">
        <f>SUM(BD$45,'Statistics NZ'!BE$45-'Statistics NZ'!BD$45,$H$12/5*(BE$8-BE$9)*1000)</f>
        <v>39191.106758424168</v>
      </c>
      <c r="BF45" s="46">
        <f>SUM(BE$45,'Statistics NZ'!BF$45-'Statistics NZ'!BE$45,$H$12/5*(BF$8-BF$9)*1000)</f>
        <v>39281.106758424168</v>
      </c>
      <c r="BG45" s="46">
        <f>SUM(BF$45,'Statistics NZ'!BG$45-'Statistics NZ'!BF$45,$H$12/5*(BG$8-BG$9)*1000)</f>
        <v>39401.106758424168</v>
      </c>
      <c r="BH45" s="46">
        <f>SUM(BG$45,'Statistics NZ'!BH$45-'Statistics NZ'!BG$45,$H$12/5*(BH$8-BH$9)*1000)</f>
        <v>39551.106758424168</v>
      </c>
      <c r="BI45" s="46">
        <f>SUM(BH$45,'Statistics NZ'!BI$45-'Statistics NZ'!BH$45,$H$12/5*(BI$8-BI$9)*1000)</f>
        <v>39741.106758424168</v>
      </c>
    </row>
    <row r="46" spans="1:61" x14ac:dyDescent="0.25">
      <c r="A46" s="11">
        <v>31</v>
      </c>
      <c r="B46" s="44">
        <f>'Statistics NZ'!B$46*'Economic Forecasts'!D$9*1000000/SUM('Statistics NZ'!B$30:B$110,'Statistics NZ'!B$130:B$210)</f>
        <v>28050.558501601787</v>
      </c>
      <c r="C46" s="44">
        <f>'Statistics NZ'!C$46*'Economic Forecasts'!E$9*1000000/SUM('Statistics NZ'!C$30:C$110,'Statistics NZ'!C$130:C$210)</f>
        <v>27113.236070768413</v>
      </c>
      <c r="D46" s="44">
        <f>'Statistics NZ'!D$46*'Economic Forecasts'!F$9*1000000/SUM('Statistics NZ'!D$30:D$110,'Statistics NZ'!D$130:D$210)</f>
        <v>27100.894704301711</v>
      </c>
      <c r="E46" s="44">
        <f>'Statistics NZ'!E$46*'Economic Forecasts'!G$9*1000000/SUM('Statistics NZ'!E$30:E$110,'Statistics NZ'!E$130:E$210)</f>
        <v>26851.62872195306</v>
      </c>
      <c r="F46" s="44">
        <f>'Statistics NZ'!F$46*'Economic Forecasts'!H$9*1000000/SUM('Statistics NZ'!F$30:F$110,'Statistics NZ'!F$130:F$210)</f>
        <v>27690.33089228499</v>
      </c>
      <c r="G46" s="44">
        <f>'Statistics NZ'!G$46*'Economic Forecasts'!I$9*1000000/SUM('Statistics NZ'!G$30:G$110,'Statistics NZ'!G$130:G$210)</f>
        <v>27699.371771764854</v>
      </c>
      <c r="H46" s="44">
        <f>'Statistics NZ'!H$46*'Economic Forecasts'!J$9*1000000/SUM('Statistics NZ'!H$30:H$110,'Statistics NZ'!H$130:H$210)</f>
        <v>27539.859412206955</v>
      </c>
      <c r="I46" s="44">
        <f>'Statistics NZ'!I$46*'Economic Forecasts'!K$9*1000000/SUM('Statistics NZ'!I$30:I$110,'Statistics NZ'!I$130:I$210)</f>
        <v>27949.936178823824</v>
      </c>
      <c r="J46" s="44">
        <f>'Statistics NZ'!J$46*'Economic Forecasts'!L$9*1000000/SUM('Statistics NZ'!J$30:J$110,'Statistics NZ'!J$130:J$210)</f>
        <v>28582.766856971659</v>
      </c>
      <c r="K46" s="44">
        <f>'Statistics NZ'!K$46*'Economic Forecasts'!M$9*1000000/SUM('Statistics NZ'!K$30:K$110,'Statistics NZ'!K$130:K$210)</f>
        <v>29413.118633604281</v>
      </c>
      <c r="L46" s="44">
        <f>'Statistics NZ'!L$46*'Economic Forecasts'!N$9*1000000/SUM('Statistics NZ'!L$30:L$110,'Statistics NZ'!L$130:L$210)</f>
        <v>30923.489316560714</v>
      </c>
      <c r="M46" s="44">
        <f>'Statistics NZ'!M$46*'Economic Forecasts'!O$9*1000000/SUM('Statistics NZ'!M$30:M$110,'Statistics NZ'!M$130:M$210)</f>
        <v>32073.5109228654</v>
      </c>
      <c r="N46" s="44">
        <f>'Statistics NZ'!N$46*'Economic Forecasts'!P$9*1000000/SUM('Statistics NZ'!N$30:N$110,'Statistics NZ'!N$130:N$210)</f>
        <v>33640.604025148328</v>
      </c>
      <c r="O46" s="44">
        <f>'Statistics NZ'!O$46*'Economic Forecasts'!Q$9*1000000/SUM('Statistics NZ'!O$30:O$110,'Statistics NZ'!O$130:O$210)</f>
        <v>36381.352912891067</v>
      </c>
      <c r="P46" s="44">
        <f>'Statistics NZ'!P$46*'Economic Forecasts'!R$9*1000000/SUM('Statistics NZ'!P$30:P$110,'Statistics NZ'!P$130:P$210)</f>
        <v>37484.340706854426</v>
      </c>
      <c r="Q46" s="44">
        <f>'Statistics NZ'!Q$46*'Economic Forecasts'!S$9*1000000/SUM('Statistics NZ'!Q$30:Q$110,'Statistics NZ'!Q$130:Q$210)</f>
        <v>39011.747042832467</v>
      </c>
      <c r="R46" s="44">
        <f>'Statistics NZ'!R$46*'Economic Forecasts'!T$9*1000000/SUM('Statistics NZ'!R$30:R$110,'Statistics NZ'!R$130:R$210)</f>
        <v>38975.763462584502</v>
      </c>
      <c r="S46" s="44">
        <f>'Statistics NZ'!S$46*'Economic Forecasts'!U$9*1000000/SUM('Statistics NZ'!S$30:S$110,'Statistics NZ'!S$130:S$210)</f>
        <v>39107.560269872862</v>
      </c>
      <c r="T46" s="44">
        <f>'Statistics NZ'!T$46*'Economic Forecasts'!V$9*1000000/SUM('Statistics NZ'!T$30:T$110,'Statistics NZ'!T$130:T$210)</f>
        <v>39616.47180200545</v>
      </c>
      <c r="U46" s="45">
        <f>SUM('Statistics NZ'!U$46,$H$12/5*(U$8-U$9)*1000)*'Economic Forecasts'!W$9*1000000/SUM('Statistics NZ'!U$30:U$110,'Statistics NZ'!U$130:U$210,SUM($E$12:$T$13)*(U$8-U$9)*1000)</f>
        <v>38343.970732340022</v>
      </c>
      <c r="V46" s="45">
        <f>SUM('Statistics NZ'!V$46,$H$12/5*(V$8-V$9)*1000)*'Economic Forecasts'!X$9*1000000/SUM('Statistics NZ'!V$30:V$110,'Statistics NZ'!V$130:V$210,SUM($E$12:$T$13)*(V$8-V$9)*1000)</f>
        <v>37977.640979926531</v>
      </c>
      <c r="W46" s="45">
        <f>SUM('Statistics NZ'!W$46,$H$12/5*(W$8-W$9)*1000)*'Economic Forecasts'!Y$9*1000000/SUM('Statistics NZ'!W$30:W$110,'Statistics NZ'!W$130:W$210,SUM($E$12:$T$13)*(W$8-W$9)*1000)</f>
        <v>36852.49928555276</v>
      </c>
      <c r="X46" s="45">
        <f>SUM('Statistics NZ'!X$46,$H$12/5*(X$8-X$9)*1000)*'Economic Forecasts'!Z$9*1000000/SUM('Statistics NZ'!X$30:X$110,'Statistics NZ'!X$130:X$210,SUM($E$12:$T$13)*(X$8-X$9)*1000)</f>
        <v>36620.433216365156</v>
      </c>
      <c r="Y46" s="45">
        <f>SUM('Statistics NZ'!Y$46,$H$12/5*(Y$8-Y$9)*1000)*'Economic Forecasts'!AA$9*1000000/SUM('Statistics NZ'!Y$30:Y$110,'Statistics NZ'!Y$130:Y$210,SUM($E$12:$T$13)*(Y$8-Y$9)*1000)</f>
        <v>36248.732499303318</v>
      </c>
      <c r="Z46" s="46">
        <f>SUM(Y$46,'Statistics NZ'!Z$46-'Statistics NZ'!Y$46,$H$12/5*(Z$8-Z$9)*1000)</f>
        <v>35199.977589689814</v>
      </c>
      <c r="AA46" s="46">
        <f>SUM(Z$46,'Statistics NZ'!AA$46-'Statistics NZ'!Z$46,$H$12/5*(AA$8-AA$9)*1000)</f>
        <v>36760.724643921712</v>
      </c>
      <c r="AB46" s="46">
        <f>SUM(AA$46,'Statistics NZ'!AB$46-'Statistics NZ'!AA$46,$H$12/5*(AB$8-AB$9)*1000)</f>
        <v>36425.073269229935</v>
      </c>
      <c r="AC46" s="46">
        <f>SUM(AB$46,'Statistics NZ'!AC$46-'Statistics NZ'!AB$46,$H$12/5*(AC$8-AC$9)*1000)</f>
        <v>35735.073269229935</v>
      </c>
      <c r="AD46" s="46">
        <f>SUM(AC$46,'Statistics NZ'!AD$46-'Statistics NZ'!AC$46,$H$12/5*(AD$8-AD$9)*1000)</f>
        <v>35705.073269229935</v>
      </c>
      <c r="AE46" s="46">
        <f>SUM(AD$46,'Statistics NZ'!AE$46-'Statistics NZ'!AD$46,$H$12/5*(AE$8-AE$9)*1000)</f>
        <v>36625.073269229935</v>
      </c>
      <c r="AF46" s="46">
        <f>SUM(AE$46,'Statistics NZ'!AF$46-'Statistics NZ'!AE$46,$H$12/5*(AF$8-AF$9)*1000)</f>
        <v>36745.073269229935</v>
      </c>
      <c r="AG46" s="46">
        <f>SUM(AF$46,'Statistics NZ'!AG$46-'Statistics NZ'!AF$46,$H$12/5*(AG$8-AG$9)*1000)</f>
        <v>37485.073269229935</v>
      </c>
      <c r="AH46" s="46">
        <f>SUM(AG$46,'Statistics NZ'!AH$46-'Statistics NZ'!AG$46,$H$12/5*(AH$8-AH$9)*1000)</f>
        <v>39665.073269229935</v>
      </c>
      <c r="AI46" s="46">
        <f>SUM(AH$46,'Statistics NZ'!AI$46-'Statistics NZ'!AH$46,$H$12/5*(AI$8-AI$9)*1000)</f>
        <v>40815.073269229935</v>
      </c>
      <c r="AJ46" s="46">
        <f>SUM(AI$46,'Statistics NZ'!AJ$46-'Statistics NZ'!AI$46,$H$12/5*(AJ$8-AJ$9)*1000)</f>
        <v>40285.073269229935</v>
      </c>
      <c r="AK46" s="46">
        <f>SUM(AJ$46,'Statistics NZ'!AK$46-'Statistics NZ'!AJ$46,$H$12/5*(AK$8-AK$9)*1000)</f>
        <v>41345.073269229935</v>
      </c>
      <c r="AL46" s="46">
        <f>SUM(AK$46,'Statistics NZ'!AL$46-'Statistics NZ'!AK$46,$H$12/5*(AL$8-AL$9)*1000)</f>
        <v>41435.073269229935</v>
      </c>
      <c r="AM46" s="46">
        <f>SUM(AL$46,'Statistics NZ'!AM$46-'Statistics NZ'!AL$46,$H$12/5*(AM$8-AM$9)*1000)</f>
        <v>41585.073269229935</v>
      </c>
      <c r="AN46" s="46">
        <f>SUM(AM$46,'Statistics NZ'!AN$46-'Statistics NZ'!AM$46,$H$12/5*(AN$8-AN$9)*1000)</f>
        <v>41655.073269229935</v>
      </c>
      <c r="AO46" s="46">
        <f>SUM(AN$46,'Statistics NZ'!AO$46-'Statistics NZ'!AN$46,$H$12/5*(AO$8-AO$9)*1000)</f>
        <v>40875.073269229935</v>
      </c>
      <c r="AP46" s="46">
        <f>SUM(AO$46,'Statistics NZ'!AP$46-'Statistics NZ'!AO$46,$H$12/5*(AP$8-AP$9)*1000)</f>
        <v>41025.073269229935</v>
      </c>
      <c r="AQ46" s="46">
        <f>SUM(AP$46,'Statistics NZ'!AQ$46-'Statistics NZ'!AP$46,$H$12/5*(AQ$8-AQ$9)*1000)</f>
        <v>40655.073269229935</v>
      </c>
      <c r="AR46" s="46">
        <f>SUM(AQ$46,'Statistics NZ'!AR$46-'Statistics NZ'!AQ$46,$H$12/5*(AR$8-AR$9)*1000)</f>
        <v>41215.073269229935</v>
      </c>
      <c r="AS46" s="46">
        <f>SUM(AR$46,'Statistics NZ'!AS$46-'Statistics NZ'!AR$46,$H$12/5*(AS$8-AS$9)*1000)</f>
        <v>40675.073269229935</v>
      </c>
      <c r="AT46" s="46">
        <f>SUM(AS$46,'Statistics NZ'!AT$46-'Statistics NZ'!AS$46,$H$12/5*(AT$8-AT$9)*1000)</f>
        <v>40785.073269229935</v>
      </c>
      <c r="AU46" s="46">
        <f>SUM(AT$46,'Statistics NZ'!AU$46-'Statistics NZ'!AT$46,$H$12/5*(AU$8-AU$9)*1000)</f>
        <v>40535.073269229935</v>
      </c>
      <c r="AV46" s="46">
        <f>SUM(AU$46,'Statistics NZ'!AV$46-'Statistics NZ'!AU$46,$H$12/5*(AV$8-AV$9)*1000)</f>
        <v>40755.073269229935</v>
      </c>
      <c r="AW46" s="46">
        <f>SUM(AV$46,'Statistics NZ'!AW$46-'Statistics NZ'!AV$46,$H$12/5*(AW$8-AW$9)*1000)</f>
        <v>41135.073269229935</v>
      </c>
      <c r="AX46" s="46">
        <f>SUM(AW$46,'Statistics NZ'!AX$46-'Statistics NZ'!AW$46,$H$12/5*(AX$8-AX$9)*1000)</f>
        <v>38625.073269229935</v>
      </c>
      <c r="AY46" s="46">
        <f>SUM(AX$46,'Statistics NZ'!AY$46-'Statistics NZ'!AX$46,$H$12/5*(AY$8-AY$9)*1000)</f>
        <v>38845.073269229935</v>
      </c>
      <c r="AZ46" s="46">
        <f>SUM(AY$46,'Statistics NZ'!AZ$46-'Statistics NZ'!AY$46,$H$12/5*(AZ$8-AZ$9)*1000)</f>
        <v>39445.073269229935</v>
      </c>
      <c r="BA46" s="46">
        <f>SUM(AZ$46,'Statistics NZ'!BA$46-'Statistics NZ'!AZ$46,$H$12/5*(BA$8-BA$9)*1000)</f>
        <v>39565.073269229935</v>
      </c>
      <c r="BB46" s="46">
        <f>SUM(BA$46,'Statistics NZ'!BB$46-'Statistics NZ'!BA$46,$H$12/5*(BB$8-BB$9)*1000)</f>
        <v>39655.073269229935</v>
      </c>
      <c r="BC46" s="46">
        <f>SUM(BB$46,'Statistics NZ'!BC$46-'Statistics NZ'!BB$46,$H$12/5*(BC$8-BC$9)*1000)</f>
        <v>39725.073269229935</v>
      </c>
      <c r="BD46" s="46">
        <f>SUM(BC$46,'Statistics NZ'!BD$46-'Statistics NZ'!BC$46,$H$12/5*(BD$8-BD$9)*1000)</f>
        <v>39785.073269229935</v>
      </c>
      <c r="BE46" s="46">
        <f>SUM(BD$46,'Statistics NZ'!BE$46-'Statistics NZ'!BD$46,$H$12/5*(BE$8-BE$9)*1000)</f>
        <v>39845.073269229935</v>
      </c>
      <c r="BF46" s="46">
        <f>SUM(BE$46,'Statistics NZ'!BF$46-'Statistics NZ'!BE$46,$H$12/5*(BF$8-BF$9)*1000)</f>
        <v>39925.073269229935</v>
      </c>
      <c r="BG46" s="46">
        <f>SUM(BF$46,'Statistics NZ'!BG$46-'Statistics NZ'!BF$46,$H$12/5*(BG$8-BG$9)*1000)</f>
        <v>40015.073269229935</v>
      </c>
      <c r="BH46" s="46">
        <f>SUM(BG$46,'Statistics NZ'!BH$46-'Statistics NZ'!BG$46,$H$12/5*(BH$8-BH$9)*1000)</f>
        <v>40145.073269229935</v>
      </c>
      <c r="BI46" s="46">
        <f>SUM(BH$46,'Statistics NZ'!BI$46-'Statistics NZ'!BH$46,$H$12/5*(BI$8-BI$9)*1000)</f>
        <v>40295.073269229935</v>
      </c>
    </row>
    <row r="47" spans="1:61" x14ac:dyDescent="0.25">
      <c r="A47" s="11">
        <v>32</v>
      </c>
      <c r="B47" s="44">
        <f>'Statistics NZ'!B$47*'Economic Forecasts'!D$9*1000000/SUM('Statistics NZ'!B$30:B$110,'Statistics NZ'!B$130:B$210)</f>
        <v>29312.686875060674</v>
      </c>
      <c r="C47" s="44">
        <f>'Statistics NZ'!C$47*'Economic Forecasts'!E$9*1000000/SUM('Statistics NZ'!C$30:C$110,'Statistics NZ'!C$130:C$210)</f>
        <v>28468.40687039393</v>
      </c>
      <c r="D47" s="44">
        <f>'Statistics NZ'!D$47*'Economic Forecasts'!F$9*1000000/SUM('Statistics NZ'!D$30:D$110,'Statistics NZ'!D$130:D$210)</f>
        <v>27316.994625829306</v>
      </c>
      <c r="E47" s="44">
        <f>'Statistics NZ'!E$47*'Economic Forecasts'!G$9*1000000/SUM('Statistics NZ'!E$30:E$110,'Statistics NZ'!E$130:E$210)</f>
        <v>27243.909638270849</v>
      </c>
      <c r="F47" s="44">
        <f>'Statistics NZ'!F$47*'Economic Forecasts'!H$9*1000000/SUM('Statistics NZ'!F$30:F$110,'Statistics NZ'!F$130:F$210)</f>
        <v>26993.903866655433</v>
      </c>
      <c r="G47" s="44">
        <f>'Statistics NZ'!G$47*'Economic Forecasts'!I$9*1000000/SUM('Statistics NZ'!G$30:G$110,'Statistics NZ'!G$130:G$210)</f>
        <v>27797.596494359765</v>
      </c>
      <c r="H47" s="44">
        <f>'Statistics NZ'!H$47*'Economic Forecasts'!J$9*1000000/SUM('Statistics NZ'!H$30:H$110,'Statistics NZ'!H$130:H$210)</f>
        <v>27647.935920781438</v>
      </c>
      <c r="I47" s="44">
        <f>'Statistics NZ'!I$47*'Economic Forecasts'!K$9*1000000/SUM('Statistics NZ'!I$30:I$110,'Statistics NZ'!I$130:I$210)</f>
        <v>27459.758413498956</v>
      </c>
      <c r="J47" s="44">
        <f>'Statistics NZ'!J$47*'Economic Forecasts'!L$9*1000000/SUM('Statistics NZ'!J$30:J$110,'Statistics NZ'!J$130:J$210)</f>
        <v>28280.458507409694</v>
      </c>
      <c r="K47" s="44">
        <f>'Statistics NZ'!K$47*'Economic Forecasts'!M$9*1000000/SUM('Statistics NZ'!K$30:K$110,'Statistics NZ'!K$130:K$210)</f>
        <v>29208.658027412395</v>
      </c>
      <c r="L47" s="44">
        <f>'Statistics NZ'!L$47*'Economic Forecasts'!N$9*1000000/SUM('Statistics NZ'!L$30:L$110,'Statistics NZ'!L$130:L$210)</f>
        <v>30446.395180379521</v>
      </c>
      <c r="M47" s="44">
        <f>'Statistics NZ'!M$47*'Economic Forecasts'!O$9*1000000/SUM('Statistics NZ'!M$30:M$110,'Statistics NZ'!M$130:M$210)</f>
        <v>32034.432627497914</v>
      </c>
      <c r="N47" s="44">
        <f>'Statistics NZ'!N$47*'Economic Forecasts'!P$9*1000000/SUM('Statistics NZ'!N$30:N$110,'Statistics NZ'!N$130:N$210)</f>
        <v>33161.142245848656</v>
      </c>
      <c r="O47" s="44">
        <f>'Statistics NZ'!O$47*'Economic Forecasts'!Q$9*1000000/SUM('Statistics NZ'!O$30:O$110,'Statistics NZ'!O$130:O$210)</f>
        <v>34513.121276823687</v>
      </c>
      <c r="P47" s="44">
        <f>'Statistics NZ'!P$47*'Economic Forecasts'!R$9*1000000/SUM('Statistics NZ'!P$30:P$110,'Statistics NZ'!P$130:P$210)</f>
        <v>37346.783493251292</v>
      </c>
      <c r="Q47" s="44">
        <f>'Statistics NZ'!Q$47*'Economic Forecasts'!S$9*1000000/SUM('Statistics NZ'!Q$30:Q$110,'Statistics NZ'!Q$130:Q$210)</f>
        <v>37879.244072910667</v>
      </c>
      <c r="R47" s="44">
        <f>'Statistics NZ'!R$47*'Economic Forecasts'!T$9*1000000/SUM('Statistics NZ'!R$30:R$110,'Statistics NZ'!R$130:R$210)</f>
        <v>38886.141114305705</v>
      </c>
      <c r="S47" s="44">
        <f>'Statistics NZ'!S$47*'Economic Forecasts'!U$9*1000000/SUM('Statistics NZ'!S$30:S$110,'Statistics NZ'!S$130:S$210)</f>
        <v>40139.033223486695</v>
      </c>
      <c r="T47" s="44">
        <f>'Statistics NZ'!T$47*'Economic Forecasts'!V$9*1000000/SUM('Statistics NZ'!T$30:T$110,'Statistics NZ'!T$130:T$210)</f>
        <v>40677.007824726134</v>
      </c>
      <c r="U47" s="45">
        <f>SUM('Statistics NZ'!U$47,$H$12/5*(U$8-U$9)*1000)*'Economic Forecasts'!W$9*1000000/SUM('Statistics NZ'!U$30:U$110,'Statistics NZ'!U$130:U$210,SUM($E$12:$T$13)*(U$8-U$9)*1000)</f>
        <v>40265.530690764972</v>
      </c>
      <c r="V47" s="45">
        <f>SUM('Statistics NZ'!V$47,$H$12/5*(V$8-V$9)*1000)*'Economic Forecasts'!X$9*1000000/SUM('Statistics NZ'!V$30:V$110,'Statistics NZ'!V$130:V$210,SUM($E$12:$T$13)*(V$8-V$9)*1000)</f>
        <v>38898.417059531072</v>
      </c>
      <c r="W47" s="45">
        <f>SUM('Statistics NZ'!W$47,$H$12/5*(W$8-W$9)*1000)*'Economic Forecasts'!Y$9*1000000/SUM('Statistics NZ'!W$30:W$110,'Statistics NZ'!W$130:W$210,SUM($E$12:$T$13)*(W$8-W$9)*1000)</f>
        <v>38545.911543402581</v>
      </c>
      <c r="X47" s="45">
        <f>SUM('Statistics NZ'!X$47,$H$12/5*(X$8-X$9)*1000)*'Economic Forecasts'!Z$9*1000000/SUM('Statistics NZ'!X$30:X$110,'Statistics NZ'!X$130:X$210,SUM($E$12:$T$13)*(X$8-X$9)*1000)</f>
        <v>37442.569889139799</v>
      </c>
      <c r="Y47" s="45">
        <f>SUM('Statistics NZ'!Y$47,$H$12/5*(Y$8-Y$9)*1000)*'Economic Forecasts'!AA$9*1000000/SUM('Statistics NZ'!Y$30:Y$110,'Statistics NZ'!Y$130:Y$210,SUM($E$12:$T$13)*(Y$8-Y$9)*1000)</f>
        <v>37229.713661631555</v>
      </c>
      <c r="Z47" s="46">
        <f>SUM(Y$47,'Statistics NZ'!Z$47-'Statistics NZ'!Y$47,$H$12/5*(Z$8-Z$9)*1000)</f>
        <v>36940.95875201805</v>
      </c>
      <c r="AA47" s="46">
        <f>SUM(Z$47,'Statistics NZ'!AA$47-'Statistics NZ'!Z$47,$H$12/5*(AA$8-AA$9)*1000)</f>
        <v>35871.705806249949</v>
      </c>
      <c r="AB47" s="46">
        <f>SUM(AA$47,'Statistics NZ'!AB$47-'Statistics NZ'!AA$47,$H$12/5*(AB$8-AB$9)*1000)</f>
        <v>37426.054431558172</v>
      </c>
      <c r="AC47" s="46">
        <f>SUM(AB$47,'Statistics NZ'!AC$47-'Statistics NZ'!AB$47,$H$12/5*(AC$8-AC$9)*1000)</f>
        <v>37076.054431558172</v>
      </c>
      <c r="AD47" s="46">
        <f>SUM(AC$47,'Statistics NZ'!AD$47-'Statistics NZ'!AC$47,$H$12/5*(AD$8-AD$9)*1000)</f>
        <v>36386.054431558172</v>
      </c>
      <c r="AE47" s="46">
        <f>SUM(AD$47,'Statistics NZ'!AE$47-'Statistics NZ'!AD$47,$H$12/5*(AE$8-AE$9)*1000)</f>
        <v>36356.054431558172</v>
      </c>
      <c r="AF47" s="46">
        <f>SUM(AE$47,'Statistics NZ'!AF$47-'Statistics NZ'!AE$47,$H$12/5*(AF$8-AF$9)*1000)</f>
        <v>37286.054431558172</v>
      </c>
      <c r="AG47" s="46">
        <f>SUM(AF$47,'Statistics NZ'!AG$47-'Statistics NZ'!AF$47,$H$12/5*(AG$8-AG$9)*1000)</f>
        <v>37406.054431558172</v>
      </c>
      <c r="AH47" s="46">
        <f>SUM(AG$47,'Statistics NZ'!AH$47-'Statistics NZ'!AG$47,$H$12/5*(AH$8-AH$9)*1000)</f>
        <v>38146.054431558172</v>
      </c>
      <c r="AI47" s="46">
        <f>SUM(AH$47,'Statistics NZ'!AI$47-'Statistics NZ'!AH$47,$H$12/5*(AI$8-AI$9)*1000)</f>
        <v>40326.054431558172</v>
      </c>
      <c r="AJ47" s="46">
        <f>SUM(AI$47,'Statistics NZ'!AJ$47-'Statistics NZ'!AI$47,$H$12/5*(AJ$8-AJ$9)*1000)</f>
        <v>41476.054431558172</v>
      </c>
      <c r="AK47" s="46">
        <f>SUM(AJ$47,'Statistics NZ'!AK$47-'Statistics NZ'!AJ$47,$H$12/5*(AK$8-AK$9)*1000)</f>
        <v>40956.054431558172</v>
      </c>
      <c r="AL47" s="46">
        <f>SUM(AK$47,'Statistics NZ'!AL$47-'Statistics NZ'!AK$47,$H$12/5*(AL$8-AL$9)*1000)</f>
        <v>42016.054431558172</v>
      </c>
      <c r="AM47" s="46">
        <f>SUM(AL$47,'Statistics NZ'!AM$47-'Statistics NZ'!AL$47,$H$12/5*(AM$8-AM$9)*1000)</f>
        <v>42106.054431558172</v>
      </c>
      <c r="AN47" s="46">
        <f>SUM(AM$47,'Statistics NZ'!AN$47-'Statistics NZ'!AM$47,$H$12/5*(AN$8-AN$9)*1000)</f>
        <v>42266.054431558172</v>
      </c>
      <c r="AO47" s="46">
        <f>SUM(AN$47,'Statistics NZ'!AO$47-'Statistics NZ'!AN$47,$H$12/5*(AO$8-AO$9)*1000)</f>
        <v>42336.054431558172</v>
      </c>
      <c r="AP47" s="46">
        <f>SUM(AO$47,'Statistics NZ'!AP$47-'Statistics NZ'!AO$47,$H$12/5*(AP$8-AP$9)*1000)</f>
        <v>41556.054431558172</v>
      </c>
      <c r="AQ47" s="46">
        <f>SUM(AP$47,'Statistics NZ'!AQ$47-'Statistics NZ'!AP$47,$H$12/5*(AQ$8-AQ$9)*1000)</f>
        <v>41706.054431558172</v>
      </c>
      <c r="AR47" s="46">
        <f>SUM(AQ$47,'Statistics NZ'!AR$47-'Statistics NZ'!AQ$47,$H$12/5*(AR$8-AR$9)*1000)</f>
        <v>41346.054431558172</v>
      </c>
      <c r="AS47" s="46">
        <f>SUM(AR$47,'Statistics NZ'!AS$47-'Statistics NZ'!AR$47,$H$12/5*(AS$8-AS$9)*1000)</f>
        <v>41906.054431558172</v>
      </c>
      <c r="AT47" s="46">
        <f>SUM(AS$47,'Statistics NZ'!AT$47-'Statistics NZ'!AS$47,$H$12/5*(AT$8-AT$9)*1000)</f>
        <v>41376.054431558172</v>
      </c>
      <c r="AU47" s="46">
        <f>SUM(AT$47,'Statistics NZ'!AU$47-'Statistics NZ'!AT$47,$H$12/5*(AU$8-AU$9)*1000)</f>
        <v>41486.054431558172</v>
      </c>
      <c r="AV47" s="46">
        <f>SUM(AU$47,'Statistics NZ'!AV$47-'Statistics NZ'!AU$47,$H$12/5*(AV$8-AV$9)*1000)</f>
        <v>41236.054431558172</v>
      </c>
      <c r="AW47" s="46">
        <f>SUM(AV$47,'Statistics NZ'!AW$47-'Statistics NZ'!AV$47,$H$12/5*(AW$8-AW$9)*1000)</f>
        <v>41466.054431558172</v>
      </c>
      <c r="AX47" s="46">
        <f>SUM(AW$47,'Statistics NZ'!AX$47-'Statistics NZ'!AW$47,$H$12/5*(AX$8-AX$9)*1000)</f>
        <v>41836.054431558172</v>
      </c>
      <c r="AY47" s="46">
        <f>SUM(AX$47,'Statistics NZ'!AY$47-'Statistics NZ'!AX$47,$H$12/5*(AY$8-AY$9)*1000)</f>
        <v>39336.054431558172</v>
      </c>
      <c r="AZ47" s="46">
        <f>SUM(AY$47,'Statistics NZ'!AZ$47-'Statistics NZ'!AY$47,$H$12/5*(AZ$8-AZ$9)*1000)</f>
        <v>39556.054431558172</v>
      </c>
      <c r="BA47" s="46">
        <f>SUM(AZ$47,'Statistics NZ'!BA$47-'Statistics NZ'!AZ$47,$H$12/5*(BA$8-BA$9)*1000)</f>
        <v>40166.054431558172</v>
      </c>
      <c r="BB47" s="46">
        <f>SUM(BA$47,'Statistics NZ'!BB$47-'Statistics NZ'!BA$47,$H$12/5*(BB$8-BB$9)*1000)</f>
        <v>40286.054431558172</v>
      </c>
      <c r="BC47" s="46">
        <f>SUM(BB$47,'Statistics NZ'!BC$47-'Statistics NZ'!BB$47,$H$12/5*(BC$8-BC$9)*1000)</f>
        <v>40376.054431558172</v>
      </c>
      <c r="BD47" s="46">
        <f>SUM(BC$47,'Statistics NZ'!BD$47-'Statistics NZ'!BC$47,$H$12/5*(BD$8-BD$9)*1000)</f>
        <v>40446.054431558172</v>
      </c>
      <c r="BE47" s="46">
        <f>SUM(BD$47,'Statistics NZ'!BE$47-'Statistics NZ'!BD$47,$H$12/5*(BE$8-BE$9)*1000)</f>
        <v>40516.054431558172</v>
      </c>
      <c r="BF47" s="46">
        <f>SUM(BE$47,'Statistics NZ'!BF$47-'Statistics NZ'!BE$47,$H$12/5*(BF$8-BF$9)*1000)</f>
        <v>40576.054431558172</v>
      </c>
      <c r="BG47" s="46">
        <f>SUM(BF$47,'Statistics NZ'!BG$47-'Statistics NZ'!BF$47,$H$12/5*(BG$8-BG$9)*1000)</f>
        <v>40656.054431558172</v>
      </c>
      <c r="BH47" s="46">
        <f>SUM(BG$47,'Statistics NZ'!BH$47-'Statistics NZ'!BG$47,$H$12/5*(BH$8-BH$9)*1000)</f>
        <v>40756.054431558172</v>
      </c>
      <c r="BI47" s="46">
        <f>SUM(BH$47,'Statistics NZ'!BI$47-'Statistics NZ'!BH$47,$H$12/5*(BI$8-BI$9)*1000)</f>
        <v>40876.054431558172</v>
      </c>
    </row>
    <row r="48" spans="1:61" x14ac:dyDescent="0.25">
      <c r="A48" s="11">
        <v>33</v>
      </c>
      <c r="B48" s="44">
        <f>'Statistics NZ'!B$48*'Economic Forecasts'!D$9*1000000/SUM('Statistics NZ'!B$30:B$110,'Statistics NZ'!B$130:B$210)</f>
        <v>30565.031307640034</v>
      </c>
      <c r="C48" s="44">
        <f>'Statistics NZ'!C$48*'Economic Forecasts'!E$9*1000000/SUM('Statistics NZ'!C$30:C$110,'Statistics NZ'!C$130:C$210)</f>
        <v>29735.196965696043</v>
      </c>
      <c r="D48" s="44">
        <f>'Statistics NZ'!D$48*'Economic Forecasts'!F$9*1000000/SUM('Statistics NZ'!D$30:D$110,'Statistics NZ'!D$130:D$210)</f>
        <v>28682.353220935485</v>
      </c>
      <c r="E48" s="44">
        <f>'Statistics NZ'!E$48*'Economic Forecasts'!G$9*1000000/SUM('Statistics NZ'!E$30:E$110,'Statistics NZ'!E$130:E$210)</f>
        <v>27420.436050613862</v>
      </c>
      <c r="F48" s="44">
        <f>'Statistics NZ'!F$48*'Economic Forecasts'!H$9*1000000/SUM('Statistics NZ'!F$30:F$110,'Statistics NZ'!F$130:F$210)</f>
        <v>27445.110108612611</v>
      </c>
      <c r="G48" s="44">
        <f>'Statistics NZ'!G$48*'Economic Forecasts'!I$9*1000000/SUM('Statistics NZ'!G$30:G$110,'Statistics NZ'!G$130:G$210)</f>
        <v>27060.911074897933</v>
      </c>
      <c r="H48" s="44">
        <f>'Statistics NZ'!H$48*'Economic Forecasts'!J$9*1000000/SUM('Statistics NZ'!H$30:H$110,'Statistics NZ'!H$130:H$210)</f>
        <v>27795.312977928461</v>
      </c>
      <c r="I48" s="44">
        <f>'Statistics NZ'!I$48*'Economic Forecasts'!K$9*1000000/SUM('Statistics NZ'!I$30:I$110,'Statistics NZ'!I$130:I$210)</f>
        <v>27587.204632483426</v>
      </c>
      <c r="J48" s="44">
        <f>'Statistics NZ'!J$48*'Economic Forecasts'!L$9*1000000/SUM('Statistics NZ'!J$30:J$110,'Statistics NZ'!J$130:J$210)</f>
        <v>27870.879453164445</v>
      </c>
      <c r="K48" s="44">
        <f>'Statistics NZ'!K$48*'Economic Forecasts'!M$9*1000000/SUM('Statistics NZ'!K$30:K$110,'Statistics NZ'!K$130:K$210)</f>
        <v>28955.516324508153</v>
      </c>
      <c r="L48" s="44">
        <f>'Statistics NZ'!L$48*'Economic Forecasts'!N$9*1000000/SUM('Statistics NZ'!L$30:L$110,'Statistics NZ'!L$130:L$210)</f>
        <v>30086.140424487599</v>
      </c>
      <c r="M48" s="44">
        <f>'Statistics NZ'!M$48*'Economic Forecasts'!O$9*1000000/SUM('Statistics NZ'!M$30:M$110,'Statistics NZ'!M$130:M$210)</f>
        <v>31487.33649235309</v>
      </c>
      <c r="N48" s="44">
        <f>'Statistics NZ'!N$48*'Economic Forecasts'!P$9*1000000/SUM('Statistics NZ'!N$30:N$110,'Statistics NZ'!N$130:N$210)</f>
        <v>32799.099677806043</v>
      </c>
      <c r="O48" s="44">
        <f>'Statistics NZ'!O$48*'Economic Forecasts'!Q$9*1000000/SUM('Statistics NZ'!O$30:O$110,'Statistics NZ'!O$130:O$210)</f>
        <v>33864.156603242387</v>
      </c>
      <c r="P48" s="44">
        <f>'Statistics NZ'!P$48*'Economic Forecasts'!R$9*1000000/SUM('Statistics NZ'!P$30:P$110,'Statistics NZ'!P$130:P$210)</f>
        <v>35303.076319718995</v>
      </c>
      <c r="Q48" s="44">
        <f>'Statistics NZ'!Q$48*'Economic Forecasts'!S$9*1000000/SUM('Statistics NZ'!Q$30:Q$110,'Statistics NZ'!Q$130:Q$210)</f>
        <v>37740.164760815002</v>
      </c>
      <c r="R48" s="44">
        <f>'Statistics NZ'!R$48*'Economic Forecasts'!T$9*1000000/SUM('Statistics NZ'!R$30:R$110,'Statistics NZ'!R$130:R$210)</f>
        <v>37780.798818867042</v>
      </c>
      <c r="S48" s="44">
        <f>'Statistics NZ'!S$48*'Economic Forecasts'!U$9*1000000/SUM('Statistics NZ'!S$30:S$110,'Statistics NZ'!S$130:S$210)</f>
        <v>39952.385736642289</v>
      </c>
      <c r="T48" s="44">
        <f>'Statistics NZ'!T$48*'Economic Forecasts'!V$9*1000000/SUM('Statistics NZ'!T$30:T$110,'Statistics NZ'!T$130:T$210)</f>
        <v>41727.632295832605</v>
      </c>
      <c r="U48" s="45">
        <f>SUM('Statistics NZ'!U$48,$H$12/5*(U$8-U$9)*1000)*'Economic Forecasts'!W$9*1000000/SUM('Statistics NZ'!U$30:U$110,'Statistics NZ'!U$130:U$210,SUM($E$12:$T$13)*(U$8-U$9)*1000)</f>
        <v>41315.455204131176</v>
      </c>
      <c r="V48" s="45">
        <f>SUM('Statistics NZ'!V$48,$H$12/5*(V$8-V$9)*1000)*'Economic Forecasts'!X$9*1000000/SUM('Statistics NZ'!V$30:V$110,'Statistics NZ'!V$130:V$210,SUM($E$12:$T$13)*(V$8-V$9)*1000)</f>
        <v>40809.274945162004</v>
      </c>
      <c r="W48" s="45">
        <f>SUM('Statistics NZ'!W$48,$H$12/5*(W$8-W$9)*1000)*'Economic Forecasts'!Y$9*1000000/SUM('Statistics NZ'!W$30:W$110,'Statistics NZ'!W$130:W$210,SUM($E$12:$T$13)*(W$8-W$9)*1000)</f>
        <v>39466.890139777046</v>
      </c>
      <c r="X48" s="45">
        <f>SUM('Statistics NZ'!X$48,$H$12/5*(X$8-X$9)*1000)*'Economic Forecasts'!Z$9*1000000/SUM('Statistics NZ'!X$30:X$110,'Statistics NZ'!X$130:X$210,SUM($E$12:$T$13)*(X$8-X$9)*1000)</f>
        <v>39126.464279160151</v>
      </c>
      <c r="Y48" s="45">
        <f>SUM('Statistics NZ'!Y$48,$H$12/5*(Y$8-Y$9)*1000)*'Economic Forecasts'!AA$9*1000000/SUM('Statistics NZ'!Y$30:Y$110,'Statistics NZ'!Y$130:Y$210,SUM($E$12:$T$13)*(Y$8-Y$9)*1000)</f>
        <v>38052.152413886542</v>
      </c>
      <c r="Z48" s="46">
        <f>SUM(Y$48,'Statistics NZ'!Z$48-'Statistics NZ'!Y$48,$H$12/5*(Z$8-Z$9)*1000)</f>
        <v>37913.397504273038</v>
      </c>
      <c r="AA48" s="46">
        <f>SUM(Z$48,'Statistics NZ'!AA$48-'Statistics NZ'!Z$48,$H$12/5*(AA$8-AA$9)*1000)</f>
        <v>37604.144558504937</v>
      </c>
      <c r="AB48" s="46">
        <f>SUM(AA$48,'Statistics NZ'!AB$48-'Statistics NZ'!AA$48,$H$12/5*(AB$8-AB$9)*1000)</f>
        <v>36528.49318381316</v>
      </c>
      <c r="AC48" s="46">
        <f>SUM(AB$48,'Statistics NZ'!AC$48-'Statistics NZ'!AB$48,$H$12/5*(AC$8-AC$9)*1000)</f>
        <v>38058.49318381316</v>
      </c>
      <c r="AD48" s="46">
        <f>SUM(AC$48,'Statistics NZ'!AD$48-'Statistics NZ'!AC$48,$H$12/5*(AD$8-AD$9)*1000)</f>
        <v>37718.49318381316</v>
      </c>
      <c r="AE48" s="46">
        <f>SUM(AD$48,'Statistics NZ'!AE$48-'Statistics NZ'!AD$48,$H$12/5*(AE$8-AE$9)*1000)</f>
        <v>37038.49318381316</v>
      </c>
      <c r="AF48" s="46">
        <f>SUM(AE$48,'Statistics NZ'!AF$48-'Statistics NZ'!AE$48,$H$12/5*(AF$8-AF$9)*1000)</f>
        <v>37008.49318381316</v>
      </c>
      <c r="AG48" s="46">
        <f>SUM(AF$48,'Statistics NZ'!AG$48-'Statistics NZ'!AF$48,$H$12/5*(AG$8-AG$9)*1000)</f>
        <v>37938.49318381316</v>
      </c>
      <c r="AH48" s="46">
        <f>SUM(AG$48,'Statistics NZ'!AH$48-'Statistics NZ'!AG$48,$H$12/5*(AH$8-AH$9)*1000)</f>
        <v>38068.49318381316</v>
      </c>
      <c r="AI48" s="46">
        <f>SUM(AH$48,'Statistics NZ'!AI$48-'Statistics NZ'!AH$48,$H$12/5*(AI$8-AI$9)*1000)</f>
        <v>38808.49318381316</v>
      </c>
      <c r="AJ48" s="46">
        <f>SUM(AI$48,'Statistics NZ'!AJ$48-'Statistics NZ'!AI$48,$H$12/5*(AJ$8-AJ$9)*1000)</f>
        <v>40988.49318381316</v>
      </c>
      <c r="AK48" s="46">
        <f>SUM(AJ$48,'Statistics NZ'!AK$48-'Statistics NZ'!AJ$48,$H$12/5*(AK$8-AK$9)*1000)</f>
        <v>42138.49318381316</v>
      </c>
      <c r="AL48" s="46">
        <f>SUM(AK$48,'Statistics NZ'!AL$48-'Statistics NZ'!AK$48,$H$12/5*(AL$8-AL$9)*1000)</f>
        <v>41618.49318381316</v>
      </c>
      <c r="AM48" s="46">
        <f>SUM(AL$48,'Statistics NZ'!AM$48-'Statistics NZ'!AL$48,$H$12/5*(AM$8-AM$9)*1000)</f>
        <v>42688.49318381316</v>
      </c>
      <c r="AN48" s="46">
        <f>SUM(AM$48,'Statistics NZ'!AN$48-'Statistics NZ'!AM$48,$H$12/5*(AN$8-AN$9)*1000)</f>
        <v>42778.49318381316</v>
      </c>
      <c r="AO48" s="46">
        <f>SUM(AN$48,'Statistics NZ'!AO$48-'Statistics NZ'!AN$48,$H$12/5*(AO$8-AO$9)*1000)</f>
        <v>42938.49318381316</v>
      </c>
      <c r="AP48" s="46">
        <f>SUM(AO$48,'Statistics NZ'!AP$48-'Statistics NZ'!AO$48,$H$12/5*(AP$8-AP$9)*1000)</f>
        <v>43008.49318381316</v>
      </c>
      <c r="AQ48" s="46">
        <f>SUM(AP$48,'Statistics NZ'!AQ$48-'Statistics NZ'!AP$48,$H$12/5*(AQ$8-AQ$9)*1000)</f>
        <v>42238.49318381316</v>
      </c>
      <c r="AR48" s="46">
        <f>SUM(AQ$48,'Statistics NZ'!AR$48-'Statistics NZ'!AQ$48,$H$12/5*(AR$8-AR$9)*1000)</f>
        <v>42388.49318381316</v>
      </c>
      <c r="AS48" s="46">
        <f>SUM(AR$48,'Statistics NZ'!AS$48-'Statistics NZ'!AR$48,$H$12/5*(AS$8-AS$9)*1000)</f>
        <v>42038.49318381316</v>
      </c>
      <c r="AT48" s="46">
        <f>SUM(AS$48,'Statistics NZ'!AT$48-'Statistics NZ'!AS$48,$H$12/5*(AT$8-AT$9)*1000)</f>
        <v>42588.49318381316</v>
      </c>
      <c r="AU48" s="46">
        <f>SUM(AT$48,'Statistics NZ'!AU$48-'Statistics NZ'!AT$48,$H$12/5*(AU$8-AU$9)*1000)</f>
        <v>42068.49318381316</v>
      </c>
      <c r="AV48" s="46">
        <f>SUM(AU$48,'Statistics NZ'!AV$48-'Statistics NZ'!AU$48,$H$12/5*(AV$8-AV$9)*1000)</f>
        <v>42178.49318381316</v>
      </c>
      <c r="AW48" s="46">
        <f>SUM(AV$48,'Statistics NZ'!AW$48-'Statistics NZ'!AV$48,$H$12/5*(AW$8-AW$9)*1000)</f>
        <v>41928.49318381316</v>
      </c>
      <c r="AX48" s="46">
        <f>SUM(AW$48,'Statistics NZ'!AX$48-'Statistics NZ'!AW$48,$H$12/5*(AX$8-AX$9)*1000)</f>
        <v>42158.49318381316</v>
      </c>
      <c r="AY48" s="46">
        <f>SUM(AX$48,'Statistics NZ'!AY$48-'Statistics NZ'!AX$48,$H$12/5*(AY$8-AY$9)*1000)</f>
        <v>42538.49318381316</v>
      </c>
      <c r="AZ48" s="46">
        <f>SUM(AY$48,'Statistics NZ'!AZ$48-'Statistics NZ'!AY$48,$H$12/5*(AZ$8-AZ$9)*1000)</f>
        <v>40038.49318381316</v>
      </c>
      <c r="BA48" s="46">
        <f>SUM(AZ$48,'Statistics NZ'!BA$48-'Statistics NZ'!AZ$48,$H$12/5*(BA$8-BA$9)*1000)</f>
        <v>40268.49318381316</v>
      </c>
      <c r="BB48" s="46">
        <f>SUM(BA$48,'Statistics NZ'!BB$48-'Statistics NZ'!BA$48,$H$12/5*(BB$8-BB$9)*1000)</f>
        <v>40878.49318381316</v>
      </c>
      <c r="BC48" s="46">
        <f>SUM(BB$48,'Statistics NZ'!BC$48-'Statistics NZ'!BB$48,$H$12/5*(BC$8-BC$9)*1000)</f>
        <v>40998.49318381316</v>
      </c>
      <c r="BD48" s="46">
        <f>SUM(BC$48,'Statistics NZ'!BD$48-'Statistics NZ'!BC$48,$H$12/5*(BD$8-BD$9)*1000)</f>
        <v>41088.49318381316</v>
      </c>
      <c r="BE48" s="46">
        <f>SUM(BD$48,'Statistics NZ'!BE$48-'Statistics NZ'!BD$48,$H$12/5*(BE$8-BE$9)*1000)</f>
        <v>41168.49318381316</v>
      </c>
      <c r="BF48" s="46">
        <f>SUM(BE$48,'Statistics NZ'!BF$48-'Statistics NZ'!BE$48,$H$12/5*(BF$8-BF$9)*1000)</f>
        <v>41238.49318381316</v>
      </c>
      <c r="BG48" s="46">
        <f>SUM(BF$48,'Statistics NZ'!BG$48-'Statistics NZ'!BF$48,$H$12/5*(BG$8-BG$9)*1000)</f>
        <v>41308.49318381316</v>
      </c>
      <c r="BH48" s="46">
        <f>SUM(BG$48,'Statistics NZ'!BH$48-'Statistics NZ'!BG$48,$H$12/5*(BH$8-BH$9)*1000)</f>
        <v>41388.49318381316</v>
      </c>
      <c r="BI48" s="46">
        <f>SUM(BH$48,'Statistics NZ'!BI$48-'Statistics NZ'!BH$48,$H$12/5*(BI$8-BI$9)*1000)</f>
        <v>41488.49318381316</v>
      </c>
    </row>
    <row r="49" spans="1:61" x14ac:dyDescent="0.25">
      <c r="A49" s="11">
        <v>34</v>
      </c>
      <c r="B49" s="44">
        <f>'Statistics NZ'!B$49*'Economic Forecasts'!D$9*1000000/SUM('Statistics NZ'!B$30:B$110,'Statistics NZ'!B$130:B$210)</f>
        <v>32032.622439568968</v>
      </c>
      <c r="C49" s="44">
        <f>'Statistics NZ'!C$49*'Economic Forecasts'!E$9*1000000/SUM('Statistics NZ'!C$30:C$110,'Statistics NZ'!C$130:C$210)</f>
        <v>30952.886669707368</v>
      </c>
      <c r="D49" s="44">
        <f>'Statistics NZ'!D$49*'Economic Forecasts'!F$9*1000000/SUM('Statistics NZ'!D$30:D$110,'Statistics NZ'!D$130:D$210)</f>
        <v>29969.130026395258</v>
      </c>
      <c r="E49" s="44">
        <f>'Statistics NZ'!E$49*'Economic Forecasts'!G$9*1000000/SUM('Statistics NZ'!E$30:E$110,'Statistics NZ'!E$130:E$210)</f>
        <v>28852.261395173809</v>
      </c>
      <c r="F49" s="44">
        <f>'Statistics NZ'!F$49*'Economic Forecasts'!H$9*1000000/SUM('Statistics NZ'!F$30:F$110,'Statistics NZ'!F$130:F$210)</f>
        <v>27621.669072856723</v>
      </c>
      <c r="G49" s="44">
        <f>'Statistics NZ'!G$49*'Economic Forecasts'!I$9*1000000/SUM('Statistics NZ'!G$30:G$110,'Statistics NZ'!G$130:G$210)</f>
        <v>27532.389743353506</v>
      </c>
      <c r="H49" s="44">
        <f>'Statistics NZ'!H$49*'Economic Forecasts'!J$9*1000000/SUM('Statistics NZ'!H$30:H$110,'Statistics NZ'!H$130:H$210)</f>
        <v>27078.077966479617</v>
      </c>
      <c r="I49" s="44">
        <f>'Statistics NZ'!I$49*'Economic Forecasts'!K$9*1000000/SUM('Statistics NZ'!I$30:I$110,'Statistics NZ'!I$130:I$210)</f>
        <v>27734.257962080883</v>
      </c>
      <c r="J49" s="44">
        <f>'Statistics NZ'!J$49*'Economic Forecasts'!L$9*1000000/SUM('Statistics NZ'!J$30:J$110,'Statistics NZ'!J$130:J$210)</f>
        <v>27880.631335408383</v>
      </c>
      <c r="K49" s="44">
        <f>'Statistics NZ'!K$49*'Economic Forecasts'!M$9*1000000/SUM('Statistics NZ'!K$30:K$110,'Statistics NZ'!K$130:K$210)</f>
        <v>28468.705357384617</v>
      </c>
      <c r="L49" s="44">
        <f>'Statistics NZ'!L$49*'Economic Forecasts'!N$9*1000000/SUM('Statistics NZ'!L$30:L$110,'Statistics NZ'!L$130:L$210)</f>
        <v>29716.149053571567</v>
      </c>
      <c r="M49" s="44">
        <f>'Statistics NZ'!M$49*'Economic Forecasts'!O$9*1000000/SUM('Statistics NZ'!M$30:M$110,'Statistics NZ'!M$130:M$210)</f>
        <v>30989.088226417625</v>
      </c>
      <c r="N49" s="44">
        <f>'Statistics NZ'!N$49*'Economic Forecasts'!P$9*1000000/SUM('Statistics NZ'!N$30:N$110,'Statistics NZ'!N$130:N$210)</f>
        <v>32348.99270132064</v>
      </c>
      <c r="O49" s="44">
        <f>'Statistics NZ'!O$49*'Economic Forecasts'!Q$9*1000000/SUM('Statistics NZ'!O$30:O$110,'Statistics NZ'!O$130:O$210)</f>
        <v>33579.005458790001</v>
      </c>
      <c r="P49" s="44">
        <f>'Statistics NZ'!P$49*'Economic Forecasts'!R$9*1000000/SUM('Statistics NZ'!P$30:P$110,'Statistics NZ'!P$130:P$210)</f>
        <v>34585.813705931214</v>
      </c>
      <c r="Q49" s="44">
        <f>'Statistics NZ'!Q$49*'Economic Forecasts'!S$9*1000000/SUM('Statistics NZ'!Q$30:Q$110,'Statistics NZ'!Q$130:Q$210)</f>
        <v>35773.185918319257</v>
      </c>
      <c r="R49" s="44">
        <f>'Statistics NZ'!R$49*'Economic Forecasts'!T$9*1000000/SUM('Statistics NZ'!R$30:R$110,'Statistics NZ'!R$130:R$210)</f>
        <v>37681.2184318906</v>
      </c>
      <c r="S49" s="44">
        <f>'Statistics NZ'!S$49*'Economic Forecasts'!U$9*1000000/SUM('Statistics NZ'!S$30:S$110,'Statistics NZ'!S$130:S$210)</f>
        <v>38812.853711697484</v>
      </c>
      <c r="T49" s="44">
        <f>'Statistics NZ'!T$49*'Economic Forecasts'!V$9*1000000/SUM('Statistics NZ'!T$30:T$110,'Statistics NZ'!T$130:T$210)</f>
        <v>41539.312815162579</v>
      </c>
      <c r="U49" s="45">
        <f>SUM('Statistics NZ'!U$49,$H$12/5*(U$8-U$9)*1000)*'Economic Forecasts'!W$9*1000000/SUM('Statistics NZ'!U$30:U$110,'Statistics NZ'!U$130:U$210,SUM($E$12:$T$13)*(U$8-U$9)*1000)</f>
        <v>42335.664872779475</v>
      </c>
      <c r="V49" s="45">
        <f>SUM('Statistics NZ'!V$49,$H$12/5*(V$8-V$9)*1000)*'Economic Forecasts'!X$9*1000000/SUM('Statistics NZ'!V$30:V$110,'Statistics NZ'!V$130:V$210,SUM($E$12:$T$13)*(V$8-V$9)*1000)</f>
        <v>41829.059205369187</v>
      </c>
      <c r="W49" s="45">
        <f>SUM('Statistics NZ'!W$49,$H$12/5*(W$8-W$9)*1000)*'Economic Forecasts'!Y$9*1000000/SUM('Statistics NZ'!W$30:W$110,'Statistics NZ'!W$130:W$210,SUM($E$12:$T$13)*(W$8-W$9)*1000)</f>
        <v>41348.459315165739</v>
      </c>
      <c r="X49" s="45">
        <f>SUM('Statistics NZ'!X$49,$H$12/5*(X$8-X$9)*1000)*'Economic Forecasts'!Z$9*1000000/SUM('Statistics NZ'!X$30:X$110,'Statistics NZ'!X$130:X$210,SUM($E$12:$T$13)*(X$8-X$9)*1000)</f>
        <v>40027.843040876927</v>
      </c>
      <c r="Y49" s="45">
        <f>SUM('Statistics NZ'!Y$49,$H$12/5*(Y$8-Y$9)*1000)*'Economic Forecasts'!AA$9*1000000/SUM('Statistics NZ'!Y$30:Y$110,'Statistics NZ'!Y$130:Y$210,SUM($E$12:$T$13)*(Y$8-Y$9)*1000)</f>
        <v>39706.938819026102</v>
      </c>
      <c r="Z49" s="46">
        <f>SUM(Y$49,'Statistics NZ'!Z$49-'Statistics NZ'!Y$49,$H$12/5*(Z$8-Z$9)*1000)</f>
        <v>38698.183909412597</v>
      </c>
      <c r="AA49" s="46">
        <f>SUM(Z$49,'Statistics NZ'!AA$49-'Statistics NZ'!Z$49,$H$12/5*(AA$8-AA$9)*1000)</f>
        <v>38548.930963644496</v>
      </c>
      <c r="AB49" s="46">
        <f>SUM(AA$49,'Statistics NZ'!AB$49-'Statistics NZ'!AA$49,$H$12/5*(AB$8-AB$9)*1000)</f>
        <v>38223.279588952719</v>
      </c>
      <c r="AC49" s="46">
        <f>SUM(AB$49,'Statistics NZ'!AC$49-'Statistics NZ'!AB$49,$H$12/5*(AC$8-AC$9)*1000)</f>
        <v>37133.279588952719</v>
      </c>
      <c r="AD49" s="46">
        <f>SUM(AC$49,'Statistics NZ'!AD$49-'Statistics NZ'!AC$49,$H$12/5*(AD$8-AD$9)*1000)</f>
        <v>38673.279588952719</v>
      </c>
      <c r="AE49" s="46">
        <f>SUM(AD$49,'Statistics NZ'!AE$49-'Statistics NZ'!AD$49,$H$12/5*(AE$8-AE$9)*1000)</f>
        <v>38333.279588952719</v>
      </c>
      <c r="AF49" s="46">
        <f>SUM(AE$49,'Statistics NZ'!AF$49-'Statistics NZ'!AE$49,$H$12/5*(AF$8-AF$9)*1000)</f>
        <v>37653.279588952719</v>
      </c>
      <c r="AG49" s="46">
        <f>SUM(AF$49,'Statistics NZ'!AG$49-'Statistics NZ'!AF$49,$H$12/5*(AG$8-AG$9)*1000)</f>
        <v>37633.279588952719</v>
      </c>
      <c r="AH49" s="46">
        <f>SUM(AG$49,'Statistics NZ'!AH$49-'Statistics NZ'!AG$49,$H$12/5*(AH$8-AH$9)*1000)</f>
        <v>38563.279588952719</v>
      </c>
      <c r="AI49" s="46">
        <f>SUM(AH$49,'Statistics NZ'!AI$49-'Statistics NZ'!AH$49,$H$12/5*(AI$8-AI$9)*1000)</f>
        <v>38693.279588952719</v>
      </c>
      <c r="AJ49" s="46">
        <f>SUM(AI$49,'Statistics NZ'!AJ$49-'Statistics NZ'!AI$49,$H$12/5*(AJ$8-AJ$9)*1000)</f>
        <v>39433.279588952719</v>
      </c>
      <c r="AK49" s="46">
        <f>SUM(AJ$49,'Statistics NZ'!AK$49-'Statistics NZ'!AJ$49,$H$12/5*(AK$8-AK$9)*1000)</f>
        <v>41613.279588952719</v>
      </c>
      <c r="AL49" s="46">
        <f>SUM(AK$49,'Statistics NZ'!AL$49-'Statistics NZ'!AK$49,$H$12/5*(AL$8-AL$9)*1000)</f>
        <v>42773.279588952719</v>
      </c>
      <c r="AM49" s="46">
        <f>SUM(AL$49,'Statistics NZ'!AM$49-'Statistics NZ'!AL$49,$H$12/5*(AM$8-AM$9)*1000)</f>
        <v>42253.279588952719</v>
      </c>
      <c r="AN49" s="46">
        <f>SUM(AM$49,'Statistics NZ'!AN$49-'Statistics NZ'!AM$49,$H$12/5*(AN$8-AN$9)*1000)</f>
        <v>43323.279588952719</v>
      </c>
      <c r="AO49" s="46">
        <f>SUM(AN$49,'Statistics NZ'!AO$49-'Statistics NZ'!AN$49,$H$12/5*(AO$8-AO$9)*1000)</f>
        <v>43423.279588952719</v>
      </c>
      <c r="AP49" s="46">
        <f>SUM(AO$49,'Statistics NZ'!AP$49-'Statistics NZ'!AO$49,$H$12/5*(AP$8-AP$9)*1000)</f>
        <v>43583.279588952719</v>
      </c>
      <c r="AQ49" s="46">
        <f>SUM(AP$49,'Statistics NZ'!AQ$49-'Statistics NZ'!AP$49,$H$12/5*(AQ$8-AQ$9)*1000)</f>
        <v>43663.279588952719</v>
      </c>
      <c r="AR49" s="46">
        <f>SUM(AQ$49,'Statistics NZ'!AR$49-'Statistics NZ'!AQ$49,$H$12/5*(AR$8-AR$9)*1000)</f>
        <v>42893.279588952719</v>
      </c>
      <c r="AS49" s="46">
        <f>SUM(AR$49,'Statistics NZ'!AS$49-'Statistics NZ'!AR$49,$H$12/5*(AS$8-AS$9)*1000)</f>
        <v>43043.279588952719</v>
      </c>
      <c r="AT49" s="46">
        <f>SUM(AS$49,'Statistics NZ'!AT$49-'Statistics NZ'!AS$49,$H$12/5*(AT$8-AT$9)*1000)</f>
        <v>42693.279588952719</v>
      </c>
      <c r="AU49" s="46">
        <f>SUM(AT$49,'Statistics NZ'!AU$49-'Statistics NZ'!AT$49,$H$12/5*(AU$8-AU$9)*1000)</f>
        <v>43253.279588952719</v>
      </c>
      <c r="AV49" s="46">
        <f>SUM(AU$49,'Statistics NZ'!AV$49-'Statistics NZ'!AU$49,$H$12/5*(AV$8-AV$9)*1000)</f>
        <v>42733.279588952719</v>
      </c>
      <c r="AW49" s="46">
        <f>SUM(AV$49,'Statistics NZ'!AW$49-'Statistics NZ'!AV$49,$H$12/5*(AW$8-AW$9)*1000)</f>
        <v>42843.279588952719</v>
      </c>
      <c r="AX49" s="46">
        <f>SUM(AW$49,'Statistics NZ'!AX$49-'Statistics NZ'!AW$49,$H$12/5*(AX$8-AX$9)*1000)</f>
        <v>42603.279588952719</v>
      </c>
      <c r="AY49" s="46">
        <f>SUM(AX$49,'Statistics NZ'!AY$49-'Statistics NZ'!AX$49,$H$12/5*(AY$8-AY$9)*1000)</f>
        <v>42833.279588952719</v>
      </c>
      <c r="AZ49" s="46">
        <f>SUM(AY$49,'Statistics NZ'!AZ$49-'Statistics NZ'!AY$49,$H$12/5*(AZ$8-AZ$9)*1000)</f>
        <v>43223.279588952719</v>
      </c>
      <c r="BA49" s="46">
        <f>SUM(AZ$49,'Statistics NZ'!BA$49-'Statistics NZ'!AZ$49,$H$12/5*(BA$8-BA$9)*1000)</f>
        <v>40723.279588952719</v>
      </c>
      <c r="BB49" s="46">
        <f>SUM(BA$49,'Statistics NZ'!BB$49-'Statistics NZ'!BA$49,$H$12/5*(BB$8-BB$9)*1000)</f>
        <v>40953.279588952719</v>
      </c>
      <c r="BC49" s="46">
        <f>SUM(BB$49,'Statistics NZ'!BC$49-'Statistics NZ'!BB$49,$H$12/5*(BC$8-BC$9)*1000)</f>
        <v>41563.279588952719</v>
      </c>
      <c r="BD49" s="46">
        <f>SUM(BC$49,'Statistics NZ'!BD$49-'Statistics NZ'!BC$49,$H$12/5*(BD$8-BD$9)*1000)</f>
        <v>41683.279588952719</v>
      </c>
      <c r="BE49" s="46">
        <f>SUM(BD$49,'Statistics NZ'!BE$49-'Statistics NZ'!BD$49,$H$12/5*(BE$8-BE$9)*1000)</f>
        <v>41783.279588952719</v>
      </c>
      <c r="BF49" s="46">
        <f>SUM(BE$49,'Statistics NZ'!BF$49-'Statistics NZ'!BE$49,$H$12/5*(BF$8-BF$9)*1000)</f>
        <v>41863.279588952719</v>
      </c>
      <c r="BG49" s="46">
        <f>SUM(BF$49,'Statistics NZ'!BG$49-'Statistics NZ'!BF$49,$H$12/5*(BG$8-BG$9)*1000)</f>
        <v>41933.279588952719</v>
      </c>
      <c r="BH49" s="46">
        <f>SUM(BG$49,'Statistics NZ'!BH$49-'Statistics NZ'!BG$49,$H$12/5*(BH$8-BH$9)*1000)</f>
        <v>42003.279588952719</v>
      </c>
      <c r="BI49" s="46">
        <f>SUM(BH$49,'Statistics NZ'!BI$49-'Statistics NZ'!BH$49,$H$12/5*(BI$8-BI$9)*1000)</f>
        <v>42083.279588952719</v>
      </c>
    </row>
    <row r="50" spans="1:61" x14ac:dyDescent="0.25">
      <c r="A50" s="11">
        <v>35</v>
      </c>
      <c r="B50" s="44">
        <f>'Statistics NZ'!B$50*'Economic Forecasts'!D$9*1000000/SUM('Statistics NZ'!B$30:B$110,'Statistics NZ'!B$130:B$210)</f>
        <v>32639.226774099603</v>
      </c>
      <c r="C50" s="44">
        <f>'Statistics NZ'!C$50*'Economic Forecasts'!E$9*1000000/SUM('Statistics NZ'!C$30:C$110,'Statistics NZ'!C$130:C$210)</f>
        <v>32445.538564947066</v>
      </c>
      <c r="D50" s="44">
        <f>'Statistics NZ'!D$50*'Economic Forecasts'!F$9*1000000/SUM('Statistics NZ'!D$30:D$110,'Statistics NZ'!D$130:D$210)</f>
        <v>31147.85687109124</v>
      </c>
      <c r="E50" s="44">
        <f>'Statistics NZ'!E$50*'Economic Forecasts'!G$9*1000000/SUM('Statistics NZ'!E$30:E$110,'Statistics NZ'!E$130:E$210)</f>
        <v>30205.630556470205</v>
      </c>
      <c r="F50" s="44">
        <f>'Statistics NZ'!F$50*'Economic Forecasts'!H$9*1000000/SUM('Statistics NZ'!F$30:F$110,'Statistics NZ'!F$130:F$210)</f>
        <v>29053.758449503413</v>
      </c>
      <c r="G50" s="44">
        <f>'Statistics NZ'!G$50*'Economic Forecasts'!I$9*1000000/SUM('Statistics NZ'!G$30:G$110,'Statistics NZ'!G$130:G$210)</f>
        <v>27738.66166080282</v>
      </c>
      <c r="H50" s="44">
        <f>'Statistics NZ'!H$50*'Economic Forecasts'!J$9*1000000/SUM('Statistics NZ'!H$30:H$110,'Statistics NZ'!H$130:H$210)</f>
        <v>27510.384000777551</v>
      </c>
      <c r="I50" s="44">
        <f>'Statistics NZ'!I$50*'Economic Forecasts'!K$9*1000000/SUM('Statistics NZ'!I$30:I$110,'Statistics NZ'!I$130:I$210)</f>
        <v>27087.22331185206</v>
      </c>
      <c r="J50" s="44">
        <f>'Statistics NZ'!J$50*'Economic Forecasts'!L$9*1000000/SUM('Statistics NZ'!J$30:J$110,'Statistics NZ'!J$130:J$210)</f>
        <v>27978.150157847725</v>
      </c>
      <c r="K50" s="44">
        <f>'Statistics NZ'!K$50*'Economic Forecasts'!M$9*1000000/SUM('Statistics NZ'!K$30:K$110,'Statistics NZ'!K$130:K$210)</f>
        <v>28312.92584790508</v>
      </c>
      <c r="L50" s="44">
        <f>'Statistics NZ'!L$50*'Economic Forecasts'!N$9*1000000/SUM('Statistics NZ'!L$30:L$110,'Statistics NZ'!L$130:L$210)</f>
        <v>29063.795846956466</v>
      </c>
      <c r="M50" s="44">
        <f>'Statistics NZ'!M$50*'Economic Forecasts'!O$9*1000000/SUM('Statistics NZ'!M$30:M$110,'Statistics NZ'!M$130:M$210)</f>
        <v>30559.226977375263</v>
      </c>
      <c r="N50" s="44">
        <f>'Statistics NZ'!N$50*'Economic Forecasts'!P$9*1000000/SUM('Statistics NZ'!N$30:N$110,'Statistics NZ'!N$130:N$210)</f>
        <v>31810.821316392441</v>
      </c>
      <c r="O50" s="44">
        <f>'Statistics NZ'!O$50*'Economic Forecasts'!Q$9*1000000/SUM('Statistics NZ'!O$30:O$110,'Statistics NZ'!O$130:O$210)</f>
        <v>33097.198352646308</v>
      </c>
      <c r="P50" s="44">
        <f>'Statistics NZ'!P$50*'Economic Forecasts'!R$9*1000000/SUM('Statistics NZ'!P$30:P$110,'Statistics NZ'!P$130:P$210)</f>
        <v>34359.826855011779</v>
      </c>
      <c r="Q50" s="44">
        <f>'Statistics NZ'!Q$50*'Economic Forecasts'!S$9*1000000/SUM('Statistics NZ'!Q$30:Q$110,'Statistics NZ'!Q$130:Q$210)</f>
        <v>34978.446992058343</v>
      </c>
      <c r="R50" s="44">
        <f>'Statistics NZ'!R$50*'Economic Forecasts'!T$9*1000000/SUM('Statistics NZ'!R$30:R$110,'Statistics NZ'!R$130:R$210)</f>
        <v>35848.939311523827</v>
      </c>
      <c r="S50" s="44">
        <f>'Statistics NZ'!S$50*'Economic Forecasts'!U$9*1000000/SUM('Statistics NZ'!S$30:S$110,'Statistics NZ'!S$130:S$210)</f>
        <v>38459.205841887029</v>
      </c>
      <c r="T50" s="44">
        <f>'Statistics NZ'!T$50*'Economic Forecasts'!V$9*1000000/SUM('Statistics NZ'!T$30:T$110,'Statistics NZ'!T$130:T$210)</f>
        <v>40419.307482756623</v>
      </c>
      <c r="U50" s="45">
        <f>SUM('Statistics NZ'!U$50,$I$12/5*(U$8-U$9)*1000)*'Economic Forecasts'!W$9*1000000/SUM('Statistics NZ'!U$30:U$110,'Statistics NZ'!U$130:U$210,SUM($E$12:$T$13)*(U$8-U$9)*1000)</f>
        <v>42068.882683861433</v>
      </c>
      <c r="V50" s="45">
        <f>SUM('Statistics NZ'!V$50,$I$12/5*(V$8-V$9)*1000)*'Economic Forecasts'!X$9*1000000/SUM('Statistics NZ'!V$30:V$110,'Statistics NZ'!V$130:V$210,SUM($E$12:$T$13)*(V$8-V$9)*1000)</f>
        <v>42758.156089262011</v>
      </c>
      <c r="W50" s="45">
        <f>SUM('Statistics NZ'!W$50,$I$12/5*(W$8-W$9)*1000)*'Economic Forecasts'!Y$9*1000000/SUM('Statistics NZ'!W$30:W$110,'Statistics NZ'!W$130:W$210,SUM($E$12:$T$13)*(W$8-W$9)*1000)</f>
        <v>42296.590127222851</v>
      </c>
      <c r="X50" s="45">
        <f>SUM('Statistics NZ'!X$50,$I$12/5*(X$8-X$9)*1000)*'Economic Forecasts'!Z$9*1000000/SUM('Statistics NZ'!X$30:X$110,'Statistics NZ'!X$130:X$210,SUM($E$12:$T$13)*(X$8-X$9)*1000)</f>
        <v>41839.948045093333</v>
      </c>
      <c r="Y50" s="45">
        <f>SUM('Statistics NZ'!Y$50,$I$12/5*(Y$8-Y$9)*1000)*'Economic Forecasts'!AA$9*1000000/SUM('Statistics NZ'!Y$30:Y$110,'Statistics NZ'!Y$130:Y$210,SUM($E$12:$T$13)*(Y$8-Y$9)*1000)</f>
        <v>40549.149046429229</v>
      </c>
      <c r="Z50" s="46">
        <f>SUM(Y$50,'Statistics NZ'!Z$50-'Statistics NZ'!Y$50,$I$12/5*(Z$8-Z$9)*1000)</f>
        <v>40291.614916803868</v>
      </c>
      <c r="AA50" s="46">
        <f>SUM(Z$50,'Statistics NZ'!AA$50-'Statistics NZ'!Z$50,$I$12/5*(AA$8-AA$9)*1000)</f>
        <v>39261.094439028653</v>
      </c>
      <c r="AB50" s="46">
        <f>SUM(AA$50,'Statistics NZ'!AB$50-'Statistics NZ'!AA$50,$I$12/5*(AB$8-AB$9)*1000)</f>
        <v>39090.184882733549</v>
      </c>
      <c r="AC50" s="46">
        <f>SUM(AB$50,'Statistics NZ'!AC$50-'Statistics NZ'!AB$50,$I$12/5*(AC$8-AC$9)*1000)</f>
        <v>38750.184882733549</v>
      </c>
      <c r="AD50" s="46">
        <f>SUM(AC$50,'Statistics NZ'!AD$50-'Statistics NZ'!AC$50,$I$12/5*(AD$8-AD$9)*1000)</f>
        <v>37670.184882733549</v>
      </c>
      <c r="AE50" s="46">
        <f>SUM(AD$50,'Statistics NZ'!AE$50-'Statistics NZ'!AD$50,$I$12/5*(AE$8-AE$9)*1000)</f>
        <v>39210.184882733549</v>
      </c>
      <c r="AF50" s="46">
        <f>SUM(AE$50,'Statistics NZ'!AF$50-'Statistics NZ'!AE$50,$I$12/5*(AF$8-AF$9)*1000)</f>
        <v>38870.184882733549</v>
      </c>
      <c r="AG50" s="46">
        <f>SUM(AF$50,'Statistics NZ'!AG$50-'Statistics NZ'!AF$50,$I$12/5*(AG$8-AG$9)*1000)</f>
        <v>38200.184882733549</v>
      </c>
      <c r="AH50" s="46">
        <f>SUM(AG$50,'Statistics NZ'!AH$50-'Statistics NZ'!AG$50,$I$12/5*(AH$8-AH$9)*1000)</f>
        <v>38180.184882733549</v>
      </c>
      <c r="AI50" s="46">
        <f>SUM(AH$50,'Statistics NZ'!AI$50-'Statistics NZ'!AH$50,$I$12/5*(AI$8-AI$9)*1000)</f>
        <v>39110.184882733549</v>
      </c>
      <c r="AJ50" s="46">
        <f>SUM(AI$50,'Statistics NZ'!AJ$50-'Statistics NZ'!AI$50,$I$12/5*(AJ$8-AJ$9)*1000)</f>
        <v>39240.184882733549</v>
      </c>
      <c r="AK50" s="46">
        <f>SUM(AJ$50,'Statistics NZ'!AK$50-'Statistics NZ'!AJ$50,$I$12/5*(AK$8-AK$9)*1000)</f>
        <v>39990.184882733549</v>
      </c>
      <c r="AL50" s="46">
        <f>SUM(AK$50,'Statistics NZ'!AL$50-'Statistics NZ'!AK$50,$I$12/5*(AL$8-AL$9)*1000)</f>
        <v>42170.184882733549</v>
      </c>
      <c r="AM50" s="46">
        <f>SUM(AL$50,'Statistics NZ'!AM$50-'Statistics NZ'!AL$50,$I$12/5*(AM$8-AM$9)*1000)</f>
        <v>43330.184882733549</v>
      </c>
      <c r="AN50" s="46">
        <f>SUM(AM$50,'Statistics NZ'!AN$50-'Statistics NZ'!AM$50,$I$12/5*(AN$8-AN$9)*1000)</f>
        <v>42820.184882733549</v>
      </c>
      <c r="AO50" s="46">
        <f>SUM(AN$50,'Statistics NZ'!AO$50-'Statistics NZ'!AN$50,$I$12/5*(AO$8-AO$9)*1000)</f>
        <v>43890.184882733549</v>
      </c>
      <c r="AP50" s="46">
        <f>SUM(AO$50,'Statistics NZ'!AP$50-'Statistics NZ'!AO$50,$I$12/5*(AP$8-AP$9)*1000)</f>
        <v>43990.184882733549</v>
      </c>
      <c r="AQ50" s="46">
        <f>SUM(AP$50,'Statistics NZ'!AQ$50-'Statistics NZ'!AP$50,$I$12/5*(AQ$8-AQ$9)*1000)</f>
        <v>44160.184882733549</v>
      </c>
      <c r="AR50" s="46">
        <f>SUM(AQ$50,'Statistics NZ'!AR$50-'Statistics NZ'!AQ$50,$I$12/5*(AR$8-AR$9)*1000)</f>
        <v>44240.184882733549</v>
      </c>
      <c r="AS50" s="46">
        <f>SUM(AR$50,'Statistics NZ'!AS$50-'Statistics NZ'!AR$50,$I$12/5*(AS$8-AS$9)*1000)</f>
        <v>43470.184882733549</v>
      </c>
      <c r="AT50" s="46">
        <f>SUM(AS$50,'Statistics NZ'!AT$50-'Statistics NZ'!AS$50,$I$12/5*(AT$8-AT$9)*1000)</f>
        <v>43630.184882733549</v>
      </c>
      <c r="AU50" s="46">
        <f>SUM(AT$50,'Statistics NZ'!AU$50-'Statistics NZ'!AT$50,$I$12/5*(AU$8-AU$9)*1000)</f>
        <v>43280.184882733549</v>
      </c>
      <c r="AV50" s="46">
        <f>SUM(AU$50,'Statistics NZ'!AV$50-'Statistics NZ'!AU$50,$I$12/5*(AV$8-AV$9)*1000)</f>
        <v>43840.184882733549</v>
      </c>
      <c r="AW50" s="46">
        <f>SUM(AV$50,'Statistics NZ'!AW$50-'Statistics NZ'!AV$50,$I$12/5*(AW$8-AW$9)*1000)</f>
        <v>43320.184882733549</v>
      </c>
      <c r="AX50" s="46">
        <f>SUM(AW$50,'Statistics NZ'!AX$50-'Statistics NZ'!AW$50,$I$12/5*(AX$8-AX$9)*1000)</f>
        <v>43440.184882733549</v>
      </c>
      <c r="AY50" s="46">
        <f>SUM(AX$50,'Statistics NZ'!AY$50-'Statistics NZ'!AX$50,$I$12/5*(AY$8-AY$9)*1000)</f>
        <v>43200.184882733549</v>
      </c>
      <c r="AZ50" s="46">
        <f>SUM(AY$50,'Statistics NZ'!AZ$50-'Statistics NZ'!AY$50,$I$12/5*(AZ$8-AZ$9)*1000)</f>
        <v>43430.184882733549</v>
      </c>
      <c r="BA50" s="46">
        <f>SUM(AZ$50,'Statistics NZ'!BA$50-'Statistics NZ'!AZ$50,$I$12/5*(BA$8-BA$9)*1000)</f>
        <v>43820.184882733549</v>
      </c>
      <c r="BB50" s="46">
        <f>SUM(BA$50,'Statistics NZ'!BB$50-'Statistics NZ'!BA$50,$I$12/5*(BB$8-BB$9)*1000)</f>
        <v>41330.184882733549</v>
      </c>
      <c r="BC50" s="46">
        <f>SUM(BB$50,'Statistics NZ'!BC$50-'Statistics NZ'!BB$50,$I$12/5*(BC$8-BC$9)*1000)</f>
        <v>41560.184882733549</v>
      </c>
      <c r="BD50" s="46">
        <f>SUM(BC$50,'Statistics NZ'!BD$50-'Statistics NZ'!BC$50,$I$12/5*(BD$8-BD$9)*1000)</f>
        <v>42170.184882733549</v>
      </c>
      <c r="BE50" s="46">
        <f>SUM(BD$50,'Statistics NZ'!BE$50-'Statistics NZ'!BD$50,$I$12/5*(BE$8-BE$9)*1000)</f>
        <v>42300.184882733549</v>
      </c>
      <c r="BF50" s="46">
        <f>SUM(BE$50,'Statistics NZ'!BF$50-'Statistics NZ'!BE$50,$I$12/5*(BF$8-BF$9)*1000)</f>
        <v>42400.184882733549</v>
      </c>
      <c r="BG50" s="46">
        <f>SUM(BF$50,'Statistics NZ'!BG$50-'Statistics NZ'!BF$50,$I$12/5*(BG$8-BG$9)*1000)</f>
        <v>42480.184882733549</v>
      </c>
      <c r="BH50" s="46">
        <f>SUM(BG$50,'Statistics NZ'!BH$50-'Statistics NZ'!BG$50,$I$12/5*(BH$8-BH$9)*1000)</f>
        <v>42560.184882733549</v>
      </c>
      <c r="BI50" s="46">
        <f>SUM(BH$50,'Statistics NZ'!BI$50-'Statistics NZ'!BH$50,$I$12/5*(BI$8-BI$9)*1000)</f>
        <v>42630.184882733549</v>
      </c>
    </row>
    <row r="51" spans="1:61" x14ac:dyDescent="0.25">
      <c r="A51" s="11">
        <v>36</v>
      </c>
      <c r="B51" s="44">
        <f>'Statistics NZ'!B$51*'Economic Forecasts'!D$9*1000000/SUM('Statistics NZ'!B$30:B$110,'Statistics NZ'!B$130:B$210)</f>
        <v>31817.375740219395</v>
      </c>
      <c r="C51" s="44">
        <f>'Statistics NZ'!C$51*'Economic Forecasts'!E$9*1000000/SUM('Statistics NZ'!C$30:C$110,'Statistics NZ'!C$130:C$210)</f>
        <v>33074.023573469043</v>
      </c>
      <c r="D51" s="44">
        <f>'Statistics NZ'!D$51*'Economic Forecasts'!F$9*1000000/SUM('Statistics NZ'!D$30:D$110,'Statistics NZ'!D$130:D$210)</f>
        <v>32640.910874372814</v>
      </c>
      <c r="E51" s="44">
        <f>'Statistics NZ'!E$51*'Economic Forecasts'!G$9*1000000/SUM('Statistics NZ'!E$30:E$110,'Statistics NZ'!E$130:E$210)</f>
        <v>31313.824145067974</v>
      </c>
      <c r="F51" s="44">
        <f>'Statistics NZ'!F$51*'Economic Forecasts'!H$9*1000000/SUM('Statistics NZ'!F$30:F$110,'Statistics NZ'!F$130:F$210)</f>
        <v>30387.759512681154</v>
      </c>
      <c r="G51" s="44">
        <f>'Statistics NZ'!G$51*'Economic Forecasts'!I$9*1000000/SUM('Statistics NZ'!G$30:G$110,'Statistics NZ'!G$130:G$210)</f>
        <v>29162.920138429025</v>
      </c>
      <c r="H51" s="44">
        <f>'Statistics NZ'!H$51*'Economic Forecasts'!J$9*1000000/SUM('Statistics NZ'!H$30:H$110,'Statistics NZ'!H$130:H$210)</f>
        <v>27716.711880783376</v>
      </c>
      <c r="I51" s="44">
        <f>'Statistics NZ'!I$51*'Economic Forecasts'!K$9*1000000/SUM('Statistics NZ'!I$30:I$110,'Statistics NZ'!I$130:I$210)</f>
        <v>27508.776190031444</v>
      </c>
      <c r="J51" s="44">
        <f>'Statistics NZ'!J$51*'Economic Forecasts'!L$9*1000000/SUM('Statistics NZ'!J$30:J$110,'Statistics NZ'!J$130:J$210)</f>
        <v>27276.014636284446</v>
      </c>
      <c r="K51" s="44">
        <f>'Statistics NZ'!K$51*'Economic Forecasts'!M$9*1000000/SUM('Statistics NZ'!K$30:K$110,'Statistics NZ'!K$130:K$210)</f>
        <v>28400.551821987316</v>
      </c>
      <c r="L51" s="44">
        <f>'Statistics NZ'!L$51*'Economic Forecasts'!N$9*1000000/SUM('Statistics NZ'!L$30:L$110,'Statistics NZ'!L$130:L$210)</f>
        <v>28956.693081691301</v>
      </c>
      <c r="M51" s="44">
        <f>'Statistics NZ'!M$51*'Economic Forecasts'!O$9*1000000/SUM('Statistics NZ'!M$30:M$110,'Statistics NZ'!M$130:M$210)</f>
        <v>29806.969791551128</v>
      </c>
      <c r="N51" s="44">
        <f>'Statistics NZ'!N$51*'Economic Forecasts'!P$9*1000000/SUM('Statistics NZ'!N$30:N$110,'Statistics NZ'!N$130:N$210)</f>
        <v>31243.29512864997</v>
      </c>
      <c r="O51" s="44">
        <f>'Statistics NZ'!O$51*'Economic Forecasts'!Q$9*1000000/SUM('Statistics NZ'!O$30:O$110,'Statistics NZ'!O$130:O$210)</f>
        <v>32576.060054164351</v>
      </c>
      <c r="P51" s="44">
        <f>'Statistics NZ'!P$51*'Economic Forecasts'!R$9*1000000/SUM('Statistics NZ'!P$30:P$110,'Statistics NZ'!P$130:P$210)</f>
        <v>33740.819393797668</v>
      </c>
      <c r="Q51" s="44">
        <f>'Statistics NZ'!Q$51*'Economic Forecasts'!S$9*1000000/SUM('Statistics NZ'!Q$30:Q$110,'Statistics NZ'!Q$130:Q$210)</f>
        <v>34809.564970227897</v>
      </c>
      <c r="R51" s="44">
        <f>'Statistics NZ'!R$51*'Economic Forecasts'!T$9*1000000/SUM('Statistics NZ'!R$30:R$110,'Statistics NZ'!R$130:R$210)</f>
        <v>34982.589944828665</v>
      </c>
      <c r="S51" s="44">
        <f>'Statistics NZ'!S$51*'Economic Forecasts'!U$9*1000000/SUM('Statistics NZ'!S$30:S$110,'Statistics NZ'!S$130:S$210)</f>
        <v>36720.437148652287</v>
      </c>
      <c r="T51" s="44">
        <f>'Statistics NZ'!T$51*'Economic Forecasts'!V$9*1000000/SUM('Statistics NZ'!T$30:T$110,'Statistics NZ'!T$130:T$210)</f>
        <v>39973.287660117079</v>
      </c>
      <c r="U51" s="45">
        <f>SUM('Statistics NZ'!U$51,$I$12/5*(U$8-U$9)*1000)*'Economic Forecasts'!W$9*1000000/SUM('Statistics NZ'!U$30:U$110,'Statistics NZ'!U$130:U$210,SUM($E$12:$T$13)*(U$8-U$9)*1000)</f>
        <v>40919.908688102187</v>
      </c>
      <c r="V51" s="45">
        <f>SUM('Statistics NZ'!V$51,$I$12/5*(V$8-V$9)*1000)*'Economic Forecasts'!X$9*1000000/SUM('Statistics NZ'!V$30:V$110,'Statistics NZ'!V$130:V$210,SUM($E$12:$T$13)*(V$8-V$9)*1000)</f>
        <v>42530.437273875941</v>
      </c>
      <c r="W51" s="45">
        <f>SUM('Statistics NZ'!W$51,$I$12/5*(W$8-W$9)*1000)*'Economic Forecasts'!Y$9*1000000/SUM('Statistics NZ'!W$30:W$110,'Statistics NZ'!W$130:W$210,SUM($E$12:$T$13)*(W$8-W$9)*1000)</f>
        <v>43267.08370189702</v>
      </c>
      <c r="X51" s="45">
        <f>SUM('Statistics NZ'!X$51,$I$12/5*(X$8-X$9)*1000)*'Economic Forecasts'!Z$9*1000000/SUM('Statistics NZ'!X$30:X$110,'Statistics NZ'!X$130:X$210,SUM($E$12:$T$13)*(X$8-X$9)*1000)</f>
        <v>42810.663634634475</v>
      </c>
      <c r="Y51" s="45">
        <f>SUM('Statistics NZ'!Y$51,$I$12/5*(Y$8-Y$9)*1000)*'Economic Forecasts'!AA$9*1000000/SUM('Statistics NZ'!Y$30:Y$110,'Statistics NZ'!Y$130:Y$210,SUM($E$12:$T$13)*(Y$8-Y$9)*1000)</f>
        <v>42382.295662901182</v>
      </c>
      <c r="Z51" s="46">
        <f>SUM(Y$51,'Statistics NZ'!Z$51-'Statistics NZ'!Y$51,$I$12/5*(Z$8-Z$9)*1000)</f>
        <v>41134.761533275821</v>
      </c>
      <c r="AA51" s="46">
        <f>SUM(Z$51,'Statistics NZ'!AA$51-'Statistics NZ'!Z$51,$I$12/5*(AA$8-AA$9)*1000)</f>
        <v>40864.241055500606</v>
      </c>
      <c r="AB51" s="46">
        <f>SUM(AA$51,'Statistics NZ'!AB$51-'Statistics NZ'!AA$51,$I$12/5*(AB$8-AB$9)*1000)</f>
        <v>39823.331499205502</v>
      </c>
      <c r="AC51" s="46">
        <f>SUM(AB$51,'Statistics NZ'!AC$51-'Statistics NZ'!AB$51,$I$12/5*(AC$8-AC$9)*1000)</f>
        <v>39653.331499205502</v>
      </c>
      <c r="AD51" s="46">
        <f>SUM(AC$51,'Statistics NZ'!AD$51-'Statistics NZ'!AC$51,$I$12/5*(AD$8-AD$9)*1000)</f>
        <v>39313.331499205502</v>
      </c>
      <c r="AE51" s="46">
        <f>SUM(AD$51,'Statistics NZ'!AE$51-'Statistics NZ'!AD$51,$I$12/5*(AE$8-AE$9)*1000)</f>
        <v>38233.331499205502</v>
      </c>
      <c r="AF51" s="46">
        <f>SUM(AE$51,'Statistics NZ'!AF$51-'Statistics NZ'!AE$51,$I$12/5*(AF$8-AF$9)*1000)</f>
        <v>39783.331499205502</v>
      </c>
      <c r="AG51" s="46">
        <f>SUM(AF$51,'Statistics NZ'!AG$51-'Statistics NZ'!AF$51,$I$12/5*(AG$8-AG$9)*1000)</f>
        <v>39443.331499205502</v>
      </c>
      <c r="AH51" s="46">
        <f>SUM(AG$51,'Statistics NZ'!AH$51-'Statistics NZ'!AG$51,$I$12/5*(AH$8-AH$9)*1000)</f>
        <v>38773.331499205502</v>
      </c>
      <c r="AI51" s="46">
        <f>SUM(AH$51,'Statistics NZ'!AI$51-'Statistics NZ'!AH$51,$I$12/5*(AI$8-AI$9)*1000)</f>
        <v>38753.331499205502</v>
      </c>
      <c r="AJ51" s="46">
        <f>SUM(AI$51,'Statistics NZ'!AJ$51-'Statistics NZ'!AI$51,$I$12/5*(AJ$8-AJ$9)*1000)</f>
        <v>39693.331499205502</v>
      </c>
      <c r="AK51" s="46">
        <f>SUM(AJ$51,'Statistics NZ'!AK$51-'Statistics NZ'!AJ$51,$I$12/5*(AK$8-AK$9)*1000)</f>
        <v>39823.331499205502</v>
      </c>
      <c r="AL51" s="46">
        <f>SUM(AK$51,'Statistics NZ'!AL$51-'Statistics NZ'!AK$51,$I$12/5*(AL$8-AL$9)*1000)</f>
        <v>40573.331499205502</v>
      </c>
      <c r="AM51" s="46">
        <f>SUM(AL$51,'Statistics NZ'!AM$51-'Statistics NZ'!AL$51,$I$12/5*(AM$8-AM$9)*1000)</f>
        <v>42763.331499205502</v>
      </c>
      <c r="AN51" s="46">
        <f>SUM(AM$51,'Statistics NZ'!AN$51-'Statistics NZ'!AM$51,$I$12/5*(AN$8-AN$9)*1000)</f>
        <v>43923.331499205502</v>
      </c>
      <c r="AO51" s="46">
        <f>SUM(AN$51,'Statistics NZ'!AO$51-'Statistics NZ'!AN$51,$I$12/5*(AO$8-AO$9)*1000)</f>
        <v>43413.331499205502</v>
      </c>
      <c r="AP51" s="46">
        <f>SUM(AO$51,'Statistics NZ'!AP$51-'Statistics NZ'!AO$51,$I$12/5*(AP$8-AP$9)*1000)</f>
        <v>44493.331499205502</v>
      </c>
      <c r="AQ51" s="46">
        <f>SUM(AP$51,'Statistics NZ'!AQ$51-'Statistics NZ'!AP$51,$I$12/5*(AQ$8-AQ$9)*1000)</f>
        <v>44593.331499205502</v>
      </c>
      <c r="AR51" s="46">
        <f>SUM(AQ$51,'Statistics NZ'!AR$51-'Statistics NZ'!AQ$51,$I$12/5*(AR$8-AR$9)*1000)</f>
        <v>44763.331499205502</v>
      </c>
      <c r="AS51" s="46">
        <f>SUM(AR$51,'Statistics NZ'!AS$51-'Statistics NZ'!AR$51,$I$12/5*(AS$8-AS$9)*1000)</f>
        <v>44843.331499205502</v>
      </c>
      <c r="AT51" s="46">
        <f>SUM(AS$51,'Statistics NZ'!AT$51-'Statistics NZ'!AS$51,$I$12/5*(AT$8-AT$9)*1000)</f>
        <v>44083.331499205502</v>
      </c>
      <c r="AU51" s="46">
        <f>SUM(AT$51,'Statistics NZ'!AU$51-'Statistics NZ'!AT$51,$I$12/5*(AU$8-AU$9)*1000)</f>
        <v>44243.331499205502</v>
      </c>
      <c r="AV51" s="46">
        <f>SUM(AU$51,'Statistics NZ'!AV$51-'Statistics NZ'!AU$51,$I$12/5*(AV$8-AV$9)*1000)</f>
        <v>43893.331499205502</v>
      </c>
      <c r="AW51" s="46">
        <f>SUM(AV$51,'Statistics NZ'!AW$51-'Statistics NZ'!AV$51,$I$12/5*(AW$8-AW$9)*1000)</f>
        <v>44463.331499205502</v>
      </c>
      <c r="AX51" s="46">
        <f>SUM(AW$51,'Statistics NZ'!AX$51-'Statistics NZ'!AW$51,$I$12/5*(AX$8-AX$9)*1000)</f>
        <v>43943.331499205502</v>
      </c>
      <c r="AY51" s="46">
        <f>SUM(AX$51,'Statistics NZ'!AY$51-'Statistics NZ'!AX$51,$I$12/5*(AY$8-AY$9)*1000)</f>
        <v>44063.331499205502</v>
      </c>
      <c r="AZ51" s="46">
        <f>SUM(AY$51,'Statistics NZ'!AZ$51-'Statistics NZ'!AY$51,$I$12/5*(AZ$8-AZ$9)*1000)</f>
        <v>43823.331499205502</v>
      </c>
      <c r="BA51" s="46">
        <f>SUM(AZ$51,'Statistics NZ'!BA$51-'Statistics NZ'!AZ$51,$I$12/5*(BA$8-BA$9)*1000)</f>
        <v>44063.331499205502</v>
      </c>
      <c r="BB51" s="46">
        <f>SUM(BA$51,'Statistics NZ'!BB$51-'Statistics NZ'!BA$51,$I$12/5*(BB$8-BB$9)*1000)</f>
        <v>44453.331499205502</v>
      </c>
      <c r="BC51" s="46">
        <f>SUM(BB$51,'Statistics NZ'!BC$51-'Statistics NZ'!BB$51,$I$12/5*(BC$8-BC$9)*1000)</f>
        <v>41963.331499205502</v>
      </c>
      <c r="BD51" s="46">
        <f>SUM(BC$51,'Statistics NZ'!BD$51-'Statistics NZ'!BC$51,$I$12/5*(BD$8-BD$9)*1000)</f>
        <v>42203.331499205502</v>
      </c>
      <c r="BE51" s="46">
        <f>SUM(BD$51,'Statistics NZ'!BE$51-'Statistics NZ'!BD$51,$I$12/5*(BE$8-BE$9)*1000)</f>
        <v>42813.331499205502</v>
      </c>
      <c r="BF51" s="46">
        <f>SUM(BE$51,'Statistics NZ'!BF$51-'Statistics NZ'!BE$51,$I$12/5*(BF$8-BF$9)*1000)</f>
        <v>42943.331499205502</v>
      </c>
      <c r="BG51" s="46">
        <f>SUM(BF$51,'Statistics NZ'!BG$51-'Statistics NZ'!BF$51,$I$12/5*(BG$8-BG$9)*1000)</f>
        <v>43053.331499205502</v>
      </c>
      <c r="BH51" s="46">
        <f>SUM(BG$51,'Statistics NZ'!BH$51-'Statistics NZ'!BG$51,$I$12/5*(BH$8-BH$9)*1000)</f>
        <v>43133.331499205502</v>
      </c>
      <c r="BI51" s="46">
        <f>SUM(BH$51,'Statistics NZ'!BI$51-'Statistics NZ'!BH$51,$I$12/5*(BI$8-BI$9)*1000)</f>
        <v>43213.331499205502</v>
      </c>
    </row>
    <row r="52" spans="1:61" x14ac:dyDescent="0.25">
      <c r="A52" s="11">
        <v>37</v>
      </c>
      <c r="B52" s="44">
        <f>'Statistics NZ'!B$52*'Economic Forecasts'!D$9*1000000/SUM('Statistics NZ'!B$30:B$110,'Statistics NZ'!B$130:B$210)</f>
        <v>32159.813671002816</v>
      </c>
      <c r="C52" s="44">
        <f>'Statistics NZ'!C$52*'Economic Forecasts'!E$9*1000000/SUM('Statistics NZ'!C$30:C$110,'Statistics NZ'!C$130:C$210)</f>
        <v>32160.756295460546</v>
      </c>
      <c r="D52" s="44">
        <f>'Statistics NZ'!D$52*'Economic Forecasts'!F$9*1000000/SUM('Statistics NZ'!D$30:D$110,'Statistics NZ'!D$130:D$210)</f>
        <v>33249.9197441324</v>
      </c>
      <c r="E52" s="44">
        <f>'Statistics NZ'!E$52*'Economic Forecasts'!G$9*1000000/SUM('Statistics NZ'!E$30:E$110,'Statistics NZ'!E$130:E$210)</f>
        <v>32784.877581259709</v>
      </c>
      <c r="F52" s="44">
        <f>'Statistics NZ'!F$52*'Economic Forecasts'!H$9*1000000/SUM('Statistics NZ'!F$30:F$110,'Statistics NZ'!F$130:F$210)</f>
        <v>31486.348623533409</v>
      </c>
      <c r="G52" s="44">
        <f>'Statistics NZ'!G$52*'Economic Forecasts'!I$9*1000000/SUM('Statistics NZ'!G$30:G$110,'Statistics NZ'!G$130:G$210)</f>
        <v>30439.841532162867</v>
      </c>
      <c r="H52" s="44">
        <f>'Statistics NZ'!H$52*'Economic Forecasts'!J$9*1000000/SUM('Statistics NZ'!H$30:H$110,'Statistics NZ'!H$130:H$210)</f>
        <v>29180.657315110471</v>
      </c>
      <c r="I52" s="44">
        <f>'Statistics NZ'!I$52*'Economic Forecasts'!K$9*1000000/SUM('Statistics NZ'!I$30:I$110,'Statistics NZ'!I$130:I$210)</f>
        <v>27744.061517387385</v>
      </c>
      <c r="J52" s="44">
        <f>'Statistics NZ'!J$52*'Economic Forecasts'!L$9*1000000/SUM('Statistics NZ'!J$30:J$110,'Statistics NZ'!J$130:J$210)</f>
        <v>27685.593690529695</v>
      </c>
      <c r="K52" s="44">
        <f>'Statistics NZ'!K$52*'Economic Forecasts'!M$9*1000000/SUM('Statistics NZ'!K$30:K$110,'Statistics NZ'!K$130:K$210)</f>
        <v>27592.445616562247</v>
      </c>
      <c r="L52" s="44">
        <f>'Statistics NZ'!L$52*'Economic Forecasts'!N$9*1000000/SUM('Statistics NZ'!L$30:L$110,'Statistics NZ'!L$130:L$210)</f>
        <v>28956.693081691301</v>
      </c>
      <c r="M52" s="44">
        <f>'Statistics NZ'!M$52*'Economic Forecasts'!O$9*1000000/SUM('Statistics NZ'!M$30:M$110,'Statistics NZ'!M$130:M$210)</f>
        <v>29679.965331606792</v>
      </c>
      <c r="N52" s="44">
        <f>'Statistics NZ'!N$52*'Economic Forecasts'!P$9*1000000/SUM('Statistics NZ'!N$30:N$110,'Statistics NZ'!N$130:N$210)</f>
        <v>30411.575715579114</v>
      </c>
      <c r="O52" s="44">
        <f>'Statistics NZ'!O$52*'Economic Forecasts'!Q$9*1000000/SUM('Statistics NZ'!O$30:O$110,'Statistics NZ'!O$130:O$210)</f>
        <v>31995.924967175008</v>
      </c>
      <c r="P52" s="44">
        <f>'Statistics NZ'!P$52*'Economic Forecasts'!R$9*1000000/SUM('Statistics NZ'!P$30:P$110,'Statistics NZ'!P$130:P$210)</f>
        <v>33249.543630929329</v>
      </c>
      <c r="Q52" s="44">
        <f>'Statistics NZ'!Q$52*'Economic Forecasts'!S$9*1000000/SUM('Statistics NZ'!Q$30:Q$110,'Statistics NZ'!Q$130:Q$210)</f>
        <v>34134.036882906126</v>
      </c>
      <c r="R52" s="44">
        <f>'Statistics NZ'!R$52*'Economic Forecasts'!T$9*1000000/SUM('Statistics NZ'!R$30:R$110,'Statistics NZ'!R$130:R$210)</f>
        <v>34892.967596549846</v>
      </c>
      <c r="S52" s="44">
        <f>'Statistics NZ'!S$52*'Economic Forecasts'!U$9*1000000/SUM('Statistics NZ'!S$30:S$110,'Statistics NZ'!S$130:S$210)</f>
        <v>35620.19933146421</v>
      </c>
      <c r="T52" s="44">
        <f>'Statistics NZ'!T$52*'Economic Forecasts'!V$9*1000000/SUM('Statistics NZ'!T$30:T$110,'Statistics NZ'!T$130:T$210)</f>
        <v>38218.943024401553</v>
      </c>
      <c r="U52" s="45">
        <f>SUM('Statistics NZ'!U$52,$I$12/5*(U$8-U$9)*1000)*'Economic Forecasts'!W$9*1000000/SUM('Statistics NZ'!U$30:U$110,'Statistics NZ'!U$130:U$210,SUM($E$12:$T$13)*(U$8-U$9)*1000)</f>
        <v>40434.5662243763</v>
      </c>
      <c r="V52" s="45">
        <f>SUM('Statistics NZ'!V$52,$I$12/5*(V$8-V$9)*1000)*'Economic Forecasts'!X$9*1000000/SUM('Statistics NZ'!V$30:V$110,'Statistics NZ'!V$130:V$210,SUM($E$12:$T$13)*(V$8-V$9)*1000)</f>
        <v>41352.23992470454</v>
      </c>
      <c r="W52" s="45">
        <f>SUM('Statistics NZ'!W$52,$I$12/5*(W$8-W$9)*1000)*'Economic Forecasts'!Y$9*1000000/SUM('Statistics NZ'!W$30:W$110,'Statistics NZ'!W$130:W$210,SUM($E$12:$T$13)*(W$8-W$9)*1000)</f>
        <v>42999.702819078622</v>
      </c>
      <c r="X52" s="45">
        <f>SUM('Statistics NZ'!X$52,$I$12/5*(X$8-X$9)*1000)*'Economic Forecasts'!Z$9*1000000/SUM('Statistics NZ'!X$30:X$110,'Statistics NZ'!X$130:X$210,SUM($E$12:$T$13)*(X$8-X$9)*1000)</f>
        <v>43751.663440822311</v>
      </c>
      <c r="Y52" s="45">
        <f>SUM('Statistics NZ'!Y$52,$I$12/5*(Y$8-Y$9)*1000)*'Economic Forecasts'!AA$9*1000000/SUM('Statistics NZ'!Y$30:Y$110,'Statistics NZ'!Y$130:Y$210,SUM($E$12:$T$13)*(Y$8-Y$9)*1000)</f>
        <v>43323.641222711114</v>
      </c>
      <c r="Z52" s="46">
        <f>SUM(Y$52,'Statistics NZ'!Z$52-'Statistics NZ'!Y$52,$I$12/5*(Z$8-Z$9)*1000)</f>
        <v>42936.107093085753</v>
      </c>
      <c r="AA52" s="46">
        <f>SUM(Z$52,'Statistics NZ'!AA$52-'Statistics NZ'!Z$52,$I$12/5*(AA$8-AA$9)*1000)</f>
        <v>41675.586615310538</v>
      </c>
      <c r="AB52" s="46">
        <f>SUM(AA$52,'Statistics NZ'!AB$52-'Statistics NZ'!AA$52,$I$12/5*(AB$8-AB$9)*1000)</f>
        <v>41404.677059015434</v>
      </c>
      <c r="AC52" s="46">
        <f>SUM(AB$52,'Statistics NZ'!AC$52-'Statistics NZ'!AB$52,$I$12/5*(AC$8-AC$9)*1000)</f>
        <v>40354.677059015434</v>
      </c>
      <c r="AD52" s="46">
        <f>SUM(AC$52,'Statistics NZ'!AD$52-'Statistics NZ'!AC$52,$I$12/5*(AD$8-AD$9)*1000)</f>
        <v>40184.677059015434</v>
      </c>
      <c r="AE52" s="46">
        <f>SUM(AD$52,'Statistics NZ'!AE$52-'Statistics NZ'!AD$52,$I$12/5*(AE$8-AE$9)*1000)</f>
        <v>39854.677059015434</v>
      </c>
      <c r="AF52" s="46">
        <f>SUM(AE$52,'Statistics NZ'!AF$52-'Statistics NZ'!AE$52,$I$12/5*(AF$8-AF$9)*1000)</f>
        <v>38784.677059015434</v>
      </c>
      <c r="AG52" s="46">
        <f>SUM(AF$52,'Statistics NZ'!AG$52-'Statistics NZ'!AF$52,$I$12/5*(AG$8-AG$9)*1000)</f>
        <v>40324.677059015434</v>
      </c>
      <c r="AH52" s="46">
        <f>SUM(AG$52,'Statistics NZ'!AH$52-'Statistics NZ'!AG$52,$I$12/5*(AH$8-AH$9)*1000)</f>
        <v>39994.677059015434</v>
      </c>
      <c r="AI52" s="46">
        <f>SUM(AH$52,'Statistics NZ'!AI$52-'Statistics NZ'!AH$52,$I$12/5*(AI$8-AI$9)*1000)</f>
        <v>39324.677059015434</v>
      </c>
      <c r="AJ52" s="46">
        <f>SUM(AI$52,'Statistics NZ'!AJ$52-'Statistics NZ'!AI$52,$I$12/5*(AJ$8-AJ$9)*1000)</f>
        <v>39314.677059015434</v>
      </c>
      <c r="AK52" s="46">
        <f>SUM(AJ$52,'Statistics NZ'!AK$52-'Statistics NZ'!AJ$52,$I$12/5*(AK$8-AK$9)*1000)</f>
        <v>40244.677059015434</v>
      </c>
      <c r="AL52" s="46">
        <f>SUM(AK$52,'Statistics NZ'!AL$52-'Statistics NZ'!AK$52,$I$12/5*(AL$8-AL$9)*1000)</f>
        <v>40384.677059015434</v>
      </c>
      <c r="AM52" s="46">
        <f>SUM(AL$52,'Statistics NZ'!AM$52-'Statistics NZ'!AL$52,$I$12/5*(AM$8-AM$9)*1000)</f>
        <v>41134.677059015434</v>
      </c>
      <c r="AN52" s="46">
        <f>SUM(AM$52,'Statistics NZ'!AN$52-'Statistics NZ'!AM$52,$I$12/5*(AN$8-AN$9)*1000)</f>
        <v>43324.677059015434</v>
      </c>
      <c r="AO52" s="46">
        <f>SUM(AN$52,'Statistics NZ'!AO$52-'Statistics NZ'!AN$52,$I$12/5*(AO$8-AO$9)*1000)</f>
        <v>44494.677059015434</v>
      </c>
      <c r="AP52" s="46">
        <f>SUM(AO$52,'Statistics NZ'!AP$52-'Statistics NZ'!AO$52,$I$12/5*(AP$8-AP$9)*1000)</f>
        <v>43984.677059015434</v>
      </c>
      <c r="AQ52" s="46">
        <f>SUM(AP$52,'Statistics NZ'!AQ$52-'Statistics NZ'!AP$52,$I$12/5*(AQ$8-AQ$9)*1000)</f>
        <v>45064.677059015434</v>
      </c>
      <c r="AR52" s="46">
        <f>SUM(AQ$52,'Statistics NZ'!AR$52-'Statistics NZ'!AQ$52,$I$12/5*(AR$8-AR$9)*1000)</f>
        <v>45164.677059015434</v>
      </c>
      <c r="AS52" s="46">
        <f>SUM(AR$52,'Statistics NZ'!AS$52-'Statistics NZ'!AR$52,$I$12/5*(AS$8-AS$9)*1000)</f>
        <v>45334.677059015434</v>
      </c>
      <c r="AT52" s="46">
        <f>SUM(AS$52,'Statistics NZ'!AT$52-'Statistics NZ'!AS$52,$I$12/5*(AT$8-AT$9)*1000)</f>
        <v>45424.677059015434</v>
      </c>
      <c r="AU52" s="46">
        <f>SUM(AT$52,'Statistics NZ'!AU$52-'Statistics NZ'!AT$52,$I$12/5*(AU$8-AU$9)*1000)</f>
        <v>44664.677059015434</v>
      </c>
      <c r="AV52" s="46">
        <f>SUM(AU$52,'Statistics NZ'!AV$52-'Statistics NZ'!AU$52,$I$12/5*(AV$8-AV$9)*1000)</f>
        <v>44824.677059015434</v>
      </c>
      <c r="AW52" s="46">
        <f>SUM(AV$52,'Statistics NZ'!AW$52-'Statistics NZ'!AV$52,$I$12/5*(AW$8-AW$9)*1000)</f>
        <v>44484.677059015434</v>
      </c>
      <c r="AX52" s="46">
        <f>SUM(AW$52,'Statistics NZ'!AX$52-'Statistics NZ'!AW$52,$I$12/5*(AX$8-AX$9)*1000)</f>
        <v>45054.677059015434</v>
      </c>
      <c r="AY52" s="46">
        <f>SUM(AX$52,'Statistics NZ'!AY$52-'Statistics NZ'!AX$52,$I$12/5*(AY$8-AY$9)*1000)</f>
        <v>44534.677059015434</v>
      </c>
      <c r="AZ52" s="46">
        <f>SUM(AY$52,'Statistics NZ'!AZ$52-'Statistics NZ'!AY$52,$I$12/5*(AZ$8-AZ$9)*1000)</f>
        <v>44664.677059015434</v>
      </c>
      <c r="BA52" s="46">
        <f>SUM(AZ$52,'Statistics NZ'!BA$52-'Statistics NZ'!AZ$52,$I$12/5*(BA$8-BA$9)*1000)</f>
        <v>44434.677059015434</v>
      </c>
      <c r="BB52" s="46">
        <f>SUM(BA$52,'Statistics NZ'!BB$52-'Statistics NZ'!BA$52,$I$12/5*(BB$8-BB$9)*1000)</f>
        <v>44674.677059015434</v>
      </c>
      <c r="BC52" s="46">
        <f>SUM(BB$52,'Statistics NZ'!BC$52-'Statistics NZ'!BB$52,$I$12/5*(BC$8-BC$9)*1000)</f>
        <v>45064.677059015434</v>
      </c>
      <c r="BD52" s="46">
        <f>SUM(BC$52,'Statistics NZ'!BD$52-'Statistics NZ'!BC$52,$I$12/5*(BD$8-BD$9)*1000)</f>
        <v>42574.677059015434</v>
      </c>
      <c r="BE52" s="46">
        <f>SUM(BD$52,'Statistics NZ'!BE$52-'Statistics NZ'!BD$52,$I$12/5*(BE$8-BE$9)*1000)</f>
        <v>42814.677059015434</v>
      </c>
      <c r="BF52" s="46">
        <f>SUM(BE$52,'Statistics NZ'!BF$52-'Statistics NZ'!BE$52,$I$12/5*(BF$8-BF$9)*1000)</f>
        <v>43434.677059015434</v>
      </c>
      <c r="BG52" s="46">
        <f>SUM(BF$52,'Statistics NZ'!BG$52-'Statistics NZ'!BF$52,$I$12/5*(BG$8-BG$9)*1000)</f>
        <v>43564.677059015434</v>
      </c>
      <c r="BH52" s="46">
        <f>SUM(BG$52,'Statistics NZ'!BH$52-'Statistics NZ'!BG$52,$I$12/5*(BH$8-BH$9)*1000)</f>
        <v>43674.677059015434</v>
      </c>
      <c r="BI52" s="46">
        <f>SUM(BH$52,'Statistics NZ'!BI$52-'Statistics NZ'!BH$52,$I$12/5*(BI$8-BI$9)*1000)</f>
        <v>43764.677059015434</v>
      </c>
    </row>
    <row r="53" spans="1:61" x14ac:dyDescent="0.25">
      <c r="A53" s="11">
        <v>38</v>
      </c>
      <c r="B53" s="44">
        <f>'Statistics NZ'!B$53*'Economic Forecasts'!D$9*1000000/SUM('Statistics NZ'!B$30:B$110,'Statistics NZ'!B$130:B$210)</f>
        <v>31748.888154062712</v>
      </c>
      <c r="C53" s="44">
        <f>'Statistics NZ'!C$53*'Economic Forecasts'!E$9*1000000/SUM('Statistics NZ'!C$30:C$110,'Statistics NZ'!C$130:C$210)</f>
        <v>32484.818877979691</v>
      </c>
      <c r="D53" s="44">
        <f>'Statistics NZ'!D$53*'Economic Forecasts'!F$9*1000000/SUM('Statistics NZ'!D$30:D$110,'Statistics NZ'!D$130:D$210)</f>
        <v>32248.001926140823</v>
      </c>
      <c r="E53" s="44">
        <f>'Statistics NZ'!E$53*'Economic Forecasts'!G$9*1000000/SUM('Statistics NZ'!E$30:E$110,'Statistics NZ'!E$130:E$210)</f>
        <v>33343.877887012561</v>
      </c>
      <c r="F53" s="44">
        <f>'Statistics NZ'!F$53*'Economic Forecasts'!H$9*1000000/SUM('Statistics NZ'!F$30:F$110,'Statistics NZ'!F$130:F$210)</f>
        <v>32938.055662873892</v>
      </c>
      <c r="G53" s="44">
        <f>'Statistics NZ'!G$53*'Economic Forecasts'!I$9*1000000/SUM('Statistics NZ'!G$30:G$110,'Statistics NZ'!G$130:G$210)</f>
        <v>31618.538203301796</v>
      </c>
      <c r="H53" s="44">
        <f>'Statistics NZ'!H$53*'Economic Forecasts'!J$9*1000000/SUM('Statistics NZ'!H$30:H$110,'Statistics NZ'!H$130:H$210)</f>
        <v>30418.624595145458</v>
      </c>
      <c r="I53" s="44">
        <f>'Statistics NZ'!I$53*'Economic Forecasts'!K$9*1000000/SUM('Statistics NZ'!I$30:I$110,'Statistics NZ'!I$130:I$210)</f>
        <v>29204.791258055477</v>
      </c>
      <c r="J53" s="44">
        <f>'Statistics NZ'!J$53*'Economic Forecasts'!L$9*1000000/SUM('Statistics NZ'!J$30:J$110,'Statistics NZ'!J$130:J$210)</f>
        <v>27822.120041944774</v>
      </c>
      <c r="K53" s="44">
        <f>'Statistics NZ'!K$53*'Economic Forecasts'!M$9*1000000/SUM('Statistics NZ'!K$30:K$110,'Statistics NZ'!K$130:K$210)</f>
        <v>28069.520364343309</v>
      </c>
      <c r="L53" s="44">
        <f>'Statistics NZ'!L$53*'Economic Forecasts'!N$9*1000000/SUM('Statistics NZ'!L$30:L$110,'Statistics NZ'!L$130:L$210)</f>
        <v>28148.5540346905</v>
      </c>
      <c r="M53" s="44">
        <f>'Statistics NZ'!M$53*'Economic Forecasts'!O$9*1000000/SUM('Statistics NZ'!M$30:M$110,'Statistics NZ'!M$130:M$210)</f>
        <v>29572.5000193462</v>
      </c>
      <c r="N53" s="44">
        <f>'Statistics NZ'!N$53*'Economic Forecasts'!P$9*1000000/SUM('Statistics NZ'!N$30:N$110,'Statistics NZ'!N$130:N$210)</f>
        <v>30245.231832964942</v>
      </c>
      <c r="O53" s="44">
        <f>'Statistics NZ'!O$53*'Economic Forecasts'!Q$9*1000000/SUM('Statistics NZ'!O$30:O$110,'Statistics NZ'!O$130:O$210)</f>
        <v>31120.805937648711</v>
      </c>
      <c r="P53" s="44">
        <f>'Statistics NZ'!P$53*'Economic Forecasts'!R$9*1000000/SUM('Statistics NZ'!P$30:P$110,'Statistics NZ'!P$130:P$210)</f>
        <v>32601.059623943118</v>
      </c>
      <c r="Q53" s="44">
        <f>'Statistics NZ'!Q$53*'Economic Forecasts'!S$9*1000000/SUM('Statistics NZ'!Q$30:Q$110,'Statistics NZ'!Q$130:Q$210)</f>
        <v>33706.864710040885</v>
      </c>
      <c r="R53" s="44">
        <f>'Statistics NZ'!R$53*'Economic Forecasts'!T$9*1000000/SUM('Statistics NZ'!R$30:R$110,'Statistics NZ'!R$130:R$210)</f>
        <v>34116.240578133504</v>
      </c>
      <c r="S53" s="44">
        <f>'Statistics NZ'!S$53*'Economic Forecasts'!U$9*1000000/SUM('Statistics NZ'!S$30:S$110,'Statistics NZ'!S$130:S$210)</f>
        <v>35512.140260133237</v>
      </c>
      <c r="T53" s="44">
        <f>'Statistics NZ'!T$53*'Economic Forecasts'!V$9*1000000/SUM('Statistics NZ'!T$30:T$110,'Statistics NZ'!T$130:T$210)</f>
        <v>37019.645279081902</v>
      </c>
      <c r="U53" s="45">
        <f>SUM('Statistics NZ'!U$53,$I$12/5*(U$8-U$9)*1000)*'Economic Forecasts'!W$9*1000000/SUM('Statistics NZ'!U$30:U$110,'Statistics NZ'!U$130:U$210,SUM($E$12:$T$13)*(U$8-U$9)*1000)</f>
        <v>38641.770593062312</v>
      </c>
      <c r="V53" s="45">
        <f>SUM('Statistics NZ'!V$53,$I$12/5*(V$8-V$9)*1000)*'Economic Forecasts'!X$9*1000000/SUM('Statistics NZ'!V$30:V$110,'Statistics NZ'!V$130:V$210,SUM($E$12:$T$13)*(V$8-V$9)*1000)</f>
        <v>40817.595749450295</v>
      </c>
      <c r="W53" s="45">
        <f>SUM('Statistics NZ'!W$53,$I$12/5*(W$8-W$9)*1000)*'Economic Forecasts'!Y$9*1000000/SUM('Statistics NZ'!W$30:W$110,'Statistics NZ'!W$130:W$210,SUM($E$12:$T$13)*(W$8-W$9)*1000)</f>
        <v>41761.828361586064</v>
      </c>
      <c r="X53" s="45">
        <f>SUM('Statistics NZ'!X$53,$I$12/5*(X$8-X$9)*1000)*'Economic Forecasts'!Z$9*1000000/SUM('Statistics NZ'!X$30:X$110,'Statistics NZ'!X$130:X$210,SUM($E$12:$T$13)*(X$8-X$9)*1000)</f>
        <v>43424.789823936015</v>
      </c>
      <c r="Y53" s="45">
        <f>SUM('Statistics NZ'!Y$53,$I$12/5*(Y$8-Y$9)*1000)*'Economic Forecasts'!AA$9*1000000/SUM('Statistics NZ'!Y$30:Y$110,'Statistics NZ'!Y$130:Y$210,SUM($E$12:$T$13)*(Y$8-Y$9)*1000)</f>
        <v>44205.533378743567</v>
      </c>
      <c r="Z53" s="46">
        <f>SUM(Y$53,'Statistics NZ'!Z$53-'Statistics NZ'!Y$53,$I$12/5*(Z$8-Z$9)*1000)</f>
        <v>43817.999249118206</v>
      </c>
      <c r="AA53" s="46">
        <f>SUM(Z$53,'Statistics NZ'!AA$53-'Statistics NZ'!Z$53,$I$12/5*(AA$8-AA$9)*1000)</f>
        <v>43427.478771342991</v>
      </c>
      <c r="AB53" s="46">
        <f>SUM(AA$53,'Statistics NZ'!AB$53-'Statistics NZ'!AA$53,$I$12/5*(AB$8-AB$9)*1000)</f>
        <v>42166.569215047886</v>
      </c>
      <c r="AC53" s="46">
        <f>SUM(AB$53,'Statistics NZ'!AC$53-'Statistics NZ'!AB$53,$I$12/5*(AC$8-AC$9)*1000)</f>
        <v>41886.569215047886</v>
      </c>
      <c r="AD53" s="46">
        <f>SUM(AC$53,'Statistics NZ'!AD$53-'Statistics NZ'!AC$53,$I$12/5*(AD$8-AD$9)*1000)</f>
        <v>40836.569215047886</v>
      </c>
      <c r="AE53" s="46">
        <f>SUM(AD$53,'Statistics NZ'!AE$53-'Statistics NZ'!AD$53,$I$12/5*(AE$8-AE$9)*1000)</f>
        <v>40666.569215047886</v>
      </c>
      <c r="AF53" s="46">
        <f>SUM(AE$53,'Statistics NZ'!AF$53-'Statistics NZ'!AE$53,$I$12/5*(AF$8-AF$9)*1000)</f>
        <v>40346.569215047886</v>
      </c>
      <c r="AG53" s="46">
        <f>SUM(AF$53,'Statistics NZ'!AG$53-'Statistics NZ'!AF$53,$I$12/5*(AG$8-AG$9)*1000)</f>
        <v>39266.569215047886</v>
      </c>
      <c r="AH53" s="46">
        <f>SUM(AG$53,'Statistics NZ'!AH$53-'Statistics NZ'!AG$53,$I$12/5*(AH$8-AH$9)*1000)</f>
        <v>40816.569215047886</v>
      </c>
      <c r="AI53" s="46">
        <f>SUM(AH$53,'Statistics NZ'!AI$53-'Statistics NZ'!AH$53,$I$12/5*(AI$8-AI$9)*1000)</f>
        <v>40486.569215047886</v>
      </c>
      <c r="AJ53" s="46">
        <f>SUM(AI$53,'Statistics NZ'!AJ$53-'Statistics NZ'!AI$53,$I$12/5*(AJ$8-AJ$9)*1000)</f>
        <v>39826.569215047886</v>
      </c>
      <c r="AK53" s="46">
        <f>SUM(AJ$53,'Statistics NZ'!AK$53-'Statistics NZ'!AJ$53,$I$12/5*(AK$8-AK$9)*1000)</f>
        <v>39816.569215047886</v>
      </c>
      <c r="AL53" s="46">
        <f>SUM(AK$53,'Statistics NZ'!AL$53-'Statistics NZ'!AK$53,$I$12/5*(AL$8-AL$9)*1000)</f>
        <v>40756.569215047886</v>
      </c>
      <c r="AM53" s="46">
        <f>SUM(AL$53,'Statistics NZ'!AM$53-'Statistics NZ'!AL$53,$I$12/5*(AM$8-AM$9)*1000)</f>
        <v>40896.569215047886</v>
      </c>
      <c r="AN53" s="46">
        <f>SUM(AM$53,'Statistics NZ'!AN$53-'Statistics NZ'!AM$53,$I$12/5*(AN$8-AN$9)*1000)</f>
        <v>41646.569215047886</v>
      </c>
      <c r="AO53" s="46">
        <f>SUM(AN$53,'Statistics NZ'!AO$53-'Statistics NZ'!AN$53,$I$12/5*(AO$8-AO$9)*1000)</f>
        <v>43836.569215047886</v>
      </c>
      <c r="AP53" s="46">
        <f>SUM(AO$53,'Statistics NZ'!AP$53-'Statistics NZ'!AO$53,$I$12/5*(AP$8-AP$9)*1000)</f>
        <v>45006.569215047886</v>
      </c>
      <c r="AQ53" s="46">
        <f>SUM(AP$53,'Statistics NZ'!AQ$53-'Statistics NZ'!AP$53,$I$12/5*(AQ$8-AQ$9)*1000)</f>
        <v>44506.569215047886</v>
      </c>
      <c r="AR53" s="46">
        <f>SUM(AQ$53,'Statistics NZ'!AR$53-'Statistics NZ'!AQ$53,$I$12/5*(AR$8-AR$9)*1000)</f>
        <v>45576.569215047886</v>
      </c>
      <c r="AS53" s="46">
        <f>SUM(AR$53,'Statistics NZ'!AS$53-'Statistics NZ'!AR$53,$I$12/5*(AS$8-AS$9)*1000)</f>
        <v>45686.569215047886</v>
      </c>
      <c r="AT53" s="46">
        <f>SUM(AS$53,'Statistics NZ'!AT$53-'Statistics NZ'!AS$53,$I$12/5*(AT$8-AT$9)*1000)</f>
        <v>45866.569215047886</v>
      </c>
      <c r="AU53" s="46">
        <f>SUM(AT$53,'Statistics NZ'!AU$53-'Statistics NZ'!AT$53,$I$12/5*(AU$8-AU$9)*1000)</f>
        <v>45956.569215047886</v>
      </c>
      <c r="AV53" s="46">
        <f>SUM(AU$53,'Statistics NZ'!AV$53-'Statistics NZ'!AU$53,$I$12/5*(AV$8-AV$9)*1000)</f>
        <v>45196.569215047886</v>
      </c>
      <c r="AW53" s="46">
        <f>SUM(AV$53,'Statistics NZ'!AW$53-'Statistics NZ'!AV$53,$I$12/5*(AW$8-AW$9)*1000)</f>
        <v>45366.569215047886</v>
      </c>
      <c r="AX53" s="46">
        <f>SUM(AW$53,'Statistics NZ'!AX$53-'Statistics NZ'!AW$53,$I$12/5*(AX$8-AX$9)*1000)</f>
        <v>45026.569215047886</v>
      </c>
      <c r="AY53" s="46">
        <f>SUM(AX$53,'Statistics NZ'!AY$53-'Statistics NZ'!AX$53,$I$12/5*(AY$8-AY$9)*1000)</f>
        <v>45596.569215047886</v>
      </c>
      <c r="AZ53" s="46">
        <f>SUM(AY$53,'Statistics NZ'!AZ$53-'Statistics NZ'!AY$53,$I$12/5*(AZ$8-AZ$9)*1000)</f>
        <v>45076.569215047886</v>
      </c>
      <c r="BA53" s="46">
        <f>SUM(AZ$53,'Statistics NZ'!BA$53-'Statistics NZ'!AZ$53,$I$12/5*(BA$8-BA$9)*1000)</f>
        <v>45206.569215047886</v>
      </c>
      <c r="BB53" s="46">
        <f>SUM(BA$53,'Statistics NZ'!BB$53-'Statistics NZ'!BA$53,$I$12/5*(BB$8-BB$9)*1000)</f>
        <v>44976.569215047886</v>
      </c>
      <c r="BC53" s="46">
        <f>SUM(BB$53,'Statistics NZ'!BC$53-'Statistics NZ'!BB$53,$I$12/5*(BC$8-BC$9)*1000)</f>
        <v>45226.569215047886</v>
      </c>
      <c r="BD53" s="46">
        <f>SUM(BC$53,'Statistics NZ'!BD$53-'Statistics NZ'!BC$53,$I$12/5*(BD$8-BD$9)*1000)</f>
        <v>45616.569215047886</v>
      </c>
      <c r="BE53" s="46">
        <f>SUM(BD$53,'Statistics NZ'!BE$53-'Statistics NZ'!BD$53,$I$12/5*(BE$8-BE$9)*1000)</f>
        <v>43136.569215047886</v>
      </c>
      <c r="BF53" s="46">
        <f>SUM(BE$53,'Statistics NZ'!BF$53-'Statistics NZ'!BE$53,$I$12/5*(BF$8-BF$9)*1000)</f>
        <v>43376.569215047886</v>
      </c>
      <c r="BG53" s="46">
        <f>SUM(BF$53,'Statistics NZ'!BG$53-'Statistics NZ'!BF$53,$I$12/5*(BG$8-BG$9)*1000)</f>
        <v>43996.569215047886</v>
      </c>
      <c r="BH53" s="46">
        <f>SUM(BG$53,'Statistics NZ'!BH$53-'Statistics NZ'!BG$53,$I$12/5*(BH$8-BH$9)*1000)</f>
        <v>44136.569215047886</v>
      </c>
      <c r="BI53" s="46">
        <f>SUM(BH$53,'Statistics NZ'!BI$53-'Statistics NZ'!BH$53,$I$12/5*(BI$8-BI$9)*1000)</f>
        <v>44246.569215047886</v>
      </c>
    </row>
    <row r="54" spans="1:61" x14ac:dyDescent="0.25">
      <c r="A54" s="11">
        <v>39</v>
      </c>
      <c r="B54" s="44">
        <f>'Statistics NZ'!B$54*'Economic Forecasts'!D$9*1000000/SUM('Statistics NZ'!B$30:B$110,'Statistics NZ'!B$130:B$210)</f>
        <v>31523.857513833609</v>
      </c>
      <c r="C54" s="44">
        <f>'Statistics NZ'!C$54*'Economic Forecasts'!E$9*1000000/SUM('Statistics NZ'!C$30:C$110,'Statistics NZ'!C$130:C$210)</f>
        <v>31974.174808555581</v>
      </c>
      <c r="D54" s="44">
        <f>'Statistics NZ'!D$54*'Economic Forecasts'!F$9*1000000/SUM('Statistics NZ'!D$30:D$110,'Statistics NZ'!D$130:D$210)</f>
        <v>32611.442703255412</v>
      </c>
      <c r="E54" s="44">
        <f>'Statistics NZ'!E$54*'Economic Forecasts'!G$9*1000000/SUM('Statistics NZ'!E$30:E$110,'Statistics NZ'!E$130:E$210)</f>
        <v>32323.947504586296</v>
      </c>
      <c r="F54" s="44">
        <f>'Statistics NZ'!F$54*'Economic Forecasts'!H$9*1000000/SUM('Statistics NZ'!F$30:F$110,'Statistics NZ'!F$130:F$210)</f>
        <v>33487.350218300016</v>
      </c>
      <c r="G54" s="44">
        <f>'Statistics NZ'!G$54*'Economic Forecasts'!I$9*1000000/SUM('Statistics NZ'!G$30:G$110,'Statistics NZ'!G$130:G$210)</f>
        <v>33003.506791890039</v>
      </c>
      <c r="H54" s="44">
        <f>'Statistics NZ'!H$54*'Economic Forecasts'!J$9*1000000/SUM('Statistics NZ'!H$30:H$110,'Statistics NZ'!H$130:H$210)</f>
        <v>31715.542698039262</v>
      </c>
      <c r="I54" s="44">
        <f>'Statistics NZ'!I$54*'Economic Forecasts'!K$9*1000000/SUM('Statistics NZ'!I$30:I$110,'Statistics NZ'!I$130:I$210)</f>
        <v>30459.646337287133</v>
      </c>
      <c r="J54" s="44">
        <f>'Statistics NZ'!J$54*'Economic Forecasts'!L$9*1000000/SUM('Statistics NZ'!J$30:J$110,'Statistics NZ'!J$130:J$210)</f>
        <v>29265.398614047059</v>
      </c>
      <c r="K54" s="44">
        <f>'Statistics NZ'!K$54*'Economic Forecasts'!M$9*1000000/SUM('Statistics NZ'!K$30:K$110,'Statistics NZ'!K$130:K$210)</f>
        <v>28069.520364343309</v>
      </c>
      <c r="L54" s="44">
        <f>'Statistics NZ'!L$54*'Economic Forecasts'!N$9*1000000/SUM('Statistics NZ'!L$30:L$110,'Statistics NZ'!L$130:L$210)</f>
        <v>28499.072175558314</v>
      </c>
      <c r="M54" s="44">
        <f>'Statistics NZ'!M$54*'Economic Forecasts'!O$9*1000000/SUM('Statistics NZ'!M$30:M$110,'Statistics NZ'!M$130:M$210)</f>
        <v>28742.086242787089</v>
      </c>
      <c r="N54" s="44">
        <f>'Statistics NZ'!N$54*'Economic Forecasts'!P$9*1000000/SUM('Statistics NZ'!N$30:N$110,'Statistics NZ'!N$130:N$210)</f>
        <v>30039.748213265084</v>
      </c>
      <c r="O54" s="44">
        <f>'Statistics NZ'!O$54*'Economic Forecasts'!Q$9*1000000/SUM('Statistics NZ'!O$30:O$110,'Statistics NZ'!O$130:O$210)</f>
        <v>30855.32038936545</v>
      </c>
      <c r="P54" s="44">
        <f>'Statistics NZ'!P$54*'Economic Forecasts'!R$9*1000000/SUM('Statistics NZ'!P$30:P$110,'Statistics NZ'!P$130:P$210)</f>
        <v>31667.635674493267</v>
      </c>
      <c r="Q54" s="44">
        <f>'Statistics NZ'!Q$54*'Economic Forecasts'!S$9*1000000/SUM('Statistics NZ'!Q$30:Q$110,'Statistics NZ'!Q$130:Q$210)</f>
        <v>33041.270859297372</v>
      </c>
      <c r="R54" s="44">
        <f>'Statistics NZ'!R$54*'Economic Forecasts'!T$9*1000000/SUM('Statistics NZ'!R$30:R$110,'Statistics NZ'!R$130:R$210)</f>
        <v>33727.877068925329</v>
      </c>
      <c r="S54" s="44">
        <f>'Statistics NZ'!S$54*'Economic Forecasts'!U$9*1000000/SUM('Statistics NZ'!S$30:S$110,'Statistics NZ'!S$130:S$210)</f>
        <v>34618.197033667915</v>
      </c>
      <c r="T54" s="44">
        <f>'Statistics NZ'!T$54*'Economic Forecasts'!V$9*1000000/SUM('Statistics NZ'!T$30:T$110,'Statistics NZ'!T$130:T$210)</f>
        <v>36761.944937112385</v>
      </c>
      <c r="U54" s="45">
        <f>SUM('Statistics NZ'!U$54,$I$12/5*(U$8-U$9)*1000)*'Economic Forecasts'!W$9*1000000/SUM('Statistics NZ'!U$30:U$110,'Statistics NZ'!U$130:U$210,SUM($E$12:$T$13)*(U$8-U$9)*1000)</f>
        <v>37413.557011388628</v>
      </c>
      <c r="V54" s="45">
        <f>SUM('Statistics NZ'!V$54,$I$12/5*(V$8-V$9)*1000)*'Economic Forecasts'!X$9*1000000/SUM('Statistics NZ'!V$30:V$110,'Statistics NZ'!V$130:V$210,SUM($E$12:$T$13)*(V$8-V$9)*1000)</f>
        <v>38985.944408301468</v>
      </c>
      <c r="W54" s="45">
        <f>SUM('Statistics NZ'!W$54,$I$12/5*(W$8-W$9)*1000)*'Economic Forecasts'!Y$9*1000000/SUM('Statistics NZ'!W$30:W$110,'Statistics NZ'!W$130:W$210,SUM($E$12:$T$13)*(W$8-W$9)*1000)</f>
        <v>41197.357608969454</v>
      </c>
      <c r="X54" s="45">
        <f>SUM('Statistics NZ'!X$54,$I$12/5*(X$8-X$9)*1000)*'Economic Forecasts'!Z$9*1000000/SUM('Statistics NZ'!X$30:X$110,'Statistics NZ'!X$130:X$210,SUM($E$12:$T$13)*(X$8-X$9)*1000)</f>
        <v>42156.916400861861</v>
      </c>
      <c r="Y54" s="45">
        <f>SUM('Statistics NZ'!Y$54,$I$12/5*(Y$8-Y$9)*1000)*'Economic Forecasts'!AA$9*1000000/SUM('Statistics NZ'!Y$30:Y$110,'Statistics NZ'!Y$130:Y$210,SUM($E$12:$T$13)*(Y$8-Y$9)*1000)</f>
        <v>43848.812956078757</v>
      </c>
      <c r="Z54" s="46">
        <f>SUM(Y$54,'Statistics NZ'!Z$54-'Statistics NZ'!Y$54,$I$12/5*(Z$8-Z$9)*1000)</f>
        <v>44671.278826453396</v>
      </c>
      <c r="AA54" s="46">
        <f>SUM(Z$54,'Statistics NZ'!AA$54-'Statistics NZ'!Z$54,$I$12/5*(AA$8-AA$9)*1000)</f>
        <v>44280.75834867818</v>
      </c>
      <c r="AB54" s="46">
        <f>SUM(AA$54,'Statistics NZ'!AB$54-'Statistics NZ'!AA$54,$I$12/5*(AB$8-AB$9)*1000)</f>
        <v>43879.848792383076</v>
      </c>
      <c r="AC54" s="46">
        <f>SUM(AB$54,'Statistics NZ'!AC$54-'Statistics NZ'!AB$54,$I$12/5*(AC$8-AC$9)*1000)</f>
        <v>42609.848792383076</v>
      </c>
      <c r="AD54" s="46">
        <f>SUM(AC$54,'Statistics NZ'!AD$54-'Statistics NZ'!AC$54,$I$12/5*(AD$8-AD$9)*1000)</f>
        <v>42329.848792383076</v>
      </c>
      <c r="AE54" s="46">
        <f>SUM(AD$54,'Statistics NZ'!AE$54-'Statistics NZ'!AD$54,$I$12/5*(AE$8-AE$9)*1000)</f>
        <v>41289.848792383076</v>
      </c>
      <c r="AF54" s="46">
        <f>SUM(AE$54,'Statistics NZ'!AF$54-'Statistics NZ'!AE$54,$I$12/5*(AF$8-AF$9)*1000)</f>
        <v>41129.848792383076</v>
      </c>
      <c r="AG54" s="46">
        <f>SUM(AF$54,'Statistics NZ'!AG$54-'Statistics NZ'!AF$54,$I$12/5*(AG$8-AG$9)*1000)</f>
        <v>40799.848792383076</v>
      </c>
      <c r="AH54" s="46">
        <f>SUM(AG$54,'Statistics NZ'!AH$54-'Statistics NZ'!AG$54,$I$12/5*(AH$8-AH$9)*1000)</f>
        <v>39729.848792383076</v>
      </c>
      <c r="AI54" s="46">
        <f>SUM(AH$54,'Statistics NZ'!AI$54-'Statistics NZ'!AH$54,$I$12/5*(AI$8-AI$9)*1000)</f>
        <v>41279.848792383076</v>
      </c>
      <c r="AJ54" s="46">
        <f>SUM(AI$54,'Statistics NZ'!AJ$54-'Statistics NZ'!AI$54,$I$12/5*(AJ$8-AJ$9)*1000)</f>
        <v>40959.848792383076</v>
      </c>
      <c r="AK54" s="46">
        <f>SUM(AJ$54,'Statistics NZ'!AK$54-'Statistics NZ'!AJ$54,$I$12/5*(AK$8-AK$9)*1000)</f>
        <v>40299.848792383076</v>
      </c>
      <c r="AL54" s="46">
        <f>SUM(AK$54,'Statistics NZ'!AL$54-'Statistics NZ'!AK$54,$I$12/5*(AL$8-AL$9)*1000)</f>
        <v>40289.848792383076</v>
      </c>
      <c r="AM54" s="46">
        <f>SUM(AL$54,'Statistics NZ'!AM$54-'Statistics NZ'!AL$54,$I$12/5*(AM$8-AM$9)*1000)</f>
        <v>41229.848792383076</v>
      </c>
      <c r="AN54" s="46">
        <f>SUM(AM$54,'Statistics NZ'!AN$54-'Statistics NZ'!AM$54,$I$12/5*(AN$8-AN$9)*1000)</f>
        <v>41369.848792383076</v>
      </c>
      <c r="AO54" s="46">
        <f>SUM(AN$54,'Statistics NZ'!AO$54-'Statistics NZ'!AN$54,$I$12/5*(AO$8-AO$9)*1000)</f>
        <v>42129.848792383076</v>
      </c>
      <c r="AP54" s="46">
        <f>SUM(AO$54,'Statistics NZ'!AP$54-'Statistics NZ'!AO$54,$I$12/5*(AP$8-AP$9)*1000)</f>
        <v>44319.848792383076</v>
      </c>
      <c r="AQ54" s="46">
        <f>SUM(AP$54,'Statistics NZ'!AQ$54-'Statistics NZ'!AP$54,$I$12/5*(AQ$8-AQ$9)*1000)</f>
        <v>45489.848792383076</v>
      </c>
      <c r="AR54" s="46">
        <f>SUM(AQ$54,'Statistics NZ'!AR$54-'Statistics NZ'!AQ$54,$I$12/5*(AR$8-AR$9)*1000)</f>
        <v>44989.848792383076</v>
      </c>
      <c r="AS54" s="46">
        <f>SUM(AR$54,'Statistics NZ'!AS$54-'Statistics NZ'!AR$54,$I$12/5*(AS$8-AS$9)*1000)</f>
        <v>46069.848792383076</v>
      </c>
      <c r="AT54" s="46">
        <f>SUM(AS$54,'Statistics NZ'!AT$54-'Statistics NZ'!AS$54,$I$12/5*(AT$8-AT$9)*1000)</f>
        <v>46179.848792383076</v>
      </c>
      <c r="AU54" s="46">
        <f>SUM(AT$54,'Statistics NZ'!AU$54-'Statistics NZ'!AT$54,$I$12/5*(AU$8-AU$9)*1000)</f>
        <v>46359.848792383076</v>
      </c>
      <c r="AV54" s="46">
        <f>SUM(AU$54,'Statistics NZ'!AV$54-'Statistics NZ'!AU$54,$I$12/5*(AV$8-AV$9)*1000)</f>
        <v>46449.848792383076</v>
      </c>
      <c r="AW54" s="46">
        <f>SUM(AV$54,'Statistics NZ'!AW$54-'Statistics NZ'!AV$54,$I$12/5*(AW$8-AW$9)*1000)</f>
        <v>45699.848792383076</v>
      </c>
      <c r="AX54" s="46">
        <f>SUM(AW$54,'Statistics NZ'!AX$54-'Statistics NZ'!AW$54,$I$12/5*(AX$8-AX$9)*1000)</f>
        <v>45869.848792383076</v>
      </c>
      <c r="AY54" s="46">
        <f>SUM(AX$54,'Statistics NZ'!AY$54-'Statistics NZ'!AX$54,$I$12/5*(AY$8-AY$9)*1000)</f>
        <v>45529.848792383076</v>
      </c>
      <c r="AZ54" s="46">
        <f>SUM(AY$54,'Statistics NZ'!AZ$54-'Statistics NZ'!AY$54,$I$12/5*(AZ$8-AZ$9)*1000)</f>
        <v>46099.848792383076</v>
      </c>
      <c r="BA54" s="46">
        <f>SUM(AZ$54,'Statistics NZ'!BA$54-'Statistics NZ'!AZ$54,$I$12/5*(BA$8-BA$9)*1000)</f>
        <v>45589.848792383076</v>
      </c>
      <c r="BB54" s="46">
        <f>SUM(BA$54,'Statistics NZ'!BB$54-'Statistics NZ'!BA$54,$I$12/5*(BB$8-BB$9)*1000)</f>
        <v>45719.848792383076</v>
      </c>
      <c r="BC54" s="46">
        <f>SUM(BB$54,'Statistics NZ'!BC$54-'Statistics NZ'!BB$54,$I$12/5*(BC$8-BC$9)*1000)</f>
        <v>45499.848792383076</v>
      </c>
      <c r="BD54" s="46">
        <f>SUM(BC$54,'Statistics NZ'!BD$54-'Statistics NZ'!BC$54,$I$12/5*(BD$8-BD$9)*1000)</f>
        <v>45749.848792383076</v>
      </c>
      <c r="BE54" s="46">
        <f>SUM(BD$54,'Statistics NZ'!BE$54-'Statistics NZ'!BD$54,$I$12/5*(BE$8-BE$9)*1000)</f>
        <v>46139.848792383076</v>
      </c>
      <c r="BF54" s="46">
        <f>SUM(BE$54,'Statistics NZ'!BF$54-'Statistics NZ'!BE$54,$I$12/5*(BF$8-BF$9)*1000)</f>
        <v>43659.848792383076</v>
      </c>
      <c r="BG54" s="46">
        <f>SUM(BF$54,'Statistics NZ'!BG$54-'Statistics NZ'!BF$54,$I$12/5*(BG$8-BG$9)*1000)</f>
        <v>43909.848792383076</v>
      </c>
      <c r="BH54" s="46">
        <f>SUM(BG$54,'Statistics NZ'!BH$54-'Statistics NZ'!BG$54,$I$12/5*(BH$8-BH$9)*1000)</f>
        <v>44529.848792383076</v>
      </c>
      <c r="BI54" s="46">
        <f>SUM(BH$54,'Statistics NZ'!BI$54-'Statistics NZ'!BH$54,$I$12/5*(BI$8-BI$9)*1000)</f>
        <v>44669.848792383076</v>
      </c>
    </row>
    <row r="55" spans="1:61" x14ac:dyDescent="0.25">
      <c r="A55" s="11">
        <v>40</v>
      </c>
      <c r="B55" s="44">
        <f>'Statistics NZ'!B$55*'Economic Forecasts'!D$9*1000000/SUM('Statistics NZ'!B$30:B$110,'Statistics NZ'!B$130:B$210)</f>
        <v>31328.178696243078</v>
      </c>
      <c r="C55" s="44">
        <f>'Statistics NZ'!C$55*'Economic Forecasts'!E$9*1000000/SUM('Statistics NZ'!C$30:C$110,'Statistics NZ'!C$130:C$210)</f>
        <v>31797.413399908775</v>
      </c>
      <c r="D55" s="44">
        <f>'Statistics NZ'!D$55*'Economic Forecasts'!F$9*1000000/SUM('Statistics NZ'!D$30:D$110,'Statistics NZ'!D$130:D$210)</f>
        <v>32100.661070553826</v>
      </c>
      <c r="E55" s="44">
        <f>'Statistics NZ'!E$55*'Economic Forecasts'!G$9*1000000/SUM('Statistics NZ'!E$30:E$110,'Statistics NZ'!E$130:E$210)</f>
        <v>32657.386283456424</v>
      </c>
      <c r="F55" s="44">
        <f>'Statistics NZ'!F$55*'Economic Forecasts'!H$9*1000000/SUM('Statistics NZ'!F$30:F$110,'Statistics NZ'!F$130:F$210)</f>
        <v>32467.231758222926</v>
      </c>
      <c r="G55" s="44">
        <f>'Statistics NZ'!G$55*'Economic Forecasts'!I$9*1000000/SUM('Statistics NZ'!G$30:G$110,'Statistics NZ'!G$130:G$210)</f>
        <v>33583.032655200012</v>
      </c>
      <c r="H55" s="44">
        <f>'Statistics NZ'!H$55*'Economic Forecasts'!J$9*1000000/SUM('Statistics NZ'!H$30:H$110,'Statistics NZ'!H$130:H$210)</f>
        <v>32963.335115217378</v>
      </c>
      <c r="I55" s="44">
        <f>'Statistics NZ'!I$55*'Economic Forecasts'!K$9*1000000/SUM('Statistics NZ'!I$30:I$110,'Statistics NZ'!I$130:I$210)</f>
        <v>31724.304971825284</v>
      </c>
      <c r="J55" s="44">
        <f>'Statistics NZ'!J$55*'Economic Forecasts'!L$9*1000000/SUM('Statistics NZ'!J$30:J$110,'Statistics NZ'!J$130:J$210)</f>
        <v>30581.902716978202</v>
      </c>
      <c r="K55" s="44">
        <f>'Statistics NZ'!K$55*'Economic Forecasts'!M$9*1000000/SUM('Statistics NZ'!K$30:K$110,'Statistics NZ'!K$130:K$210)</f>
        <v>29529.953265713932</v>
      </c>
      <c r="L55" s="44">
        <f>'Statistics NZ'!L$55*'Economic Forecasts'!N$9*1000000/SUM('Statistics NZ'!L$30:L$110,'Statistics NZ'!L$130:L$210)</f>
        <v>28469.862330486001</v>
      </c>
      <c r="M55" s="44">
        <f>'Statistics NZ'!M$55*'Economic Forecasts'!O$9*1000000/SUM('Statistics NZ'!M$30:M$110,'Statistics NZ'!M$130:M$210)</f>
        <v>29054.712605726992</v>
      </c>
      <c r="N55" s="44">
        <f>'Statistics NZ'!N$55*'Economic Forecasts'!P$9*1000000/SUM('Statistics NZ'!N$30:N$110,'Statistics NZ'!N$130:N$210)</f>
        <v>29227.598668737071</v>
      </c>
      <c r="O55" s="44">
        <f>'Statistics NZ'!O$55*'Economic Forecasts'!Q$9*1000000/SUM('Statistics NZ'!O$30:O$110,'Statistics NZ'!O$130:O$210)</f>
        <v>30599.667639166761</v>
      </c>
      <c r="P55" s="44">
        <f>'Statistics NZ'!P$55*'Economic Forecasts'!R$9*1000000/SUM('Statistics NZ'!P$30:P$110,'Statistics NZ'!P$130:P$210)</f>
        <v>31372.870216772262</v>
      </c>
      <c r="Q55" s="44">
        <f>'Statistics NZ'!Q$55*'Economic Forecasts'!S$9*1000000/SUM('Statistics NZ'!Q$30:Q$110,'Statistics NZ'!Q$130:Q$210)</f>
        <v>32127.321094097326</v>
      </c>
      <c r="R55" s="44">
        <f>'Statistics NZ'!R$55*'Economic Forecasts'!T$9*1000000/SUM('Statistics NZ'!R$30:R$110,'Statistics NZ'!R$130:R$210)</f>
        <v>33060.688476183081</v>
      </c>
      <c r="S55" s="44">
        <f>'Statistics NZ'!S$55*'Economic Forecasts'!U$9*1000000/SUM('Statistics NZ'!S$30:S$110,'Statistics NZ'!S$130:S$210)</f>
        <v>34225.254956100747</v>
      </c>
      <c r="T55" s="44">
        <f>'Statistics NZ'!T$55*'Economic Forecasts'!V$9*1000000/SUM('Statistics NZ'!T$30:T$110,'Statistics NZ'!T$130:T$210)</f>
        <v>35770.789775691184</v>
      </c>
      <c r="U55" s="45">
        <f>SUM('Statistics NZ'!U$55,$J$12/5*(U$8-U$9)*1000)*'Economic Forecasts'!W$9*1000000/SUM('Statistics NZ'!U$30:U$110,'Statistics NZ'!U$130:U$210,SUM($E$12:$T$13)*(U$8-U$9)*1000)</f>
        <v>37072.196382124283</v>
      </c>
      <c r="V55" s="45">
        <f>SUM('Statistics NZ'!V$55,$J$12/5*(V$8-V$9)*1000)*'Economic Forecasts'!X$9*1000000/SUM('Statistics NZ'!V$30:V$110,'Statistics NZ'!V$130:V$210,SUM($E$12:$T$13)*(V$8-V$9)*1000)</f>
        <v>37672.767706624159</v>
      </c>
      <c r="W55" s="45">
        <f>SUM('Statistics NZ'!W$55,$J$12/5*(W$8-W$9)*1000)*'Economic Forecasts'!Y$9*1000000/SUM('Statistics NZ'!W$30:W$110,'Statistics NZ'!W$130:W$210,SUM($E$12:$T$13)*(W$8-W$9)*1000)</f>
        <v>39276.620805069906</v>
      </c>
      <c r="X55" s="45">
        <f>SUM('Statistics NZ'!X$55,$J$12/5*(X$8-X$9)*1000)*'Economic Forecasts'!Z$9*1000000/SUM('Statistics NZ'!X$30:X$110,'Statistics NZ'!X$130:X$210,SUM($E$12:$T$13)*(X$8-X$9)*1000)</f>
        <v>41512.56827171411</v>
      </c>
      <c r="Y55" s="45">
        <f>SUM('Statistics NZ'!Y$55,$J$12/5*(Y$8-Y$9)*1000)*'Economic Forecasts'!AA$9*1000000/SUM('Statistics NZ'!Y$30:Y$110,'Statistics NZ'!Y$130:Y$210,SUM($E$12:$T$13)*(Y$8-Y$9)*1000)</f>
        <v>42508.534324670902</v>
      </c>
      <c r="Z55" s="46">
        <f>SUM(Y$55,'Statistics NZ'!Z$55-'Statistics NZ'!Y$55,$J$12/5*(Z$8-Z$9)*1000)</f>
        <v>44236.874733181037</v>
      </c>
      <c r="AA55" s="46">
        <f>SUM(Z$55,'Statistics NZ'!AA$55-'Statistics NZ'!Z$55,$J$12/5*(AA$8-AA$9)*1000)</f>
        <v>45047.878978287117</v>
      </c>
      <c r="AB55" s="46">
        <f>SUM(AA$55,'Statistics NZ'!AB$55-'Statistics NZ'!AA$55,$J$12/5*(AB$8-AB$9)*1000)</f>
        <v>44643.014292669955</v>
      </c>
      <c r="AC55" s="46">
        <f>SUM(AB$55,'Statistics NZ'!AC$55-'Statistics NZ'!AB$55,$J$12/5*(AC$8-AC$9)*1000)</f>
        <v>44233.014292669955</v>
      </c>
      <c r="AD55" s="46">
        <f>SUM(AC$55,'Statistics NZ'!AD$55-'Statistics NZ'!AC$55,$J$12/5*(AD$8-AD$9)*1000)</f>
        <v>42973.014292669955</v>
      </c>
      <c r="AE55" s="46">
        <f>SUM(AD$55,'Statistics NZ'!AE$55-'Statistics NZ'!AD$55,$J$12/5*(AE$8-AE$9)*1000)</f>
        <v>42693.014292669955</v>
      </c>
      <c r="AF55" s="46">
        <f>SUM(AE$55,'Statistics NZ'!AF$55-'Statistics NZ'!AE$55,$J$12/5*(AF$8-AF$9)*1000)</f>
        <v>41653.014292669955</v>
      </c>
      <c r="AG55" s="46">
        <f>SUM(AF$55,'Statistics NZ'!AG$55-'Statistics NZ'!AF$55,$J$12/5*(AG$8-AG$9)*1000)</f>
        <v>41493.014292669955</v>
      </c>
      <c r="AH55" s="46">
        <f>SUM(AG$55,'Statistics NZ'!AH$55-'Statistics NZ'!AG$55,$J$12/5*(AH$8-AH$9)*1000)</f>
        <v>41173.014292669955</v>
      </c>
      <c r="AI55" s="46">
        <f>SUM(AH$55,'Statistics NZ'!AI$55-'Statistics NZ'!AH$55,$J$12/5*(AI$8-AI$9)*1000)</f>
        <v>40113.014292669955</v>
      </c>
      <c r="AJ55" s="46">
        <f>SUM(AI$55,'Statistics NZ'!AJ$55-'Statistics NZ'!AI$55,$J$12/5*(AJ$8-AJ$9)*1000)</f>
        <v>41663.014292669955</v>
      </c>
      <c r="AK55" s="46">
        <f>SUM(AJ$55,'Statistics NZ'!AK$55-'Statistics NZ'!AJ$55,$J$12/5*(AK$8-AK$9)*1000)</f>
        <v>41343.014292669955</v>
      </c>
      <c r="AL55" s="46">
        <f>SUM(AK$55,'Statistics NZ'!AL$55-'Statistics NZ'!AK$55,$J$12/5*(AL$8-AL$9)*1000)</f>
        <v>40673.014292669955</v>
      </c>
      <c r="AM55" s="46">
        <f>SUM(AL$55,'Statistics NZ'!AM$55-'Statistics NZ'!AL$55,$J$12/5*(AM$8-AM$9)*1000)</f>
        <v>40673.014292669955</v>
      </c>
      <c r="AN55" s="46">
        <f>SUM(AM$55,'Statistics NZ'!AN$55-'Statistics NZ'!AM$55,$J$12/5*(AN$8-AN$9)*1000)</f>
        <v>41613.014292669955</v>
      </c>
      <c r="AO55" s="46">
        <f>SUM(AN$55,'Statistics NZ'!AO$55-'Statistics NZ'!AN$55,$J$12/5*(AO$8-AO$9)*1000)</f>
        <v>41763.014292669955</v>
      </c>
      <c r="AP55" s="46">
        <f>SUM(AO$55,'Statistics NZ'!AP$55-'Statistics NZ'!AO$55,$J$12/5*(AP$8-AP$9)*1000)</f>
        <v>42523.014292669955</v>
      </c>
      <c r="AQ55" s="46">
        <f>SUM(AP$55,'Statistics NZ'!AQ$55-'Statistics NZ'!AP$55,$J$12/5*(AQ$8-AQ$9)*1000)</f>
        <v>44723.014292669955</v>
      </c>
      <c r="AR55" s="46">
        <f>SUM(AQ$55,'Statistics NZ'!AR$55-'Statistics NZ'!AQ$55,$J$12/5*(AR$8-AR$9)*1000)</f>
        <v>45893.014292669955</v>
      </c>
      <c r="AS55" s="46">
        <f>SUM(AR$55,'Statistics NZ'!AS$55-'Statistics NZ'!AR$55,$J$12/5*(AS$8-AS$9)*1000)</f>
        <v>45393.014292669955</v>
      </c>
      <c r="AT55" s="46">
        <f>SUM(AS$55,'Statistics NZ'!AT$55-'Statistics NZ'!AS$55,$J$12/5*(AT$8-AT$9)*1000)</f>
        <v>46473.014292669955</v>
      </c>
      <c r="AU55" s="46">
        <f>SUM(AT$55,'Statistics NZ'!AU$55-'Statistics NZ'!AT$55,$J$12/5*(AU$8-AU$9)*1000)</f>
        <v>46583.014292669955</v>
      </c>
      <c r="AV55" s="46">
        <f>SUM(AU$55,'Statistics NZ'!AV$55-'Statistics NZ'!AU$55,$J$12/5*(AV$8-AV$9)*1000)</f>
        <v>46763.014292669955</v>
      </c>
      <c r="AW55" s="46">
        <f>SUM(AV$55,'Statistics NZ'!AW$55-'Statistics NZ'!AV$55,$J$12/5*(AW$8-AW$9)*1000)</f>
        <v>46863.014292669955</v>
      </c>
      <c r="AX55" s="46">
        <f>SUM(AW$55,'Statistics NZ'!AX$55-'Statistics NZ'!AW$55,$J$12/5*(AX$8-AX$9)*1000)</f>
        <v>46113.014292669955</v>
      </c>
      <c r="AY55" s="46">
        <f>SUM(AX$55,'Statistics NZ'!AY$55-'Statistics NZ'!AX$55,$J$12/5*(AY$8-AY$9)*1000)</f>
        <v>46283.014292669955</v>
      </c>
      <c r="AZ55" s="46">
        <f>SUM(AY$55,'Statistics NZ'!AZ$55-'Statistics NZ'!AY$55,$J$12/5*(AZ$8-AZ$9)*1000)</f>
        <v>45943.014292669955</v>
      </c>
      <c r="BA55" s="46">
        <f>SUM(AZ$55,'Statistics NZ'!BA$55-'Statistics NZ'!AZ$55,$J$12/5*(BA$8-BA$9)*1000)</f>
        <v>46523.014292669955</v>
      </c>
      <c r="BB55" s="46">
        <f>SUM(BA$55,'Statistics NZ'!BB$55-'Statistics NZ'!BA$55,$J$12/5*(BB$8-BB$9)*1000)</f>
        <v>46013.014292669955</v>
      </c>
      <c r="BC55" s="46">
        <f>SUM(BB$55,'Statistics NZ'!BC$55-'Statistics NZ'!BB$55,$J$12/5*(BC$8-BC$9)*1000)</f>
        <v>46153.014292669955</v>
      </c>
      <c r="BD55" s="46">
        <f>SUM(BC$55,'Statistics NZ'!BD$55-'Statistics NZ'!BC$55,$J$12/5*(BD$8-BD$9)*1000)</f>
        <v>45923.014292669955</v>
      </c>
      <c r="BE55" s="46">
        <f>SUM(BD$55,'Statistics NZ'!BE$55-'Statistics NZ'!BD$55,$J$12/5*(BE$8-BE$9)*1000)</f>
        <v>46173.014292669955</v>
      </c>
      <c r="BF55" s="46">
        <f>SUM(BE$55,'Statistics NZ'!BF$55-'Statistics NZ'!BE$55,$J$12/5*(BF$8-BF$9)*1000)</f>
        <v>46573.014292669955</v>
      </c>
      <c r="BG55" s="46">
        <f>SUM(BF$55,'Statistics NZ'!BG$55-'Statistics NZ'!BF$55,$J$12/5*(BG$8-BG$9)*1000)</f>
        <v>44103.014292669955</v>
      </c>
      <c r="BH55" s="46">
        <f>SUM(BG$55,'Statistics NZ'!BH$55-'Statistics NZ'!BG$55,$J$12/5*(BH$8-BH$9)*1000)</f>
        <v>44343.014292669955</v>
      </c>
      <c r="BI55" s="46">
        <f>SUM(BH$55,'Statistics NZ'!BI$55-'Statistics NZ'!BH$55,$J$12/5*(BI$8-BI$9)*1000)</f>
        <v>44973.014292669955</v>
      </c>
    </row>
    <row r="56" spans="1:61" x14ac:dyDescent="0.25">
      <c r="A56" s="11">
        <v>41</v>
      </c>
      <c r="B56" s="44">
        <f>'Statistics NZ'!B$56*'Economic Forecasts'!D$9*1000000/SUM('Statistics NZ'!B$30:B$110,'Statistics NZ'!B$130:B$210)</f>
        <v>31719.536331424133</v>
      </c>
      <c r="C56" s="44">
        <f>'Statistics NZ'!C$56*'Economic Forecasts'!E$9*1000000/SUM('Statistics NZ'!C$30:C$110,'Statistics NZ'!C$130:C$210)</f>
        <v>31532.271286938565</v>
      </c>
      <c r="D56" s="44">
        <f>'Statistics NZ'!D$56*'Economic Forecasts'!F$9*1000000/SUM('Statistics NZ'!D$30:D$110,'Statistics NZ'!D$130:D$210)</f>
        <v>31864.915701614624</v>
      </c>
      <c r="E56" s="44">
        <f>'Statistics NZ'!E$56*'Economic Forecasts'!G$9*1000000/SUM('Statistics NZ'!E$30:E$110,'Statistics NZ'!E$130:E$210)</f>
        <v>32108.193000611507</v>
      </c>
      <c r="F56" s="44">
        <f>'Statistics NZ'!F$56*'Economic Forecasts'!H$9*1000000/SUM('Statistics NZ'!F$30:F$110,'Statistics NZ'!F$130:F$210)</f>
        <v>32732.070204589094</v>
      </c>
      <c r="G56" s="44">
        <f>'Statistics NZ'!G$56*'Economic Forecasts'!I$9*1000000/SUM('Statistics NZ'!G$30:G$110,'Statistics NZ'!G$130:G$210)</f>
        <v>32512.383178915483</v>
      </c>
      <c r="H56" s="44">
        <f>'Statistics NZ'!H$56*'Economic Forecasts'!J$9*1000000/SUM('Statistics NZ'!H$30:H$110,'Statistics NZ'!H$130:H$210)</f>
        <v>33592.143892378015</v>
      </c>
      <c r="I56" s="44">
        <f>'Statistics NZ'!I$56*'Economic Forecasts'!K$9*1000000/SUM('Statistics NZ'!I$30:I$110,'Statistics NZ'!I$130:I$210)</f>
        <v>32890.928053298463</v>
      </c>
      <c r="J56" s="44">
        <f>'Statistics NZ'!J$56*'Economic Forecasts'!L$9*1000000/SUM('Statistics NZ'!J$30:J$110,'Statistics NZ'!J$130:J$210)</f>
        <v>31674.113528298851</v>
      </c>
      <c r="K56" s="44">
        <f>'Statistics NZ'!K$56*'Economic Forecasts'!M$9*1000000/SUM('Statistics NZ'!K$30:K$110,'Statistics NZ'!K$130:K$210)</f>
        <v>30863.81531563243</v>
      </c>
      <c r="L56" s="44">
        <f>'Statistics NZ'!L$56*'Economic Forecasts'!N$9*1000000/SUM('Statistics NZ'!L$30:L$110,'Statistics NZ'!L$130:L$210)</f>
        <v>29940.091199126007</v>
      </c>
      <c r="M56" s="44">
        <f>'Statistics NZ'!M$56*'Economic Forecasts'!O$9*1000000/SUM('Statistics NZ'!M$30:M$110,'Statistics NZ'!M$130:M$210)</f>
        <v>28947.2472934664</v>
      </c>
      <c r="N56" s="44">
        <f>'Statistics NZ'!N$56*'Economic Forecasts'!P$9*1000000/SUM('Statistics NZ'!N$30:N$110,'Statistics NZ'!N$130:N$210)</f>
        <v>29442.867222708352</v>
      </c>
      <c r="O56" s="44">
        <f>'Statistics NZ'!O$56*'Economic Forecasts'!Q$9*1000000/SUM('Statistics NZ'!O$30:O$110,'Statistics NZ'!O$130:O$210)</f>
        <v>29704.883013471328</v>
      </c>
      <c r="P56" s="44">
        <f>'Statistics NZ'!P$56*'Economic Forecasts'!R$9*1000000/SUM('Statistics NZ'!P$30:P$110,'Statistics NZ'!P$130:P$210)</f>
        <v>31028.977182764422</v>
      </c>
      <c r="Q56" s="44">
        <f>'Statistics NZ'!Q$56*'Economic Forecasts'!S$9*1000000/SUM('Statistics NZ'!Q$30:Q$110,'Statistics NZ'!Q$130:Q$210)</f>
        <v>31769.688577279918</v>
      </c>
      <c r="R56" s="44">
        <f>'Statistics NZ'!R$56*'Economic Forecasts'!T$9*1000000/SUM('Statistics NZ'!R$30:R$110,'Statistics NZ'!R$130:R$210)</f>
        <v>32084.800683813821</v>
      </c>
      <c r="S56" s="44">
        <f>'Statistics NZ'!S$56*'Economic Forecasts'!U$9*1000000/SUM('Statistics NZ'!S$30:S$110,'Statistics NZ'!S$130:S$210)</f>
        <v>33498.312112601474</v>
      </c>
      <c r="T56" s="44">
        <f>'Statistics NZ'!T$56*'Economic Forecasts'!V$9*1000000/SUM('Statistics NZ'!T$30:T$110,'Statistics NZ'!T$130:T$210)</f>
        <v>35354.504607894276</v>
      </c>
      <c r="U56" s="45">
        <f>SUM('Statistics NZ'!U$56,$J$12/5*(U$8-U$9)*1000)*'Economic Forecasts'!W$9*1000000/SUM('Statistics NZ'!U$30:U$110,'Statistics NZ'!U$130:U$210,SUM($E$12:$T$13)*(U$8-U$9)*1000)</f>
        <v>36032.17681699738</v>
      </c>
      <c r="V56" s="45">
        <f>SUM('Statistics NZ'!V$56,$J$12/5*(V$8-V$9)*1000)*'Economic Forecasts'!X$9*1000000/SUM('Statistics NZ'!V$30:V$110,'Statistics NZ'!V$130:V$210,SUM($E$12:$T$13)*(V$8-V$9)*1000)</f>
        <v>37326.239074514924</v>
      </c>
      <c r="W56" s="45">
        <f>SUM('Statistics NZ'!W$56,$J$12/5*(W$8-W$9)*1000)*'Economic Forecasts'!Y$9*1000000/SUM('Statistics NZ'!W$30:W$110,'Statistics NZ'!W$130:W$210,SUM($E$12:$T$13)*(W$8-W$9)*1000)</f>
        <v>37969.425377957763</v>
      </c>
      <c r="X56" s="45">
        <f>SUM('Statistics NZ'!X$56,$J$12/5*(X$8-X$9)*1000)*'Economic Forecasts'!Z$9*1000000/SUM('Statistics NZ'!X$30:X$110,'Statistics NZ'!X$130:X$210,SUM($E$12:$T$13)*(X$8-X$9)*1000)</f>
        <v>39590.947614867357</v>
      </c>
      <c r="Y56" s="45">
        <f>SUM('Statistics NZ'!Y$56,$J$12/5*(Y$8-Y$9)*1000)*'Economic Forecasts'!AA$9*1000000/SUM('Statistics NZ'!Y$30:Y$110,'Statistics NZ'!Y$130:Y$210,SUM($E$12:$T$13)*(Y$8-Y$9)*1000)</f>
        <v>41844.637982489156</v>
      </c>
      <c r="Z56" s="46">
        <f>SUM(Y$56,'Statistics NZ'!Z$56-'Statistics NZ'!Y$56,$J$12/5*(Z$8-Z$9)*1000)</f>
        <v>42862.978390999291</v>
      </c>
      <c r="AA56" s="46">
        <f>SUM(Z$56,'Statistics NZ'!AA$56-'Statistics NZ'!Z$56,$J$12/5*(AA$8-AA$9)*1000)</f>
        <v>44593.982636105371</v>
      </c>
      <c r="AB56" s="46">
        <f>SUM(AA$56,'Statistics NZ'!AB$56-'Statistics NZ'!AA$56,$J$12/5*(AB$8-AB$9)*1000)</f>
        <v>45399.117950488209</v>
      </c>
      <c r="AC56" s="46">
        <f>SUM(AB$56,'Statistics NZ'!AC$56-'Statistics NZ'!AB$56,$J$12/5*(AC$8-AC$9)*1000)</f>
        <v>44989.117950488209</v>
      </c>
      <c r="AD56" s="46">
        <f>SUM(AC$56,'Statistics NZ'!AD$56-'Statistics NZ'!AC$56,$J$12/5*(AD$8-AD$9)*1000)</f>
        <v>44579.117950488209</v>
      </c>
      <c r="AE56" s="46">
        <f>SUM(AD$56,'Statistics NZ'!AE$56-'Statistics NZ'!AD$56,$J$12/5*(AE$8-AE$9)*1000)</f>
        <v>43319.117950488209</v>
      </c>
      <c r="AF56" s="46">
        <f>SUM(AE$56,'Statistics NZ'!AF$56-'Statistics NZ'!AE$56,$J$12/5*(AF$8-AF$9)*1000)</f>
        <v>43049.117950488209</v>
      </c>
      <c r="AG56" s="46">
        <f>SUM(AF$56,'Statistics NZ'!AG$56-'Statistics NZ'!AF$56,$J$12/5*(AG$8-AG$9)*1000)</f>
        <v>42019.117950488209</v>
      </c>
      <c r="AH56" s="46">
        <f>SUM(AG$56,'Statistics NZ'!AH$56-'Statistics NZ'!AG$56,$J$12/5*(AH$8-AH$9)*1000)</f>
        <v>41859.117950488209</v>
      </c>
      <c r="AI56" s="46">
        <f>SUM(AH$56,'Statistics NZ'!AI$56-'Statistics NZ'!AH$56,$J$12/5*(AI$8-AI$9)*1000)</f>
        <v>41539.117950488209</v>
      </c>
      <c r="AJ56" s="46">
        <f>SUM(AI$56,'Statistics NZ'!AJ$56-'Statistics NZ'!AI$56,$J$12/5*(AJ$8-AJ$9)*1000)</f>
        <v>40479.117950488209</v>
      </c>
      <c r="AK56" s="46">
        <f>SUM(AJ$56,'Statistics NZ'!AK$56-'Statistics NZ'!AJ$56,$J$12/5*(AK$8-AK$9)*1000)</f>
        <v>42029.117950488209</v>
      </c>
      <c r="AL56" s="46">
        <f>SUM(AK$56,'Statistics NZ'!AL$56-'Statistics NZ'!AK$56,$J$12/5*(AL$8-AL$9)*1000)</f>
        <v>41709.117950488209</v>
      </c>
      <c r="AM56" s="46">
        <f>SUM(AL$56,'Statistics NZ'!AM$56-'Statistics NZ'!AL$56,$J$12/5*(AM$8-AM$9)*1000)</f>
        <v>41049.117950488209</v>
      </c>
      <c r="AN56" s="46">
        <f>SUM(AM$56,'Statistics NZ'!AN$56-'Statistics NZ'!AM$56,$J$12/5*(AN$8-AN$9)*1000)</f>
        <v>41049.117950488209</v>
      </c>
      <c r="AO56" s="46">
        <f>SUM(AN$56,'Statistics NZ'!AO$56-'Statistics NZ'!AN$56,$J$12/5*(AO$8-AO$9)*1000)</f>
        <v>41999.117950488209</v>
      </c>
      <c r="AP56" s="46">
        <f>SUM(AO$56,'Statistics NZ'!AP$56-'Statistics NZ'!AO$56,$J$12/5*(AP$8-AP$9)*1000)</f>
        <v>42149.117950488209</v>
      </c>
      <c r="AQ56" s="46">
        <f>SUM(AP$56,'Statistics NZ'!AQ$56-'Statistics NZ'!AP$56,$J$12/5*(AQ$8-AQ$9)*1000)</f>
        <v>42909.117950488209</v>
      </c>
      <c r="AR56" s="46">
        <f>SUM(AQ$56,'Statistics NZ'!AR$56-'Statistics NZ'!AQ$56,$J$12/5*(AR$8-AR$9)*1000)</f>
        <v>45109.117950488209</v>
      </c>
      <c r="AS56" s="46">
        <f>SUM(AR$56,'Statistics NZ'!AS$56-'Statistics NZ'!AR$56,$J$12/5*(AS$8-AS$9)*1000)</f>
        <v>46279.117950488209</v>
      </c>
      <c r="AT56" s="46">
        <f>SUM(AS$56,'Statistics NZ'!AT$56-'Statistics NZ'!AS$56,$J$12/5*(AT$8-AT$9)*1000)</f>
        <v>45779.117950488209</v>
      </c>
      <c r="AU56" s="46">
        <f>SUM(AT$56,'Statistics NZ'!AU$56-'Statistics NZ'!AT$56,$J$12/5*(AU$8-AU$9)*1000)</f>
        <v>46869.117950488209</v>
      </c>
      <c r="AV56" s="46">
        <f>SUM(AU$56,'Statistics NZ'!AV$56-'Statistics NZ'!AU$56,$J$12/5*(AV$8-AV$9)*1000)</f>
        <v>46979.117950488209</v>
      </c>
      <c r="AW56" s="46">
        <f>SUM(AV$56,'Statistics NZ'!AW$56-'Statistics NZ'!AV$56,$J$12/5*(AW$8-AW$9)*1000)</f>
        <v>47169.117950488209</v>
      </c>
      <c r="AX56" s="46">
        <f>SUM(AW$56,'Statistics NZ'!AX$56-'Statistics NZ'!AW$56,$J$12/5*(AX$8-AX$9)*1000)</f>
        <v>47259.117950488209</v>
      </c>
      <c r="AY56" s="46">
        <f>SUM(AX$56,'Statistics NZ'!AY$56-'Statistics NZ'!AX$56,$J$12/5*(AY$8-AY$9)*1000)</f>
        <v>46519.117950488209</v>
      </c>
      <c r="AZ56" s="46">
        <f>SUM(AY$56,'Statistics NZ'!AZ$56-'Statistics NZ'!AY$56,$J$12/5*(AZ$8-AZ$9)*1000)</f>
        <v>46689.117950488209</v>
      </c>
      <c r="BA56" s="46">
        <f>SUM(AZ$56,'Statistics NZ'!BA$56-'Statistics NZ'!AZ$56,$J$12/5*(BA$8-BA$9)*1000)</f>
        <v>46359.117950488209</v>
      </c>
      <c r="BB56" s="46">
        <f>SUM(BA$56,'Statistics NZ'!BB$56-'Statistics NZ'!BA$56,$J$12/5*(BB$8-BB$9)*1000)</f>
        <v>46929.117950488209</v>
      </c>
      <c r="BC56" s="46">
        <f>SUM(BB$56,'Statistics NZ'!BC$56-'Statistics NZ'!BB$56,$J$12/5*(BC$8-BC$9)*1000)</f>
        <v>46429.117950488209</v>
      </c>
      <c r="BD56" s="46">
        <f>SUM(BC$56,'Statistics NZ'!BD$56-'Statistics NZ'!BC$56,$J$12/5*(BD$8-BD$9)*1000)</f>
        <v>46559.117950488209</v>
      </c>
      <c r="BE56" s="46">
        <f>SUM(BD$56,'Statistics NZ'!BE$56-'Statistics NZ'!BD$56,$J$12/5*(BE$8-BE$9)*1000)</f>
        <v>46339.117950488209</v>
      </c>
      <c r="BF56" s="46">
        <f>SUM(BE$56,'Statistics NZ'!BF$56-'Statistics NZ'!BE$56,$J$12/5*(BF$8-BF$9)*1000)</f>
        <v>46599.117950488209</v>
      </c>
      <c r="BG56" s="46">
        <f>SUM(BF$56,'Statistics NZ'!BG$56-'Statistics NZ'!BF$56,$J$12/5*(BG$8-BG$9)*1000)</f>
        <v>46999.117950488209</v>
      </c>
      <c r="BH56" s="46">
        <f>SUM(BG$56,'Statistics NZ'!BH$56-'Statistics NZ'!BG$56,$J$12/5*(BH$8-BH$9)*1000)</f>
        <v>44529.117950488209</v>
      </c>
      <c r="BI56" s="46">
        <f>SUM(BH$56,'Statistics NZ'!BI$56-'Statistics NZ'!BH$56,$J$12/5*(BI$8-BI$9)*1000)</f>
        <v>44779.117950488209</v>
      </c>
    </row>
    <row r="57" spans="1:61" x14ac:dyDescent="0.25">
      <c r="A57" s="11">
        <v>42</v>
      </c>
      <c r="B57" s="44">
        <f>'Statistics NZ'!B$57*'Economic Forecasts'!D$9*1000000/SUM('Statistics NZ'!B$30:B$110,'Statistics NZ'!B$130:B$210)</f>
        <v>32785.985887292496</v>
      </c>
      <c r="C57" s="44">
        <f>'Statistics NZ'!C$57*'Economic Forecasts'!E$9*1000000/SUM('Statistics NZ'!C$30:C$110,'Statistics NZ'!C$130:C$210)</f>
        <v>31925.074417264805</v>
      </c>
      <c r="D57" s="44">
        <f>'Statistics NZ'!D$57*'Economic Forecasts'!F$9*1000000/SUM('Statistics NZ'!D$30:D$110,'Statistics NZ'!D$130:D$210)</f>
        <v>31589.879437852229</v>
      </c>
      <c r="E57" s="44">
        <f>'Statistics NZ'!E$57*'Economic Forecasts'!G$9*1000000/SUM('Statistics NZ'!E$30:E$110,'Statistics NZ'!E$130:E$210)</f>
        <v>31833.596359189054</v>
      </c>
      <c r="F57" s="44">
        <f>'Statistics NZ'!F$57*'Economic Forecasts'!H$9*1000000/SUM('Statistics NZ'!F$30:F$110,'Statistics NZ'!F$130:F$210)</f>
        <v>32172.966817816072</v>
      </c>
      <c r="G57" s="44">
        <f>'Statistics NZ'!G$57*'Economic Forecasts'!I$9*1000000/SUM('Statistics NZ'!G$30:G$110,'Statistics NZ'!G$130:G$210)</f>
        <v>32767.767457662252</v>
      </c>
      <c r="H57" s="44">
        <f>'Statistics NZ'!H$57*'Economic Forecasts'!J$9*1000000/SUM('Statistics NZ'!H$30:H$110,'Statistics NZ'!H$130:H$210)</f>
        <v>32472.078258060639</v>
      </c>
      <c r="I57" s="44">
        <f>'Statistics NZ'!I$57*'Economic Forecasts'!K$9*1000000/SUM('Statistics NZ'!I$30:I$110,'Statistics NZ'!I$130:I$210)</f>
        <v>33567.373369446781</v>
      </c>
      <c r="J57" s="44">
        <f>'Statistics NZ'!J$57*'Economic Forecasts'!L$9*1000000/SUM('Statistics NZ'!J$30:J$110,'Statistics NZ'!J$130:J$210)</f>
        <v>32932.106337766389</v>
      </c>
      <c r="K57" s="44">
        <f>'Statistics NZ'!K$57*'Economic Forecasts'!M$9*1000000/SUM('Statistics NZ'!K$30:K$110,'Statistics NZ'!K$130:K$210)</f>
        <v>31847.17346922198</v>
      </c>
      <c r="L57" s="44">
        <f>'Statistics NZ'!L$57*'Economic Forecasts'!N$9*1000000/SUM('Statistics NZ'!L$30:L$110,'Statistics NZ'!L$130:L$210)</f>
        <v>31225.324382307997</v>
      </c>
      <c r="M57" s="44">
        <f>'Statistics NZ'!M$57*'Economic Forecasts'!O$9*1000000/SUM('Statistics NZ'!M$30:M$110,'Statistics NZ'!M$130:M$210)</f>
        <v>30393.144222063442</v>
      </c>
      <c r="N57" s="44">
        <f>'Statistics NZ'!N$57*'Economic Forecasts'!P$9*1000000/SUM('Statistics NZ'!N$30:N$110,'Statistics NZ'!N$130:N$210)</f>
        <v>29276.52334009418</v>
      </c>
      <c r="O57" s="44">
        <f>'Statistics NZ'!O$57*'Economic Forecasts'!Q$9*1000000/SUM('Statistics NZ'!O$30:O$110,'Statistics NZ'!O$130:O$210)</f>
        <v>29891.706177078064</v>
      </c>
      <c r="P57" s="44">
        <f>'Statistics NZ'!P$57*'Economic Forecasts'!R$9*1000000/SUM('Statistics NZ'!P$30:P$110,'Statistics NZ'!P$130:P$210)</f>
        <v>30056.251172285109</v>
      </c>
      <c r="Q57" s="44">
        <f>'Statistics NZ'!Q$57*'Economic Forecasts'!S$9*1000000/SUM('Statistics NZ'!Q$30:Q$110,'Statistics NZ'!Q$130:Q$210)</f>
        <v>31382.253350727722</v>
      </c>
      <c r="R57" s="44">
        <f>'Statistics NZ'!R$57*'Economic Forecasts'!T$9*1000000/SUM('Statistics NZ'!R$30:R$110,'Statistics NZ'!R$130:R$210)</f>
        <v>31706.395213303291</v>
      </c>
      <c r="S57" s="44">
        <f>'Statistics NZ'!S$57*'Economic Forecasts'!U$9*1000000/SUM('Statistics NZ'!S$30:S$110,'Statistics NZ'!S$130:S$210)</f>
        <v>32496.309814805183</v>
      </c>
      <c r="T57" s="44">
        <f>'Statistics NZ'!T$57*'Economic Forecasts'!V$9*1000000/SUM('Statistics NZ'!T$30:T$110,'Statistics NZ'!T$130:T$210)</f>
        <v>34502.111169072043</v>
      </c>
      <c r="U57" s="45">
        <f>SUM('Statistics NZ'!U$57,$J$12/5*(U$8-U$9)*1000)*'Economic Forecasts'!W$9*1000000/SUM('Statistics NZ'!U$30:U$110,'Statistics NZ'!U$130:U$210,SUM($E$12:$T$13)*(U$8-U$9)*1000)</f>
        <v>35586.454146228702</v>
      </c>
      <c r="V57" s="45">
        <f>SUM('Statistics NZ'!V$57,$J$12/5*(V$8-V$9)*1000)*'Economic Forecasts'!X$9*1000000/SUM('Statistics NZ'!V$30:V$110,'Statistics NZ'!V$130:V$210,SUM($E$12:$T$13)*(V$8-V$9)*1000)</f>
        <v>36256.950724006419</v>
      </c>
      <c r="W57" s="45">
        <f>SUM('Statistics NZ'!W$57,$J$12/5*(W$8-W$9)*1000)*'Economic Forecasts'!Y$9*1000000/SUM('Statistics NZ'!W$30:W$110,'Statistics NZ'!W$130:W$210,SUM($E$12:$T$13)*(W$8-W$9)*1000)</f>
        <v>37583.208547220085</v>
      </c>
      <c r="X57" s="45">
        <f>SUM('Statistics NZ'!X$57,$J$12/5*(X$8-X$9)*1000)*'Economic Forecasts'!Z$9*1000000/SUM('Statistics NZ'!X$30:X$110,'Statistics NZ'!X$130:X$210,SUM($E$12:$T$13)*(X$8-X$9)*1000)</f>
        <v>38233.926841733308</v>
      </c>
      <c r="Y57" s="45">
        <f>SUM('Statistics NZ'!Y$57,$J$12/5*(Y$8-Y$9)*1000)*'Economic Forecasts'!AA$9*1000000/SUM('Statistics NZ'!Y$30:Y$110,'Statistics NZ'!Y$130:Y$210,SUM($E$12:$T$13)*(Y$8-Y$9)*1000)</f>
        <v>39872.766757203106</v>
      </c>
      <c r="Z57" s="46">
        <f>SUM(Y$57,'Statistics NZ'!Z$57-'Statistics NZ'!Y$57,$J$12/5*(Z$8-Z$9)*1000)</f>
        <v>42171.107165713242</v>
      </c>
      <c r="AA57" s="46">
        <f>SUM(Z$57,'Statistics NZ'!AA$57-'Statistics NZ'!Z$57,$J$12/5*(AA$8-AA$9)*1000)</f>
        <v>43182.111410819321</v>
      </c>
      <c r="AB57" s="46">
        <f>SUM(AA$57,'Statistics NZ'!AB$57-'Statistics NZ'!AA$57,$J$12/5*(AB$8-AB$9)*1000)</f>
        <v>44907.24672520216</v>
      </c>
      <c r="AC57" s="46">
        <f>SUM(AB$57,'Statistics NZ'!AC$57-'Statistics NZ'!AB$57,$J$12/5*(AC$8-AC$9)*1000)</f>
        <v>45707.24672520216</v>
      </c>
      <c r="AD57" s="46">
        <f>SUM(AC$57,'Statistics NZ'!AD$57-'Statistics NZ'!AC$57,$J$12/5*(AD$8-AD$9)*1000)</f>
        <v>45307.24672520216</v>
      </c>
      <c r="AE57" s="46">
        <f>SUM(AD$57,'Statistics NZ'!AE$57-'Statistics NZ'!AD$57,$J$12/5*(AE$8-AE$9)*1000)</f>
        <v>44907.24672520216</v>
      </c>
      <c r="AF57" s="46">
        <f>SUM(AE$57,'Statistics NZ'!AF$57-'Statistics NZ'!AE$57,$J$12/5*(AF$8-AF$9)*1000)</f>
        <v>43647.24672520216</v>
      </c>
      <c r="AG57" s="46">
        <f>SUM(AF$57,'Statistics NZ'!AG$57-'Statistics NZ'!AF$57,$J$12/5*(AG$8-AG$9)*1000)</f>
        <v>43377.24672520216</v>
      </c>
      <c r="AH57" s="46">
        <f>SUM(AG$57,'Statistics NZ'!AH$57-'Statistics NZ'!AG$57,$J$12/5*(AH$8-AH$9)*1000)</f>
        <v>42347.24672520216</v>
      </c>
      <c r="AI57" s="46">
        <f>SUM(AH$57,'Statistics NZ'!AI$57-'Statistics NZ'!AH$57,$J$12/5*(AI$8-AI$9)*1000)</f>
        <v>42187.24672520216</v>
      </c>
      <c r="AJ57" s="46">
        <f>SUM(AI$57,'Statistics NZ'!AJ$57-'Statistics NZ'!AI$57,$J$12/5*(AJ$8-AJ$9)*1000)</f>
        <v>41877.24672520216</v>
      </c>
      <c r="AK57" s="46">
        <f>SUM(AJ$57,'Statistics NZ'!AK$57-'Statistics NZ'!AJ$57,$J$12/5*(AK$8-AK$9)*1000)</f>
        <v>40817.24672520216</v>
      </c>
      <c r="AL57" s="46">
        <f>SUM(AK$57,'Statistics NZ'!AL$57-'Statistics NZ'!AK$57,$J$12/5*(AL$8-AL$9)*1000)</f>
        <v>42367.24672520216</v>
      </c>
      <c r="AM57" s="46">
        <f>SUM(AL$57,'Statistics NZ'!AM$57-'Statistics NZ'!AL$57,$J$12/5*(AM$8-AM$9)*1000)</f>
        <v>42057.24672520216</v>
      </c>
      <c r="AN57" s="46">
        <f>SUM(AM$57,'Statistics NZ'!AN$57-'Statistics NZ'!AM$57,$J$12/5*(AN$8-AN$9)*1000)</f>
        <v>41397.24672520216</v>
      </c>
      <c r="AO57" s="46">
        <f>SUM(AN$57,'Statistics NZ'!AO$57-'Statistics NZ'!AN$57,$J$12/5*(AO$8-AO$9)*1000)</f>
        <v>41397.24672520216</v>
      </c>
      <c r="AP57" s="46">
        <f>SUM(AO$57,'Statistics NZ'!AP$57-'Statistics NZ'!AO$57,$J$12/5*(AP$8-AP$9)*1000)</f>
        <v>42347.24672520216</v>
      </c>
      <c r="AQ57" s="46">
        <f>SUM(AP$57,'Statistics NZ'!AQ$57-'Statistics NZ'!AP$57,$J$12/5*(AQ$8-AQ$9)*1000)</f>
        <v>42497.24672520216</v>
      </c>
      <c r="AR57" s="46">
        <f>SUM(AQ$57,'Statistics NZ'!AR$57-'Statistics NZ'!AQ$57,$J$12/5*(AR$8-AR$9)*1000)</f>
        <v>43257.24672520216</v>
      </c>
      <c r="AS57" s="46">
        <f>SUM(AR$57,'Statistics NZ'!AS$57-'Statistics NZ'!AR$57,$J$12/5*(AS$8-AS$9)*1000)</f>
        <v>45457.24672520216</v>
      </c>
      <c r="AT57" s="46">
        <f>SUM(AS$57,'Statistics NZ'!AT$57-'Statistics NZ'!AS$57,$J$12/5*(AT$8-AT$9)*1000)</f>
        <v>46637.24672520216</v>
      </c>
      <c r="AU57" s="46">
        <f>SUM(AT$57,'Statistics NZ'!AU$57-'Statistics NZ'!AT$57,$J$12/5*(AU$8-AU$9)*1000)</f>
        <v>46137.24672520216</v>
      </c>
      <c r="AV57" s="46">
        <f>SUM(AU$57,'Statistics NZ'!AV$57-'Statistics NZ'!AU$57,$J$12/5*(AV$8-AV$9)*1000)</f>
        <v>47227.24672520216</v>
      </c>
      <c r="AW57" s="46">
        <f>SUM(AV$57,'Statistics NZ'!AW$57-'Statistics NZ'!AV$57,$J$12/5*(AW$8-AW$9)*1000)</f>
        <v>47347.24672520216</v>
      </c>
      <c r="AX57" s="46">
        <f>SUM(AW$57,'Statistics NZ'!AX$57-'Statistics NZ'!AW$57,$J$12/5*(AX$8-AX$9)*1000)</f>
        <v>47527.24672520216</v>
      </c>
      <c r="AY57" s="46">
        <f>SUM(AX$57,'Statistics NZ'!AY$57-'Statistics NZ'!AX$57,$J$12/5*(AY$8-AY$9)*1000)</f>
        <v>47627.24672520216</v>
      </c>
      <c r="AZ57" s="46">
        <f>SUM(AY$57,'Statistics NZ'!AZ$57-'Statistics NZ'!AY$57,$J$12/5*(AZ$8-AZ$9)*1000)</f>
        <v>46887.24672520216</v>
      </c>
      <c r="BA57" s="46">
        <f>SUM(AZ$57,'Statistics NZ'!BA$57-'Statistics NZ'!AZ$57,$J$12/5*(BA$8-BA$9)*1000)</f>
        <v>47057.24672520216</v>
      </c>
      <c r="BB57" s="46">
        <f>SUM(BA$57,'Statistics NZ'!BB$57-'Statistics NZ'!BA$57,$J$12/5*(BB$8-BB$9)*1000)</f>
        <v>46727.24672520216</v>
      </c>
      <c r="BC57" s="46">
        <f>SUM(BB$57,'Statistics NZ'!BC$57-'Statistics NZ'!BB$57,$J$12/5*(BC$8-BC$9)*1000)</f>
        <v>47307.24672520216</v>
      </c>
      <c r="BD57" s="46">
        <f>SUM(BC$57,'Statistics NZ'!BD$57-'Statistics NZ'!BC$57,$J$12/5*(BD$8-BD$9)*1000)</f>
        <v>46807.24672520216</v>
      </c>
      <c r="BE57" s="46">
        <f>SUM(BD$57,'Statistics NZ'!BE$57-'Statistics NZ'!BD$57,$J$12/5*(BE$8-BE$9)*1000)</f>
        <v>46947.24672520216</v>
      </c>
      <c r="BF57" s="46">
        <f>SUM(BE$57,'Statistics NZ'!BF$57-'Statistics NZ'!BE$57,$J$12/5*(BF$8-BF$9)*1000)</f>
        <v>46727.24672520216</v>
      </c>
      <c r="BG57" s="46">
        <f>SUM(BF$57,'Statistics NZ'!BG$57-'Statistics NZ'!BF$57,$J$12/5*(BG$8-BG$9)*1000)</f>
        <v>46987.24672520216</v>
      </c>
      <c r="BH57" s="46">
        <f>SUM(BG$57,'Statistics NZ'!BH$57-'Statistics NZ'!BG$57,$J$12/5*(BH$8-BH$9)*1000)</f>
        <v>47387.24672520216</v>
      </c>
      <c r="BI57" s="46">
        <f>SUM(BH$57,'Statistics NZ'!BI$57-'Statistics NZ'!BH$57,$J$12/5*(BI$8-BI$9)*1000)</f>
        <v>44917.24672520216</v>
      </c>
    </row>
    <row r="58" spans="1:61" x14ac:dyDescent="0.25">
      <c r="A58" s="11">
        <v>43</v>
      </c>
      <c r="B58" s="44">
        <f>'Statistics NZ'!B$58*'Economic Forecasts'!D$9*1000000/SUM('Statistics NZ'!B$30:B$110,'Statistics NZ'!B$130:B$210)</f>
        <v>33676.324507329387</v>
      </c>
      <c r="C58" s="44">
        <f>'Statistics NZ'!C$58*'Economic Forecasts'!E$9*1000000/SUM('Statistics NZ'!C$30:C$110,'Statistics NZ'!C$130:C$210)</f>
        <v>33005.283025661956</v>
      </c>
      <c r="D58" s="44">
        <f>'Statistics NZ'!D$58*'Economic Forecasts'!F$9*1000000/SUM('Statistics NZ'!D$30:D$110,'Statistics NZ'!D$130:D$210)</f>
        <v>31874.738425320425</v>
      </c>
      <c r="E58" s="44">
        <f>'Statistics NZ'!E$58*'Economic Forecasts'!G$9*1000000/SUM('Statistics NZ'!E$30:E$110,'Statistics NZ'!E$130:E$210)</f>
        <v>31519.771626134818</v>
      </c>
      <c r="F58" s="44">
        <f>'Statistics NZ'!F$58*'Economic Forecasts'!H$9*1000000/SUM('Statistics NZ'!F$30:F$110,'Statistics NZ'!F$130:F$210)</f>
        <v>31917.937202796795</v>
      </c>
      <c r="G58" s="44">
        <f>'Statistics NZ'!G$58*'Economic Forecasts'!I$9*1000000/SUM('Statistics NZ'!G$30:G$110,'Statistics NZ'!G$130:G$210)</f>
        <v>32168.596649833296</v>
      </c>
      <c r="H58" s="44">
        <f>'Statistics NZ'!H$58*'Economic Forecasts'!J$9*1000000/SUM('Statistics NZ'!H$30:H$110,'Statistics NZ'!H$130:H$210)</f>
        <v>32688.231275209604</v>
      </c>
      <c r="I58" s="44">
        <f>'Statistics NZ'!I$58*'Economic Forecasts'!K$9*1000000/SUM('Statistics NZ'!I$30:I$110,'Statistics NZ'!I$130:I$210)</f>
        <v>32420.357398586599</v>
      </c>
      <c r="J58" s="44">
        <f>'Statistics NZ'!J$58*'Economic Forecasts'!L$9*1000000/SUM('Statistics NZ'!J$30:J$110,'Statistics NZ'!J$130:J$210)</f>
        <v>33526.971154646388</v>
      </c>
      <c r="K58" s="44">
        <f>'Statistics NZ'!K$58*'Economic Forecasts'!M$9*1000000/SUM('Statistics NZ'!K$30:K$110,'Statistics NZ'!K$130:K$210)</f>
        <v>33132.354422428129</v>
      </c>
      <c r="L58" s="44">
        <f>'Statistics NZ'!L$58*'Economic Forecasts'!N$9*1000000/SUM('Statistics NZ'!L$30:L$110,'Statistics NZ'!L$130:L$210)</f>
        <v>32082.146504429329</v>
      </c>
      <c r="M58" s="44">
        <f>'Statistics NZ'!M$58*'Economic Forecasts'!O$9*1000000/SUM('Statistics NZ'!M$30:M$110,'Statistics NZ'!M$130:M$210)</f>
        <v>31643.649673823042</v>
      </c>
      <c r="N58" s="44">
        <f>'Statistics NZ'!N$58*'Economic Forecasts'!P$9*1000000/SUM('Statistics NZ'!N$30:N$110,'Statistics NZ'!N$130:N$210)</f>
        <v>30656.19907236466</v>
      </c>
      <c r="O58" s="44">
        <f>'Statistics NZ'!O$58*'Economic Forecasts'!Q$9*1000000/SUM('Statistics NZ'!O$30:O$110,'Statistics NZ'!O$130:O$210)</f>
        <v>29704.883013471328</v>
      </c>
      <c r="P58" s="44">
        <f>'Statistics NZ'!P$58*'Economic Forecasts'!R$9*1000000/SUM('Statistics NZ'!P$30:P$110,'Statistics NZ'!P$130:P$210)</f>
        <v>30223.284931660346</v>
      </c>
      <c r="Q58" s="44">
        <f>'Statistics NZ'!Q$58*'Economic Forecasts'!S$9*1000000/SUM('Statistics NZ'!Q$30:Q$110,'Statistics NZ'!Q$130:Q$210)</f>
        <v>30438.500875792892</v>
      </c>
      <c r="R58" s="44">
        <f>'Statistics NZ'!R$58*'Economic Forecasts'!T$9*1000000/SUM('Statistics NZ'!R$30:R$110,'Statistics NZ'!R$130:R$210)</f>
        <v>31327.989742792761</v>
      </c>
      <c r="S58" s="44">
        <f>'Statistics NZ'!S$58*'Economic Forecasts'!U$9*1000000/SUM('Statistics NZ'!S$30:S$110,'Statistics NZ'!S$130:S$210)</f>
        <v>31965.838010089501</v>
      </c>
      <c r="T58" s="44">
        <f>'Statistics NZ'!T$58*'Economic Forecasts'!V$9*1000000/SUM('Statistics NZ'!T$30:T$110,'Statistics NZ'!T$130:T$210)</f>
        <v>33431.663594737147</v>
      </c>
      <c r="U58" s="45">
        <f>SUM('Statistics NZ'!U$58,$J$12/5*(U$8-U$9)*1000)*'Economic Forecasts'!W$9*1000000/SUM('Statistics NZ'!U$30:U$110,'Statistics NZ'!U$130:U$210,SUM($E$12:$T$13)*(U$8-U$9)*1000)</f>
        <v>34704.913752930668</v>
      </c>
      <c r="V58" s="45">
        <f>SUM('Statistics NZ'!V$58,$J$12/5*(V$8-V$9)*1000)*'Economic Forecasts'!X$9*1000000/SUM('Statistics NZ'!V$30:V$110,'Statistics NZ'!V$130:V$210,SUM($E$12:$T$13)*(V$8-V$9)*1000)</f>
        <v>35771.810639053481</v>
      </c>
      <c r="W58" s="45">
        <f>SUM('Statistics NZ'!W$58,$J$12/5*(W$8-W$9)*1000)*'Economic Forecasts'!Y$9*1000000/SUM('Statistics NZ'!W$30:W$110,'Statistics NZ'!W$130:W$210,SUM($E$12:$T$13)*(W$8-W$9)*1000)</f>
        <v>36474.073033306748</v>
      </c>
      <c r="X58" s="45">
        <f>SUM('Statistics NZ'!X$58,$J$12/5*(X$8-X$9)*1000)*'Economic Forecasts'!Z$9*1000000/SUM('Statistics NZ'!X$30:X$110,'Statistics NZ'!X$130:X$210,SUM($E$12:$T$13)*(X$8-X$9)*1000)</f>
        <v>37808.000613669334</v>
      </c>
      <c r="Y58" s="45">
        <f>SUM('Statistics NZ'!Y$58,$J$12/5*(Y$8-Y$9)*1000)*'Economic Forecasts'!AA$9*1000000/SUM('Statistics NZ'!Y$30:Y$110,'Statistics NZ'!Y$130:Y$210,SUM($E$12:$T$13)*(Y$8-Y$9)*1000)</f>
        <v>38475.611768432587</v>
      </c>
      <c r="Z58" s="46">
        <f>SUM(Y$58,'Statistics NZ'!Z$58-'Statistics NZ'!Y$58,$J$12/5*(Z$8-Z$9)*1000)</f>
        <v>40153.952176942723</v>
      </c>
      <c r="AA58" s="46">
        <f>SUM(Z$58,'Statistics NZ'!AA$58-'Statistics NZ'!Z$58,$J$12/5*(AA$8-AA$9)*1000)</f>
        <v>42444.956422048803</v>
      </c>
      <c r="AB58" s="46">
        <f>SUM(AA$58,'Statistics NZ'!AB$58-'Statistics NZ'!AA$58,$J$12/5*(AB$8-AB$9)*1000)</f>
        <v>43460.091736431641</v>
      </c>
      <c r="AC58" s="46">
        <f>SUM(AB$58,'Statistics NZ'!AC$58-'Statistics NZ'!AB$58,$J$12/5*(AC$8-AC$9)*1000)</f>
        <v>45170.091736431641</v>
      </c>
      <c r="AD58" s="46">
        <f>SUM(AC$58,'Statistics NZ'!AD$58-'Statistics NZ'!AC$58,$J$12/5*(AD$8-AD$9)*1000)</f>
        <v>45980.091736431641</v>
      </c>
      <c r="AE58" s="46">
        <f>SUM(AD$58,'Statistics NZ'!AE$58-'Statistics NZ'!AD$58,$J$12/5*(AE$8-AE$9)*1000)</f>
        <v>45580.091736431641</v>
      </c>
      <c r="AF58" s="46">
        <f>SUM(AE$58,'Statistics NZ'!AF$58-'Statistics NZ'!AE$58,$J$12/5*(AF$8-AF$9)*1000)</f>
        <v>45180.091736431641</v>
      </c>
      <c r="AG58" s="46">
        <f>SUM(AF$58,'Statistics NZ'!AG$58-'Statistics NZ'!AF$58,$J$12/5*(AG$8-AG$9)*1000)</f>
        <v>43930.091736431641</v>
      </c>
      <c r="AH58" s="46">
        <f>SUM(AG$58,'Statistics NZ'!AH$58-'Statistics NZ'!AG$58,$J$12/5*(AH$8-AH$9)*1000)</f>
        <v>43660.091736431641</v>
      </c>
      <c r="AI58" s="46">
        <f>SUM(AH$58,'Statistics NZ'!AI$58-'Statistics NZ'!AH$58,$J$12/5*(AI$8-AI$9)*1000)</f>
        <v>42630.091736431641</v>
      </c>
      <c r="AJ58" s="46">
        <f>SUM(AI$58,'Statistics NZ'!AJ$58-'Statistics NZ'!AI$58,$J$12/5*(AJ$8-AJ$9)*1000)</f>
        <v>42480.091736431641</v>
      </c>
      <c r="AK58" s="46">
        <f>SUM(AJ$58,'Statistics NZ'!AK$58-'Statistics NZ'!AJ$58,$J$12/5*(AK$8-AK$9)*1000)</f>
        <v>42170.091736431641</v>
      </c>
      <c r="AL58" s="46">
        <f>SUM(AK$58,'Statistics NZ'!AL$58-'Statistics NZ'!AK$58,$J$12/5*(AL$8-AL$9)*1000)</f>
        <v>41110.091736431641</v>
      </c>
      <c r="AM58" s="46">
        <f>SUM(AL$58,'Statistics NZ'!AM$58-'Statistics NZ'!AL$58,$J$12/5*(AM$8-AM$9)*1000)</f>
        <v>42660.091736431641</v>
      </c>
      <c r="AN58" s="46">
        <f>SUM(AM$58,'Statistics NZ'!AN$58-'Statistics NZ'!AM$58,$J$12/5*(AN$8-AN$9)*1000)</f>
        <v>42350.091736431641</v>
      </c>
      <c r="AO58" s="46">
        <f>SUM(AN$58,'Statistics NZ'!AO$58-'Statistics NZ'!AN$58,$J$12/5*(AO$8-AO$9)*1000)</f>
        <v>41700.091736431641</v>
      </c>
      <c r="AP58" s="46">
        <f>SUM(AO$58,'Statistics NZ'!AP$58-'Statistics NZ'!AO$58,$J$12/5*(AP$8-AP$9)*1000)</f>
        <v>41700.091736431641</v>
      </c>
      <c r="AQ58" s="46">
        <f>SUM(AP$58,'Statistics NZ'!AQ$58-'Statistics NZ'!AP$58,$J$12/5*(AQ$8-AQ$9)*1000)</f>
        <v>42650.091736431641</v>
      </c>
      <c r="AR58" s="46">
        <f>SUM(AQ$58,'Statistics NZ'!AR$58-'Statistics NZ'!AQ$58,$J$12/5*(AR$8-AR$9)*1000)</f>
        <v>42810.091736431641</v>
      </c>
      <c r="AS58" s="46">
        <f>SUM(AR$58,'Statistics NZ'!AS$58-'Statistics NZ'!AR$58,$J$12/5*(AS$8-AS$9)*1000)</f>
        <v>43570.091736431641</v>
      </c>
      <c r="AT58" s="46">
        <f>SUM(AS$58,'Statistics NZ'!AT$58-'Statistics NZ'!AS$58,$J$12/5*(AT$8-AT$9)*1000)</f>
        <v>45770.091736431641</v>
      </c>
      <c r="AU58" s="46">
        <f>SUM(AT$58,'Statistics NZ'!AU$58-'Statistics NZ'!AT$58,$J$12/5*(AU$8-AU$9)*1000)</f>
        <v>46950.091736431641</v>
      </c>
      <c r="AV58" s="46">
        <f>SUM(AU$58,'Statistics NZ'!AV$58-'Statistics NZ'!AU$58,$J$12/5*(AV$8-AV$9)*1000)</f>
        <v>46450.091736431641</v>
      </c>
      <c r="AW58" s="46">
        <f>SUM(AV$58,'Statistics NZ'!AW$58-'Statistics NZ'!AV$58,$J$12/5*(AW$8-AW$9)*1000)</f>
        <v>47540.091736431641</v>
      </c>
      <c r="AX58" s="46">
        <f>SUM(AW$58,'Statistics NZ'!AX$58-'Statistics NZ'!AW$58,$J$12/5*(AX$8-AX$9)*1000)</f>
        <v>47660.091736431641</v>
      </c>
      <c r="AY58" s="46">
        <f>SUM(AX$58,'Statistics NZ'!AY$58-'Statistics NZ'!AX$58,$J$12/5*(AY$8-AY$9)*1000)</f>
        <v>47850.091736431641</v>
      </c>
      <c r="AZ58" s="46">
        <f>SUM(AY$58,'Statistics NZ'!AZ$58-'Statistics NZ'!AY$58,$J$12/5*(AZ$8-AZ$9)*1000)</f>
        <v>47950.091736431641</v>
      </c>
      <c r="BA58" s="46">
        <f>SUM(AZ$58,'Statistics NZ'!BA$58-'Statistics NZ'!AZ$58,$J$12/5*(BA$8-BA$9)*1000)</f>
        <v>47210.091736431641</v>
      </c>
      <c r="BB58" s="46">
        <f>SUM(BA$58,'Statistics NZ'!BB$58-'Statistics NZ'!BA$58,$J$12/5*(BB$8-BB$9)*1000)</f>
        <v>47390.091736431641</v>
      </c>
      <c r="BC58" s="46">
        <f>SUM(BB$58,'Statistics NZ'!BC$58-'Statistics NZ'!BB$58,$J$12/5*(BC$8-BC$9)*1000)</f>
        <v>47060.091736431641</v>
      </c>
      <c r="BD58" s="46">
        <f>SUM(BC$58,'Statistics NZ'!BD$58-'Statistics NZ'!BC$58,$J$12/5*(BD$8-BD$9)*1000)</f>
        <v>47640.091736431641</v>
      </c>
      <c r="BE58" s="46">
        <f>SUM(BD$58,'Statistics NZ'!BE$58-'Statistics NZ'!BD$58,$J$12/5*(BE$8-BE$9)*1000)</f>
        <v>47140.091736431641</v>
      </c>
      <c r="BF58" s="46">
        <f>SUM(BE$58,'Statistics NZ'!BF$58-'Statistics NZ'!BE$58,$J$12/5*(BF$8-BF$9)*1000)</f>
        <v>47280.091736431641</v>
      </c>
      <c r="BG58" s="46">
        <f>SUM(BF$58,'Statistics NZ'!BG$58-'Statistics NZ'!BF$58,$J$12/5*(BG$8-BG$9)*1000)</f>
        <v>47070.091736431641</v>
      </c>
      <c r="BH58" s="46">
        <f>SUM(BG$58,'Statistics NZ'!BH$58-'Statistics NZ'!BG$58,$J$12/5*(BH$8-BH$9)*1000)</f>
        <v>47320.091736431641</v>
      </c>
      <c r="BI58" s="46">
        <f>SUM(BH$58,'Statistics NZ'!BI$58-'Statistics NZ'!BH$58,$J$12/5*(BI$8-BI$9)*1000)</f>
        <v>47730.091736431641</v>
      </c>
    </row>
    <row r="59" spans="1:61" x14ac:dyDescent="0.25">
      <c r="A59" s="11">
        <v>44</v>
      </c>
      <c r="B59" s="44">
        <f>'Statistics NZ'!B$59*'Economic Forecasts'!D$9*1000000/SUM('Statistics NZ'!B$30:B$110,'Statistics NZ'!B$130:B$210)</f>
        <v>33431.725985341232</v>
      </c>
      <c r="C59" s="44">
        <f>'Statistics NZ'!C$59*'Economic Forecasts'!E$9*1000000/SUM('Statistics NZ'!C$30:C$110,'Statistics NZ'!C$130:C$210)</f>
        <v>33869.44991237967</v>
      </c>
      <c r="D59" s="44">
        <f>'Statistics NZ'!D$59*'Economic Forecasts'!F$9*1000000/SUM('Statistics NZ'!D$30:D$110,'Statistics NZ'!D$130:D$210)</f>
        <v>32965.060756664207</v>
      </c>
      <c r="E59" s="44">
        <f>'Statistics NZ'!E$59*'Economic Forecasts'!G$9*1000000/SUM('Statistics NZ'!E$30:E$110,'Statistics NZ'!E$130:E$210)</f>
        <v>31813.982313373162</v>
      </c>
      <c r="F59" s="44">
        <f>'Statistics NZ'!F$59*'Economic Forecasts'!H$9*1000000/SUM('Statistics NZ'!F$30:F$110,'Statistics NZ'!F$130:F$210)</f>
        <v>31545.201611614782</v>
      </c>
      <c r="G59" s="44">
        <f>'Statistics NZ'!G$59*'Economic Forecasts'!I$9*1000000/SUM('Statistics NZ'!G$30:G$110,'Statistics NZ'!G$130:G$210)</f>
        <v>31952.502260124493</v>
      </c>
      <c r="H59" s="44">
        <f>'Statistics NZ'!H$59*'Economic Forecasts'!J$9*1000000/SUM('Statistics NZ'!H$30:H$110,'Statistics NZ'!H$130:H$210)</f>
        <v>32108.548183764651</v>
      </c>
      <c r="I59" s="44">
        <f>'Statistics NZ'!I$59*'Economic Forecasts'!K$9*1000000/SUM('Statistics NZ'!I$30:I$110,'Statistics NZ'!I$130:I$210)</f>
        <v>32528.196506958066</v>
      </c>
      <c r="J59" s="44">
        <f>'Statistics NZ'!J$59*'Economic Forecasts'!L$9*1000000/SUM('Statistics NZ'!J$30:J$110,'Statistics NZ'!J$130:J$210)</f>
        <v>32405.504696593933</v>
      </c>
      <c r="K59" s="44">
        <f>'Statistics NZ'!K$59*'Economic Forecasts'!M$9*1000000/SUM('Statistics NZ'!K$30:K$110,'Statistics NZ'!K$130:K$210)</f>
        <v>33697.055144291429</v>
      </c>
      <c r="L59" s="44">
        <f>'Statistics NZ'!L$59*'Economic Forecasts'!N$9*1000000/SUM('Statistics NZ'!L$30:L$110,'Statistics NZ'!L$130:L$210)</f>
        <v>33425.79937775596</v>
      </c>
      <c r="M59" s="44">
        <f>'Statistics NZ'!M$59*'Economic Forecasts'!O$9*1000000/SUM('Statistics NZ'!M$30:M$110,'Statistics NZ'!M$130:M$210)</f>
        <v>32454.52430269841</v>
      </c>
      <c r="N59" s="44">
        <f>'Statistics NZ'!N$59*'Economic Forecasts'!P$9*1000000/SUM('Statistics NZ'!N$30:N$110,'Statistics NZ'!N$130:N$210)</f>
        <v>31967.380264735188</v>
      </c>
      <c r="O59" s="44">
        <f>'Statistics NZ'!O$59*'Economic Forecasts'!Q$9*1000000/SUM('Statistics NZ'!O$30:O$110,'Statistics NZ'!O$130:O$210)</f>
        <v>31002.812360633932</v>
      </c>
      <c r="P59" s="44">
        <f>'Statistics NZ'!P$59*'Economic Forecasts'!R$9*1000000/SUM('Statistics NZ'!P$30:P$110,'Statistics NZ'!P$130:P$210)</f>
        <v>29987.472565483542</v>
      </c>
      <c r="Q59" s="44">
        <f>'Statistics NZ'!Q$59*'Economic Forecasts'!S$9*1000000/SUM('Statistics NZ'!Q$30:Q$110,'Statistics NZ'!Q$130:Q$210)</f>
        <v>30597.448661045073</v>
      </c>
      <c r="R59" s="44">
        <f>'Statistics NZ'!R$59*'Economic Forecasts'!T$9*1000000/SUM('Statistics NZ'!R$30:R$110,'Statistics NZ'!R$130:R$210)</f>
        <v>30381.976066516439</v>
      </c>
      <c r="S59" s="44">
        <f>'Statistics NZ'!S$59*'Economic Forecasts'!U$9*1000000/SUM('Statistics NZ'!S$30:S$110,'Statistics NZ'!S$130:S$210)</f>
        <v>31484.483965069714</v>
      </c>
      <c r="T59" s="44">
        <f>'Statistics NZ'!T$59*'Economic Forecasts'!V$9*1000000/SUM('Statistics NZ'!T$30:T$110,'Statistics NZ'!T$130:T$210)</f>
        <v>32836.970497884424</v>
      </c>
      <c r="U59" s="45">
        <f>SUM('Statistics NZ'!U$59,$J$12/5*(U$8-U$9)*1000)*'Economic Forecasts'!W$9*1000000/SUM('Statistics NZ'!U$30:U$110,'Statistics NZ'!U$130:U$210,SUM($E$12:$T$13)*(U$8-U$9)*1000)</f>
        <v>33575.749653650033</v>
      </c>
      <c r="V59" s="45">
        <f>SUM('Statistics NZ'!V$59,$J$12/5*(V$8-V$9)*1000)*'Economic Forecasts'!X$9*1000000/SUM('Statistics NZ'!V$30:V$110,'Statistics NZ'!V$130:V$210,SUM($E$12:$T$13)*(V$8-V$9)*1000)</f>
        <v>34841.133741388679</v>
      </c>
      <c r="W59" s="45">
        <f>SUM('Statistics NZ'!W$59,$J$12/5*(W$8-W$9)*1000)*'Economic Forecasts'!Y$9*1000000/SUM('Statistics NZ'!W$30:W$110,'Statistics NZ'!W$130:W$210,SUM($E$12:$T$13)*(W$8-W$9)*1000)</f>
        <v>35929.408272010027</v>
      </c>
      <c r="X59" s="45">
        <f>SUM('Statistics NZ'!X$59,$J$12/5*(X$8-X$9)*1000)*'Economic Forecasts'!Z$9*1000000/SUM('Statistics NZ'!X$30:X$110,'Statistics NZ'!X$130:X$210,SUM($E$12:$T$13)*(X$8-X$9)*1000)</f>
        <v>36649.085062890626</v>
      </c>
      <c r="Y59" s="45">
        <f>SUM('Statistics NZ'!Y$59,$J$12/5*(Y$8-Y$9)*1000)*'Economic Forecasts'!AA$9*1000000/SUM('Statistics NZ'!Y$30:Y$110,'Statistics NZ'!Y$130:Y$210,SUM($E$12:$T$13)*(Y$8-Y$9)*1000)</f>
        <v>37999.984538212826</v>
      </c>
      <c r="Z59" s="46">
        <f>SUM(Y$59,'Statistics NZ'!Z$59-'Statistics NZ'!Y$59,$J$12/5*(Z$8-Z$9)*1000)</f>
        <v>38698.324946722962</v>
      </c>
      <c r="AA59" s="46">
        <f>SUM(Z$59,'Statistics NZ'!AA$59-'Statistics NZ'!Z$59,$J$12/5*(AA$8-AA$9)*1000)</f>
        <v>40369.329191829042</v>
      </c>
      <c r="AB59" s="46">
        <f>SUM(AA$59,'Statistics NZ'!AB$59-'Statistics NZ'!AA$59,$J$12/5*(AB$8-AB$9)*1000)</f>
        <v>42654.46450621188</v>
      </c>
      <c r="AC59" s="46">
        <f>SUM(AB$59,'Statistics NZ'!AC$59-'Statistics NZ'!AB$59,$J$12/5*(AC$8-AC$9)*1000)</f>
        <v>43664.46450621188</v>
      </c>
      <c r="AD59" s="46">
        <f>SUM(AC$59,'Statistics NZ'!AD$59-'Statistics NZ'!AC$59,$J$12/5*(AD$8-AD$9)*1000)</f>
        <v>45384.46450621188</v>
      </c>
      <c r="AE59" s="46">
        <f>SUM(AD$59,'Statistics NZ'!AE$59-'Statistics NZ'!AD$59,$J$12/5*(AE$8-AE$9)*1000)</f>
        <v>46184.46450621188</v>
      </c>
      <c r="AF59" s="46">
        <f>SUM(AE$59,'Statistics NZ'!AF$59-'Statistics NZ'!AE$59,$J$12/5*(AF$8-AF$9)*1000)</f>
        <v>45794.46450621188</v>
      </c>
      <c r="AG59" s="46">
        <f>SUM(AF$59,'Statistics NZ'!AG$59-'Statistics NZ'!AF$59,$J$12/5*(AG$8-AG$9)*1000)</f>
        <v>45394.46450621188</v>
      </c>
      <c r="AH59" s="46">
        <f>SUM(AG$59,'Statistics NZ'!AH$59-'Statistics NZ'!AG$59,$J$12/5*(AH$8-AH$9)*1000)</f>
        <v>44144.46450621188</v>
      </c>
      <c r="AI59" s="46">
        <f>SUM(AH$59,'Statistics NZ'!AI$59-'Statistics NZ'!AH$59,$J$12/5*(AI$8-AI$9)*1000)</f>
        <v>43884.46450621188</v>
      </c>
      <c r="AJ59" s="46">
        <f>SUM(AI$59,'Statistics NZ'!AJ$59-'Statistics NZ'!AI$59,$J$12/5*(AJ$8-AJ$9)*1000)</f>
        <v>42854.46450621188</v>
      </c>
      <c r="AK59" s="46">
        <f>SUM(AJ$59,'Statistics NZ'!AK$59-'Statistics NZ'!AJ$59,$J$12/5*(AK$8-AK$9)*1000)</f>
        <v>42704.46450621188</v>
      </c>
      <c r="AL59" s="46">
        <f>SUM(AK$59,'Statistics NZ'!AL$59-'Statistics NZ'!AK$59,$J$12/5*(AL$8-AL$9)*1000)</f>
        <v>42394.46450621188</v>
      </c>
      <c r="AM59" s="46">
        <f>SUM(AL$59,'Statistics NZ'!AM$59-'Statistics NZ'!AL$59,$J$12/5*(AM$8-AM$9)*1000)</f>
        <v>41334.46450621188</v>
      </c>
      <c r="AN59" s="46">
        <f>SUM(AM$59,'Statistics NZ'!AN$59-'Statistics NZ'!AM$59,$J$12/5*(AN$8-AN$9)*1000)</f>
        <v>42894.46450621188</v>
      </c>
      <c r="AO59" s="46">
        <f>SUM(AN$59,'Statistics NZ'!AO$59-'Statistics NZ'!AN$59,$J$12/5*(AO$8-AO$9)*1000)</f>
        <v>42584.46450621188</v>
      </c>
      <c r="AP59" s="46">
        <f>SUM(AO$59,'Statistics NZ'!AP$59-'Statistics NZ'!AO$59,$J$12/5*(AP$8-AP$9)*1000)</f>
        <v>41934.46450621188</v>
      </c>
      <c r="AQ59" s="46">
        <f>SUM(AP$59,'Statistics NZ'!AQ$59-'Statistics NZ'!AP$59,$J$12/5*(AQ$8-AQ$9)*1000)</f>
        <v>41934.46450621188</v>
      </c>
      <c r="AR59" s="46">
        <f>SUM(AQ$59,'Statistics NZ'!AR$59-'Statistics NZ'!AQ$59,$J$12/5*(AR$8-AR$9)*1000)</f>
        <v>42894.46450621188</v>
      </c>
      <c r="AS59" s="46">
        <f>SUM(AR$59,'Statistics NZ'!AS$59-'Statistics NZ'!AR$59,$J$12/5*(AS$8-AS$9)*1000)</f>
        <v>43044.46450621188</v>
      </c>
      <c r="AT59" s="46">
        <f>SUM(AS$59,'Statistics NZ'!AT$59-'Statistics NZ'!AS$59,$J$12/5*(AT$8-AT$9)*1000)</f>
        <v>43814.46450621188</v>
      </c>
      <c r="AU59" s="46">
        <f>SUM(AT$59,'Statistics NZ'!AU$59-'Statistics NZ'!AT$59,$J$12/5*(AU$8-AU$9)*1000)</f>
        <v>46014.46450621188</v>
      </c>
      <c r="AV59" s="46">
        <f>SUM(AU$59,'Statistics NZ'!AV$59-'Statistics NZ'!AU$59,$J$12/5*(AV$8-AV$9)*1000)</f>
        <v>47194.46450621188</v>
      </c>
      <c r="AW59" s="46">
        <f>SUM(AV$59,'Statistics NZ'!AW$59-'Statistics NZ'!AV$59,$J$12/5*(AW$8-AW$9)*1000)</f>
        <v>46704.46450621188</v>
      </c>
      <c r="AX59" s="46">
        <f>SUM(AW$59,'Statistics NZ'!AX$59-'Statistics NZ'!AW$59,$J$12/5*(AX$8-AX$9)*1000)</f>
        <v>47794.46450621188</v>
      </c>
      <c r="AY59" s="46">
        <f>SUM(AX$59,'Statistics NZ'!AY$59-'Statistics NZ'!AX$59,$J$12/5*(AY$8-AY$9)*1000)</f>
        <v>47914.46450621188</v>
      </c>
      <c r="AZ59" s="46">
        <f>SUM(AY$59,'Statistics NZ'!AZ$59-'Statistics NZ'!AY$59,$J$12/5*(AZ$8-AZ$9)*1000)</f>
        <v>48104.46450621188</v>
      </c>
      <c r="BA59" s="46">
        <f>SUM(AZ$59,'Statistics NZ'!BA$59-'Statistics NZ'!AZ$59,$J$12/5*(BA$8-BA$9)*1000)</f>
        <v>48204.46450621188</v>
      </c>
      <c r="BB59" s="46">
        <f>SUM(BA$59,'Statistics NZ'!BB$59-'Statistics NZ'!BA$59,$J$12/5*(BB$8-BB$9)*1000)</f>
        <v>47474.46450621188</v>
      </c>
      <c r="BC59" s="46">
        <f>SUM(BB$59,'Statistics NZ'!BC$59-'Statistics NZ'!BB$59,$J$12/5*(BC$8-BC$9)*1000)</f>
        <v>47654.46450621188</v>
      </c>
      <c r="BD59" s="46">
        <f>SUM(BC$59,'Statistics NZ'!BD$59-'Statistics NZ'!BC$59,$J$12/5*(BD$8-BD$9)*1000)</f>
        <v>47324.46450621188</v>
      </c>
      <c r="BE59" s="46">
        <f>SUM(BD$59,'Statistics NZ'!BE$59-'Statistics NZ'!BD$59,$J$12/5*(BE$8-BE$9)*1000)</f>
        <v>47914.46450621188</v>
      </c>
      <c r="BF59" s="46">
        <f>SUM(BE$59,'Statistics NZ'!BF$59-'Statistics NZ'!BE$59,$J$12/5*(BF$8-BF$9)*1000)</f>
        <v>47414.46450621188</v>
      </c>
      <c r="BG59" s="46">
        <f>SUM(BF$59,'Statistics NZ'!BG$59-'Statistics NZ'!BF$59,$J$12/5*(BG$8-BG$9)*1000)</f>
        <v>47554.46450621188</v>
      </c>
      <c r="BH59" s="46">
        <f>SUM(BG$59,'Statistics NZ'!BH$59-'Statistics NZ'!BG$59,$J$12/5*(BH$8-BH$9)*1000)</f>
        <v>47344.46450621188</v>
      </c>
      <c r="BI59" s="46">
        <f>SUM(BH$59,'Statistics NZ'!BI$59-'Statistics NZ'!BH$59,$J$12/5*(BI$8-BI$9)*1000)</f>
        <v>47594.46450621188</v>
      </c>
    </row>
    <row r="60" spans="1:61" x14ac:dyDescent="0.25">
      <c r="A60" s="11">
        <v>45</v>
      </c>
      <c r="B60" s="44">
        <f>'Statistics NZ'!B$60*'Economic Forecasts'!D$9*1000000/SUM('Statistics NZ'!B$30:B$110,'Statistics NZ'!B$130:B$210)</f>
        <v>32785.985887292496</v>
      </c>
      <c r="C60" s="44">
        <f>'Statistics NZ'!C$60*'Economic Forecasts'!E$9*1000000/SUM('Statistics NZ'!C$30:C$110,'Statistics NZ'!C$130:C$210)</f>
        <v>33555.20740811868</v>
      </c>
      <c r="D60" s="44">
        <f>'Statistics NZ'!D$60*'Economic Forecasts'!F$9*1000000/SUM('Statistics NZ'!D$30:D$110,'Statistics NZ'!D$130:D$210)</f>
        <v>33760.701376833997</v>
      </c>
      <c r="E60" s="44">
        <f>'Statistics NZ'!E$60*'Economic Forecasts'!G$9*1000000/SUM('Statistics NZ'!E$30:E$110,'Statistics NZ'!E$130:E$210)</f>
        <v>32863.333764523268</v>
      </c>
      <c r="F60" s="44">
        <f>'Statistics NZ'!F$60*'Economic Forecasts'!H$9*1000000/SUM('Statistics NZ'!F$30:F$110,'Statistics NZ'!F$130:F$210)</f>
        <v>31770.804732593369</v>
      </c>
      <c r="G60" s="44">
        <f>'Statistics NZ'!G$60*'Economic Forecasts'!I$9*1000000/SUM('Statistics NZ'!G$30:G$110,'Statistics NZ'!G$130:G$210)</f>
        <v>31520.313480706885</v>
      </c>
      <c r="H60" s="44">
        <f>'Statistics NZ'!H$60*'Economic Forecasts'!J$9*1000000/SUM('Statistics NZ'!H$30:H$110,'Statistics NZ'!H$130:H$210)</f>
        <v>31872.744892329418</v>
      </c>
      <c r="I60" s="44">
        <f>'Statistics NZ'!I$60*'Economic Forecasts'!K$9*1000000/SUM('Statistics NZ'!I$30:I$110,'Statistics NZ'!I$130:I$210)</f>
        <v>32008.608075713706</v>
      </c>
      <c r="J60" s="44">
        <f>'Statistics NZ'!J$60*'Economic Forecasts'!L$9*1000000/SUM('Statistics NZ'!J$30:J$110,'Statistics NZ'!J$130:J$210)</f>
        <v>32454.264107813604</v>
      </c>
      <c r="K60" s="44">
        <f>'Statistics NZ'!K$60*'Economic Forecasts'!M$9*1000000/SUM('Statistics NZ'!K$30:K$110,'Statistics NZ'!K$130:K$210)</f>
        <v>32528.708823194935</v>
      </c>
      <c r="L60" s="44">
        <f>'Statistics NZ'!L$60*'Economic Forecasts'!N$9*1000000/SUM('Statistics NZ'!L$30:L$110,'Statistics NZ'!L$130:L$210)</f>
        <v>33932.103359009474</v>
      </c>
      <c r="M60" s="44">
        <f>'Statistics NZ'!M$60*'Economic Forecasts'!O$9*1000000/SUM('Statistics NZ'!M$30:M$110,'Statistics NZ'!M$130:M$210)</f>
        <v>33822.264640560476</v>
      </c>
      <c r="N60" s="44">
        <f>'Statistics NZ'!N$60*'Economic Forecasts'!P$9*1000000/SUM('Statistics NZ'!N$30:N$110,'Statistics NZ'!N$130:N$210)</f>
        <v>32730.605137906092</v>
      </c>
      <c r="O60" s="44">
        <f>'Statistics NZ'!O$60*'Economic Forecasts'!Q$9*1000000/SUM('Statistics NZ'!O$30:O$110,'Statistics NZ'!O$130:O$210)</f>
        <v>32261.410515458268</v>
      </c>
      <c r="P60" s="44">
        <f>'Statistics NZ'!P$60*'Economic Forecasts'!R$9*1000000/SUM('Statistics NZ'!P$30:P$110,'Statistics NZ'!P$130:P$210)</f>
        <v>31245.138518426495</v>
      </c>
      <c r="Q60" s="44">
        <f>'Statistics NZ'!Q$60*'Economic Forecasts'!S$9*1000000/SUM('Statistics NZ'!Q$30:Q$110,'Statistics NZ'!Q$130:Q$210)</f>
        <v>30289.487327118968</v>
      </c>
      <c r="R60" s="44">
        <f>'Statistics NZ'!R$60*'Economic Forecasts'!T$9*1000000/SUM('Statistics NZ'!R$30:R$110,'Statistics NZ'!R$130:R$210)</f>
        <v>30581.136840469349</v>
      </c>
      <c r="S60" s="44">
        <f>'Statistics NZ'!S$60*'Economic Forecasts'!U$9*1000000/SUM('Statistics NZ'!S$30:S$110,'Statistics NZ'!S$130:S$210)</f>
        <v>30462.834563395067</v>
      </c>
      <c r="T60" s="44">
        <f>'Statistics NZ'!T$60*'Economic Forecasts'!V$9*1000000/SUM('Statistics NZ'!T$30:T$110,'Statistics NZ'!T$130:T$210)</f>
        <v>32272.01205587434</v>
      </c>
      <c r="U60" s="45">
        <f>SUM('Statistics NZ'!U$60,$K$12/5*(U$8-U$9)*1000)*'Economic Forecasts'!W$9*1000000/SUM('Statistics NZ'!U$30:U$110,'Statistics NZ'!U$130:U$210,SUM($E$12:$T$13)*(U$8-U$9)*1000)</f>
        <v>32899.492377596973</v>
      </c>
      <c r="V60" s="45">
        <f>SUM('Statistics NZ'!V$60,$K$12/5*(V$8-V$9)*1000)*'Economic Forecasts'!X$9*1000000/SUM('Statistics NZ'!V$30:V$110,'Statistics NZ'!V$130:V$210,SUM($E$12:$T$13)*(V$8-V$9)*1000)</f>
        <v>33628.907076770942</v>
      </c>
      <c r="W60" s="45">
        <f>SUM('Statistics NZ'!W$60,$K$12/5*(W$8-W$9)*1000)*'Economic Forecasts'!Y$9*1000000/SUM('Statistics NZ'!W$30:W$110,'Statistics NZ'!W$130:W$210,SUM($E$12:$T$13)*(W$8-W$9)*1000)</f>
        <v>34911.5021200993</v>
      </c>
      <c r="X60" s="45">
        <f>SUM('Statistics NZ'!X$60,$K$12/5*(X$8-X$9)*1000)*'Economic Forecasts'!Z$9*1000000/SUM('Statistics NZ'!X$30:X$110,'Statistics NZ'!X$130:X$210,SUM($E$12:$T$13)*(X$8-X$9)*1000)</f>
        <v>36025.826813361367</v>
      </c>
      <c r="Y60" s="45">
        <f>SUM('Statistics NZ'!Y$60,$K$12/5*(Y$8-Y$9)*1000)*'Economic Forecasts'!AA$9*1000000/SUM('Statistics NZ'!Y$30:Y$110,'Statistics NZ'!Y$130:Y$210,SUM($E$12:$T$13)*(Y$8-Y$9)*1000)</f>
        <v>36759.742933441543</v>
      </c>
      <c r="Z60" s="46">
        <f>SUM(Y$60,'Statistics NZ'!Z$60-'Statistics NZ'!Y$60,$K$12/5*(Z$8-Z$9)*1000)</f>
        <v>38134.55584017896</v>
      </c>
      <c r="AA60" s="46">
        <f>SUM(Z$60,'Statistics NZ'!AA$60-'Statistics NZ'!Z$60,$K$12/5*(AA$8-AA$9)*1000)</f>
        <v>38817.443584221408</v>
      </c>
      <c r="AB60" s="46">
        <f>SUM(AA$60,'Statistics NZ'!AB$60-'Statistics NZ'!AA$60,$K$12/5*(AB$8-AB$9)*1000)</f>
        <v>40478.791198107887</v>
      </c>
      <c r="AC60" s="46">
        <f>SUM(AB$60,'Statistics NZ'!AC$60-'Statistics NZ'!AB$60,$K$12/5*(AC$8-AC$9)*1000)</f>
        <v>42758.791198107887</v>
      </c>
      <c r="AD60" s="46">
        <f>SUM(AC$60,'Statistics NZ'!AD$60-'Statistics NZ'!AC$60,$K$12/5*(AD$8-AD$9)*1000)</f>
        <v>43768.791198107887</v>
      </c>
      <c r="AE60" s="46">
        <f>SUM(AD$60,'Statistics NZ'!AE$60-'Statistics NZ'!AD$60,$K$12/5*(AE$8-AE$9)*1000)</f>
        <v>45488.791198107887</v>
      </c>
      <c r="AF60" s="46">
        <f>SUM(AE$60,'Statistics NZ'!AF$60-'Statistics NZ'!AE$60,$K$12/5*(AF$8-AF$9)*1000)</f>
        <v>46298.791198107887</v>
      </c>
      <c r="AG60" s="46">
        <f>SUM(AF$60,'Statistics NZ'!AG$60-'Statistics NZ'!AF$60,$K$12/5*(AG$8-AG$9)*1000)</f>
        <v>45908.791198107887</v>
      </c>
      <c r="AH60" s="46">
        <f>SUM(AG$60,'Statistics NZ'!AH$60-'Statistics NZ'!AG$60,$K$12/5*(AH$8-AH$9)*1000)</f>
        <v>45508.791198107887</v>
      </c>
      <c r="AI60" s="46">
        <f>SUM(AH$60,'Statistics NZ'!AI$60-'Statistics NZ'!AH$60,$K$12/5*(AI$8-AI$9)*1000)</f>
        <v>44268.791198107887</v>
      </c>
      <c r="AJ60" s="46">
        <f>SUM(AI$60,'Statistics NZ'!AJ$60-'Statistics NZ'!AI$60,$K$12/5*(AJ$8-AJ$9)*1000)</f>
        <v>44008.791198107887</v>
      </c>
      <c r="AK60" s="46">
        <f>SUM(AJ$60,'Statistics NZ'!AK$60-'Statistics NZ'!AJ$60,$K$12/5*(AK$8-AK$9)*1000)</f>
        <v>42978.791198107887</v>
      </c>
      <c r="AL60" s="46">
        <f>SUM(AK$60,'Statistics NZ'!AL$60-'Statistics NZ'!AK$60,$K$12/5*(AL$8-AL$9)*1000)</f>
        <v>42828.791198107887</v>
      </c>
      <c r="AM60" s="46">
        <f>SUM(AL$60,'Statistics NZ'!AM$60-'Statistics NZ'!AL$60,$K$12/5*(AM$8-AM$9)*1000)</f>
        <v>42528.791198107887</v>
      </c>
      <c r="AN60" s="46">
        <f>SUM(AM$60,'Statistics NZ'!AN$60-'Statistics NZ'!AM$60,$K$12/5*(AN$8-AN$9)*1000)</f>
        <v>41478.791198107887</v>
      </c>
      <c r="AO60" s="46">
        <f>SUM(AN$60,'Statistics NZ'!AO$60-'Statistics NZ'!AN$60,$K$12/5*(AO$8-AO$9)*1000)</f>
        <v>43028.791198107887</v>
      </c>
      <c r="AP60" s="46">
        <f>SUM(AO$60,'Statistics NZ'!AP$60-'Statistics NZ'!AO$60,$K$12/5*(AP$8-AP$9)*1000)</f>
        <v>42728.791198107887</v>
      </c>
      <c r="AQ60" s="46">
        <f>SUM(AP$60,'Statistics NZ'!AQ$60-'Statistics NZ'!AP$60,$K$12/5*(AQ$8-AQ$9)*1000)</f>
        <v>42078.791198107887</v>
      </c>
      <c r="AR60" s="46">
        <f>SUM(AQ$60,'Statistics NZ'!AR$60-'Statistics NZ'!AQ$60,$K$12/5*(AR$8-AR$9)*1000)</f>
        <v>42088.791198107887</v>
      </c>
      <c r="AS60" s="46">
        <f>SUM(AR$60,'Statistics NZ'!AS$60-'Statistics NZ'!AR$60,$K$12/5*(AS$8-AS$9)*1000)</f>
        <v>43038.791198107887</v>
      </c>
      <c r="AT60" s="46">
        <f>SUM(AS$60,'Statistics NZ'!AT$60-'Statistics NZ'!AS$60,$K$12/5*(AT$8-AT$9)*1000)</f>
        <v>43198.791198107887</v>
      </c>
      <c r="AU60" s="46">
        <f>SUM(AT$60,'Statistics NZ'!AU$60-'Statistics NZ'!AT$60,$K$12/5*(AU$8-AU$9)*1000)</f>
        <v>43958.791198107887</v>
      </c>
      <c r="AV60" s="46">
        <f>SUM(AU$60,'Statistics NZ'!AV$60-'Statistics NZ'!AU$60,$K$12/5*(AV$8-AV$9)*1000)</f>
        <v>46158.791198107887</v>
      </c>
      <c r="AW60" s="46">
        <f>SUM(AV$60,'Statistics NZ'!AW$60-'Statistics NZ'!AV$60,$K$12/5*(AW$8-AW$9)*1000)</f>
        <v>47338.791198107887</v>
      </c>
      <c r="AX60" s="46">
        <f>SUM(AW$60,'Statistics NZ'!AX$60-'Statistics NZ'!AW$60,$K$12/5*(AX$8-AX$9)*1000)</f>
        <v>46858.791198107887</v>
      </c>
      <c r="AY60" s="46">
        <f>SUM(AX$60,'Statistics NZ'!AY$60-'Statistics NZ'!AX$60,$K$12/5*(AY$8-AY$9)*1000)</f>
        <v>47948.791198107887</v>
      </c>
      <c r="AZ60" s="46">
        <f>SUM(AY$60,'Statistics NZ'!AZ$60-'Statistics NZ'!AY$60,$K$12/5*(AZ$8-AZ$9)*1000)</f>
        <v>48068.791198107887</v>
      </c>
      <c r="BA60" s="46">
        <f>SUM(AZ$60,'Statistics NZ'!BA$60-'Statistics NZ'!AZ$60,$K$12/5*(BA$8-BA$9)*1000)</f>
        <v>48268.791198107887</v>
      </c>
      <c r="BB60" s="46">
        <f>SUM(BA$60,'Statistics NZ'!BB$60-'Statistics NZ'!BA$60,$K$12/5*(BB$8-BB$9)*1000)</f>
        <v>48368.791198107887</v>
      </c>
      <c r="BC60" s="46">
        <f>SUM(BB$60,'Statistics NZ'!BC$60-'Statistics NZ'!BB$60,$K$12/5*(BC$8-BC$9)*1000)</f>
        <v>47638.791198107887</v>
      </c>
      <c r="BD60" s="46">
        <f>SUM(BC$60,'Statistics NZ'!BD$60-'Statistics NZ'!BC$60,$K$12/5*(BD$8-BD$9)*1000)</f>
        <v>47818.791198107887</v>
      </c>
      <c r="BE60" s="46">
        <f>SUM(BD$60,'Statistics NZ'!BE$60-'Statistics NZ'!BD$60,$K$12/5*(BE$8-BE$9)*1000)</f>
        <v>47488.791198107887</v>
      </c>
      <c r="BF60" s="46">
        <f>SUM(BE$60,'Statistics NZ'!BF$60-'Statistics NZ'!BE$60,$K$12/5*(BF$8-BF$9)*1000)</f>
        <v>48078.791198107887</v>
      </c>
      <c r="BG60" s="46">
        <f>SUM(BF$60,'Statistics NZ'!BG$60-'Statistics NZ'!BF$60,$K$12/5*(BG$8-BG$9)*1000)</f>
        <v>47588.791198107887</v>
      </c>
      <c r="BH60" s="46">
        <f>SUM(BG$60,'Statistics NZ'!BH$60-'Statistics NZ'!BG$60,$K$12/5*(BH$8-BH$9)*1000)</f>
        <v>47728.791198107887</v>
      </c>
      <c r="BI60" s="46">
        <f>SUM(BH$60,'Statistics NZ'!BI$60-'Statistics NZ'!BH$60,$K$12/5*(BI$8-BI$9)*1000)</f>
        <v>47518.791198107887</v>
      </c>
    </row>
    <row r="61" spans="1:61" x14ac:dyDescent="0.25">
      <c r="A61" s="11">
        <v>46</v>
      </c>
      <c r="B61" s="44">
        <f>'Statistics NZ'!B$61*'Economic Forecasts'!D$9*1000000/SUM('Statistics NZ'!B$30:B$110,'Statistics NZ'!B$130:B$210)</f>
        <v>31230.33928744782</v>
      </c>
      <c r="C61" s="44">
        <f>'Statistics NZ'!C$61*'Economic Forecasts'!E$9*1000000/SUM('Statistics NZ'!C$30:C$110,'Statistics NZ'!C$130:C$210)</f>
        <v>32877.622008305923</v>
      </c>
      <c r="D61" s="44">
        <f>'Statistics NZ'!D$61*'Economic Forecasts'!F$9*1000000/SUM('Statistics NZ'!D$30:D$110,'Statistics NZ'!D$130:D$210)</f>
        <v>33505.310560483194</v>
      </c>
      <c r="E61" s="44">
        <f>'Statistics NZ'!E$61*'Economic Forecasts'!G$9*1000000/SUM('Statistics NZ'!E$30:E$110,'Statistics NZ'!E$130:E$210)</f>
        <v>33618.474528435021</v>
      </c>
      <c r="F61" s="44">
        <f>'Statistics NZ'!F$61*'Economic Forecasts'!H$9*1000000/SUM('Statistics NZ'!F$30:F$110,'Statistics NZ'!F$130:F$210)</f>
        <v>32839.967349404942</v>
      </c>
      <c r="G61" s="44">
        <f>'Statistics NZ'!G$61*'Economic Forecasts'!I$9*1000000/SUM('Statistics NZ'!G$30:G$110,'Statistics NZ'!G$130:G$210)</f>
        <v>31706.940453637217</v>
      </c>
      <c r="H61" s="44">
        <f>'Statistics NZ'!H$61*'Economic Forecasts'!J$9*1000000/SUM('Statistics NZ'!H$30:H$110,'Statistics NZ'!H$130:H$210)</f>
        <v>31361.837760886407</v>
      </c>
      <c r="I61" s="44">
        <f>'Statistics NZ'!I$61*'Economic Forecasts'!K$9*1000000/SUM('Statistics NZ'!I$30:I$110,'Statistics NZ'!I$130:I$210)</f>
        <v>31753.715637744779</v>
      </c>
      <c r="J61" s="44">
        <f>'Statistics NZ'!J$61*'Economic Forecasts'!L$9*1000000/SUM('Statistics NZ'!J$30:J$110,'Statistics NZ'!J$130:J$210)</f>
        <v>31937.414348885082</v>
      </c>
      <c r="K61" s="44">
        <f>'Statistics NZ'!K$61*'Economic Forecasts'!M$9*1000000/SUM('Statistics NZ'!K$30:K$110,'Statistics NZ'!K$130:K$210)</f>
        <v>32499.500165167523</v>
      </c>
      <c r="L61" s="44">
        <f>'Statistics NZ'!L$61*'Economic Forecasts'!N$9*1000000/SUM('Statistics NZ'!L$30:L$110,'Statistics NZ'!L$130:L$210)</f>
        <v>32676.080020899801</v>
      </c>
      <c r="M61" s="44">
        <f>'Statistics NZ'!M$61*'Economic Forecasts'!O$9*1000000/SUM('Statistics NZ'!M$30:M$110,'Statistics NZ'!M$130:M$210)</f>
        <v>34222.817168077221</v>
      </c>
      <c r="N61" s="44">
        <f>'Statistics NZ'!N$61*'Economic Forecasts'!P$9*1000000/SUM('Statistics NZ'!N$30:N$110,'Statistics NZ'!N$130:N$210)</f>
        <v>34071.141133090889</v>
      </c>
      <c r="O61" s="44">
        <f>'Statistics NZ'!O$61*'Economic Forecasts'!Q$9*1000000/SUM('Statistics NZ'!O$30:O$110,'Statistics NZ'!O$130:O$210)</f>
        <v>33008.703169885215</v>
      </c>
      <c r="P61" s="44">
        <f>'Statistics NZ'!P$61*'Economic Forecasts'!R$9*1000000/SUM('Statistics NZ'!P$30:P$110,'Statistics NZ'!P$130:P$210)</f>
        <v>32453.676895082612</v>
      </c>
      <c r="Q61" s="44">
        <f>'Statistics NZ'!Q$61*'Economic Forecasts'!S$9*1000000/SUM('Statistics NZ'!Q$30:Q$110,'Statistics NZ'!Q$130:Q$210)</f>
        <v>31571.003845714687</v>
      </c>
      <c r="R61" s="44">
        <f>'Statistics NZ'!R$61*'Economic Forecasts'!T$9*1000000/SUM('Statistics NZ'!R$30:R$110,'Statistics NZ'!R$130:R$210)</f>
        <v>30242.563524749403</v>
      </c>
      <c r="S61" s="44">
        <f>'Statistics NZ'!S$61*'Economic Forecasts'!U$9*1000000/SUM('Statistics NZ'!S$30:S$110,'Statistics NZ'!S$130:S$210)</f>
        <v>30590.540738604395</v>
      </c>
      <c r="T61" s="44">
        <f>'Statistics NZ'!T$61*'Economic Forecasts'!V$9*1000000/SUM('Statistics NZ'!T$30:T$110,'Statistics NZ'!T$130:T$210)</f>
        <v>31112.360517011533</v>
      </c>
      <c r="U61" s="45">
        <f>SUM('Statistics NZ'!U$61,$K$12/5*(U$8-U$9)*1000)*'Economic Forecasts'!W$9*1000000/SUM('Statistics NZ'!U$30:U$110,'Statistics NZ'!U$130:U$210,SUM($E$12:$T$13)*(U$8-U$9)*1000)</f>
        <v>32285.385586760134</v>
      </c>
      <c r="V61" s="45">
        <f>SUM('Statistics NZ'!V$61,$K$12/5*(V$8-V$9)*1000)*'Economic Forecasts'!X$9*1000000/SUM('Statistics NZ'!V$30:V$110,'Statistics NZ'!V$130:V$210,SUM($E$12:$T$13)*(V$8-V$9)*1000)</f>
        <v>32925.948994492202</v>
      </c>
      <c r="W61" s="45">
        <f>SUM('Statistics NZ'!W$61,$K$12/5*(W$8-W$9)*1000)*'Economic Forecasts'!Y$9*1000000/SUM('Statistics NZ'!W$30:W$110,'Statistics NZ'!W$130:W$210,SUM($E$12:$T$13)*(W$8-W$9)*1000)</f>
        <v>33683.530658266682</v>
      </c>
      <c r="X61" s="45">
        <f>SUM('Statistics NZ'!X$61,$K$12/5*(X$8-X$9)*1000)*'Economic Forecasts'!Z$9*1000000/SUM('Statistics NZ'!X$30:X$110,'Statistics NZ'!X$130:X$210,SUM($E$12:$T$13)*(X$8-X$9)*1000)</f>
        <v>34985.774395995868</v>
      </c>
      <c r="Y61" s="45">
        <f>SUM('Statistics NZ'!Y$61,$K$12/5*(Y$8-Y$9)*1000)*'Economic Forecasts'!AA$9*1000000/SUM('Statistics NZ'!Y$30:Y$110,'Statistics NZ'!Y$130:Y$210,SUM($E$12:$T$13)*(Y$8-Y$9)*1000)</f>
        <v>36115.664392518964</v>
      </c>
      <c r="Z61" s="46">
        <f>SUM(Y$61,'Statistics NZ'!Z$61-'Statistics NZ'!Y$61,$K$12/5*(Z$8-Z$9)*1000)</f>
        <v>36860.477299256381</v>
      </c>
      <c r="AA61" s="46">
        <f>SUM(Z$61,'Statistics NZ'!AA$61-'Statistics NZ'!Z$61,$K$12/5*(AA$8-AA$9)*1000)</f>
        <v>38223.365043298829</v>
      </c>
      <c r="AB61" s="46">
        <f>SUM(AA$61,'Statistics NZ'!AB$61-'Statistics NZ'!AA$61,$K$12/5*(AB$8-AB$9)*1000)</f>
        <v>38914.712657185308</v>
      </c>
      <c r="AC61" s="46">
        <f>SUM(AB$61,'Statistics NZ'!AC$61-'Statistics NZ'!AB$61,$K$12/5*(AC$8-AC$9)*1000)</f>
        <v>40574.712657185308</v>
      </c>
      <c r="AD61" s="46">
        <f>SUM(AC$61,'Statistics NZ'!AD$61-'Statistics NZ'!AC$61,$K$12/5*(AD$8-AD$9)*1000)</f>
        <v>42854.712657185308</v>
      </c>
      <c r="AE61" s="46">
        <f>SUM(AD$61,'Statistics NZ'!AE$61-'Statistics NZ'!AD$61,$K$12/5*(AE$8-AE$9)*1000)</f>
        <v>43864.712657185308</v>
      </c>
      <c r="AF61" s="46">
        <f>SUM(AE$61,'Statistics NZ'!AF$61-'Statistics NZ'!AE$61,$K$12/5*(AF$8-AF$9)*1000)</f>
        <v>45584.712657185308</v>
      </c>
      <c r="AG61" s="46">
        <f>SUM(AF$61,'Statistics NZ'!AG$61-'Statistics NZ'!AF$61,$K$12/5*(AG$8-AG$9)*1000)</f>
        <v>46394.712657185308</v>
      </c>
      <c r="AH61" s="46">
        <f>SUM(AG$61,'Statistics NZ'!AH$61-'Statistics NZ'!AG$61,$K$12/5*(AH$8-AH$9)*1000)</f>
        <v>46004.712657185308</v>
      </c>
      <c r="AI61" s="46">
        <f>SUM(AH$61,'Statistics NZ'!AI$61-'Statistics NZ'!AH$61,$K$12/5*(AI$8-AI$9)*1000)</f>
        <v>45604.712657185308</v>
      </c>
      <c r="AJ61" s="46">
        <f>SUM(AI$61,'Statistics NZ'!AJ$61-'Statistics NZ'!AI$61,$K$12/5*(AJ$8-AJ$9)*1000)</f>
        <v>44364.712657185308</v>
      </c>
      <c r="AK61" s="46">
        <f>SUM(AJ$61,'Statistics NZ'!AK$61-'Statistics NZ'!AJ$61,$K$12/5*(AK$8-AK$9)*1000)</f>
        <v>44104.712657185308</v>
      </c>
      <c r="AL61" s="46">
        <f>SUM(AK$61,'Statistics NZ'!AL$61-'Statistics NZ'!AK$61,$K$12/5*(AL$8-AL$9)*1000)</f>
        <v>43084.712657185308</v>
      </c>
      <c r="AM61" s="46">
        <f>SUM(AL$61,'Statistics NZ'!AM$61-'Statistics NZ'!AL$61,$K$12/5*(AM$8-AM$9)*1000)</f>
        <v>42944.712657185308</v>
      </c>
      <c r="AN61" s="46">
        <f>SUM(AM$61,'Statistics NZ'!AN$61-'Statistics NZ'!AM$61,$K$12/5*(AN$8-AN$9)*1000)</f>
        <v>42644.712657185308</v>
      </c>
      <c r="AO61" s="46">
        <f>SUM(AN$61,'Statistics NZ'!AO$61-'Statistics NZ'!AN$61,$K$12/5*(AO$8-AO$9)*1000)</f>
        <v>41594.712657185308</v>
      </c>
      <c r="AP61" s="46">
        <f>SUM(AO$61,'Statistics NZ'!AP$61-'Statistics NZ'!AO$61,$K$12/5*(AP$8-AP$9)*1000)</f>
        <v>43144.712657185308</v>
      </c>
      <c r="AQ61" s="46">
        <f>SUM(AP$61,'Statistics NZ'!AQ$61-'Statistics NZ'!AP$61,$K$12/5*(AQ$8-AQ$9)*1000)</f>
        <v>42844.712657185308</v>
      </c>
      <c r="AR61" s="46">
        <f>SUM(AQ$61,'Statistics NZ'!AR$61-'Statistics NZ'!AQ$61,$K$12/5*(AR$8-AR$9)*1000)</f>
        <v>42194.712657185308</v>
      </c>
      <c r="AS61" s="46">
        <f>SUM(AR$61,'Statistics NZ'!AS$61-'Statistics NZ'!AR$61,$K$12/5*(AS$8-AS$9)*1000)</f>
        <v>42204.712657185308</v>
      </c>
      <c r="AT61" s="46">
        <f>SUM(AS$61,'Statistics NZ'!AT$61-'Statistics NZ'!AS$61,$K$12/5*(AT$8-AT$9)*1000)</f>
        <v>43164.712657185308</v>
      </c>
      <c r="AU61" s="46">
        <f>SUM(AT$61,'Statistics NZ'!AU$61-'Statistics NZ'!AT$61,$K$12/5*(AU$8-AU$9)*1000)</f>
        <v>43324.712657185308</v>
      </c>
      <c r="AV61" s="46">
        <f>SUM(AU$61,'Statistics NZ'!AV$61-'Statistics NZ'!AU$61,$K$12/5*(AV$8-AV$9)*1000)</f>
        <v>44094.712657185308</v>
      </c>
      <c r="AW61" s="46">
        <f>SUM(AV$61,'Statistics NZ'!AW$61-'Statistics NZ'!AV$61,$K$12/5*(AW$8-AW$9)*1000)</f>
        <v>46294.712657185308</v>
      </c>
      <c r="AX61" s="46">
        <f>SUM(AW$61,'Statistics NZ'!AX$61-'Statistics NZ'!AW$61,$K$12/5*(AX$8-AX$9)*1000)</f>
        <v>47474.712657185308</v>
      </c>
      <c r="AY61" s="46">
        <f>SUM(AX$61,'Statistics NZ'!AY$61-'Statistics NZ'!AX$61,$K$12/5*(AY$8-AY$9)*1000)</f>
        <v>46984.712657185308</v>
      </c>
      <c r="AZ61" s="46">
        <f>SUM(AY$61,'Statistics NZ'!AZ$61-'Statistics NZ'!AY$61,$K$12/5*(AZ$8-AZ$9)*1000)</f>
        <v>48084.712657185308</v>
      </c>
      <c r="BA61" s="46">
        <f>SUM(AZ$61,'Statistics NZ'!BA$61-'Statistics NZ'!AZ$61,$K$12/5*(BA$8-BA$9)*1000)</f>
        <v>48204.712657185308</v>
      </c>
      <c r="BB61" s="46">
        <f>SUM(BA$61,'Statistics NZ'!BB$61-'Statistics NZ'!BA$61,$K$12/5*(BB$8-BB$9)*1000)</f>
        <v>48404.712657185308</v>
      </c>
      <c r="BC61" s="46">
        <f>SUM(BB$61,'Statistics NZ'!BC$61-'Statistics NZ'!BB$61,$K$12/5*(BC$8-BC$9)*1000)</f>
        <v>48504.712657185308</v>
      </c>
      <c r="BD61" s="46">
        <f>SUM(BC$61,'Statistics NZ'!BD$61-'Statistics NZ'!BC$61,$K$12/5*(BD$8-BD$9)*1000)</f>
        <v>47774.712657185308</v>
      </c>
      <c r="BE61" s="46">
        <f>SUM(BD$61,'Statistics NZ'!BE$61-'Statistics NZ'!BD$61,$K$12/5*(BE$8-BE$9)*1000)</f>
        <v>47954.712657185308</v>
      </c>
      <c r="BF61" s="46">
        <f>SUM(BE$61,'Statistics NZ'!BF$61-'Statistics NZ'!BE$61,$K$12/5*(BF$8-BF$9)*1000)</f>
        <v>47634.712657185308</v>
      </c>
      <c r="BG61" s="46">
        <f>SUM(BF$61,'Statistics NZ'!BG$61-'Statistics NZ'!BF$61,$K$12/5*(BG$8-BG$9)*1000)</f>
        <v>48224.712657185308</v>
      </c>
      <c r="BH61" s="46">
        <f>SUM(BG$61,'Statistics NZ'!BH$61-'Statistics NZ'!BG$61,$K$12/5*(BH$8-BH$9)*1000)</f>
        <v>47734.712657185308</v>
      </c>
      <c r="BI61" s="46">
        <f>SUM(BH$61,'Statistics NZ'!BI$61-'Statistics NZ'!BH$61,$K$12/5*(BI$8-BI$9)*1000)</f>
        <v>47874.712657185308</v>
      </c>
    </row>
    <row r="62" spans="1:61" x14ac:dyDescent="0.25">
      <c r="A62" s="11">
        <v>47</v>
      </c>
      <c r="B62" s="44">
        <f>'Statistics NZ'!B$62*'Economic Forecasts'!D$9*1000000/SUM('Statistics NZ'!B$30:B$110,'Statistics NZ'!B$130:B$210)</f>
        <v>30692.222539073875</v>
      </c>
      <c r="C62" s="44">
        <f>'Statistics NZ'!C$62*'Economic Forecasts'!E$9*1000000/SUM('Statistics NZ'!C$30:C$110,'Statistics NZ'!C$130:C$210)</f>
        <v>31326.04964351729</v>
      </c>
      <c r="D62" s="44">
        <f>'Statistics NZ'!D$62*'Economic Forecasts'!F$9*1000000/SUM('Statistics NZ'!D$30:D$110,'Statistics NZ'!D$130:D$210)</f>
        <v>32817.719901077209</v>
      </c>
      <c r="E62" s="44">
        <f>'Statistics NZ'!E$62*'Economic Forecasts'!G$9*1000000/SUM('Statistics NZ'!E$30:E$110,'Statistics NZ'!E$130:E$210)</f>
        <v>33373.298955736391</v>
      </c>
      <c r="F62" s="44">
        <f>'Statistics NZ'!F$62*'Economic Forecasts'!H$9*1000000/SUM('Statistics NZ'!F$30:F$110,'Statistics NZ'!F$130:F$210)</f>
        <v>33585.438531768974</v>
      </c>
      <c r="G62" s="44">
        <f>'Statistics NZ'!G$62*'Economic Forecasts'!I$9*1000000/SUM('Statistics NZ'!G$30:G$110,'Statistics NZ'!G$130:G$210)</f>
        <v>32807.057346700218</v>
      </c>
      <c r="H62" s="44">
        <f>'Statistics NZ'!H$62*'Economic Forecasts'!J$9*1000000/SUM('Statistics NZ'!H$30:H$110,'Statistics NZ'!H$130:H$210)</f>
        <v>31548.515366605967</v>
      </c>
      <c r="I62" s="44">
        <f>'Statistics NZ'!I$62*'Economic Forecasts'!K$9*1000000/SUM('Statistics NZ'!I$30:I$110,'Statistics NZ'!I$130:I$210)</f>
        <v>31165.502319354942</v>
      </c>
      <c r="J62" s="44">
        <f>'Statistics NZ'!J$62*'Economic Forecasts'!L$9*1000000/SUM('Statistics NZ'!J$30:J$110,'Statistics NZ'!J$130:J$210)</f>
        <v>31566.842823615578</v>
      </c>
      <c r="K62" s="44">
        <f>'Statistics NZ'!K$62*'Economic Forecasts'!M$9*1000000/SUM('Statistics NZ'!K$30:K$110,'Statistics NZ'!K$130:K$210)</f>
        <v>31993.216759359042</v>
      </c>
      <c r="L62" s="44">
        <f>'Statistics NZ'!L$62*'Economic Forecasts'!N$9*1000000/SUM('Statistics NZ'!L$30:L$110,'Statistics NZ'!L$130:L$210)</f>
        <v>32676.080020899801</v>
      </c>
      <c r="M62" s="44">
        <f>'Statistics NZ'!M$62*'Economic Forecasts'!O$9*1000000/SUM('Statistics NZ'!M$30:M$110,'Statistics NZ'!M$130:M$210)</f>
        <v>32913.694273266388</v>
      </c>
      <c r="N62" s="44">
        <f>'Statistics NZ'!N$62*'Economic Forecasts'!P$9*1000000/SUM('Statistics NZ'!N$30:N$110,'Statistics NZ'!N$130:N$210)</f>
        <v>34354.90422696212</v>
      </c>
      <c r="O62" s="44">
        <f>'Statistics NZ'!O$62*'Economic Forecasts'!Q$9*1000000/SUM('Statistics NZ'!O$30:O$110,'Statistics NZ'!O$130:O$210)</f>
        <v>34237.802930455866</v>
      </c>
      <c r="P62" s="44">
        <f>'Statistics NZ'!P$62*'Economic Forecasts'!R$9*1000000/SUM('Statistics NZ'!P$30:P$110,'Statistics NZ'!P$130:P$210)</f>
        <v>33220.067085157229</v>
      </c>
      <c r="Q62" s="44">
        <f>'Statistics NZ'!Q$62*'Economic Forecasts'!S$9*1000000/SUM('Statistics NZ'!Q$30:Q$110,'Statistics NZ'!Q$130:Q$210)</f>
        <v>32763.112235106051</v>
      </c>
      <c r="R62" s="44">
        <f>'Statistics NZ'!R$62*'Economic Forecasts'!T$9*1000000/SUM('Statistics NZ'!R$30:R$110,'Statistics NZ'!R$130:R$210)</f>
        <v>31507.234439350381</v>
      </c>
      <c r="S62" s="44">
        <f>'Statistics NZ'!S$62*'Economic Forecasts'!U$9*1000000/SUM('Statistics NZ'!S$30:S$110,'Statistics NZ'!S$130:S$210)</f>
        <v>30207.422212976402</v>
      </c>
      <c r="T62" s="44">
        <f>'Statistics NZ'!T$62*'Economic Forecasts'!V$9*1000000/SUM('Statistics NZ'!T$30:T$110,'Statistics NZ'!T$130:T$210)</f>
        <v>31122.272068625749</v>
      </c>
      <c r="U62" s="45">
        <f>SUM('Statistics NZ'!U$62,$K$12/5*(U$8-U$9)*1000)*'Economic Forecasts'!W$9*1000000/SUM('Statistics NZ'!U$30:U$110,'Statistics NZ'!U$130:U$210,SUM($E$12:$T$13)*(U$8-U$9)*1000)</f>
        <v>31086.88684980437</v>
      </c>
      <c r="V62" s="45">
        <f>SUM('Statistics NZ'!V$62,$K$12/5*(V$8-V$9)*1000)*'Economic Forecasts'!X$9*1000000/SUM('Statistics NZ'!V$30:V$110,'Statistics NZ'!V$130:V$210,SUM($E$12:$T$13)*(V$8-V$9)*1000)</f>
        <v>32262.594184454516</v>
      </c>
      <c r="W62" s="45">
        <f>SUM('Statistics NZ'!W$62,$K$12/5*(W$8-W$9)*1000)*'Economic Forecasts'!Y$9*1000000/SUM('Statistics NZ'!W$30:W$110,'Statistics NZ'!W$130:W$210,SUM($E$12:$T$13)*(W$8-W$9)*1000)</f>
        <v>32940.805983771148</v>
      </c>
      <c r="X62" s="45">
        <f>SUM('Statistics NZ'!X$62,$K$12/5*(X$8-X$9)*1000)*'Economic Forecasts'!Z$9*1000000/SUM('Statistics NZ'!X$30:X$110,'Statistics NZ'!X$130:X$210,SUM($E$12:$T$13)*(X$8-X$9)*1000)</f>
        <v>33707.995711803953</v>
      </c>
      <c r="Y62" s="45">
        <f>SUM('Statistics NZ'!Y$62,$K$12/5*(Y$8-Y$9)*1000)*'Economic Forecasts'!AA$9*1000000/SUM('Statistics NZ'!Y$30:Y$110,'Statistics NZ'!Y$130:Y$210,SUM($E$12:$T$13)*(Y$8-Y$9)*1000)</f>
        <v>35015.776422635783</v>
      </c>
      <c r="Z62" s="46">
        <f>SUM(Y$62,'Statistics NZ'!Z$62-'Statistics NZ'!Y$62,$K$12/5*(Z$8-Z$9)*1000)</f>
        <v>36150.589329373201</v>
      </c>
      <c r="AA62" s="46">
        <f>SUM(Z$62,'Statistics NZ'!AA$62-'Statistics NZ'!Z$62,$K$12/5*(AA$8-AA$9)*1000)</f>
        <v>36893.477073415648</v>
      </c>
      <c r="AB62" s="46">
        <f>SUM(AA$62,'Statistics NZ'!AB$62-'Statistics NZ'!AA$62,$K$12/5*(AB$8-AB$9)*1000)</f>
        <v>38264.824687302127</v>
      </c>
      <c r="AC62" s="46">
        <f>SUM(AB$62,'Statistics NZ'!AC$62-'Statistics NZ'!AB$62,$K$12/5*(AC$8-AC$9)*1000)</f>
        <v>38954.824687302127</v>
      </c>
      <c r="AD62" s="46">
        <f>SUM(AC$62,'Statistics NZ'!AD$62-'Statistics NZ'!AC$62,$K$12/5*(AD$8-AD$9)*1000)</f>
        <v>40614.824687302127</v>
      </c>
      <c r="AE62" s="46">
        <f>SUM(AD$62,'Statistics NZ'!AE$62-'Statistics NZ'!AD$62,$K$12/5*(AE$8-AE$9)*1000)</f>
        <v>42894.824687302127</v>
      </c>
      <c r="AF62" s="46">
        <f>SUM(AE$62,'Statistics NZ'!AF$62-'Statistics NZ'!AE$62,$K$12/5*(AF$8-AF$9)*1000)</f>
        <v>43904.824687302127</v>
      </c>
      <c r="AG62" s="46">
        <f>SUM(AF$62,'Statistics NZ'!AG$62-'Statistics NZ'!AF$62,$K$12/5*(AG$8-AG$9)*1000)</f>
        <v>45624.824687302127</v>
      </c>
      <c r="AH62" s="46">
        <f>SUM(AG$62,'Statistics NZ'!AH$62-'Statistics NZ'!AG$62,$K$12/5*(AH$8-AH$9)*1000)</f>
        <v>46434.824687302127</v>
      </c>
      <c r="AI62" s="46">
        <f>SUM(AH$62,'Statistics NZ'!AI$62-'Statistics NZ'!AH$62,$K$12/5*(AI$8-AI$9)*1000)</f>
        <v>46044.824687302127</v>
      </c>
      <c r="AJ62" s="46">
        <f>SUM(AI$62,'Statistics NZ'!AJ$62-'Statistics NZ'!AI$62,$K$12/5*(AJ$8-AJ$9)*1000)</f>
        <v>45654.824687302127</v>
      </c>
      <c r="AK62" s="46">
        <f>SUM(AJ$62,'Statistics NZ'!AK$62-'Statistics NZ'!AJ$62,$K$12/5*(AK$8-AK$9)*1000)</f>
        <v>44414.824687302127</v>
      </c>
      <c r="AL62" s="46">
        <f>SUM(AK$62,'Statistics NZ'!AL$62-'Statistics NZ'!AK$62,$K$12/5*(AL$8-AL$9)*1000)</f>
        <v>44164.824687302127</v>
      </c>
      <c r="AM62" s="46">
        <f>SUM(AL$62,'Statistics NZ'!AM$62-'Statistics NZ'!AL$62,$K$12/5*(AM$8-AM$9)*1000)</f>
        <v>43144.824687302127</v>
      </c>
      <c r="AN62" s="46">
        <f>SUM(AM$62,'Statistics NZ'!AN$62-'Statistics NZ'!AM$62,$K$12/5*(AN$8-AN$9)*1000)</f>
        <v>43004.824687302127</v>
      </c>
      <c r="AO62" s="46">
        <f>SUM(AN$62,'Statistics NZ'!AO$62-'Statistics NZ'!AN$62,$K$12/5*(AO$8-AO$9)*1000)</f>
        <v>42704.824687302127</v>
      </c>
      <c r="AP62" s="46">
        <f>SUM(AO$62,'Statistics NZ'!AP$62-'Statistics NZ'!AO$62,$K$12/5*(AP$8-AP$9)*1000)</f>
        <v>41654.824687302127</v>
      </c>
      <c r="AQ62" s="46">
        <f>SUM(AP$62,'Statistics NZ'!AQ$62-'Statistics NZ'!AP$62,$K$12/5*(AQ$8-AQ$9)*1000)</f>
        <v>43214.824687302127</v>
      </c>
      <c r="AR62" s="46">
        <f>SUM(AQ$62,'Statistics NZ'!AR$62-'Statistics NZ'!AQ$62,$K$12/5*(AR$8-AR$9)*1000)</f>
        <v>42914.824687302127</v>
      </c>
      <c r="AS62" s="46">
        <f>SUM(AR$62,'Statistics NZ'!AS$62-'Statistics NZ'!AR$62,$K$12/5*(AS$8-AS$9)*1000)</f>
        <v>42264.824687302127</v>
      </c>
      <c r="AT62" s="46">
        <f>SUM(AS$62,'Statistics NZ'!AT$62-'Statistics NZ'!AS$62,$K$12/5*(AT$8-AT$9)*1000)</f>
        <v>42274.824687302127</v>
      </c>
      <c r="AU62" s="46">
        <f>SUM(AT$62,'Statistics NZ'!AU$62-'Statistics NZ'!AT$62,$K$12/5*(AU$8-AU$9)*1000)</f>
        <v>43234.824687302127</v>
      </c>
      <c r="AV62" s="46">
        <f>SUM(AU$62,'Statistics NZ'!AV$62-'Statistics NZ'!AU$62,$K$12/5*(AV$8-AV$9)*1000)</f>
        <v>43394.824687302127</v>
      </c>
      <c r="AW62" s="46">
        <f>SUM(AV$62,'Statistics NZ'!AW$62-'Statistics NZ'!AV$62,$K$12/5*(AW$8-AW$9)*1000)</f>
        <v>44164.824687302127</v>
      </c>
      <c r="AX62" s="46">
        <f>SUM(AW$62,'Statistics NZ'!AX$62-'Statistics NZ'!AW$62,$K$12/5*(AX$8-AX$9)*1000)</f>
        <v>46364.824687302127</v>
      </c>
      <c r="AY62" s="46">
        <f>SUM(AX$62,'Statistics NZ'!AY$62-'Statistics NZ'!AX$62,$K$12/5*(AY$8-AY$9)*1000)</f>
        <v>47544.824687302127</v>
      </c>
      <c r="AZ62" s="46">
        <f>SUM(AY$62,'Statistics NZ'!AZ$62-'Statistics NZ'!AY$62,$K$12/5*(AZ$8-AZ$9)*1000)</f>
        <v>47064.824687302127</v>
      </c>
      <c r="BA62" s="46">
        <f>SUM(AZ$62,'Statistics NZ'!BA$62-'Statistics NZ'!AZ$62,$K$12/5*(BA$8-BA$9)*1000)</f>
        <v>48164.824687302127</v>
      </c>
      <c r="BB62" s="46">
        <f>SUM(BA$62,'Statistics NZ'!BB$62-'Statistics NZ'!BA$62,$K$12/5*(BB$8-BB$9)*1000)</f>
        <v>48284.824687302127</v>
      </c>
      <c r="BC62" s="46">
        <f>SUM(BB$62,'Statistics NZ'!BC$62-'Statistics NZ'!BB$62,$K$12/5*(BC$8-BC$9)*1000)</f>
        <v>48484.824687302127</v>
      </c>
      <c r="BD62" s="46">
        <f>SUM(BC$62,'Statistics NZ'!BD$62-'Statistics NZ'!BC$62,$K$12/5*(BD$8-BD$9)*1000)</f>
        <v>48594.824687302127</v>
      </c>
      <c r="BE62" s="46">
        <f>SUM(BD$62,'Statistics NZ'!BE$62-'Statistics NZ'!BD$62,$K$12/5*(BE$8-BE$9)*1000)</f>
        <v>47864.824687302127</v>
      </c>
      <c r="BF62" s="46">
        <f>SUM(BE$62,'Statistics NZ'!BF$62-'Statistics NZ'!BE$62,$K$12/5*(BF$8-BF$9)*1000)</f>
        <v>48044.824687302127</v>
      </c>
      <c r="BG62" s="46">
        <f>SUM(BF$62,'Statistics NZ'!BG$62-'Statistics NZ'!BF$62,$K$12/5*(BG$8-BG$9)*1000)</f>
        <v>47734.824687302127</v>
      </c>
      <c r="BH62" s="46">
        <f>SUM(BG$62,'Statistics NZ'!BH$62-'Statistics NZ'!BG$62,$K$12/5*(BH$8-BH$9)*1000)</f>
        <v>48314.824687302127</v>
      </c>
      <c r="BI62" s="46">
        <f>SUM(BH$62,'Statistics NZ'!BI$62-'Statistics NZ'!BH$62,$K$12/5*(BI$8-BI$9)*1000)</f>
        <v>47824.824687302127</v>
      </c>
    </row>
    <row r="63" spans="1:61" x14ac:dyDescent="0.25">
      <c r="A63" s="11">
        <v>48</v>
      </c>
      <c r="B63" s="44">
        <f>'Statistics NZ'!B$63*'Economic Forecasts'!D$9*1000000/SUM('Statistics NZ'!B$30:B$110,'Statistics NZ'!B$130:B$210)</f>
        <v>29322.470815940196</v>
      </c>
      <c r="C63" s="44">
        <f>'Statistics NZ'!C$63*'Economic Forecasts'!E$9*1000000/SUM('Statistics NZ'!C$30:C$110,'Statistics NZ'!C$130:C$210)</f>
        <v>30756.485104544256</v>
      </c>
      <c r="D63" s="44">
        <f>'Statistics NZ'!D$63*'Economic Forecasts'!F$9*1000000/SUM('Statistics NZ'!D$30:D$110,'Statistics NZ'!D$130:D$210)</f>
        <v>31216.615937031842</v>
      </c>
      <c r="E63" s="44">
        <f>'Statistics NZ'!E$63*'Economic Forecasts'!G$9*1000000/SUM('Statistics NZ'!E$30:E$110,'Statistics NZ'!E$130:E$210)</f>
        <v>32677.000329272312</v>
      </c>
      <c r="F63" s="44">
        <f>'Statistics NZ'!F$63*'Economic Forecasts'!H$9*1000000/SUM('Statistics NZ'!F$30:F$110,'Statistics NZ'!F$130:F$210)</f>
        <v>33310.791254055905</v>
      </c>
      <c r="G63" s="44">
        <f>'Statistics NZ'!G$63*'Economic Forecasts'!I$9*1000000/SUM('Statistics NZ'!G$30:G$110,'Statistics NZ'!G$130:G$210)</f>
        <v>33524.097821643067</v>
      </c>
      <c r="H63" s="44">
        <f>'Statistics NZ'!H$63*'Economic Forecasts'!J$9*1000000/SUM('Statistics NZ'!H$30:H$110,'Statistics NZ'!H$130:H$210)</f>
        <v>32609.63017806453</v>
      </c>
      <c r="I63" s="44">
        <f>'Statistics NZ'!I$63*'Economic Forecasts'!K$9*1000000/SUM('Statistics NZ'!I$30:I$110,'Statistics NZ'!I$130:I$210)</f>
        <v>31341.96631487189</v>
      </c>
      <c r="J63" s="44">
        <f>'Statistics NZ'!J$63*'Economic Forecasts'!L$9*1000000/SUM('Statistics NZ'!J$30:J$110,'Statistics NZ'!J$130:J$210)</f>
        <v>30971.978006735579</v>
      </c>
      <c r="K63" s="44">
        <f>'Statistics NZ'!K$63*'Economic Forecasts'!M$9*1000000/SUM('Statistics NZ'!K$30:K$110,'Statistics NZ'!K$130:K$210)</f>
        <v>31594.031766317737</v>
      </c>
      <c r="L63" s="44">
        <f>'Statistics NZ'!L$63*'Economic Forecasts'!N$9*1000000/SUM('Statistics NZ'!L$30:L$110,'Statistics NZ'!L$130:L$210)</f>
        <v>32160.03942462218</v>
      </c>
      <c r="M63" s="44">
        <f>'Statistics NZ'!M$63*'Economic Forecasts'!O$9*1000000/SUM('Statistics NZ'!M$30:M$110,'Statistics NZ'!M$130:M$210)</f>
        <v>32952.772568633874</v>
      </c>
      <c r="N63" s="44">
        <f>'Statistics NZ'!N$63*'Economic Forecasts'!P$9*1000000/SUM('Statistics NZ'!N$30:N$110,'Statistics NZ'!N$130:N$210)</f>
        <v>33014.368231777327</v>
      </c>
      <c r="O63" s="44">
        <f>'Statistics NZ'!O$63*'Economic Forecasts'!Q$9*1000000/SUM('Statistics NZ'!O$30:O$110,'Statistics NZ'!O$130:O$210)</f>
        <v>34581.950863415645</v>
      </c>
      <c r="P63" s="44">
        <f>'Statistics NZ'!P$63*'Economic Forecasts'!R$9*1000000/SUM('Statistics NZ'!P$30:P$110,'Statistics NZ'!P$130:P$210)</f>
        <v>34261.571702438101</v>
      </c>
      <c r="Q63" s="44">
        <f>'Statistics NZ'!Q$63*'Economic Forecasts'!S$9*1000000/SUM('Statistics NZ'!Q$30:Q$110,'Statistics NZ'!Q$130:Q$210)</f>
        <v>33567.785397945227</v>
      </c>
      <c r="R63" s="44">
        <f>'Statistics NZ'!R$63*'Economic Forecasts'!T$9*1000000/SUM('Statistics NZ'!R$30:R$110,'Statistics NZ'!R$130:R$210)</f>
        <v>32632.492812184322</v>
      </c>
      <c r="S63" s="44">
        <f>'Statistics NZ'!S$63*'Economic Forecasts'!U$9*1000000/SUM('Statistics NZ'!S$30:S$110,'Statistics NZ'!S$130:S$210)</f>
        <v>31317.483582103665</v>
      </c>
      <c r="T63" s="44">
        <f>'Statistics NZ'!T$63*'Economic Forecasts'!V$9*1000000/SUM('Statistics NZ'!T$30:T$110,'Statistics NZ'!T$130:T$210)</f>
        <v>30676.252245986205</v>
      </c>
      <c r="U63" s="45">
        <f>SUM('Statistics NZ'!U$63,$K$12/5*(U$8-U$9)*1000)*'Economic Forecasts'!W$9*1000000/SUM('Statistics NZ'!U$30:U$110,'Statistics NZ'!U$130:U$210,SUM($E$12:$T$13)*(U$8-U$9)*1000)</f>
        <v>31047.267056847159</v>
      </c>
      <c r="V63" s="45">
        <f>SUM('Statistics NZ'!V$63,$K$12/5*(V$8-V$9)*1000)*'Economic Forecasts'!X$9*1000000/SUM('Statistics NZ'!V$30:V$110,'Statistics NZ'!V$130:V$210,SUM($E$12:$T$13)*(V$8-V$9)*1000)</f>
        <v>31024.991926921528</v>
      </c>
      <c r="W63" s="45">
        <f>SUM('Statistics NZ'!W$63,$K$12/5*(W$8-W$9)*1000)*'Economic Forecasts'!Y$9*1000000/SUM('Statistics NZ'!W$30:W$110,'Statistics NZ'!W$130:W$210,SUM($E$12:$T$13)*(W$8-W$9)*1000)</f>
        <v>32227.790296255433</v>
      </c>
      <c r="X63" s="45">
        <f>SUM('Statistics NZ'!X$63,$K$12/5*(X$8-X$9)*1000)*'Economic Forecasts'!Z$9*1000000/SUM('Statistics NZ'!X$30:X$110,'Statistics NZ'!X$130:X$210,SUM($E$12:$T$13)*(X$8-X$9)*1000)</f>
        <v>32915.574822382601</v>
      </c>
      <c r="Y63" s="45">
        <f>SUM('Statistics NZ'!Y$63,$K$12/5*(Y$8-Y$9)*1000)*'Economic Forecasts'!AA$9*1000000/SUM('Statistics NZ'!Y$30:Y$110,'Statistics NZ'!Y$130:Y$210,SUM($E$12:$T$13)*(Y$8-Y$9)*1000)</f>
        <v>33687.983738272305</v>
      </c>
      <c r="Z63" s="46">
        <f>SUM(Y$63,'Statistics NZ'!Z$63-'Statistics NZ'!Y$63,$K$12/5*(Z$8-Z$9)*1000)</f>
        <v>35012.796645009723</v>
      </c>
      <c r="AA63" s="46">
        <f>SUM(Z$63,'Statistics NZ'!AA$63-'Statistics NZ'!Z$63,$K$12/5*(AA$8-AA$9)*1000)</f>
        <v>36145.68438905217</v>
      </c>
      <c r="AB63" s="46">
        <f>SUM(AA$63,'Statistics NZ'!AB$63-'Statistics NZ'!AA$63,$K$12/5*(AB$8-AB$9)*1000)</f>
        <v>36887.032002938649</v>
      </c>
      <c r="AC63" s="46">
        <f>SUM(AB$63,'Statistics NZ'!AC$63-'Statistics NZ'!AB$63,$K$12/5*(AC$8-AC$9)*1000)</f>
        <v>38257.032002938649</v>
      </c>
      <c r="AD63" s="46">
        <f>SUM(AC$63,'Statistics NZ'!AD$63-'Statistics NZ'!AC$63,$K$12/5*(AD$8-AD$9)*1000)</f>
        <v>38947.032002938649</v>
      </c>
      <c r="AE63" s="46">
        <f>SUM(AD$63,'Statistics NZ'!AE$63-'Statistics NZ'!AD$63,$K$12/5*(AE$8-AE$9)*1000)</f>
        <v>40607.032002938649</v>
      </c>
      <c r="AF63" s="46">
        <f>SUM(AE$63,'Statistics NZ'!AF$63-'Statistics NZ'!AE$63,$K$12/5*(AF$8-AF$9)*1000)</f>
        <v>42887.032002938649</v>
      </c>
      <c r="AG63" s="46">
        <f>SUM(AF$63,'Statistics NZ'!AG$63-'Statistics NZ'!AF$63,$K$12/5*(AG$8-AG$9)*1000)</f>
        <v>43897.032002938649</v>
      </c>
      <c r="AH63" s="46">
        <f>SUM(AG$63,'Statistics NZ'!AH$63-'Statistics NZ'!AG$63,$K$12/5*(AH$8-AH$9)*1000)</f>
        <v>45617.032002938649</v>
      </c>
      <c r="AI63" s="46">
        <f>SUM(AH$63,'Statistics NZ'!AI$63-'Statistics NZ'!AH$63,$K$12/5*(AI$8-AI$9)*1000)</f>
        <v>46427.032002938649</v>
      </c>
      <c r="AJ63" s="46">
        <f>SUM(AI$63,'Statistics NZ'!AJ$63-'Statistics NZ'!AI$63,$K$12/5*(AJ$8-AJ$9)*1000)</f>
        <v>46047.032002938649</v>
      </c>
      <c r="AK63" s="46">
        <f>SUM(AJ$63,'Statistics NZ'!AK$63-'Statistics NZ'!AJ$63,$K$12/5*(AK$8-AK$9)*1000)</f>
        <v>45657.032002938649</v>
      </c>
      <c r="AL63" s="46">
        <f>SUM(AK$63,'Statistics NZ'!AL$63-'Statistics NZ'!AK$63,$K$12/5*(AL$8-AL$9)*1000)</f>
        <v>44417.032002938649</v>
      </c>
      <c r="AM63" s="46">
        <f>SUM(AL$63,'Statistics NZ'!AM$63-'Statistics NZ'!AL$63,$K$12/5*(AM$8-AM$9)*1000)</f>
        <v>44167.032002938649</v>
      </c>
      <c r="AN63" s="46">
        <f>SUM(AM$63,'Statistics NZ'!AN$63-'Statistics NZ'!AM$63,$K$12/5*(AN$8-AN$9)*1000)</f>
        <v>43157.032002938649</v>
      </c>
      <c r="AO63" s="46">
        <f>SUM(AN$63,'Statistics NZ'!AO$63-'Statistics NZ'!AN$63,$K$12/5*(AO$8-AO$9)*1000)</f>
        <v>43017.032002938649</v>
      </c>
      <c r="AP63" s="46">
        <f>SUM(AO$63,'Statistics NZ'!AP$63-'Statistics NZ'!AO$63,$K$12/5*(AP$8-AP$9)*1000)</f>
        <v>42717.032002938649</v>
      </c>
      <c r="AQ63" s="46">
        <f>SUM(AP$63,'Statistics NZ'!AQ$63-'Statistics NZ'!AP$63,$K$12/5*(AQ$8-AQ$9)*1000)</f>
        <v>41667.032002938649</v>
      </c>
      <c r="AR63" s="46">
        <f>SUM(AQ$63,'Statistics NZ'!AR$63-'Statistics NZ'!AQ$63,$K$12/5*(AR$8-AR$9)*1000)</f>
        <v>43227.032002938649</v>
      </c>
      <c r="AS63" s="46">
        <f>SUM(AR$63,'Statistics NZ'!AS$63-'Statistics NZ'!AR$63,$K$12/5*(AS$8-AS$9)*1000)</f>
        <v>42927.032002938649</v>
      </c>
      <c r="AT63" s="46">
        <f>SUM(AS$63,'Statistics NZ'!AT$63-'Statistics NZ'!AS$63,$K$12/5*(AT$8-AT$9)*1000)</f>
        <v>42287.032002938649</v>
      </c>
      <c r="AU63" s="46">
        <f>SUM(AT$63,'Statistics NZ'!AU$63-'Statistics NZ'!AT$63,$K$12/5*(AU$8-AU$9)*1000)</f>
        <v>42297.032002938649</v>
      </c>
      <c r="AV63" s="46">
        <f>SUM(AU$63,'Statistics NZ'!AV$63-'Statistics NZ'!AU$63,$K$12/5*(AV$8-AV$9)*1000)</f>
        <v>43257.032002938649</v>
      </c>
      <c r="AW63" s="46">
        <f>SUM(AV$63,'Statistics NZ'!AW$63-'Statistics NZ'!AV$63,$K$12/5*(AW$8-AW$9)*1000)</f>
        <v>43417.032002938649</v>
      </c>
      <c r="AX63" s="46">
        <f>SUM(AW$63,'Statistics NZ'!AX$63-'Statistics NZ'!AW$63,$K$12/5*(AX$8-AX$9)*1000)</f>
        <v>44197.032002938649</v>
      </c>
      <c r="AY63" s="46">
        <f>SUM(AX$63,'Statistics NZ'!AY$63-'Statistics NZ'!AX$63,$K$12/5*(AY$8-AY$9)*1000)</f>
        <v>46397.032002938649</v>
      </c>
      <c r="AZ63" s="46">
        <f>SUM(AY$63,'Statistics NZ'!AZ$63-'Statistics NZ'!AY$63,$K$12/5*(AZ$8-AZ$9)*1000)</f>
        <v>47577.032002938649</v>
      </c>
      <c r="BA63" s="46">
        <f>SUM(AZ$63,'Statistics NZ'!BA$63-'Statistics NZ'!AZ$63,$K$12/5*(BA$8-BA$9)*1000)</f>
        <v>47097.032002938649</v>
      </c>
      <c r="BB63" s="46">
        <f>SUM(BA$63,'Statistics NZ'!BB$63-'Statistics NZ'!BA$63,$K$12/5*(BB$8-BB$9)*1000)</f>
        <v>48187.032002938649</v>
      </c>
      <c r="BC63" s="46">
        <f>SUM(BB$63,'Statistics NZ'!BC$63-'Statistics NZ'!BB$63,$K$12/5*(BC$8-BC$9)*1000)</f>
        <v>48317.032002938649</v>
      </c>
      <c r="BD63" s="46">
        <f>SUM(BC$63,'Statistics NZ'!BD$63-'Statistics NZ'!BC$63,$K$12/5*(BD$8-BD$9)*1000)</f>
        <v>48517.032002938649</v>
      </c>
      <c r="BE63" s="46">
        <f>SUM(BD$63,'Statistics NZ'!BE$63-'Statistics NZ'!BD$63,$K$12/5*(BE$8-BE$9)*1000)</f>
        <v>48627.032002938649</v>
      </c>
      <c r="BF63" s="46">
        <f>SUM(BE$63,'Statistics NZ'!BF$63-'Statistics NZ'!BE$63,$K$12/5*(BF$8-BF$9)*1000)</f>
        <v>47897.032002938649</v>
      </c>
      <c r="BG63" s="46">
        <f>SUM(BF$63,'Statistics NZ'!BG$63-'Statistics NZ'!BF$63,$K$12/5*(BG$8-BG$9)*1000)</f>
        <v>48087.032002938649</v>
      </c>
      <c r="BH63" s="46">
        <f>SUM(BG$63,'Statistics NZ'!BH$63-'Statistics NZ'!BG$63,$K$12/5*(BH$8-BH$9)*1000)</f>
        <v>47767.032002938649</v>
      </c>
      <c r="BI63" s="46">
        <f>SUM(BH$63,'Statistics NZ'!BI$63-'Statistics NZ'!BH$63,$K$12/5*(BI$8-BI$9)*1000)</f>
        <v>48357.032002938649</v>
      </c>
    </row>
    <row r="64" spans="1:61" x14ac:dyDescent="0.25">
      <c r="A64" s="11">
        <v>49</v>
      </c>
      <c r="B64" s="44">
        <f>'Statistics NZ'!B$64*'Economic Forecasts'!D$9*1000000/SUM('Statistics NZ'!B$30:B$110,'Statistics NZ'!B$130:B$210)</f>
        <v>28647.378895252888</v>
      </c>
      <c r="C64" s="44">
        <f>'Statistics NZ'!C$64*'Economic Forecasts'!E$9*1000000/SUM('Statistics NZ'!C$30:C$110,'Statistics NZ'!C$130:C$210)</f>
        <v>29303.113522337178</v>
      </c>
      <c r="D64" s="44">
        <f>'Statistics NZ'!D$64*'Economic Forecasts'!F$9*1000000/SUM('Statistics NZ'!D$30:D$110,'Statistics NZ'!D$130:D$210)</f>
        <v>30676.36613321285</v>
      </c>
      <c r="E64" s="44">
        <f>'Statistics NZ'!E$64*'Economic Forecasts'!G$9*1000000/SUM('Statistics NZ'!E$30:E$110,'Statistics NZ'!E$130:E$210)</f>
        <v>31088.262618185243</v>
      </c>
      <c r="F64" s="44">
        <f>'Statistics NZ'!F$64*'Economic Forecasts'!H$9*1000000/SUM('Statistics NZ'!F$30:F$110,'Statistics NZ'!F$130:F$210)</f>
        <v>32624.173059773246</v>
      </c>
      <c r="G64" s="44">
        <f>'Statistics NZ'!G$64*'Economic Forecasts'!I$9*1000000/SUM('Statistics NZ'!G$30:G$110,'Statistics NZ'!G$130:G$210)</f>
        <v>33229.423653858335</v>
      </c>
      <c r="H64" s="44">
        <f>'Statistics NZ'!H$64*'Economic Forecasts'!J$9*1000000/SUM('Statistics NZ'!H$30:H$110,'Statistics NZ'!H$130:H$210)</f>
        <v>33336.690326656506</v>
      </c>
      <c r="I64" s="44">
        <f>'Statistics NZ'!I$64*'Economic Forecasts'!K$9*1000000/SUM('Statistics NZ'!I$30:I$110,'Statistics NZ'!I$130:I$210)</f>
        <v>32449.76806450609</v>
      </c>
      <c r="J64" s="44">
        <f>'Statistics NZ'!J$64*'Economic Forecasts'!L$9*1000000/SUM('Statistics NZ'!J$30:J$110,'Statistics NZ'!J$130:J$210)</f>
        <v>31215.775062833938</v>
      </c>
      <c r="K64" s="44">
        <f>'Statistics NZ'!K$64*'Economic Forecasts'!M$9*1000000/SUM('Statistics NZ'!K$30:K$110,'Statistics NZ'!K$130:K$210)</f>
        <v>30961.177509057135</v>
      </c>
      <c r="L64" s="44">
        <f>'Statistics NZ'!L$64*'Economic Forecasts'!N$9*1000000/SUM('Statistics NZ'!L$30:L$110,'Statistics NZ'!L$130:L$210)</f>
        <v>31653.735443368667</v>
      </c>
      <c r="M64" s="44">
        <f>'Statistics NZ'!M$64*'Economic Forecasts'!O$9*1000000/SUM('Statistics NZ'!M$30:M$110,'Statistics NZ'!M$130:M$210)</f>
        <v>32415.44600733092</v>
      </c>
      <c r="N64" s="44">
        <f>'Statistics NZ'!N$64*'Economic Forecasts'!P$9*1000000/SUM('Statistics NZ'!N$30:N$110,'Statistics NZ'!N$130:N$210)</f>
        <v>33102.432640220126</v>
      </c>
      <c r="O64" s="44">
        <f>'Statistics NZ'!O$64*'Economic Forecasts'!Q$9*1000000/SUM('Statistics NZ'!O$30:O$110,'Statistics NZ'!O$130:O$210)</f>
        <v>33126.696746900001</v>
      </c>
      <c r="P64" s="44">
        <f>'Statistics NZ'!P$64*'Economic Forecasts'!R$9*1000000/SUM('Statistics NZ'!P$30:P$110,'Statistics NZ'!P$130:P$210)</f>
        <v>34634.941282218046</v>
      </c>
      <c r="Q64" s="44">
        <f>'Statistics NZ'!Q$64*'Economic Forecasts'!S$9*1000000/SUM('Statistics NZ'!Q$30:Q$110,'Statistics NZ'!Q$130:Q$210)</f>
        <v>34541.340582614845</v>
      </c>
      <c r="R64" s="44">
        <f>'Statistics NZ'!R$64*'Economic Forecasts'!T$9*1000000/SUM('Statistics NZ'!R$30:R$110,'Statistics NZ'!R$130:R$210)</f>
        <v>33508.800217577125</v>
      </c>
      <c r="S64" s="44">
        <f>'Statistics NZ'!S$64*'Economic Forecasts'!U$9*1000000/SUM('Statistics NZ'!S$30:S$110,'Statistics NZ'!S$130:S$210)</f>
        <v>32299.838776021599</v>
      </c>
      <c r="T64" s="44">
        <f>'Statistics NZ'!T$64*'Economic Forecasts'!V$9*1000000/SUM('Statistics NZ'!T$30:T$110,'Statistics NZ'!T$130:T$210)</f>
        <v>31726.87671709268</v>
      </c>
      <c r="U64" s="45">
        <f>SUM('Statistics NZ'!U$64,$K$12/5*(U$8-U$9)*1000)*'Economic Forecasts'!W$9*1000000/SUM('Statistics NZ'!U$30:U$110,'Statistics NZ'!U$130:U$210,SUM($E$12:$T$13)*(U$8-U$9)*1000)</f>
        <v>30571.82954136057</v>
      </c>
      <c r="V64" s="45">
        <f>SUM('Statistics NZ'!V$64,$K$12/5*(V$8-V$9)*1000)*'Economic Forecasts'!X$9*1000000/SUM('Statistics NZ'!V$30:V$110,'Statistics NZ'!V$130:V$210,SUM($E$12:$T$13)*(V$8-V$9)*1000)</f>
        <v>30955.686200499687</v>
      </c>
      <c r="W64" s="45">
        <f>SUM('Statistics NZ'!W$64,$K$12/5*(W$8-W$9)*1000)*'Economic Forecasts'!Y$9*1000000/SUM('Statistics NZ'!W$30:W$110,'Statistics NZ'!W$130:W$210,SUM($E$12:$T$13)*(W$8-W$9)*1000)</f>
        <v>30960.206851783045</v>
      </c>
      <c r="X64" s="45">
        <f>SUM('Statistics NZ'!X$64,$K$12/5*(X$8-X$9)*1000)*'Economic Forecasts'!Z$9*1000000/SUM('Statistics NZ'!X$30:X$110,'Statistics NZ'!X$130:X$210,SUM($E$12:$T$13)*(X$8-X$9)*1000)</f>
        <v>32172.6802385501</v>
      </c>
      <c r="Y64" s="45">
        <f>SUM('Statistics NZ'!Y$64,$K$12/5*(Y$8-Y$9)*1000)*'Economic Forecasts'!AA$9*1000000/SUM('Statistics NZ'!Y$30:Y$110,'Statistics NZ'!Y$130:Y$210,SUM($E$12:$T$13)*(Y$8-Y$9)*1000)</f>
        <v>32865.544986017318</v>
      </c>
      <c r="Z64" s="46">
        <f>SUM(Y$64,'Statistics NZ'!Z$64-'Statistics NZ'!Y$64,$K$12/5*(Z$8-Z$9)*1000)</f>
        <v>33650.357892754735</v>
      </c>
      <c r="AA64" s="46">
        <f>SUM(Z$64,'Statistics NZ'!AA$64-'Statistics NZ'!Z$64,$K$12/5*(AA$8-AA$9)*1000)</f>
        <v>34973.245636797183</v>
      </c>
      <c r="AB64" s="46">
        <f>SUM(AA$64,'Statistics NZ'!AB$64-'Statistics NZ'!AA$64,$K$12/5*(AB$8-AB$9)*1000)</f>
        <v>36104.593250683662</v>
      </c>
      <c r="AC64" s="46">
        <f>SUM(AB$64,'Statistics NZ'!AC$64-'Statistics NZ'!AB$64,$K$12/5*(AC$8-AC$9)*1000)</f>
        <v>36844.593250683662</v>
      </c>
      <c r="AD64" s="46">
        <f>SUM(AC$64,'Statistics NZ'!AD$64-'Statistics NZ'!AC$64,$K$12/5*(AD$8-AD$9)*1000)</f>
        <v>38214.593250683662</v>
      </c>
      <c r="AE64" s="46">
        <f>SUM(AD$64,'Statistics NZ'!AE$64-'Statistics NZ'!AD$64,$K$12/5*(AE$8-AE$9)*1000)</f>
        <v>38904.593250683662</v>
      </c>
      <c r="AF64" s="46">
        <f>SUM(AE$64,'Statistics NZ'!AF$64-'Statistics NZ'!AE$64,$K$12/5*(AF$8-AF$9)*1000)</f>
        <v>40564.593250683662</v>
      </c>
      <c r="AG64" s="46">
        <f>SUM(AF$64,'Statistics NZ'!AG$64-'Statistics NZ'!AF$64,$K$12/5*(AG$8-AG$9)*1000)</f>
        <v>42834.593250683662</v>
      </c>
      <c r="AH64" s="46">
        <f>SUM(AG$64,'Statistics NZ'!AH$64-'Statistics NZ'!AG$64,$K$12/5*(AH$8-AH$9)*1000)</f>
        <v>43854.593250683662</v>
      </c>
      <c r="AI64" s="46">
        <f>SUM(AH$64,'Statistics NZ'!AI$64-'Statistics NZ'!AH$64,$K$12/5*(AI$8-AI$9)*1000)</f>
        <v>45574.593250683662</v>
      </c>
      <c r="AJ64" s="46">
        <f>SUM(AI$64,'Statistics NZ'!AJ$64-'Statistics NZ'!AI$64,$K$12/5*(AJ$8-AJ$9)*1000)</f>
        <v>46384.593250683662</v>
      </c>
      <c r="AK64" s="46">
        <f>SUM(AJ$64,'Statistics NZ'!AK$64-'Statistics NZ'!AJ$64,$K$12/5*(AK$8-AK$9)*1000)</f>
        <v>46004.593250683662</v>
      </c>
      <c r="AL64" s="46">
        <f>SUM(AK$64,'Statistics NZ'!AL$64-'Statistics NZ'!AK$64,$K$12/5*(AL$8-AL$9)*1000)</f>
        <v>45614.593250683662</v>
      </c>
      <c r="AM64" s="46">
        <f>SUM(AL$64,'Statistics NZ'!AM$64-'Statistics NZ'!AL$64,$K$12/5*(AM$8-AM$9)*1000)</f>
        <v>44384.593250683662</v>
      </c>
      <c r="AN64" s="46">
        <f>SUM(AM$64,'Statistics NZ'!AN$64-'Statistics NZ'!AM$64,$K$12/5*(AN$8-AN$9)*1000)</f>
        <v>44134.593250683662</v>
      </c>
      <c r="AO64" s="46">
        <f>SUM(AN$64,'Statistics NZ'!AO$64-'Statistics NZ'!AN$64,$K$12/5*(AO$8-AO$9)*1000)</f>
        <v>43124.593250683662</v>
      </c>
      <c r="AP64" s="46">
        <f>SUM(AO$64,'Statistics NZ'!AP$64-'Statistics NZ'!AO$64,$K$12/5*(AP$8-AP$9)*1000)</f>
        <v>42984.593250683662</v>
      </c>
      <c r="AQ64" s="46">
        <f>SUM(AP$64,'Statistics NZ'!AQ$64-'Statistics NZ'!AP$64,$K$12/5*(AQ$8-AQ$9)*1000)</f>
        <v>42684.593250683662</v>
      </c>
      <c r="AR64" s="46">
        <f>SUM(AQ$64,'Statistics NZ'!AR$64-'Statistics NZ'!AQ$64,$K$12/5*(AR$8-AR$9)*1000)</f>
        <v>41644.593250683662</v>
      </c>
      <c r="AS64" s="46">
        <f>SUM(AR$64,'Statistics NZ'!AS$64-'Statistics NZ'!AR$64,$K$12/5*(AS$8-AS$9)*1000)</f>
        <v>43204.593250683662</v>
      </c>
      <c r="AT64" s="46">
        <f>SUM(AS$64,'Statistics NZ'!AT$64-'Statistics NZ'!AS$64,$K$12/5*(AT$8-AT$9)*1000)</f>
        <v>42904.593250683662</v>
      </c>
      <c r="AU64" s="46">
        <f>SUM(AT$64,'Statistics NZ'!AU$64-'Statistics NZ'!AT$64,$K$12/5*(AU$8-AU$9)*1000)</f>
        <v>42274.593250683662</v>
      </c>
      <c r="AV64" s="46">
        <f>SUM(AU$64,'Statistics NZ'!AV$64-'Statistics NZ'!AU$64,$K$12/5*(AV$8-AV$9)*1000)</f>
        <v>42284.593250683662</v>
      </c>
      <c r="AW64" s="46">
        <f>SUM(AV$64,'Statistics NZ'!AW$64-'Statistics NZ'!AV$64,$K$12/5*(AW$8-AW$9)*1000)</f>
        <v>43244.593250683662</v>
      </c>
      <c r="AX64" s="46">
        <f>SUM(AW$64,'Statistics NZ'!AX$64-'Statistics NZ'!AW$64,$K$12/5*(AX$8-AX$9)*1000)</f>
        <v>43404.593250683662</v>
      </c>
      <c r="AY64" s="46">
        <f>SUM(AX$64,'Statistics NZ'!AY$64-'Statistics NZ'!AX$64,$K$12/5*(AY$8-AY$9)*1000)</f>
        <v>44184.593250683662</v>
      </c>
      <c r="AZ64" s="46">
        <f>SUM(AY$64,'Statistics NZ'!AZ$64-'Statistics NZ'!AY$64,$K$12/5*(AZ$8-AZ$9)*1000)</f>
        <v>46374.593250683662</v>
      </c>
      <c r="BA64" s="46">
        <f>SUM(AZ$64,'Statistics NZ'!BA$64-'Statistics NZ'!AZ$64,$K$12/5*(BA$8-BA$9)*1000)</f>
        <v>47564.593250683662</v>
      </c>
      <c r="BB64" s="46">
        <f>SUM(BA$64,'Statistics NZ'!BB$64-'Statistics NZ'!BA$64,$K$12/5*(BB$8-BB$9)*1000)</f>
        <v>47084.593250683662</v>
      </c>
      <c r="BC64" s="46">
        <f>SUM(BB$64,'Statistics NZ'!BC$64-'Statistics NZ'!BB$64,$K$12/5*(BC$8-BC$9)*1000)</f>
        <v>48184.593250683662</v>
      </c>
      <c r="BD64" s="46">
        <f>SUM(BC$64,'Statistics NZ'!BD$64-'Statistics NZ'!BC$64,$K$12/5*(BD$8-BD$9)*1000)</f>
        <v>48314.593250683662</v>
      </c>
      <c r="BE64" s="46">
        <f>SUM(BD$64,'Statistics NZ'!BE$64-'Statistics NZ'!BD$64,$K$12/5*(BE$8-BE$9)*1000)</f>
        <v>48514.593250683662</v>
      </c>
      <c r="BF64" s="46">
        <f>SUM(BE$64,'Statistics NZ'!BF$64-'Statistics NZ'!BE$64,$K$12/5*(BF$8-BF$9)*1000)</f>
        <v>48624.593250683662</v>
      </c>
      <c r="BG64" s="46">
        <f>SUM(BF$64,'Statistics NZ'!BG$64-'Statistics NZ'!BF$64,$K$12/5*(BG$8-BG$9)*1000)</f>
        <v>47894.593250683662</v>
      </c>
      <c r="BH64" s="46">
        <f>SUM(BG$64,'Statistics NZ'!BH$64-'Statistics NZ'!BG$64,$K$12/5*(BH$8-BH$9)*1000)</f>
        <v>48084.593250683662</v>
      </c>
      <c r="BI64" s="46">
        <f>SUM(BH$64,'Statistics NZ'!BI$64-'Statistics NZ'!BH$64,$K$12/5*(BI$8-BI$9)*1000)</f>
        <v>47774.593250683662</v>
      </c>
    </row>
    <row r="65" spans="1:61" x14ac:dyDescent="0.25">
      <c r="A65" s="11">
        <v>50</v>
      </c>
      <c r="B65" s="44">
        <f>'Statistics NZ'!B$65*'Economic Forecasts'!D$9*1000000/SUM('Statistics NZ'!B$30:B$110,'Statistics NZ'!B$130:B$210)</f>
        <v>27962.503033686051</v>
      </c>
      <c r="C65" s="44">
        <f>'Statistics NZ'!C$65*'Economic Forecasts'!E$9*1000000/SUM('Statistics NZ'!C$30:C$110,'Statistics NZ'!C$130:C$210)</f>
        <v>28674.628513815205</v>
      </c>
      <c r="D65" s="44">
        <f>'Statistics NZ'!D$65*'Economic Forecasts'!F$9*1000000/SUM('Statistics NZ'!D$30:D$110,'Statistics NZ'!D$130:D$210)</f>
        <v>29202.957577342873</v>
      </c>
      <c r="E65" s="44">
        <f>'Statistics NZ'!E$65*'Economic Forecasts'!G$9*1000000/SUM('Statistics NZ'!E$30:E$110,'Statistics NZ'!E$130:E$210)</f>
        <v>30548.876358248275</v>
      </c>
      <c r="F65" s="44">
        <f>'Statistics NZ'!F$65*'Economic Forecasts'!H$9*1000000/SUM('Statistics NZ'!F$30:F$110,'Statistics NZ'!F$130:F$210)</f>
        <v>31044.95121292313</v>
      </c>
      <c r="G65" s="44">
        <f>'Statistics NZ'!G$65*'Economic Forecasts'!I$9*1000000/SUM('Statistics NZ'!G$30:G$110,'Statistics NZ'!G$130:G$210)</f>
        <v>32502.560706655993</v>
      </c>
      <c r="H65" s="44">
        <f>'Statistics NZ'!H$65*'Economic Forecasts'!J$9*1000000/SUM('Statistics NZ'!H$30:H$110,'Statistics NZ'!H$130:H$210)</f>
        <v>33051.761349505599</v>
      </c>
      <c r="I65" s="44">
        <f>'Statistics NZ'!I$65*'Economic Forecasts'!K$9*1000000/SUM('Statistics NZ'!I$30:I$110,'Statistics NZ'!I$130:I$210)</f>
        <v>33126.213380654408</v>
      </c>
      <c r="J65" s="44">
        <f>'Statistics NZ'!J$65*'Economic Forecasts'!L$9*1000000/SUM('Statistics NZ'!J$30:J$110,'Statistics NZ'!J$130:J$210)</f>
        <v>32298.233991910653</v>
      </c>
      <c r="K65" s="44">
        <f>'Statistics NZ'!K$65*'Economic Forecasts'!M$9*1000000/SUM('Statistics NZ'!K$30:K$110,'Statistics NZ'!K$130:K$210)</f>
        <v>31292.208966701146</v>
      </c>
      <c r="L65" s="44">
        <f>'Statistics NZ'!L$65*'Economic Forecasts'!N$9*1000000/SUM('Statistics NZ'!L$30:L$110,'Statistics NZ'!L$130:L$210)</f>
        <v>31050.065311874096</v>
      </c>
      <c r="M65" s="44">
        <f>'Statistics NZ'!M$65*'Economic Forecasts'!O$9*1000000/SUM('Statistics NZ'!M$30:M$110,'Statistics NZ'!M$130:M$210)</f>
        <v>31809.73242913486</v>
      </c>
      <c r="N65" s="44">
        <f>'Statistics NZ'!N$65*'Economic Forecasts'!P$9*1000000/SUM('Statistics NZ'!N$30:N$110,'Statistics NZ'!N$130:N$210)</f>
        <v>32515.336583934812</v>
      </c>
      <c r="O65" s="44">
        <f>'Statistics NZ'!O$65*'Economic Forecasts'!Q$9*1000000/SUM('Statistics NZ'!O$30:O$110,'Statistics NZ'!O$130:O$210)</f>
        <v>33244.69032391478</v>
      </c>
      <c r="P65" s="44">
        <f>'Statistics NZ'!P$65*'Economic Forecasts'!R$9*1000000/SUM('Statistics NZ'!P$30:P$110,'Statistics NZ'!P$130:P$210)</f>
        <v>33210.241569899859</v>
      </c>
      <c r="Q65" s="44">
        <f>'Statistics NZ'!Q$65*'Economic Forecasts'!S$9*1000000/SUM('Statistics NZ'!Q$30:Q$110,'Statistics NZ'!Q$130:Q$210)</f>
        <v>34918.841572588775</v>
      </c>
      <c r="R65" s="44">
        <f>'Statistics NZ'!R$65*'Economic Forecasts'!T$9*1000000/SUM('Statistics NZ'!R$30:R$110,'Statistics NZ'!R$130:R$210)</f>
        <v>34424.939777760519</v>
      </c>
      <c r="S65" s="44">
        <f>'Statistics NZ'!S$65*'Economic Forecasts'!U$9*1000000/SUM('Statistics NZ'!S$30:S$110,'Statistics NZ'!S$130:S$210)</f>
        <v>33125.017138912663</v>
      </c>
      <c r="T65" s="44">
        <f>'Statistics NZ'!T$65*'Economic Forecasts'!V$9*1000000/SUM('Statistics NZ'!T$30:T$110,'Statistics NZ'!T$130:T$210)</f>
        <v>32678.385672057033</v>
      </c>
      <c r="U65" s="45">
        <f>SUM('Statistics NZ'!U$65,$L$12/5*(U$8-U$9)*1000)*'Economic Forecasts'!W$9*1000000/SUM('Statistics NZ'!U$30:U$110,'Statistics NZ'!U$130:U$210,SUM($E$12:$T$13)*(U$8-U$9)*1000)</f>
        <v>31590.887353183432</v>
      </c>
      <c r="V65" s="45">
        <f>SUM('Statistics NZ'!V$65,$L$12/5*(V$8-V$9)*1000)*'Economic Forecasts'!X$9*1000000/SUM('Statistics NZ'!V$30:V$110,'Statistics NZ'!V$130:V$210,SUM($E$12:$T$13)*(V$8-V$9)*1000)</f>
        <v>30449.173399311898</v>
      </c>
      <c r="W65" s="45">
        <f>SUM('Statistics NZ'!W$65,$L$12/5*(W$8-W$9)*1000)*'Economic Forecasts'!Y$9*1000000/SUM('Statistics NZ'!W$30:W$110,'Statistics NZ'!W$130:W$210,SUM($E$12:$T$13)*(W$8-W$9)*1000)</f>
        <v>30851.381657471611</v>
      </c>
      <c r="X65" s="45">
        <f>SUM('Statistics NZ'!X$65,$L$12/5*(X$8-X$9)*1000)*'Economic Forecasts'!Z$9*1000000/SUM('Statistics NZ'!X$30:X$110,'Statistics NZ'!X$130:X$210,SUM($E$12:$T$13)*(X$8-X$9)*1000)</f>
        <v>30867.532977265437</v>
      </c>
      <c r="Y65" s="45">
        <f>SUM('Statistics NZ'!Y$65,$L$12/5*(Y$8-Y$9)*1000)*'Economic Forecasts'!AA$9*1000000/SUM('Statistics NZ'!Y$30:Y$110,'Statistics NZ'!Y$130:Y$210,SUM($E$12:$T$13)*(Y$8-Y$9)*1000)</f>
        <v>32087.050120665859</v>
      </c>
      <c r="Z65" s="46">
        <f>SUM(Y$65,'Statistics NZ'!Z$65-'Statistics NZ'!Y$65,$L$12/5*(Z$8-Z$9)*1000)</f>
        <v>32788.330460791112</v>
      </c>
      <c r="AA65" s="46">
        <f>SUM(Z$65,'Statistics NZ'!AA$65-'Statistics NZ'!Z$65,$L$12/5*(AA$8-AA$9)*1000)</f>
        <v>33569.098664866266</v>
      </c>
      <c r="AB65" s="46">
        <f>SUM(AA$65,'Statistics NZ'!AB$65-'Statistics NZ'!AA$65,$L$12/5*(AB$8-AB$9)*1000)</f>
        <v>34889.457160101338</v>
      </c>
      <c r="AC65" s="46">
        <f>SUM(AB$65,'Statistics NZ'!AC$65-'Statistics NZ'!AB$65,$L$12/5*(AC$8-AC$9)*1000)</f>
        <v>36019.457160101338</v>
      </c>
      <c r="AD65" s="46">
        <f>SUM(AC$65,'Statistics NZ'!AD$65-'Statistics NZ'!AC$65,$L$12/5*(AD$8-AD$9)*1000)</f>
        <v>36769.457160101338</v>
      </c>
      <c r="AE65" s="46">
        <f>SUM(AD$65,'Statistics NZ'!AE$65-'Statistics NZ'!AD$65,$L$12/5*(AE$8-AE$9)*1000)</f>
        <v>38129.457160101338</v>
      </c>
      <c r="AF65" s="46">
        <f>SUM(AE$65,'Statistics NZ'!AF$65-'Statistics NZ'!AE$65,$L$12/5*(AF$8-AF$9)*1000)</f>
        <v>38819.457160101338</v>
      </c>
      <c r="AG65" s="46">
        <f>SUM(AF$65,'Statistics NZ'!AG$65-'Statistics NZ'!AF$65,$L$12/5*(AG$8-AG$9)*1000)</f>
        <v>40479.457160101338</v>
      </c>
      <c r="AH65" s="46">
        <f>SUM(AG$65,'Statistics NZ'!AH$65-'Statistics NZ'!AG$65,$L$12/5*(AH$8-AH$9)*1000)</f>
        <v>42759.457160101338</v>
      </c>
      <c r="AI65" s="46">
        <f>SUM(AH$65,'Statistics NZ'!AI$65-'Statistics NZ'!AH$65,$L$12/5*(AI$8-AI$9)*1000)</f>
        <v>43769.457160101338</v>
      </c>
      <c r="AJ65" s="46">
        <f>SUM(AI$65,'Statistics NZ'!AJ$65-'Statistics NZ'!AI$65,$L$12/5*(AJ$8-AJ$9)*1000)</f>
        <v>45489.457160101338</v>
      </c>
      <c r="AK65" s="46">
        <f>SUM(AJ$65,'Statistics NZ'!AK$65-'Statistics NZ'!AJ$65,$L$12/5*(AK$8-AK$9)*1000)</f>
        <v>46299.457160101338</v>
      </c>
      <c r="AL65" s="46">
        <f>SUM(AK$65,'Statistics NZ'!AL$65-'Statistics NZ'!AK$65,$L$12/5*(AL$8-AL$9)*1000)</f>
        <v>45919.457160101338</v>
      </c>
      <c r="AM65" s="46">
        <f>SUM(AL$65,'Statistics NZ'!AM$65-'Statistics NZ'!AL$65,$L$12/5*(AM$8-AM$9)*1000)</f>
        <v>45539.457160101338</v>
      </c>
      <c r="AN65" s="46">
        <f>SUM(AM$65,'Statistics NZ'!AN$65-'Statistics NZ'!AM$65,$L$12/5*(AN$8-AN$9)*1000)</f>
        <v>44309.457160101338</v>
      </c>
      <c r="AO65" s="46">
        <f>SUM(AN$65,'Statistics NZ'!AO$65-'Statistics NZ'!AN$65,$L$12/5*(AO$8-AO$9)*1000)</f>
        <v>44059.457160101338</v>
      </c>
      <c r="AP65" s="46">
        <f>SUM(AO$65,'Statistics NZ'!AP$65-'Statistics NZ'!AO$65,$L$12/5*(AP$8-AP$9)*1000)</f>
        <v>43059.457160101338</v>
      </c>
      <c r="AQ65" s="46">
        <f>SUM(AP$65,'Statistics NZ'!AQ$65-'Statistics NZ'!AP$65,$L$12/5*(AQ$8-AQ$9)*1000)</f>
        <v>42919.457160101338</v>
      </c>
      <c r="AR65" s="46">
        <f>SUM(AQ$65,'Statistics NZ'!AR$65-'Statistics NZ'!AQ$65,$L$12/5*(AR$8-AR$9)*1000)</f>
        <v>42629.457160101338</v>
      </c>
      <c r="AS65" s="46">
        <f>SUM(AR$65,'Statistics NZ'!AS$65-'Statistics NZ'!AR$65,$L$12/5*(AS$8-AS$9)*1000)</f>
        <v>41589.457160101338</v>
      </c>
      <c r="AT65" s="46">
        <f>SUM(AS$65,'Statistics NZ'!AT$65-'Statistics NZ'!AS$65,$L$12/5*(AT$8-AT$9)*1000)</f>
        <v>43149.457160101338</v>
      </c>
      <c r="AU65" s="46">
        <f>SUM(AT$65,'Statistics NZ'!AU$65-'Statistics NZ'!AT$65,$L$12/5*(AU$8-AU$9)*1000)</f>
        <v>42849.457160101338</v>
      </c>
      <c r="AV65" s="46">
        <f>SUM(AU$65,'Statistics NZ'!AV$65-'Statistics NZ'!AU$65,$L$12/5*(AV$8-AV$9)*1000)</f>
        <v>42219.457160101338</v>
      </c>
      <c r="AW65" s="46">
        <f>SUM(AV$65,'Statistics NZ'!AW$65-'Statistics NZ'!AV$65,$L$12/5*(AW$8-AW$9)*1000)</f>
        <v>42229.457160101338</v>
      </c>
      <c r="AX65" s="46">
        <f>SUM(AW$65,'Statistics NZ'!AX$65-'Statistics NZ'!AW$65,$L$12/5*(AX$8-AX$9)*1000)</f>
        <v>43189.457160101338</v>
      </c>
      <c r="AY65" s="46">
        <f>SUM(AX$65,'Statistics NZ'!AY$65-'Statistics NZ'!AX$65,$L$12/5*(AY$8-AY$9)*1000)</f>
        <v>43359.457160101338</v>
      </c>
      <c r="AZ65" s="46">
        <f>SUM(AY$65,'Statistics NZ'!AZ$65-'Statistics NZ'!AY$65,$L$12/5*(AZ$8-AZ$9)*1000)</f>
        <v>44129.457160101338</v>
      </c>
      <c r="BA65" s="46">
        <f>SUM(AZ$65,'Statistics NZ'!BA$65-'Statistics NZ'!AZ$65,$L$12/5*(BA$8-BA$9)*1000)</f>
        <v>46329.457160101338</v>
      </c>
      <c r="BB65" s="46">
        <f>SUM(BA$65,'Statistics NZ'!BB$65-'Statistics NZ'!BA$65,$L$12/5*(BB$8-BB$9)*1000)</f>
        <v>47509.457160101338</v>
      </c>
      <c r="BC65" s="46">
        <f>SUM(BB$65,'Statistics NZ'!BC$65-'Statistics NZ'!BB$65,$L$12/5*(BC$8-BC$9)*1000)</f>
        <v>47039.457160101338</v>
      </c>
      <c r="BD65" s="46">
        <f>SUM(BC$65,'Statistics NZ'!BD$65-'Statistics NZ'!BC$65,$L$12/5*(BD$8-BD$9)*1000)</f>
        <v>48129.457160101338</v>
      </c>
      <c r="BE65" s="46">
        <f>SUM(BD$65,'Statistics NZ'!BE$65-'Statistics NZ'!BD$65,$L$12/5*(BE$8-BE$9)*1000)</f>
        <v>48269.457160101338</v>
      </c>
      <c r="BF65" s="46">
        <f>SUM(BE$65,'Statistics NZ'!BF$65-'Statistics NZ'!BE$65,$L$12/5*(BF$8-BF$9)*1000)</f>
        <v>48469.457160101338</v>
      </c>
      <c r="BG65" s="46">
        <f>SUM(BF$65,'Statistics NZ'!BG$65-'Statistics NZ'!BF$65,$L$12/5*(BG$8-BG$9)*1000)</f>
        <v>48579.457160101338</v>
      </c>
      <c r="BH65" s="46">
        <f>SUM(BG$65,'Statistics NZ'!BH$65-'Statistics NZ'!BG$65,$L$12/5*(BH$8-BH$9)*1000)</f>
        <v>47859.457160101338</v>
      </c>
      <c r="BI65" s="46">
        <f>SUM(BH$65,'Statistics NZ'!BI$65-'Statistics NZ'!BH$65,$L$12/5*(BI$8-BI$9)*1000)</f>
        <v>48049.457160101338</v>
      </c>
    </row>
    <row r="66" spans="1:61" x14ac:dyDescent="0.25">
      <c r="A66" s="11">
        <v>51</v>
      </c>
      <c r="B66" s="44">
        <f>'Statistics NZ'!B$66*'Economic Forecasts'!D$9*1000000/SUM('Statistics NZ'!B$30:B$110,'Statistics NZ'!B$130:B$210)</f>
        <v>26954.757123094842</v>
      </c>
      <c r="C66" s="44">
        <f>'Statistics NZ'!C$66*'Economic Forecasts'!E$9*1000000/SUM('Statistics NZ'!C$30:C$110,'Statistics NZ'!C$130:C$210)</f>
        <v>27977.402957486138</v>
      </c>
      <c r="D66" s="44">
        <f>'Statistics NZ'!D$66*'Economic Forecasts'!F$9*1000000/SUM('Statistics NZ'!D$30:D$110,'Statistics NZ'!D$130:D$210)</f>
        <v>28574.303260171688</v>
      </c>
      <c r="E66" s="44">
        <f>'Statistics NZ'!E$66*'Economic Forecasts'!G$9*1000000/SUM('Statistics NZ'!E$30:E$110,'Statistics NZ'!E$130:E$210)</f>
        <v>29038.594830424765</v>
      </c>
      <c r="F66" s="44">
        <f>'Statistics NZ'!F$66*'Economic Forecasts'!H$9*1000000/SUM('Statistics NZ'!F$30:F$110,'Statistics NZ'!F$130:F$210)</f>
        <v>30495.656657497002</v>
      </c>
      <c r="G66" s="44">
        <f>'Statistics NZ'!G$66*'Economic Forecasts'!I$9*1000000/SUM('Statistics NZ'!G$30:G$110,'Statistics NZ'!G$130:G$210)</f>
        <v>30960.432561915895</v>
      </c>
      <c r="H66" s="44">
        <f>'Statistics NZ'!H$66*'Economic Forecasts'!J$9*1000000/SUM('Statistics NZ'!H$30:H$110,'Statistics NZ'!H$130:H$210)</f>
        <v>32373.826886629296</v>
      </c>
      <c r="I66" s="44">
        <f>'Statistics NZ'!I$66*'Economic Forecasts'!K$9*1000000/SUM('Statistics NZ'!I$30:I$110,'Statistics NZ'!I$130:I$210)</f>
        <v>32841.910276765986</v>
      </c>
      <c r="J66" s="44">
        <f>'Statistics NZ'!J$66*'Economic Forecasts'!L$9*1000000/SUM('Statistics NZ'!J$30:J$110,'Statistics NZ'!J$130:J$210)</f>
        <v>32932.106337766389</v>
      </c>
      <c r="K66" s="44">
        <f>'Statistics NZ'!K$66*'Economic Forecasts'!M$9*1000000/SUM('Statistics NZ'!K$30:K$110,'Statistics NZ'!K$130:K$210)</f>
        <v>32333.984436345519</v>
      </c>
      <c r="L66" s="44">
        <f>'Statistics NZ'!L$66*'Economic Forecasts'!N$9*1000000/SUM('Statistics NZ'!L$30:L$110,'Statistics NZ'!L$130:L$210)</f>
        <v>31478.476372934754</v>
      </c>
      <c r="M66" s="44">
        <f>'Statistics NZ'!M$66*'Economic Forecasts'!O$9*1000000/SUM('Statistics NZ'!M$30:M$110,'Statistics NZ'!M$130:M$210)</f>
        <v>31243.097146306292</v>
      </c>
      <c r="N66" s="44">
        <f>'Statistics NZ'!N$66*'Economic Forecasts'!P$9*1000000/SUM('Statistics NZ'!N$30:N$110,'Statistics NZ'!N$130:N$210)</f>
        <v>31879.315856292393</v>
      </c>
      <c r="O66" s="44">
        <f>'Statistics NZ'!O$66*'Economic Forecasts'!Q$9*1000000/SUM('Statistics NZ'!O$30:O$110,'Statistics NZ'!O$130:O$210)</f>
        <v>32576.060054164351</v>
      </c>
      <c r="P66" s="44">
        <f>'Statistics NZ'!P$66*'Economic Forecasts'!R$9*1000000/SUM('Statistics NZ'!P$30:P$110,'Statistics NZ'!P$130:P$210)</f>
        <v>33308.49672247353</v>
      </c>
      <c r="Q66" s="44">
        <f>'Statistics NZ'!Q$66*'Economic Forecasts'!S$9*1000000/SUM('Statistics NZ'!Q$30:Q$110,'Statistics NZ'!Q$130:Q$210)</f>
        <v>33428.706085849568</v>
      </c>
      <c r="R66" s="44">
        <f>'Statistics NZ'!R$66*'Economic Forecasts'!T$9*1000000/SUM('Statistics NZ'!R$30:R$110,'Statistics NZ'!R$130:R$210)</f>
        <v>34753.55505478281</v>
      </c>
      <c r="S66" s="44">
        <f>'Statistics NZ'!S$66*'Economic Forecasts'!U$9*1000000/SUM('Statistics NZ'!S$30:S$110,'Statistics NZ'!S$130:S$210)</f>
        <v>33979.666157621257</v>
      </c>
      <c r="T66" s="44">
        <f>'Statistics NZ'!T$66*'Economic Forecasts'!V$9*1000000/SUM('Statistics NZ'!T$30:T$110,'Statistics NZ'!T$130:T$210)</f>
        <v>33451.486697965571</v>
      </c>
      <c r="U66" s="45">
        <f>SUM('Statistics NZ'!U$66,$L$12/5*(U$8-U$9)*1000)*'Economic Forecasts'!W$9*1000000/SUM('Statistics NZ'!U$30:U$110,'Statistics NZ'!U$130:U$210,SUM($E$12:$T$13)*(U$8-U$9)*1000)</f>
        <v>32541.762384156602</v>
      </c>
      <c r="V66" s="45">
        <f>SUM('Statistics NZ'!V$66,$L$12/5*(V$8-V$9)*1000)*'Economic Forecasts'!X$9*1000000/SUM('Statistics NZ'!V$30:V$110,'Statistics NZ'!V$130:V$210,SUM($E$12:$T$13)*(V$8-V$9)*1000)</f>
        <v>31468.957659519081</v>
      </c>
      <c r="W66" s="45">
        <f>SUM('Statistics NZ'!W$66,$L$12/5*(W$8-W$9)*1000)*'Economic Forecasts'!Y$9*1000000/SUM('Statistics NZ'!W$30:W$110,'Statistics NZ'!W$130:W$210,SUM($E$12:$T$13)*(W$8-W$9)*1000)</f>
        <v>30356.231874474586</v>
      </c>
      <c r="X66" s="45">
        <f>SUM('Statistics NZ'!X$66,$L$12/5*(X$8-X$9)*1000)*'Economic Forecasts'!Z$9*1000000/SUM('Statistics NZ'!X$30:X$110,'Statistics NZ'!X$130:X$210,SUM($E$12:$T$13)*(X$8-X$9)*1000)</f>
        <v>30768.480366087762</v>
      </c>
      <c r="Y66" s="45">
        <f>SUM('Statistics NZ'!Y$66,$L$12/5*(Y$8-Y$9)*1000)*'Economic Forecasts'!AA$9*1000000/SUM('Statistics NZ'!Y$30:Y$110,'Statistics NZ'!Y$130:Y$210,SUM($E$12:$T$13)*(Y$8-Y$9)*1000)</f>
        <v>30798.893038820694</v>
      </c>
      <c r="Z66" s="46">
        <f>SUM(Y$66,'Statistics NZ'!Z$66-'Statistics NZ'!Y$66,$L$12/5*(Z$8-Z$9)*1000)</f>
        <v>32020.17337894595</v>
      </c>
      <c r="AA66" s="46">
        <f>SUM(Z$66,'Statistics NZ'!AA$66-'Statistics NZ'!Z$66,$L$12/5*(AA$8-AA$9)*1000)</f>
        <v>32720.941583021104</v>
      </c>
      <c r="AB66" s="46">
        <f>SUM(AA$66,'Statistics NZ'!AB$66-'Statistics NZ'!AA$66,$L$12/5*(AB$8-AB$9)*1000)</f>
        <v>33501.300078256179</v>
      </c>
      <c r="AC66" s="46">
        <f>SUM(AB$66,'Statistics NZ'!AC$66-'Statistics NZ'!AB$66,$L$12/5*(AC$8-AC$9)*1000)</f>
        <v>34821.300078256179</v>
      </c>
      <c r="AD66" s="46">
        <f>SUM(AC$66,'Statistics NZ'!AD$66-'Statistics NZ'!AC$66,$L$12/5*(AD$8-AD$9)*1000)</f>
        <v>35951.300078256179</v>
      </c>
      <c r="AE66" s="46">
        <f>SUM(AD$66,'Statistics NZ'!AE$66-'Statistics NZ'!AD$66,$L$12/5*(AE$8-AE$9)*1000)</f>
        <v>36691.300078256179</v>
      </c>
      <c r="AF66" s="46">
        <f>SUM(AE$66,'Statistics NZ'!AF$66-'Statistics NZ'!AE$66,$L$12/5*(AF$8-AF$9)*1000)</f>
        <v>38061.300078256179</v>
      </c>
      <c r="AG66" s="46">
        <f>SUM(AF$66,'Statistics NZ'!AG$66-'Statistics NZ'!AF$66,$L$12/5*(AG$8-AG$9)*1000)</f>
        <v>38751.300078256179</v>
      </c>
      <c r="AH66" s="46">
        <f>SUM(AG$66,'Statistics NZ'!AH$66-'Statistics NZ'!AG$66,$L$12/5*(AH$8-AH$9)*1000)</f>
        <v>40411.300078256179</v>
      </c>
      <c r="AI66" s="46">
        <f>SUM(AH$66,'Statistics NZ'!AI$66-'Statistics NZ'!AH$66,$L$12/5*(AI$8-AI$9)*1000)</f>
        <v>42681.300078256179</v>
      </c>
      <c r="AJ66" s="46">
        <f>SUM(AI$66,'Statistics NZ'!AJ$66-'Statistics NZ'!AI$66,$L$12/5*(AJ$8-AJ$9)*1000)</f>
        <v>43701.300078256179</v>
      </c>
      <c r="AK66" s="46">
        <f>SUM(AJ$66,'Statistics NZ'!AK$66-'Statistics NZ'!AJ$66,$L$12/5*(AK$8-AK$9)*1000)</f>
        <v>45421.300078256179</v>
      </c>
      <c r="AL66" s="46">
        <f>SUM(AK$66,'Statistics NZ'!AL$66-'Statistics NZ'!AK$66,$L$12/5*(AL$8-AL$9)*1000)</f>
        <v>46231.300078256179</v>
      </c>
      <c r="AM66" s="46">
        <f>SUM(AL$66,'Statistics NZ'!AM$66-'Statistics NZ'!AL$66,$L$12/5*(AM$8-AM$9)*1000)</f>
        <v>45861.300078256179</v>
      </c>
      <c r="AN66" s="46">
        <f>SUM(AM$66,'Statistics NZ'!AN$66-'Statistics NZ'!AM$66,$L$12/5*(AN$8-AN$9)*1000)</f>
        <v>45471.300078256179</v>
      </c>
      <c r="AO66" s="46">
        <f>SUM(AN$66,'Statistics NZ'!AO$66-'Statistics NZ'!AN$66,$L$12/5*(AO$8-AO$9)*1000)</f>
        <v>44251.300078256179</v>
      </c>
      <c r="AP66" s="46">
        <f>SUM(AO$66,'Statistics NZ'!AP$66-'Statistics NZ'!AO$66,$L$12/5*(AP$8-AP$9)*1000)</f>
        <v>44001.300078256179</v>
      </c>
      <c r="AQ66" s="46">
        <f>SUM(AP$66,'Statistics NZ'!AQ$66-'Statistics NZ'!AP$66,$L$12/5*(AQ$8-AQ$9)*1000)</f>
        <v>43001.300078256179</v>
      </c>
      <c r="AR66" s="46">
        <f>SUM(AQ$66,'Statistics NZ'!AR$66-'Statistics NZ'!AQ$66,$L$12/5*(AR$8-AR$9)*1000)</f>
        <v>42861.300078256179</v>
      </c>
      <c r="AS66" s="46">
        <f>SUM(AR$66,'Statistics NZ'!AS$66-'Statistics NZ'!AR$66,$L$12/5*(AS$8-AS$9)*1000)</f>
        <v>42571.300078256179</v>
      </c>
      <c r="AT66" s="46">
        <f>SUM(AS$66,'Statistics NZ'!AT$66-'Statistics NZ'!AS$66,$L$12/5*(AT$8-AT$9)*1000)</f>
        <v>41541.300078256179</v>
      </c>
      <c r="AU66" s="46">
        <f>SUM(AT$66,'Statistics NZ'!AU$66-'Statistics NZ'!AT$66,$L$12/5*(AU$8-AU$9)*1000)</f>
        <v>43101.300078256179</v>
      </c>
      <c r="AV66" s="46">
        <f>SUM(AU$66,'Statistics NZ'!AV$66-'Statistics NZ'!AU$66,$L$12/5*(AV$8-AV$9)*1000)</f>
        <v>42801.300078256179</v>
      </c>
      <c r="AW66" s="46">
        <f>SUM(AV$66,'Statistics NZ'!AW$66-'Statistics NZ'!AV$66,$L$12/5*(AW$8-AW$9)*1000)</f>
        <v>42171.300078256179</v>
      </c>
      <c r="AX66" s="46">
        <f>SUM(AW$66,'Statistics NZ'!AX$66-'Statistics NZ'!AW$66,$L$12/5*(AX$8-AX$9)*1000)</f>
        <v>42191.300078256179</v>
      </c>
      <c r="AY66" s="46">
        <f>SUM(AX$66,'Statistics NZ'!AY$66-'Statistics NZ'!AX$66,$L$12/5*(AY$8-AY$9)*1000)</f>
        <v>43151.300078256179</v>
      </c>
      <c r="AZ66" s="46">
        <f>SUM(AY$66,'Statistics NZ'!AZ$66-'Statistics NZ'!AY$66,$L$12/5*(AZ$8-AZ$9)*1000)</f>
        <v>43321.300078256179</v>
      </c>
      <c r="BA66" s="46">
        <f>SUM(AZ$66,'Statistics NZ'!BA$66-'Statistics NZ'!AZ$66,$L$12/5*(BA$8-BA$9)*1000)</f>
        <v>44091.300078256179</v>
      </c>
      <c r="BB66" s="46">
        <f>SUM(BA$66,'Statistics NZ'!BB$66-'Statistics NZ'!BA$66,$L$12/5*(BB$8-BB$9)*1000)</f>
        <v>46291.300078256179</v>
      </c>
      <c r="BC66" s="46">
        <f>SUM(BB$66,'Statistics NZ'!BC$66-'Statistics NZ'!BB$66,$L$12/5*(BC$8-BC$9)*1000)</f>
        <v>47471.300078256179</v>
      </c>
      <c r="BD66" s="46">
        <f>SUM(BC$66,'Statistics NZ'!BD$66-'Statistics NZ'!BC$66,$L$12/5*(BD$8-BD$9)*1000)</f>
        <v>47001.300078256179</v>
      </c>
      <c r="BE66" s="46">
        <f>SUM(BD$66,'Statistics NZ'!BE$66-'Statistics NZ'!BD$66,$L$12/5*(BE$8-BE$9)*1000)</f>
        <v>48091.300078256179</v>
      </c>
      <c r="BF66" s="46">
        <f>SUM(BE$66,'Statistics NZ'!BF$66-'Statistics NZ'!BE$66,$L$12/5*(BF$8-BF$9)*1000)</f>
        <v>48231.300078256179</v>
      </c>
      <c r="BG66" s="46">
        <f>SUM(BF$66,'Statistics NZ'!BG$66-'Statistics NZ'!BF$66,$L$12/5*(BG$8-BG$9)*1000)</f>
        <v>48431.300078256179</v>
      </c>
      <c r="BH66" s="46">
        <f>SUM(BG$66,'Statistics NZ'!BH$66-'Statistics NZ'!BG$66,$L$12/5*(BH$8-BH$9)*1000)</f>
        <v>48551.300078256179</v>
      </c>
      <c r="BI66" s="46">
        <f>SUM(BH$66,'Statistics NZ'!BI$66-'Statistics NZ'!BH$66,$L$12/5*(BI$8-BI$9)*1000)</f>
        <v>47831.300078256179</v>
      </c>
    </row>
    <row r="67" spans="1:61" x14ac:dyDescent="0.25">
      <c r="A67" s="11">
        <v>52</v>
      </c>
      <c r="B67" s="44">
        <f>'Statistics NZ'!B$67*'Economic Forecasts'!D$9*1000000/SUM('Statistics NZ'!B$30:B$110,'Statistics NZ'!B$130:B$210)</f>
        <v>26201.393675371324</v>
      </c>
      <c r="C67" s="44">
        <f>'Statistics NZ'!C$67*'Economic Forecasts'!E$9*1000000/SUM('Statistics NZ'!C$30:C$110,'Statistics NZ'!C$130:C$210)</f>
        <v>26936.474662121607</v>
      </c>
      <c r="D67" s="44">
        <f>'Statistics NZ'!D$67*'Economic Forecasts'!F$9*1000000/SUM('Statistics NZ'!D$30:D$110,'Statistics NZ'!D$130:D$210)</f>
        <v>27857.244429648297</v>
      </c>
      <c r="E67" s="44">
        <f>'Statistics NZ'!E$67*'Economic Forecasts'!G$9*1000000/SUM('Statistics NZ'!E$30:E$110,'Statistics NZ'!E$130:E$210)</f>
        <v>28410.945364316289</v>
      </c>
      <c r="F67" s="44">
        <f>'Statistics NZ'!F$67*'Economic Forecasts'!H$9*1000000/SUM('Statistics NZ'!F$30:F$110,'Statistics NZ'!F$130:F$210)</f>
        <v>29004.714292768938</v>
      </c>
      <c r="G67" s="44">
        <f>'Statistics NZ'!G$67*'Economic Forecasts'!I$9*1000000/SUM('Statistics NZ'!G$30:G$110,'Statistics NZ'!G$130:G$210)</f>
        <v>30420.196587643884</v>
      </c>
      <c r="H67" s="44">
        <f>'Statistics NZ'!H$67*'Economic Forecasts'!J$9*1000000/SUM('Statistics NZ'!H$30:H$110,'Statistics NZ'!H$130:H$210)</f>
        <v>30791.979806584586</v>
      </c>
      <c r="I67" s="44">
        <f>'Statistics NZ'!I$67*'Economic Forecasts'!K$9*1000000/SUM('Statistics NZ'!I$30:I$110,'Statistics NZ'!I$130:I$210)</f>
        <v>32126.250739391679</v>
      </c>
      <c r="J67" s="44">
        <f>'Statistics NZ'!J$67*'Economic Forecasts'!L$9*1000000/SUM('Statistics NZ'!J$30:J$110,'Statistics NZ'!J$130:J$210)</f>
        <v>32659.053634936226</v>
      </c>
      <c r="K67" s="44">
        <f>'Statistics NZ'!K$67*'Economic Forecasts'!M$9*1000000/SUM('Statistics NZ'!K$30:K$110,'Statistics NZ'!K$130:K$210)</f>
        <v>32937.63003557871</v>
      </c>
      <c r="L67" s="44">
        <f>'Statistics NZ'!L$67*'Economic Forecasts'!N$9*1000000/SUM('Statistics NZ'!L$30:L$110,'Statistics NZ'!L$130:L$210)</f>
        <v>32403.454800224827</v>
      </c>
      <c r="M67" s="44">
        <f>'Statistics NZ'!M$67*'Economic Forecasts'!O$9*1000000/SUM('Statistics NZ'!M$30:M$110,'Statistics NZ'!M$130:M$210)</f>
        <v>31682.727969190528</v>
      </c>
      <c r="N67" s="44">
        <f>'Statistics NZ'!N$67*'Economic Forecasts'!P$9*1000000/SUM('Statistics NZ'!N$30:N$110,'Statistics NZ'!N$130:N$210)</f>
        <v>31341.14447136419</v>
      </c>
      <c r="O67" s="44">
        <f>'Statistics NZ'!O$67*'Economic Forecasts'!Q$9*1000000/SUM('Statistics NZ'!O$30:O$110,'Statistics NZ'!O$130:O$210)</f>
        <v>31907.429784413922</v>
      </c>
      <c r="P67" s="44">
        <f>'Statistics NZ'!P$67*'Economic Forecasts'!R$9*1000000/SUM('Statistics NZ'!P$30:P$110,'Statistics NZ'!P$130:P$210)</f>
        <v>32660.012715487319</v>
      </c>
      <c r="Q67" s="44">
        <f>'Statistics NZ'!Q$67*'Economic Forecasts'!S$9*1000000/SUM('Statistics NZ'!Q$30:Q$110,'Statistics NZ'!Q$130:Q$210)</f>
        <v>33508.179978475659</v>
      </c>
      <c r="R67" s="44">
        <f>'Statistics NZ'!R$67*'Economic Forecasts'!T$9*1000000/SUM('Statistics NZ'!R$30:R$110,'Statistics NZ'!R$130:R$210)</f>
        <v>33289.723366228922</v>
      </c>
      <c r="S67" s="44">
        <f>'Statistics NZ'!S$67*'Economic Forecasts'!U$9*1000000/SUM('Statistics NZ'!S$30:S$110,'Statistics NZ'!S$130:S$210)</f>
        <v>34254.725611918278</v>
      </c>
      <c r="T67" s="44">
        <f>'Statistics NZ'!T$67*'Economic Forecasts'!V$9*1000000/SUM('Statistics NZ'!T$30:T$110,'Statistics NZ'!T$130:T$210)</f>
        <v>34204.764620645685</v>
      </c>
      <c r="U67" s="45">
        <f>SUM('Statistics NZ'!U$67,$L$12/5*(U$8-U$9)*1000)*'Economic Forecasts'!W$9*1000000/SUM('Statistics NZ'!U$30:U$110,'Statistics NZ'!U$130:U$210,SUM($E$12:$T$13)*(U$8-U$9)*1000)</f>
        <v>33304.443398582996</v>
      </c>
      <c r="V67" s="45">
        <f>SUM('Statistics NZ'!V$67,$L$12/5*(V$8-V$9)*1000)*'Economic Forecasts'!X$9*1000000/SUM('Statistics NZ'!V$30:V$110,'Statistics NZ'!V$130:V$210,SUM($E$12:$T$13)*(V$8-V$9)*1000)</f>
        <v>32419.436193304417</v>
      </c>
      <c r="W67" s="45">
        <f>SUM('Statistics NZ'!W$67,$L$12/5*(W$8-W$9)*1000)*'Economic Forecasts'!Y$9*1000000/SUM('Statistics NZ'!W$30:W$110,'Statistics NZ'!W$130:W$210,SUM($E$12:$T$13)*(W$8-W$9)*1000)</f>
        <v>31386.143423108395</v>
      </c>
      <c r="X67" s="45">
        <f>SUM('Statistics NZ'!X$67,$L$12/5*(X$8-X$9)*1000)*'Economic Forecasts'!Z$9*1000000/SUM('Statistics NZ'!X$30:X$110,'Statistics NZ'!X$130:X$210,SUM($E$12:$T$13)*(X$8-X$9)*1000)</f>
        <v>30273.217310199423</v>
      </c>
      <c r="Y67" s="45">
        <f>SUM('Statistics NZ'!Y$67,$L$12/5*(Y$8-Y$9)*1000)*'Economic Forecasts'!AA$9*1000000/SUM('Statistics NZ'!Y$30:Y$110,'Statistics NZ'!Y$130:Y$210,SUM($E$12:$T$13)*(Y$8-Y$9)*1000)</f>
        <v>30699.804032524913</v>
      </c>
      <c r="Z67" s="46">
        <f>SUM(Y$67,'Statistics NZ'!Z$67-'Statistics NZ'!Y$67,$L$12/5*(Z$8-Z$9)*1000)</f>
        <v>30721.08437265017</v>
      </c>
      <c r="AA67" s="46">
        <f>SUM(Z$67,'Statistics NZ'!AA$67-'Statistics NZ'!Z$67,$L$12/5*(AA$8-AA$9)*1000)</f>
        <v>31941.852576725323</v>
      </c>
      <c r="AB67" s="46">
        <f>SUM(AA$67,'Statistics NZ'!AB$67-'Statistics NZ'!AA$67,$L$12/5*(AB$8-AB$9)*1000)</f>
        <v>32642.211071960395</v>
      </c>
      <c r="AC67" s="46">
        <f>SUM(AB$67,'Statistics NZ'!AC$67-'Statistics NZ'!AB$67,$L$12/5*(AC$8-AC$9)*1000)</f>
        <v>33422.211071960395</v>
      </c>
      <c r="AD67" s="46">
        <f>SUM(AC$67,'Statistics NZ'!AD$67-'Statistics NZ'!AC$67,$L$12/5*(AD$8-AD$9)*1000)</f>
        <v>34742.211071960395</v>
      </c>
      <c r="AE67" s="46">
        <f>SUM(AD$67,'Statistics NZ'!AE$67-'Statistics NZ'!AD$67,$L$12/5*(AE$8-AE$9)*1000)</f>
        <v>35872.211071960395</v>
      </c>
      <c r="AF67" s="46">
        <f>SUM(AE$67,'Statistics NZ'!AF$67-'Statistics NZ'!AE$67,$L$12/5*(AF$8-AF$9)*1000)</f>
        <v>36622.211071960395</v>
      </c>
      <c r="AG67" s="46">
        <f>SUM(AF$67,'Statistics NZ'!AG$67-'Statistics NZ'!AF$67,$L$12/5*(AG$8-AG$9)*1000)</f>
        <v>37982.211071960395</v>
      </c>
      <c r="AH67" s="46">
        <f>SUM(AG$67,'Statistics NZ'!AH$67-'Statistics NZ'!AG$67,$L$12/5*(AH$8-AH$9)*1000)</f>
        <v>38682.211071960395</v>
      </c>
      <c r="AI67" s="46">
        <f>SUM(AH$67,'Statistics NZ'!AI$67-'Statistics NZ'!AH$67,$L$12/5*(AI$8-AI$9)*1000)</f>
        <v>40332.211071960395</v>
      </c>
      <c r="AJ67" s="46">
        <f>SUM(AI$67,'Statistics NZ'!AJ$67-'Statistics NZ'!AI$67,$L$12/5*(AJ$8-AJ$9)*1000)</f>
        <v>42602.211071960395</v>
      </c>
      <c r="AK67" s="46">
        <f>SUM(AJ$67,'Statistics NZ'!AK$67-'Statistics NZ'!AJ$67,$L$12/5*(AK$8-AK$9)*1000)</f>
        <v>43622.211071960395</v>
      </c>
      <c r="AL67" s="46">
        <f>SUM(AK$67,'Statistics NZ'!AL$67-'Statistics NZ'!AK$67,$L$12/5*(AL$8-AL$9)*1000)</f>
        <v>45342.211071960395</v>
      </c>
      <c r="AM67" s="46">
        <f>SUM(AL$67,'Statistics NZ'!AM$67-'Statistics NZ'!AL$67,$L$12/5*(AM$8-AM$9)*1000)</f>
        <v>46152.211071960395</v>
      </c>
      <c r="AN67" s="46">
        <f>SUM(AM$67,'Statistics NZ'!AN$67-'Statistics NZ'!AM$67,$L$12/5*(AN$8-AN$9)*1000)</f>
        <v>45782.211071960395</v>
      </c>
      <c r="AO67" s="46">
        <f>SUM(AN$67,'Statistics NZ'!AO$67-'Statistics NZ'!AN$67,$L$12/5*(AO$8-AO$9)*1000)</f>
        <v>45402.211071960395</v>
      </c>
      <c r="AP67" s="46">
        <f>SUM(AO$67,'Statistics NZ'!AP$67-'Statistics NZ'!AO$67,$L$12/5*(AP$8-AP$9)*1000)</f>
        <v>44182.211071960395</v>
      </c>
      <c r="AQ67" s="46">
        <f>SUM(AP$67,'Statistics NZ'!AQ$67-'Statistics NZ'!AP$67,$L$12/5*(AQ$8-AQ$9)*1000)</f>
        <v>43942.211071960395</v>
      </c>
      <c r="AR67" s="46">
        <f>SUM(AQ$67,'Statistics NZ'!AR$67-'Statistics NZ'!AQ$67,$L$12/5*(AR$8-AR$9)*1000)</f>
        <v>42932.211071960395</v>
      </c>
      <c r="AS67" s="46">
        <f>SUM(AR$67,'Statistics NZ'!AS$67-'Statistics NZ'!AR$67,$L$12/5*(AS$8-AS$9)*1000)</f>
        <v>42802.211071960395</v>
      </c>
      <c r="AT67" s="46">
        <f>SUM(AS$67,'Statistics NZ'!AT$67-'Statistics NZ'!AS$67,$L$12/5*(AT$8-AT$9)*1000)</f>
        <v>42512.211071960395</v>
      </c>
      <c r="AU67" s="46">
        <f>SUM(AT$67,'Statistics NZ'!AU$67-'Statistics NZ'!AT$67,$L$12/5*(AU$8-AU$9)*1000)</f>
        <v>41482.211071960395</v>
      </c>
      <c r="AV67" s="46">
        <f>SUM(AU$67,'Statistics NZ'!AV$67-'Statistics NZ'!AU$67,$L$12/5*(AV$8-AV$9)*1000)</f>
        <v>43042.211071960395</v>
      </c>
      <c r="AW67" s="46">
        <f>SUM(AV$67,'Statistics NZ'!AW$67-'Statistics NZ'!AV$67,$L$12/5*(AW$8-AW$9)*1000)</f>
        <v>42752.211071960395</v>
      </c>
      <c r="AX67" s="46">
        <f>SUM(AW$67,'Statistics NZ'!AX$67-'Statistics NZ'!AW$67,$L$12/5*(AX$8-AX$9)*1000)</f>
        <v>42122.211071960395</v>
      </c>
      <c r="AY67" s="46">
        <f>SUM(AX$67,'Statistics NZ'!AY$67-'Statistics NZ'!AX$67,$L$12/5*(AY$8-AY$9)*1000)</f>
        <v>42142.211071960395</v>
      </c>
      <c r="AZ67" s="46">
        <f>SUM(AY$67,'Statistics NZ'!AZ$67-'Statistics NZ'!AY$67,$L$12/5*(AZ$8-AZ$9)*1000)</f>
        <v>43102.211071960395</v>
      </c>
      <c r="BA67" s="46">
        <f>SUM(AZ$67,'Statistics NZ'!BA$67-'Statistics NZ'!AZ$67,$L$12/5*(BA$8-BA$9)*1000)</f>
        <v>43272.211071960395</v>
      </c>
      <c r="BB67" s="46">
        <f>SUM(BA$67,'Statistics NZ'!BB$67-'Statistics NZ'!BA$67,$L$12/5*(BB$8-BB$9)*1000)</f>
        <v>44042.211071960395</v>
      </c>
      <c r="BC67" s="46">
        <f>SUM(BB$67,'Statistics NZ'!BC$67-'Statistics NZ'!BB$67,$L$12/5*(BC$8-BC$9)*1000)</f>
        <v>46242.211071960395</v>
      </c>
      <c r="BD67" s="46">
        <f>SUM(BC$67,'Statistics NZ'!BD$67-'Statistics NZ'!BC$67,$L$12/5*(BD$8-BD$9)*1000)</f>
        <v>47422.211071960395</v>
      </c>
      <c r="BE67" s="46">
        <f>SUM(BD$67,'Statistics NZ'!BE$67-'Statistics NZ'!BD$67,$L$12/5*(BE$8-BE$9)*1000)</f>
        <v>46952.211071960395</v>
      </c>
      <c r="BF67" s="46">
        <f>SUM(BE$67,'Statistics NZ'!BF$67-'Statistics NZ'!BE$67,$L$12/5*(BF$8-BF$9)*1000)</f>
        <v>48052.211071960395</v>
      </c>
      <c r="BG67" s="46">
        <f>SUM(BF$67,'Statistics NZ'!BG$67-'Statistics NZ'!BF$67,$L$12/5*(BG$8-BG$9)*1000)</f>
        <v>48182.211071960395</v>
      </c>
      <c r="BH67" s="46">
        <f>SUM(BG$67,'Statistics NZ'!BH$67-'Statistics NZ'!BG$67,$L$12/5*(BH$8-BH$9)*1000)</f>
        <v>48392.211071960395</v>
      </c>
      <c r="BI67" s="46">
        <f>SUM(BH$67,'Statistics NZ'!BI$67-'Statistics NZ'!BH$67,$L$12/5*(BI$8-BI$9)*1000)</f>
        <v>48502.211071960395</v>
      </c>
    </row>
    <row r="68" spans="1:61" x14ac:dyDescent="0.25">
      <c r="A68" s="11">
        <v>53</v>
      </c>
      <c r="B68" s="44">
        <f>'Statistics NZ'!B$68*'Economic Forecasts'!D$9*1000000/SUM('Statistics NZ'!B$30:B$110,'Statistics NZ'!B$130:B$210)</f>
        <v>25056.672592466752</v>
      </c>
      <c r="C68" s="44">
        <f>'Statistics NZ'!C$68*'Economic Forecasts'!E$9*1000000/SUM('Statistics NZ'!C$30:C$110,'Statistics NZ'!C$130:C$210)</f>
        <v>26229.429027534388</v>
      </c>
      <c r="D68" s="44">
        <f>'Statistics NZ'!D$68*'Economic Forecasts'!F$9*1000000/SUM('Statistics NZ'!D$30:D$110,'Statistics NZ'!D$130:D$210)</f>
        <v>26865.149335362519</v>
      </c>
      <c r="E68" s="44">
        <f>'Statistics NZ'!E$68*'Economic Forecasts'!G$9*1000000/SUM('Statistics NZ'!E$30:E$110,'Statistics NZ'!E$130:E$210)</f>
        <v>27724.453760760149</v>
      </c>
      <c r="F68" s="44">
        <f>'Statistics NZ'!F$68*'Economic Forecasts'!H$9*1000000/SUM('Statistics NZ'!F$30:F$110,'Statistics NZ'!F$130:F$210)</f>
        <v>28416.18441195523</v>
      </c>
      <c r="G68" s="44">
        <f>'Statistics NZ'!G$68*'Economic Forecasts'!I$9*1000000/SUM('Statistics NZ'!G$30:G$110,'Statistics NZ'!G$130:G$210)</f>
        <v>28887.890915163276</v>
      </c>
      <c r="H68" s="44">
        <f>'Statistics NZ'!H$68*'Economic Forecasts'!J$9*1000000/SUM('Statistics NZ'!H$30:H$110,'Statistics NZ'!H$130:H$210)</f>
        <v>30290.897812284704</v>
      </c>
      <c r="I68" s="44">
        <f>'Statistics NZ'!I$68*'Economic Forecasts'!K$9*1000000/SUM('Statistics NZ'!I$30:I$110,'Statistics NZ'!I$130:I$210)</f>
        <v>30626.306777497586</v>
      </c>
      <c r="J68" s="44">
        <f>'Statistics NZ'!J$68*'Economic Forecasts'!L$9*1000000/SUM('Statistics NZ'!J$30:J$110,'Statistics NZ'!J$130:J$210)</f>
        <v>31927.662466641144</v>
      </c>
      <c r="K68" s="44">
        <f>'Statistics NZ'!K$68*'Economic Forecasts'!M$9*1000000/SUM('Statistics NZ'!K$30:K$110,'Statistics NZ'!K$130:K$210)</f>
        <v>32635.807235962115</v>
      </c>
      <c r="L68" s="44">
        <f>'Statistics NZ'!L$68*'Economic Forecasts'!N$9*1000000/SUM('Statistics NZ'!L$30:L$110,'Statistics NZ'!L$130:L$210)</f>
        <v>33065.544621864035</v>
      </c>
      <c r="M68" s="44">
        <f>'Statistics NZ'!M$68*'Economic Forecasts'!O$9*1000000/SUM('Statistics NZ'!M$30:M$110,'Statistics NZ'!M$130:M$210)</f>
        <v>32601.067910326485</v>
      </c>
      <c r="N68" s="44">
        <f>'Statistics NZ'!N$68*'Economic Forecasts'!P$9*1000000/SUM('Statistics NZ'!N$30:N$110,'Statistics NZ'!N$130:N$210)</f>
        <v>31859.745987749549</v>
      </c>
      <c r="O68" s="44">
        <f>'Statistics NZ'!O$68*'Economic Forecasts'!Q$9*1000000/SUM('Statistics NZ'!O$30:O$110,'Statistics NZ'!O$130:O$210)</f>
        <v>31366.625889762843</v>
      </c>
      <c r="P68" s="44">
        <f>'Statistics NZ'!P$68*'Economic Forecasts'!R$9*1000000/SUM('Statistics NZ'!P$30:P$110,'Statistics NZ'!P$130:P$210)</f>
        <v>32001.703193243735</v>
      </c>
      <c r="Q68" s="44">
        <f>'Statistics NZ'!Q$68*'Economic Forecasts'!S$9*1000000/SUM('Statistics NZ'!Q$30:Q$110,'Statistics NZ'!Q$130:Q$210)</f>
        <v>32753.177998527794</v>
      </c>
      <c r="R68" s="44">
        <f>'Statistics NZ'!R$68*'Economic Forecasts'!T$9*1000000/SUM('Statistics NZ'!R$30:R$110,'Statistics NZ'!R$130:R$210)</f>
        <v>33249.891211438349</v>
      </c>
      <c r="S68" s="44">
        <f>'Statistics NZ'!S$68*'Economic Forecasts'!U$9*1000000/SUM('Statistics NZ'!S$30:S$110,'Statistics NZ'!S$130:S$210)</f>
        <v>32781.192821041383</v>
      </c>
      <c r="T68" s="44">
        <f>'Statistics NZ'!T$68*'Economic Forecasts'!V$9*1000000/SUM('Statistics NZ'!T$30:T$110,'Statistics NZ'!T$130:T$210)</f>
        <v>34521.934272300467</v>
      </c>
      <c r="U68" s="45">
        <f>SUM('Statistics NZ'!U$68,$L$12/5*(U$8-U$9)*1000)*'Economic Forecasts'!W$9*1000000/SUM('Statistics NZ'!U$30:U$110,'Statistics NZ'!U$130:U$210,SUM($E$12:$T$13)*(U$8-U$9)*1000)</f>
        <v>34067.124413009391</v>
      </c>
      <c r="V68" s="45">
        <f>SUM('Statistics NZ'!V$68,$L$12/5*(V$8-V$9)*1000)*'Economic Forecasts'!X$9*1000000/SUM('Statistics NZ'!V$30:V$110,'Statistics NZ'!V$130:V$210,SUM($E$12:$T$13)*(V$8-V$9)*1000)</f>
        <v>33191.700002004996</v>
      </c>
      <c r="W68" s="45">
        <f>SUM('Statistics NZ'!W$68,$L$12/5*(W$8-W$9)*1000)*'Economic Forecasts'!Y$9*1000000/SUM('Statistics NZ'!W$30:W$110,'Statistics NZ'!W$130:W$210,SUM($E$12:$T$13)*(W$8-W$9)*1000)</f>
        <v>32336.831006462682</v>
      </c>
      <c r="X68" s="45">
        <f>SUM('Statistics NZ'!X$68,$L$12/5*(X$8-X$9)*1000)*'Economic Forecasts'!Z$9*1000000/SUM('Statistics NZ'!X$30:X$110,'Statistics NZ'!X$130:X$210,SUM($E$12:$T$13)*(X$8-X$9)*1000)</f>
        <v>31303.364466447165</v>
      </c>
      <c r="Y68" s="45">
        <f>SUM('Statistics NZ'!Y$68,$L$12/5*(Y$8-Y$9)*1000)*'Economic Forecasts'!AA$9*1000000/SUM('Statistics NZ'!Y$30:Y$110,'Statistics NZ'!Y$130:Y$210,SUM($E$12:$T$13)*(Y$8-Y$9)*1000)</f>
        <v>30214.267901675576</v>
      </c>
      <c r="Z68" s="46">
        <f>SUM(Y$68,'Statistics NZ'!Z$68-'Statistics NZ'!Y$68,$L$12/5*(Z$8-Z$9)*1000)</f>
        <v>30635.548241800832</v>
      </c>
      <c r="AA68" s="46">
        <f>SUM(Z$68,'Statistics NZ'!AA$68-'Statistics NZ'!Z$68,$L$12/5*(AA$8-AA$9)*1000)</f>
        <v>30656.316445875986</v>
      </c>
      <c r="AB68" s="46">
        <f>SUM(AA$68,'Statistics NZ'!AB$68-'Statistics NZ'!AA$68,$L$12/5*(AB$8-AB$9)*1000)</f>
        <v>31876.674941111058</v>
      </c>
      <c r="AC68" s="46">
        <f>SUM(AB$68,'Statistics NZ'!AC$68-'Statistics NZ'!AB$68,$L$12/5*(AC$8-AC$9)*1000)</f>
        <v>32576.674941111058</v>
      </c>
      <c r="AD68" s="46">
        <f>SUM(AC$68,'Statistics NZ'!AD$68-'Statistics NZ'!AC$68,$L$12/5*(AD$8-AD$9)*1000)</f>
        <v>33356.674941111058</v>
      </c>
      <c r="AE68" s="46">
        <f>SUM(AD$68,'Statistics NZ'!AE$68-'Statistics NZ'!AD$68,$L$12/5*(AE$8-AE$9)*1000)</f>
        <v>34676.674941111058</v>
      </c>
      <c r="AF68" s="46">
        <f>SUM(AE$68,'Statistics NZ'!AF$68-'Statistics NZ'!AE$68,$L$12/5*(AF$8-AF$9)*1000)</f>
        <v>35806.674941111058</v>
      </c>
      <c r="AG68" s="46">
        <f>SUM(AF$68,'Statistics NZ'!AG$68-'Statistics NZ'!AF$68,$L$12/5*(AG$8-AG$9)*1000)</f>
        <v>36556.674941111058</v>
      </c>
      <c r="AH68" s="46">
        <f>SUM(AG$68,'Statistics NZ'!AH$68-'Statistics NZ'!AG$68,$L$12/5*(AH$8-AH$9)*1000)</f>
        <v>37916.674941111058</v>
      </c>
      <c r="AI68" s="46">
        <f>SUM(AH$68,'Statistics NZ'!AI$68-'Statistics NZ'!AH$68,$L$12/5*(AI$8-AI$9)*1000)</f>
        <v>38616.674941111058</v>
      </c>
      <c r="AJ68" s="46">
        <f>SUM(AI$68,'Statistics NZ'!AJ$68-'Statistics NZ'!AI$68,$L$12/5*(AJ$8-AJ$9)*1000)</f>
        <v>40266.674941111058</v>
      </c>
      <c r="AK68" s="46">
        <f>SUM(AJ$68,'Statistics NZ'!AK$68-'Statistics NZ'!AJ$68,$L$12/5*(AK$8-AK$9)*1000)</f>
        <v>42536.674941111058</v>
      </c>
      <c r="AL68" s="46">
        <f>SUM(AK$68,'Statistics NZ'!AL$68-'Statistics NZ'!AK$68,$L$12/5*(AL$8-AL$9)*1000)</f>
        <v>43546.674941111058</v>
      </c>
      <c r="AM68" s="46">
        <f>SUM(AL$68,'Statistics NZ'!AM$68-'Statistics NZ'!AL$68,$L$12/5*(AM$8-AM$9)*1000)</f>
        <v>45266.674941111058</v>
      </c>
      <c r="AN68" s="46">
        <f>SUM(AM$68,'Statistics NZ'!AN$68-'Statistics NZ'!AM$68,$L$12/5*(AN$8-AN$9)*1000)</f>
        <v>46086.674941111058</v>
      </c>
      <c r="AO68" s="46">
        <f>SUM(AN$68,'Statistics NZ'!AO$68-'Statistics NZ'!AN$68,$L$12/5*(AO$8-AO$9)*1000)</f>
        <v>45716.674941111058</v>
      </c>
      <c r="AP68" s="46">
        <f>SUM(AO$68,'Statistics NZ'!AP$68-'Statistics NZ'!AO$68,$L$12/5*(AP$8-AP$9)*1000)</f>
        <v>45336.674941111058</v>
      </c>
      <c r="AQ68" s="46">
        <f>SUM(AP$68,'Statistics NZ'!AQ$68-'Statistics NZ'!AP$68,$L$12/5*(AQ$8-AQ$9)*1000)</f>
        <v>44126.674941111058</v>
      </c>
      <c r="AR68" s="46">
        <f>SUM(AQ$68,'Statistics NZ'!AR$68-'Statistics NZ'!AQ$68,$L$12/5*(AR$8-AR$9)*1000)</f>
        <v>43876.674941111058</v>
      </c>
      <c r="AS68" s="46">
        <f>SUM(AR$68,'Statistics NZ'!AS$68-'Statistics NZ'!AR$68,$L$12/5*(AS$8-AS$9)*1000)</f>
        <v>42886.674941111058</v>
      </c>
      <c r="AT68" s="46">
        <f>SUM(AS$68,'Statistics NZ'!AT$68-'Statistics NZ'!AS$68,$L$12/5*(AT$8-AT$9)*1000)</f>
        <v>42756.674941111058</v>
      </c>
      <c r="AU68" s="46">
        <f>SUM(AT$68,'Statistics NZ'!AU$68-'Statistics NZ'!AT$68,$L$12/5*(AU$8-AU$9)*1000)</f>
        <v>42466.674941111058</v>
      </c>
      <c r="AV68" s="46">
        <f>SUM(AU$68,'Statistics NZ'!AV$68-'Statistics NZ'!AU$68,$L$12/5*(AV$8-AV$9)*1000)</f>
        <v>41436.674941111058</v>
      </c>
      <c r="AW68" s="46">
        <f>SUM(AV$68,'Statistics NZ'!AW$68-'Statistics NZ'!AV$68,$L$12/5*(AW$8-AW$9)*1000)</f>
        <v>42996.674941111058</v>
      </c>
      <c r="AX68" s="46">
        <f>SUM(AW$68,'Statistics NZ'!AX$68-'Statistics NZ'!AW$68,$L$12/5*(AX$8-AX$9)*1000)</f>
        <v>42706.674941111058</v>
      </c>
      <c r="AY68" s="46">
        <f>SUM(AX$68,'Statistics NZ'!AY$68-'Statistics NZ'!AX$68,$L$12/5*(AY$8-AY$9)*1000)</f>
        <v>42076.674941111058</v>
      </c>
      <c r="AZ68" s="46">
        <f>SUM(AY$68,'Statistics NZ'!AZ$68-'Statistics NZ'!AY$68,$L$12/5*(AZ$8-AZ$9)*1000)</f>
        <v>42096.674941111058</v>
      </c>
      <c r="BA68" s="46">
        <f>SUM(AZ$68,'Statistics NZ'!BA$68-'Statistics NZ'!AZ$68,$L$12/5*(BA$8-BA$9)*1000)</f>
        <v>43056.674941111058</v>
      </c>
      <c r="BB68" s="46">
        <f>SUM(BA$68,'Statistics NZ'!BB$68-'Statistics NZ'!BA$68,$L$12/5*(BB$8-BB$9)*1000)</f>
        <v>43226.674941111058</v>
      </c>
      <c r="BC68" s="46">
        <f>SUM(BB$68,'Statistics NZ'!BC$68-'Statistics NZ'!BB$68,$L$12/5*(BC$8-BC$9)*1000)</f>
        <v>44006.674941111058</v>
      </c>
      <c r="BD68" s="46">
        <f>SUM(BC$68,'Statistics NZ'!BD$68-'Statistics NZ'!BC$68,$L$12/5*(BD$8-BD$9)*1000)</f>
        <v>46196.674941111058</v>
      </c>
      <c r="BE68" s="46">
        <f>SUM(BD$68,'Statistics NZ'!BE$68-'Statistics NZ'!BD$68,$L$12/5*(BE$8-BE$9)*1000)</f>
        <v>47386.674941111058</v>
      </c>
      <c r="BF68" s="46">
        <f>SUM(BE$68,'Statistics NZ'!BF$68-'Statistics NZ'!BE$68,$L$12/5*(BF$8-BF$9)*1000)</f>
        <v>46916.674941111058</v>
      </c>
      <c r="BG68" s="46">
        <f>SUM(BF$68,'Statistics NZ'!BG$68-'Statistics NZ'!BF$68,$L$12/5*(BG$8-BG$9)*1000)</f>
        <v>48016.674941111058</v>
      </c>
      <c r="BH68" s="46">
        <f>SUM(BG$68,'Statistics NZ'!BH$68-'Statistics NZ'!BG$68,$L$12/5*(BH$8-BH$9)*1000)</f>
        <v>48146.674941111058</v>
      </c>
      <c r="BI68" s="46">
        <f>SUM(BH$68,'Statistics NZ'!BI$68-'Statistics NZ'!BH$68,$L$12/5*(BI$8-BI$9)*1000)</f>
        <v>48356.674941111058</v>
      </c>
    </row>
    <row r="69" spans="1:61" x14ac:dyDescent="0.25">
      <c r="A69" s="11">
        <v>54</v>
      </c>
      <c r="B69" s="44">
        <f>'Statistics NZ'!B$69*'Economic Forecasts'!D$9*1000000/SUM('Statistics NZ'!B$30:B$110,'Statistics NZ'!B$130:B$210)</f>
        <v>24665.3149572857</v>
      </c>
      <c r="C69" s="44">
        <f>'Statistics NZ'!C$69*'Economic Forecasts'!E$9*1000000/SUM('Statistics NZ'!C$30:C$110,'Statistics NZ'!C$130:C$210)</f>
        <v>25080.47987133015</v>
      </c>
      <c r="D69" s="44">
        <f>'Statistics NZ'!D$69*'Economic Forecasts'!F$9*1000000/SUM('Statistics NZ'!D$30:D$110,'Statistics NZ'!D$130:D$210)</f>
        <v>26138.267781133327</v>
      </c>
      <c r="E69" s="44">
        <f>'Statistics NZ'!E$69*'Economic Forecasts'!G$9*1000000/SUM('Statistics NZ'!E$30:E$110,'Statistics NZ'!E$130:E$210)</f>
        <v>26704.523378333881</v>
      </c>
      <c r="F69" s="44">
        <f>'Statistics NZ'!F$69*'Economic Forecasts'!H$9*1000000/SUM('Statistics NZ'!F$30:F$110,'Statistics NZ'!F$130:F$210)</f>
        <v>27680.522060938096</v>
      </c>
      <c r="G69" s="44">
        <f>'Statistics NZ'!G$69*'Economic Forecasts'!I$9*1000000/SUM('Statistics NZ'!G$30:G$110,'Statistics NZ'!G$130:G$210)</f>
        <v>28386.944829929231</v>
      </c>
      <c r="H69" s="44">
        <f>'Statistics NZ'!H$69*'Economic Forecasts'!J$9*1000000/SUM('Statistics NZ'!H$30:H$110,'Statistics NZ'!H$130:H$210)</f>
        <v>28807.302103671347</v>
      </c>
      <c r="I69" s="44">
        <f>'Statistics NZ'!I$69*'Economic Forecasts'!K$9*1000000/SUM('Statistics NZ'!I$30:I$110,'Statistics NZ'!I$130:I$210)</f>
        <v>30096.914790946736</v>
      </c>
      <c r="J69" s="44">
        <f>'Statistics NZ'!J$69*'Economic Forecasts'!L$9*1000000/SUM('Statistics NZ'!J$30:J$110,'Statistics NZ'!J$130:J$210)</f>
        <v>30425.872601075254</v>
      </c>
      <c r="K69" s="44">
        <f>'Statistics NZ'!K$69*'Economic Forecasts'!M$9*1000000/SUM('Statistics NZ'!K$30:K$110,'Statistics NZ'!K$130:K$210)</f>
        <v>31895.854565934336</v>
      </c>
      <c r="L69" s="44">
        <f>'Statistics NZ'!L$69*'Economic Forecasts'!N$9*1000000/SUM('Statistics NZ'!L$30:L$110,'Statistics NZ'!L$130:L$210)</f>
        <v>32666.343405875694</v>
      </c>
      <c r="M69" s="44">
        <f>'Statistics NZ'!M$69*'Economic Forecasts'!O$9*1000000/SUM('Statistics NZ'!M$30:M$110,'Statistics NZ'!M$130:M$210)</f>
        <v>33275.168505415648</v>
      </c>
      <c r="N69" s="44">
        <f>'Statistics NZ'!N$69*'Economic Forecasts'!P$9*1000000/SUM('Statistics NZ'!N$30:N$110,'Statistics NZ'!N$130:N$210)</f>
        <v>32711.035269363249</v>
      </c>
      <c r="O69" s="44">
        <f>'Statistics NZ'!O$69*'Economic Forecasts'!Q$9*1000000/SUM('Statistics NZ'!O$30:O$110,'Statistics NZ'!O$130:O$210)</f>
        <v>31799.269005483708</v>
      </c>
      <c r="P69" s="44">
        <f>'Statistics NZ'!P$69*'Economic Forecasts'!R$9*1000000/SUM('Statistics NZ'!P$30:P$110,'Statistics NZ'!P$130:P$210)</f>
        <v>31402.346762544363</v>
      </c>
      <c r="Q69" s="44">
        <f>'Statistics NZ'!Q$69*'Economic Forecasts'!S$9*1000000/SUM('Statistics NZ'!Q$30:Q$110,'Statistics NZ'!Q$130:Q$210)</f>
        <v>32176.992276988633</v>
      </c>
      <c r="R69" s="44">
        <f>'Statistics NZ'!R$69*'Economic Forecasts'!T$9*1000000/SUM('Statistics NZ'!R$30:R$110,'Statistics NZ'!R$130:R$210)</f>
        <v>32512.996347812579</v>
      </c>
      <c r="S69" s="44">
        <f>'Statistics NZ'!S$69*'Economic Forecasts'!U$9*1000000/SUM('Statistics NZ'!S$30:S$110,'Statistics NZ'!S$130:S$210)</f>
        <v>32702.604405527949</v>
      </c>
      <c r="T69" s="44">
        <f>'Statistics NZ'!T$69*'Economic Forecasts'!V$9*1000000/SUM('Statistics NZ'!T$30:T$110,'Statistics NZ'!T$130:T$210)</f>
        <v>32975.732220483391</v>
      </c>
      <c r="U69" s="45">
        <f>SUM('Statistics NZ'!U$69,$L$12/5*(U$8-U$9)*1000)*'Economic Forecasts'!W$9*1000000/SUM('Statistics NZ'!U$30:U$110,'Statistics NZ'!U$130:U$210,SUM($E$12:$T$13)*(U$8-U$9)*1000)</f>
        <v>34403.892653145725</v>
      </c>
      <c r="V69" s="45">
        <f>SUM('Statistics NZ'!V$69,$L$12/5*(V$8-V$9)*1000)*'Economic Forecasts'!X$9*1000000/SUM('Statistics NZ'!V$30:V$110,'Statistics NZ'!V$130:V$210,SUM($E$12:$T$13)*(V$8-V$9)*1000)</f>
        <v>33963.96381070558</v>
      </c>
      <c r="W69" s="45">
        <f>SUM('Statistics NZ'!W$69,$L$12/5*(W$8-W$9)*1000)*'Economic Forecasts'!Y$9*1000000/SUM('Statistics NZ'!W$30:W$110,'Statistics NZ'!W$130:W$210,SUM($E$12:$T$13)*(W$8-W$9)*1000)</f>
        <v>33119.167663597975</v>
      </c>
      <c r="X69" s="45">
        <f>SUM('Statistics NZ'!X$69,$L$12/5*(X$8-X$9)*1000)*'Economic Forecasts'!Z$9*1000000/SUM('Statistics NZ'!X$30:X$110,'Statistics NZ'!X$130:X$210,SUM($E$12:$T$13)*(X$8-X$9)*1000)</f>
        <v>32274.08005598831</v>
      </c>
      <c r="Y69" s="45">
        <f>SUM('Statistics NZ'!Y$69,$L$12/5*(Y$8-Y$9)*1000)*'Economic Forecasts'!AA$9*1000000/SUM('Statistics NZ'!Y$30:Y$110,'Statistics NZ'!Y$130:Y$210,SUM($E$12:$T$13)*(Y$8-Y$9)*1000)</f>
        <v>31254.702467781291</v>
      </c>
      <c r="Z69" s="46">
        <f>SUM(Y$69,'Statistics NZ'!Z$69-'Statistics NZ'!Y$69,$L$12/5*(Z$8-Z$9)*1000)</f>
        <v>30145.982807906548</v>
      </c>
      <c r="AA69" s="46">
        <f>SUM(Z$69,'Statistics NZ'!AA$69-'Statistics NZ'!Z$69,$L$12/5*(AA$8-AA$9)*1000)</f>
        <v>30566.751011981702</v>
      </c>
      <c r="AB69" s="46">
        <f>SUM(AA$69,'Statistics NZ'!AB$69-'Statistics NZ'!AA$69,$L$12/5*(AB$8-AB$9)*1000)</f>
        <v>30587.109507216774</v>
      </c>
      <c r="AC69" s="46">
        <f>SUM(AB$69,'Statistics NZ'!AC$69-'Statistics NZ'!AB$69,$L$12/5*(AC$8-AC$9)*1000)</f>
        <v>31817.109507216774</v>
      </c>
      <c r="AD69" s="46">
        <f>SUM(AC$69,'Statistics NZ'!AD$69-'Statistics NZ'!AC$69,$L$12/5*(AD$8-AD$9)*1000)</f>
        <v>32517.109507216774</v>
      </c>
      <c r="AE69" s="46">
        <f>SUM(AD$69,'Statistics NZ'!AE$69-'Statistics NZ'!AD$69,$L$12/5*(AE$8-AE$9)*1000)</f>
        <v>33297.109507216774</v>
      </c>
      <c r="AF69" s="46">
        <f>SUM(AE$69,'Statistics NZ'!AF$69-'Statistics NZ'!AE$69,$L$12/5*(AF$8-AF$9)*1000)</f>
        <v>34607.109507216774</v>
      </c>
      <c r="AG69" s="46">
        <f>SUM(AF$69,'Statistics NZ'!AG$69-'Statistics NZ'!AF$69,$L$12/5*(AG$8-AG$9)*1000)</f>
        <v>35737.109507216774</v>
      </c>
      <c r="AH69" s="46">
        <f>SUM(AG$69,'Statistics NZ'!AH$69-'Statistics NZ'!AG$69,$L$12/5*(AH$8-AH$9)*1000)</f>
        <v>36487.109507216774</v>
      </c>
      <c r="AI69" s="46">
        <f>SUM(AH$69,'Statistics NZ'!AI$69-'Statistics NZ'!AH$69,$L$12/5*(AI$8-AI$9)*1000)</f>
        <v>37857.109507216774</v>
      </c>
      <c r="AJ69" s="46">
        <f>SUM(AI$69,'Statistics NZ'!AJ$69-'Statistics NZ'!AI$69,$L$12/5*(AJ$8-AJ$9)*1000)</f>
        <v>38547.109507216774</v>
      </c>
      <c r="AK69" s="46">
        <f>SUM(AJ$69,'Statistics NZ'!AK$69-'Statistics NZ'!AJ$69,$L$12/5*(AK$8-AK$9)*1000)</f>
        <v>40207.109507216774</v>
      </c>
      <c r="AL69" s="46">
        <f>SUM(AK$69,'Statistics NZ'!AL$69-'Statistics NZ'!AK$69,$L$12/5*(AL$8-AL$9)*1000)</f>
        <v>42467.109507216774</v>
      </c>
      <c r="AM69" s="46">
        <f>SUM(AL$69,'Statistics NZ'!AM$69-'Statistics NZ'!AL$69,$L$12/5*(AM$8-AM$9)*1000)</f>
        <v>43487.109507216774</v>
      </c>
      <c r="AN69" s="46">
        <f>SUM(AM$69,'Statistics NZ'!AN$69-'Statistics NZ'!AM$69,$L$12/5*(AN$8-AN$9)*1000)</f>
        <v>45197.109507216774</v>
      </c>
      <c r="AO69" s="46">
        <f>SUM(AN$69,'Statistics NZ'!AO$69-'Statistics NZ'!AN$69,$L$12/5*(AO$8-AO$9)*1000)</f>
        <v>46017.109507216774</v>
      </c>
      <c r="AP69" s="46">
        <f>SUM(AO$69,'Statistics NZ'!AP$69-'Statistics NZ'!AO$69,$L$12/5*(AP$8-AP$9)*1000)</f>
        <v>45647.109507216774</v>
      </c>
      <c r="AQ69" s="46">
        <f>SUM(AP$69,'Statistics NZ'!AQ$69-'Statistics NZ'!AP$69,$L$12/5*(AQ$8-AQ$9)*1000)</f>
        <v>45277.109507216774</v>
      </c>
      <c r="AR69" s="46">
        <f>SUM(AQ$69,'Statistics NZ'!AR$69-'Statistics NZ'!AQ$69,$L$12/5*(AR$8-AR$9)*1000)</f>
        <v>44067.109507216774</v>
      </c>
      <c r="AS69" s="46">
        <f>SUM(AR$69,'Statistics NZ'!AS$69-'Statistics NZ'!AR$69,$L$12/5*(AS$8-AS$9)*1000)</f>
        <v>43827.109507216774</v>
      </c>
      <c r="AT69" s="46">
        <f>SUM(AS$69,'Statistics NZ'!AT$69-'Statistics NZ'!AS$69,$L$12/5*(AT$8-AT$9)*1000)</f>
        <v>42827.109507216774</v>
      </c>
      <c r="AU69" s="46">
        <f>SUM(AT$69,'Statistics NZ'!AU$69-'Statistics NZ'!AT$69,$L$12/5*(AU$8-AU$9)*1000)</f>
        <v>42707.109507216774</v>
      </c>
      <c r="AV69" s="46">
        <f>SUM(AU$69,'Statistics NZ'!AV$69-'Statistics NZ'!AU$69,$L$12/5*(AV$8-AV$9)*1000)</f>
        <v>42417.109507216774</v>
      </c>
      <c r="AW69" s="46">
        <f>SUM(AV$69,'Statistics NZ'!AW$69-'Statistics NZ'!AV$69,$L$12/5*(AW$8-AW$9)*1000)</f>
        <v>41397.109507216774</v>
      </c>
      <c r="AX69" s="46">
        <f>SUM(AW$69,'Statistics NZ'!AX$69-'Statistics NZ'!AW$69,$L$12/5*(AX$8-AX$9)*1000)</f>
        <v>42947.109507216774</v>
      </c>
      <c r="AY69" s="46">
        <f>SUM(AX$69,'Statistics NZ'!AY$69-'Statistics NZ'!AX$69,$L$12/5*(AY$8-AY$9)*1000)</f>
        <v>42657.109507216774</v>
      </c>
      <c r="AZ69" s="46">
        <f>SUM(AY$69,'Statistics NZ'!AZ$69-'Statistics NZ'!AY$69,$L$12/5*(AZ$8-AZ$9)*1000)</f>
        <v>42037.109507216774</v>
      </c>
      <c r="BA69" s="46">
        <f>SUM(AZ$69,'Statistics NZ'!BA$69-'Statistics NZ'!AZ$69,$L$12/5*(BA$8-BA$9)*1000)</f>
        <v>42057.109507216774</v>
      </c>
      <c r="BB69" s="46">
        <f>SUM(BA$69,'Statistics NZ'!BB$69-'Statistics NZ'!BA$69,$L$12/5*(BB$8-BB$9)*1000)</f>
        <v>43017.109507216774</v>
      </c>
      <c r="BC69" s="46">
        <f>SUM(BB$69,'Statistics NZ'!BC$69-'Statistics NZ'!BB$69,$L$12/5*(BC$8-BC$9)*1000)</f>
        <v>43187.109507216774</v>
      </c>
      <c r="BD69" s="46">
        <f>SUM(BC$69,'Statistics NZ'!BD$69-'Statistics NZ'!BC$69,$L$12/5*(BD$8-BD$9)*1000)</f>
        <v>43967.109507216774</v>
      </c>
      <c r="BE69" s="46">
        <f>SUM(BD$69,'Statistics NZ'!BE$69-'Statistics NZ'!BD$69,$L$12/5*(BE$8-BE$9)*1000)</f>
        <v>46157.109507216774</v>
      </c>
      <c r="BF69" s="46">
        <f>SUM(BE$69,'Statistics NZ'!BF$69-'Statistics NZ'!BE$69,$L$12/5*(BF$8-BF$9)*1000)</f>
        <v>47347.109507216774</v>
      </c>
      <c r="BG69" s="46">
        <f>SUM(BF$69,'Statistics NZ'!BG$69-'Statistics NZ'!BF$69,$L$12/5*(BG$8-BG$9)*1000)</f>
        <v>46877.109507216774</v>
      </c>
      <c r="BH69" s="46">
        <f>SUM(BG$69,'Statistics NZ'!BH$69-'Statistics NZ'!BG$69,$L$12/5*(BH$8-BH$9)*1000)</f>
        <v>47977.109507216774</v>
      </c>
      <c r="BI69" s="46">
        <f>SUM(BH$69,'Statistics NZ'!BI$69-'Statistics NZ'!BH$69,$L$12/5*(BI$8-BI$9)*1000)</f>
        <v>48117.109507216774</v>
      </c>
    </row>
    <row r="70" spans="1:61" x14ac:dyDescent="0.25">
      <c r="A70" s="11">
        <v>55</v>
      </c>
      <c r="B70" s="44">
        <f>'Statistics NZ'!B$70*'Economic Forecasts'!D$9*1000000/SUM('Statistics NZ'!B$30:B$110,'Statistics NZ'!B$130:B$210)</f>
        <v>24234.821558586544</v>
      </c>
      <c r="C70" s="44">
        <f>'Statistics NZ'!C$70*'Economic Forecasts'!E$9*1000000/SUM('Statistics NZ'!C$30:C$110,'Statistics NZ'!C$130:C$210)</f>
        <v>24658.216506229441</v>
      </c>
      <c r="D70" s="44">
        <f>'Statistics NZ'!D$70*'Economic Forecasts'!F$9*1000000/SUM('Statistics NZ'!D$30:D$110,'Statistics NZ'!D$130:D$210)</f>
        <v>25047.945449789546</v>
      </c>
      <c r="E70" s="44">
        <f>'Statistics NZ'!E$70*'Economic Forecasts'!G$9*1000000/SUM('Statistics NZ'!E$30:E$110,'Statistics NZ'!E$130:E$210)</f>
        <v>26067.06688931747</v>
      </c>
      <c r="F70" s="44">
        <f>'Statistics NZ'!F$70*'Economic Forecasts'!H$9*1000000/SUM('Statistics NZ'!F$30:F$110,'Statistics NZ'!F$130:F$210)</f>
        <v>26689.830094901685</v>
      </c>
      <c r="G70" s="44">
        <f>'Statistics NZ'!G$70*'Economic Forecasts'!I$9*1000000/SUM('Statistics NZ'!G$30:G$110,'Statistics NZ'!G$130:G$210)</f>
        <v>27610.969521429433</v>
      </c>
      <c r="H70" s="44">
        <f>'Statistics NZ'!H$70*'Economic Forecasts'!J$9*1000000/SUM('Statistics NZ'!H$30:H$110,'Statistics NZ'!H$130:H$210)</f>
        <v>28335.695520800877</v>
      </c>
      <c r="I70" s="44">
        <f>'Statistics NZ'!I$70*'Economic Forecasts'!K$9*1000000/SUM('Statistics NZ'!I$30:I$110,'Statistics NZ'!I$130:I$210)</f>
        <v>28655.792160891629</v>
      </c>
      <c r="J70" s="44">
        <f>'Statistics NZ'!J$70*'Economic Forecasts'!L$9*1000000/SUM('Statistics NZ'!J$30:J$110,'Statistics NZ'!J$130:J$210)</f>
        <v>29909.022842146729</v>
      </c>
      <c r="K70" s="44">
        <f>'Statistics NZ'!K$70*'Economic Forecasts'!M$9*1000000/SUM('Statistics NZ'!K$30:K$110,'Statistics NZ'!K$130:K$210)</f>
        <v>30396.476787193831</v>
      </c>
      <c r="L70" s="44">
        <f>'Statistics NZ'!L$70*'Economic Forecasts'!N$9*1000000/SUM('Statistics NZ'!L$30:L$110,'Statistics NZ'!L$130:L$210)</f>
        <v>31936.097279067737</v>
      </c>
      <c r="M70" s="44">
        <f>'Statistics NZ'!M$70*'Economic Forecasts'!O$9*1000000/SUM('Statistics NZ'!M$30:M$110,'Statistics NZ'!M$130:M$210)</f>
        <v>32796.459387163923</v>
      </c>
      <c r="N70" s="44">
        <f>'Statistics NZ'!N$70*'Economic Forecasts'!P$9*1000000/SUM('Statistics NZ'!N$30:N$110,'Statistics NZ'!N$130:N$210)</f>
        <v>33386.195734091358</v>
      </c>
      <c r="O70" s="44">
        <f>'Statistics NZ'!O$70*'Economic Forecasts'!Q$9*1000000/SUM('Statistics NZ'!O$30:O$110,'Statistics NZ'!O$130:O$210)</f>
        <v>32713.719227348269</v>
      </c>
      <c r="P70" s="44">
        <f>'Statistics NZ'!P$70*'Economic Forecasts'!R$9*1000000/SUM('Statistics NZ'!P$30:P$110,'Statistics NZ'!P$130:P$210)</f>
        <v>31893.622525412702</v>
      </c>
      <c r="Q70" s="44">
        <f>'Statistics NZ'!Q$70*'Economic Forecasts'!S$9*1000000/SUM('Statistics NZ'!Q$30:Q$110,'Statistics NZ'!Q$130:Q$210)</f>
        <v>31431.924533619029</v>
      </c>
      <c r="R70" s="44">
        <f>'Statistics NZ'!R$70*'Economic Forecasts'!T$9*1000000/SUM('Statistics NZ'!R$30:R$110,'Statistics NZ'!R$130:R$210)</f>
        <v>32015.094412930299</v>
      </c>
      <c r="S70" s="44">
        <f>'Statistics NZ'!S$70*'Economic Forecasts'!U$9*1000000/SUM('Statistics NZ'!S$30:S$110,'Statistics NZ'!S$130:S$210)</f>
        <v>31906.89669845442</v>
      </c>
      <c r="T70" s="44">
        <f>'Statistics NZ'!T$70*'Economic Forecasts'!V$9*1000000/SUM('Statistics NZ'!T$30:T$110,'Statistics NZ'!T$130:T$210)</f>
        <v>32876.616704341272</v>
      </c>
      <c r="U70" s="45">
        <f>SUM('Statistics NZ'!U$70,$M$12/5*(U$8-U$9)*1000)*'Economic Forecasts'!W$9*1000000/SUM('Statistics NZ'!U$30:U$110,'Statistics NZ'!U$130:U$210,SUM($E$12:$T$13)*(U$8-U$9)*1000)</f>
        <v>32881.071334825006</v>
      </c>
      <c r="V70" s="45">
        <f>SUM('Statistics NZ'!V$70,$M$12/5*(V$8-V$9)*1000)*'Economic Forecasts'!X$9*1000000/SUM('Statistics NZ'!V$30:V$110,'Statistics NZ'!V$130:V$210,SUM($E$12:$T$13)*(V$8-V$9)*1000)</f>
        <v>34323.40533485778</v>
      </c>
      <c r="W70" s="45">
        <f>SUM('Statistics NZ'!W$70,$M$12/5*(W$8-W$9)*1000)*'Economic Forecasts'!Y$9*1000000/SUM('Statistics NZ'!W$30:W$110,'Statistics NZ'!W$130:W$210,SUM($E$12:$T$13)*(W$8-W$9)*1000)</f>
        <v>33912.529945715789</v>
      </c>
      <c r="X70" s="45">
        <f>SUM('Statistics NZ'!X$70,$M$12/5*(X$8-X$9)*1000)*'Economic Forecasts'!Z$9*1000000/SUM('Statistics NZ'!X$30:X$110,'Statistics NZ'!X$130:X$210,SUM($E$12:$T$13)*(X$8-X$9)*1000)</f>
        <v>33075.008373294811</v>
      </c>
      <c r="Y70" s="45">
        <f>SUM('Statistics NZ'!Y$70,$M$12/5*(Y$8-Y$9)*1000)*'Economic Forecasts'!AA$9*1000000/SUM('Statistics NZ'!Y$30:Y$110,'Statistics NZ'!Y$130:Y$210,SUM($E$12:$T$13)*(Y$8-Y$9)*1000)</f>
        <v>32241.987744026581</v>
      </c>
      <c r="Z70" s="46">
        <f>SUM(Y$70,'Statistics NZ'!Z$70-'Statistics NZ'!Y$70,$M$12/5*(Z$8-Z$9)*1000)</f>
        <v>31207.244379147069</v>
      </c>
      <c r="AA70" s="46">
        <f>SUM(Z$70,'Statistics NZ'!AA$70-'Statistics NZ'!Z$70,$M$12/5*(AA$8-AA$9)*1000)</f>
        <v>30110.398360219362</v>
      </c>
      <c r="AB70" s="46">
        <f>SUM(AA$70,'Statistics NZ'!AB$70-'Statistics NZ'!AA$70,$M$12/5*(AB$8-AB$9)*1000)</f>
        <v>30531.8702180531</v>
      </c>
      <c r="AC70" s="46">
        <f>SUM(AB$70,'Statistics NZ'!AC$70-'Statistics NZ'!AB$70,$M$12/5*(AC$8-AC$9)*1000)</f>
        <v>30561.8702180531</v>
      </c>
      <c r="AD70" s="46">
        <f>SUM(AC$70,'Statistics NZ'!AD$70-'Statistics NZ'!AC$70,$M$12/5*(AD$8-AD$9)*1000)</f>
        <v>31781.8702180531</v>
      </c>
      <c r="AE70" s="46">
        <f>SUM(AD$70,'Statistics NZ'!AE$70-'Statistics NZ'!AD$70,$M$12/5*(AE$8-AE$9)*1000)</f>
        <v>32481.8702180531</v>
      </c>
      <c r="AF70" s="46">
        <f>SUM(AE$70,'Statistics NZ'!AF$70-'Statistics NZ'!AE$70,$M$12/5*(AF$8-AF$9)*1000)</f>
        <v>33261.870218053096</v>
      </c>
      <c r="AG70" s="46">
        <f>SUM(AF$70,'Statistics NZ'!AG$70-'Statistics NZ'!AF$70,$M$12/5*(AG$8-AG$9)*1000)</f>
        <v>34581.870218053096</v>
      </c>
      <c r="AH70" s="46">
        <f>SUM(AG$70,'Statistics NZ'!AH$70-'Statistics NZ'!AG$70,$M$12/5*(AH$8-AH$9)*1000)</f>
        <v>35711.870218053096</v>
      </c>
      <c r="AI70" s="46">
        <f>SUM(AH$70,'Statistics NZ'!AI$70-'Statistics NZ'!AH$70,$M$12/5*(AI$8-AI$9)*1000)</f>
        <v>36451.870218053096</v>
      </c>
      <c r="AJ70" s="46">
        <f>SUM(AI$70,'Statistics NZ'!AJ$70-'Statistics NZ'!AI$70,$M$12/5*(AJ$8-AJ$9)*1000)</f>
        <v>37821.870218053096</v>
      </c>
      <c r="AK70" s="46">
        <f>SUM(AJ$70,'Statistics NZ'!AK$70-'Statistics NZ'!AJ$70,$M$12/5*(AK$8-AK$9)*1000)</f>
        <v>38511.870218053096</v>
      </c>
      <c r="AL70" s="46">
        <f>SUM(AK$70,'Statistics NZ'!AL$70-'Statistics NZ'!AK$70,$M$12/5*(AL$8-AL$9)*1000)</f>
        <v>40171.870218053096</v>
      </c>
      <c r="AM70" s="46">
        <f>SUM(AL$70,'Statistics NZ'!AM$70-'Statistics NZ'!AL$70,$M$12/5*(AM$8-AM$9)*1000)</f>
        <v>42431.870218053096</v>
      </c>
      <c r="AN70" s="46">
        <f>SUM(AM$70,'Statistics NZ'!AN$70-'Statistics NZ'!AM$70,$M$12/5*(AN$8-AN$9)*1000)</f>
        <v>43451.870218053096</v>
      </c>
      <c r="AO70" s="46">
        <f>SUM(AN$70,'Statistics NZ'!AO$70-'Statistics NZ'!AN$70,$M$12/5*(AO$8-AO$9)*1000)</f>
        <v>45161.870218053096</v>
      </c>
      <c r="AP70" s="46">
        <f>SUM(AO$70,'Statistics NZ'!AP$70-'Statistics NZ'!AO$70,$M$12/5*(AP$8-AP$9)*1000)</f>
        <v>45981.870218053096</v>
      </c>
      <c r="AQ70" s="46">
        <f>SUM(AP$70,'Statistics NZ'!AQ$70-'Statistics NZ'!AP$70,$M$12/5*(AQ$8-AQ$9)*1000)</f>
        <v>45611.870218053096</v>
      </c>
      <c r="AR70" s="46">
        <f>SUM(AQ$70,'Statistics NZ'!AR$70-'Statistics NZ'!AQ$70,$M$12/5*(AR$8-AR$9)*1000)</f>
        <v>45241.870218053096</v>
      </c>
      <c r="AS70" s="46">
        <f>SUM(AR$70,'Statistics NZ'!AS$70-'Statistics NZ'!AR$70,$M$12/5*(AS$8-AS$9)*1000)</f>
        <v>44041.870218053096</v>
      </c>
      <c r="AT70" s="46">
        <f>SUM(AS$70,'Statistics NZ'!AT$70-'Statistics NZ'!AS$70,$M$12/5*(AT$8-AT$9)*1000)</f>
        <v>43801.870218053096</v>
      </c>
      <c r="AU70" s="46">
        <f>SUM(AT$70,'Statistics NZ'!AU$70-'Statistics NZ'!AT$70,$M$12/5*(AU$8-AU$9)*1000)</f>
        <v>42811.870218053096</v>
      </c>
      <c r="AV70" s="46">
        <f>SUM(AU$70,'Statistics NZ'!AV$70-'Statistics NZ'!AU$70,$M$12/5*(AV$8-AV$9)*1000)</f>
        <v>42681.870218053096</v>
      </c>
      <c r="AW70" s="46">
        <f>SUM(AV$70,'Statistics NZ'!AW$70-'Statistics NZ'!AV$70,$M$12/5*(AW$8-AW$9)*1000)</f>
        <v>42401.870218053096</v>
      </c>
      <c r="AX70" s="46">
        <f>SUM(AW$70,'Statistics NZ'!AX$70-'Statistics NZ'!AW$70,$M$12/5*(AX$8-AX$9)*1000)</f>
        <v>41381.870218053096</v>
      </c>
      <c r="AY70" s="46">
        <f>SUM(AX$70,'Statistics NZ'!AY$70-'Statistics NZ'!AX$70,$M$12/5*(AY$8-AY$9)*1000)</f>
        <v>42931.870218053096</v>
      </c>
      <c r="AZ70" s="46">
        <f>SUM(AY$70,'Statistics NZ'!AZ$70-'Statistics NZ'!AY$70,$M$12/5*(AZ$8-AZ$9)*1000)</f>
        <v>42651.870218053096</v>
      </c>
      <c r="BA70" s="46">
        <f>SUM(AZ$70,'Statistics NZ'!BA$70-'Statistics NZ'!AZ$70,$M$12/5*(BA$8-BA$9)*1000)</f>
        <v>42031.870218053096</v>
      </c>
      <c r="BB70" s="46">
        <f>SUM(BA$70,'Statistics NZ'!BB$70-'Statistics NZ'!BA$70,$M$12/5*(BB$8-BB$9)*1000)</f>
        <v>42051.870218053096</v>
      </c>
      <c r="BC70" s="46">
        <f>SUM(BB$70,'Statistics NZ'!BC$70-'Statistics NZ'!BB$70,$M$12/5*(BC$8-BC$9)*1000)</f>
        <v>43011.870218053096</v>
      </c>
      <c r="BD70" s="46">
        <f>SUM(BC$70,'Statistics NZ'!BD$70-'Statistics NZ'!BC$70,$M$12/5*(BD$8-BD$9)*1000)</f>
        <v>43181.870218053096</v>
      </c>
      <c r="BE70" s="46">
        <f>SUM(BD$70,'Statistics NZ'!BE$70-'Statistics NZ'!BD$70,$M$12/5*(BE$8-BE$9)*1000)</f>
        <v>43961.870218053096</v>
      </c>
      <c r="BF70" s="46">
        <f>SUM(BE$70,'Statistics NZ'!BF$70-'Statistics NZ'!BE$70,$M$12/5*(BF$8-BF$9)*1000)</f>
        <v>46151.870218053096</v>
      </c>
      <c r="BG70" s="46">
        <f>SUM(BF$70,'Statistics NZ'!BG$70-'Statistics NZ'!BF$70,$M$12/5*(BG$8-BG$9)*1000)</f>
        <v>47341.870218053096</v>
      </c>
      <c r="BH70" s="46">
        <f>SUM(BG$70,'Statistics NZ'!BH$70-'Statistics NZ'!BG$70,$M$12/5*(BH$8-BH$9)*1000)</f>
        <v>46881.870218053096</v>
      </c>
      <c r="BI70" s="46">
        <f>SUM(BH$70,'Statistics NZ'!BI$70-'Statistics NZ'!BH$70,$M$12/5*(BI$8-BI$9)*1000)</f>
        <v>47971.870218053096</v>
      </c>
    </row>
    <row r="71" spans="1:61" x14ac:dyDescent="0.25">
      <c r="A71" s="11">
        <v>56</v>
      </c>
      <c r="B71" s="44">
        <f>'Statistics NZ'!B$71*'Economic Forecasts'!D$9*1000000/SUM('Statistics NZ'!B$30:B$110,'Statistics NZ'!B$130:B$210)</f>
        <v>24391.364612658967</v>
      </c>
      <c r="C71" s="44">
        <f>'Statistics NZ'!C$71*'Economic Forecasts'!E$9*1000000/SUM('Statistics NZ'!C$30:C$110,'Statistics NZ'!C$130:C$210)</f>
        <v>24285.053532419515</v>
      </c>
      <c r="D71" s="44">
        <f>'Statistics NZ'!D$71*'Economic Forecasts'!F$9*1000000/SUM('Statistics NZ'!D$30:D$110,'Statistics NZ'!D$130:D$210)</f>
        <v>24596.100159322759</v>
      </c>
      <c r="E71" s="44">
        <f>'Statistics NZ'!E$71*'Economic Forecasts'!G$9*1000000/SUM('Statistics NZ'!E$30:E$110,'Statistics NZ'!E$130:E$210)</f>
        <v>25007.908415259422</v>
      </c>
      <c r="F71" s="44">
        <f>'Statistics NZ'!F$71*'Economic Forecasts'!H$9*1000000/SUM('Statistics NZ'!F$30:F$110,'Statistics NZ'!F$130:F$210)</f>
        <v>26062.064888700395</v>
      </c>
      <c r="G71" s="44">
        <f>'Statistics NZ'!G$71*'Economic Forecasts'!I$9*1000000/SUM('Statistics NZ'!G$30:G$110,'Statistics NZ'!G$130:G$210)</f>
        <v>26677.834656777781</v>
      </c>
      <c r="H71" s="44">
        <f>'Statistics NZ'!H$71*'Economic Forecasts'!J$9*1000000/SUM('Statistics NZ'!H$30:H$110,'Statistics NZ'!H$130:H$210)</f>
        <v>27549.684549350088</v>
      </c>
      <c r="I71" s="44">
        <f>'Statistics NZ'!I$71*'Economic Forecasts'!K$9*1000000/SUM('Statistics NZ'!I$30:I$110,'Statistics NZ'!I$130:I$210)</f>
        <v>28224.435727405751</v>
      </c>
      <c r="J71" s="44">
        <f>'Statistics NZ'!J$71*'Economic Forecasts'!L$9*1000000/SUM('Statistics NZ'!J$30:J$110,'Statistics NZ'!J$130:J$210)</f>
        <v>28553.511210239856</v>
      </c>
      <c r="K71" s="44">
        <f>'Statistics NZ'!K$71*'Economic Forecasts'!M$9*1000000/SUM('Statistics NZ'!K$30:K$110,'Statistics NZ'!K$130:K$210)</f>
        <v>29899.929600727821</v>
      </c>
      <c r="L71" s="44">
        <f>'Statistics NZ'!L$71*'Economic Forecasts'!N$9*1000000/SUM('Statistics NZ'!L$30:L$110,'Statistics NZ'!L$130:L$210)</f>
        <v>30475.605025451834</v>
      </c>
      <c r="M71" s="44">
        <f>'Statistics NZ'!M$71*'Economic Forecasts'!O$9*1000000/SUM('Statistics NZ'!M$30:M$110,'Statistics NZ'!M$130:M$210)</f>
        <v>32102.81964439102</v>
      </c>
      <c r="N71" s="44">
        <f>'Statistics NZ'!N$71*'Economic Forecasts'!P$9*1000000/SUM('Statistics NZ'!N$30:N$110,'Statistics NZ'!N$130:N$210)</f>
        <v>32867.594217705999</v>
      </c>
      <c r="O71" s="44">
        <f>'Statistics NZ'!O$71*'Economic Forecasts'!Q$9*1000000/SUM('Statistics NZ'!O$30:O$110,'Statistics NZ'!O$130:O$210)</f>
        <v>33362.683900929565</v>
      </c>
      <c r="P71" s="44">
        <f>'Statistics NZ'!P$71*'Economic Forecasts'!R$9*1000000/SUM('Statistics NZ'!P$30:P$110,'Statistics NZ'!P$130:P$210)</f>
        <v>32758.267868060982</v>
      </c>
      <c r="Q71" s="44">
        <f>'Statistics NZ'!Q$71*'Economic Forecasts'!S$9*1000000/SUM('Statistics NZ'!Q$30:Q$110,'Statistics NZ'!Q$130:Q$210)</f>
        <v>31908.767889375573</v>
      </c>
      <c r="R71" s="44">
        <f>'Statistics NZ'!R$71*'Economic Forecasts'!T$9*1000000/SUM('Statistics NZ'!R$30:R$110,'Statistics NZ'!R$130:R$210)</f>
        <v>31158.703084932789</v>
      </c>
      <c r="S71" s="44">
        <f>'Statistics NZ'!S$71*'Economic Forecasts'!U$9*1000000/SUM('Statistics NZ'!S$30:S$110,'Statistics NZ'!S$130:S$210)</f>
        <v>31405.895549556277</v>
      </c>
      <c r="T71" s="44">
        <f>'Statistics NZ'!T$71*'Economic Forecasts'!V$9*1000000/SUM('Statistics NZ'!T$30:T$110,'Statistics NZ'!T$130:T$210)</f>
        <v>32053.957920361678</v>
      </c>
      <c r="U71" s="45">
        <f>SUM('Statistics NZ'!U$71,$M$12/5*(U$8-U$9)*1000)*'Economic Forecasts'!W$9*1000000/SUM('Statistics NZ'!U$30:U$110,'Statistics NZ'!U$130:U$210,SUM($E$12:$T$13)*(U$8-U$9)*1000)</f>
        <v>32801.831748910583</v>
      </c>
      <c r="V71" s="45">
        <f>SUM('Statistics NZ'!V$71,$M$12/5*(V$8-V$9)*1000)*'Economic Forecasts'!X$9*1000000/SUM('Statistics NZ'!V$30:V$110,'Statistics NZ'!V$130:V$210,SUM($E$12:$T$13)*(V$8-V$9)*1000)</f>
        <v>32808.580171637404</v>
      </c>
      <c r="W71" s="45">
        <f>SUM('Statistics NZ'!W$71,$M$12/5*(W$8-W$9)*1000)*'Economic Forecasts'!Y$9*1000000/SUM('Statistics NZ'!W$30:W$110,'Statistics NZ'!W$130:W$210,SUM($E$12:$T$13)*(W$8-W$9)*1000)</f>
        <v>34269.037789473645</v>
      </c>
      <c r="X71" s="45">
        <f>SUM('Statistics NZ'!X$71,$M$12/5*(X$8-X$9)*1000)*'Economic Forecasts'!Z$9*1000000/SUM('Statistics NZ'!X$30:X$110,'Statistics NZ'!X$130:X$210,SUM($E$12:$T$13)*(X$8-X$9)*1000)</f>
        <v>33867.429262716149</v>
      </c>
      <c r="Y71" s="45">
        <f>SUM('Statistics NZ'!Y$71,$M$12/5*(Y$8-Y$9)*1000)*'Economic Forecasts'!AA$9*1000000/SUM('Statistics NZ'!Y$30:Y$110,'Statistics NZ'!Y$130:Y$210,SUM($E$12:$T$13)*(Y$8-Y$9)*1000)</f>
        <v>33044.60869502242</v>
      </c>
      <c r="Z71" s="46">
        <f>SUM(Y$71,'Statistics NZ'!Z$71-'Statistics NZ'!Y$71,$M$12/5*(Z$8-Z$9)*1000)</f>
        <v>32199.865330142908</v>
      </c>
      <c r="AA71" s="46">
        <f>SUM(Z$71,'Statistics NZ'!AA$71-'Statistics NZ'!Z$71,$M$12/5*(AA$8-AA$9)*1000)</f>
        <v>31173.019311215201</v>
      </c>
      <c r="AB71" s="46">
        <f>SUM(AA$71,'Statistics NZ'!AB$71-'Statistics NZ'!AA$71,$M$12/5*(AB$8-AB$9)*1000)</f>
        <v>30074.491169048939</v>
      </c>
      <c r="AC71" s="46">
        <f>SUM(AB$71,'Statistics NZ'!AC$71-'Statistics NZ'!AB$71,$M$12/5*(AC$8-AC$9)*1000)</f>
        <v>30504.491169048939</v>
      </c>
      <c r="AD71" s="46">
        <f>SUM(AC$71,'Statistics NZ'!AD$71-'Statistics NZ'!AC$71,$M$12/5*(AD$8-AD$9)*1000)</f>
        <v>30524.491169048939</v>
      </c>
      <c r="AE71" s="46">
        <f>SUM(AD$71,'Statistics NZ'!AE$71-'Statistics NZ'!AD$71,$M$12/5*(AE$8-AE$9)*1000)</f>
        <v>31744.491169048939</v>
      </c>
      <c r="AF71" s="46">
        <f>SUM(AE$71,'Statistics NZ'!AF$71-'Statistics NZ'!AE$71,$M$12/5*(AF$8-AF$9)*1000)</f>
        <v>32454.491169048939</v>
      </c>
      <c r="AG71" s="46">
        <f>SUM(AF$71,'Statistics NZ'!AG$71-'Statistics NZ'!AF$71,$M$12/5*(AG$8-AG$9)*1000)</f>
        <v>33234.491169048939</v>
      </c>
      <c r="AH71" s="46">
        <f>SUM(AG$71,'Statistics NZ'!AH$71-'Statistics NZ'!AG$71,$M$12/5*(AH$8-AH$9)*1000)</f>
        <v>34544.491169048939</v>
      </c>
      <c r="AI71" s="46">
        <f>SUM(AH$71,'Statistics NZ'!AI$71-'Statistics NZ'!AH$71,$M$12/5*(AI$8-AI$9)*1000)</f>
        <v>35674.491169048939</v>
      </c>
      <c r="AJ71" s="46">
        <f>SUM(AI$71,'Statistics NZ'!AJ$71-'Statistics NZ'!AI$71,$M$12/5*(AJ$8-AJ$9)*1000)</f>
        <v>36424.491169048939</v>
      </c>
      <c r="AK71" s="46">
        <f>SUM(AJ$71,'Statistics NZ'!AK$71-'Statistics NZ'!AJ$71,$M$12/5*(AK$8-AK$9)*1000)</f>
        <v>37784.491169048939</v>
      </c>
      <c r="AL71" s="46">
        <f>SUM(AK$71,'Statistics NZ'!AL$71-'Statistics NZ'!AK$71,$M$12/5*(AL$8-AL$9)*1000)</f>
        <v>38484.491169048939</v>
      </c>
      <c r="AM71" s="46">
        <f>SUM(AL$71,'Statistics NZ'!AM$71-'Statistics NZ'!AL$71,$M$12/5*(AM$8-AM$9)*1000)</f>
        <v>40134.491169048939</v>
      </c>
      <c r="AN71" s="46">
        <f>SUM(AM$71,'Statistics NZ'!AN$71-'Statistics NZ'!AM$71,$M$12/5*(AN$8-AN$9)*1000)</f>
        <v>42394.491169048939</v>
      </c>
      <c r="AO71" s="46">
        <f>SUM(AN$71,'Statistics NZ'!AO$71-'Statistics NZ'!AN$71,$M$12/5*(AO$8-AO$9)*1000)</f>
        <v>43414.491169048939</v>
      </c>
      <c r="AP71" s="46">
        <f>SUM(AO$71,'Statistics NZ'!AP$71-'Statistics NZ'!AO$71,$M$12/5*(AP$8-AP$9)*1000)</f>
        <v>45124.491169048939</v>
      </c>
      <c r="AQ71" s="46">
        <f>SUM(AP$71,'Statistics NZ'!AQ$71-'Statistics NZ'!AP$71,$M$12/5*(AQ$8-AQ$9)*1000)</f>
        <v>45944.491169048939</v>
      </c>
      <c r="AR71" s="46">
        <f>SUM(AQ$71,'Statistics NZ'!AR$71-'Statistics NZ'!AQ$71,$M$12/5*(AR$8-AR$9)*1000)</f>
        <v>45584.491169048939</v>
      </c>
      <c r="AS71" s="46">
        <f>SUM(AR$71,'Statistics NZ'!AS$71-'Statistics NZ'!AR$71,$M$12/5*(AS$8-AS$9)*1000)</f>
        <v>45214.491169048939</v>
      </c>
      <c r="AT71" s="46">
        <f>SUM(AS$71,'Statistics NZ'!AT$71-'Statistics NZ'!AS$71,$M$12/5*(AT$8-AT$9)*1000)</f>
        <v>44014.491169048939</v>
      </c>
      <c r="AU71" s="46">
        <f>SUM(AT$71,'Statistics NZ'!AU$71-'Statistics NZ'!AT$71,$M$12/5*(AU$8-AU$9)*1000)</f>
        <v>43774.491169048939</v>
      </c>
      <c r="AV71" s="46">
        <f>SUM(AU$71,'Statistics NZ'!AV$71-'Statistics NZ'!AU$71,$M$12/5*(AV$8-AV$9)*1000)</f>
        <v>42794.491169048939</v>
      </c>
      <c r="AW71" s="46">
        <f>SUM(AV$71,'Statistics NZ'!AW$71-'Statistics NZ'!AV$71,$M$12/5*(AW$8-AW$9)*1000)</f>
        <v>42664.491169048939</v>
      </c>
      <c r="AX71" s="46">
        <f>SUM(AW$71,'Statistics NZ'!AX$71-'Statistics NZ'!AW$71,$M$12/5*(AX$8-AX$9)*1000)</f>
        <v>42384.491169048939</v>
      </c>
      <c r="AY71" s="46">
        <f>SUM(AX$71,'Statistics NZ'!AY$71-'Statistics NZ'!AX$71,$M$12/5*(AY$8-AY$9)*1000)</f>
        <v>41364.491169048939</v>
      </c>
      <c r="AZ71" s="46">
        <f>SUM(AY$71,'Statistics NZ'!AZ$71-'Statistics NZ'!AY$71,$M$12/5*(AZ$8-AZ$9)*1000)</f>
        <v>42924.491169048939</v>
      </c>
      <c r="BA71" s="46">
        <f>SUM(AZ$71,'Statistics NZ'!BA$71-'Statistics NZ'!AZ$71,$M$12/5*(BA$8-BA$9)*1000)</f>
        <v>42644.491169048939</v>
      </c>
      <c r="BB71" s="46">
        <f>SUM(BA$71,'Statistics NZ'!BB$71-'Statistics NZ'!BA$71,$M$12/5*(BB$8-BB$9)*1000)</f>
        <v>42024.491169048939</v>
      </c>
      <c r="BC71" s="46">
        <f>SUM(BB$71,'Statistics NZ'!BC$71-'Statistics NZ'!BB$71,$M$12/5*(BC$8-BC$9)*1000)</f>
        <v>42044.491169048939</v>
      </c>
      <c r="BD71" s="46">
        <f>SUM(BC$71,'Statistics NZ'!BD$71-'Statistics NZ'!BC$71,$M$12/5*(BD$8-BD$9)*1000)</f>
        <v>43004.491169048939</v>
      </c>
      <c r="BE71" s="46">
        <f>SUM(BD$71,'Statistics NZ'!BE$71-'Statistics NZ'!BD$71,$M$12/5*(BE$8-BE$9)*1000)</f>
        <v>43184.491169048939</v>
      </c>
      <c r="BF71" s="46">
        <f>SUM(BE$71,'Statistics NZ'!BF$71-'Statistics NZ'!BE$71,$M$12/5*(BF$8-BF$9)*1000)</f>
        <v>43954.491169048939</v>
      </c>
      <c r="BG71" s="46">
        <f>SUM(BF$71,'Statistics NZ'!BG$71-'Statistics NZ'!BF$71,$M$12/5*(BG$8-BG$9)*1000)</f>
        <v>46154.491169048939</v>
      </c>
      <c r="BH71" s="46">
        <f>SUM(BG$71,'Statistics NZ'!BH$71-'Statistics NZ'!BG$71,$M$12/5*(BH$8-BH$9)*1000)</f>
        <v>47334.491169048939</v>
      </c>
      <c r="BI71" s="46">
        <f>SUM(BH$71,'Statistics NZ'!BI$71-'Statistics NZ'!BH$71,$M$12/5*(BI$8-BI$9)*1000)</f>
        <v>46874.491169048939</v>
      </c>
    </row>
    <row r="72" spans="1:61" x14ac:dyDescent="0.25">
      <c r="A72" s="11">
        <v>57</v>
      </c>
      <c r="B72" s="44">
        <f>'Statistics NZ'!B$72*'Economic Forecasts'!D$9*1000000/SUM('Statistics NZ'!B$30:B$110,'Statistics NZ'!B$130:B$210)</f>
        <v>23569.513578778759</v>
      </c>
      <c r="C72" s="44">
        <f>'Statistics NZ'!C$72*'Economic Forecasts'!E$9*1000000/SUM('Statistics NZ'!C$30:C$110,'Statistics NZ'!C$130:C$210)</f>
        <v>24402.894471517393</v>
      </c>
      <c r="D72" s="44">
        <f>'Statistics NZ'!D$72*'Economic Forecasts'!F$9*1000000/SUM('Statistics NZ'!D$30:D$110,'Statistics NZ'!D$130:D$210)</f>
        <v>24242.482105913961</v>
      </c>
      <c r="E72" s="44">
        <f>'Statistics NZ'!E$72*'Economic Forecasts'!G$9*1000000/SUM('Statistics NZ'!E$30:E$110,'Statistics NZ'!E$130:E$210)</f>
        <v>24517.55726986218</v>
      </c>
      <c r="F72" s="44">
        <f>'Statistics NZ'!F$72*'Economic Forecasts'!H$9*1000000/SUM('Statistics NZ'!F$30:F$110,'Statistics NZ'!F$130:F$210)</f>
        <v>25022.328765929509</v>
      </c>
      <c r="G72" s="44">
        <f>'Statistics NZ'!G$72*'Economic Forecasts'!I$9*1000000/SUM('Statistics NZ'!G$30:G$110,'Statistics NZ'!G$130:G$210)</f>
        <v>26068.841376689335</v>
      </c>
      <c r="H72" s="44">
        <f>'Statistics NZ'!H$72*'Economic Forecasts'!J$9*1000000/SUM('Statistics NZ'!H$30:H$110,'Statistics NZ'!H$130:H$210)</f>
        <v>26665.422206467952</v>
      </c>
      <c r="I72" s="44">
        <f>'Statistics NZ'!I$72*'Economic Forecasts'!K$9*1000000/SUM('Statistics NZ'!I$30:I$110,'Statistics NZ'!I$130:I$210)</f>
        <v>27420.544192272973</v>
      </c>
      <c r="J72" s="44">
        <f>'Statistics NZ'!J$72*'Economic Forecasts'!L$9*1000000/SUM('Statistics NZ'!J$30:J$110,'Statistics NZ'!J$130:J$210)</f>
        <v>27987.90204009166</v>
      </c>
      <c r="K72" s="44">
        <f>'Statistics NZ'!K$72*'Economic Forecasts'!M$9*1000000/SUM('Statistics NZ'!K$30:K$110,'Statistics NZ'!K$130:K$210)</f>
        <v>28585.539989494268</v>
      </c>
      <c r="L72" s="44">
        <f>'Statistics NZ'!L$72*'Economic Forecasts'!N$9*1000000/SUM('Statistics NZ'!L$30:L$110,'Statistics NZ'!L$130:L$210)</f>
        <v>29959.564429174217</v>
      </c>
      <c r="M72" s="44">
        <f>'Statistics NZ'!M$72*'Economic Forecasts'!O$9*1000000/SUM('Statistics NZ'!M$30:M$110,'Statistics NZ'!M$130:M$210)</f>
        <v>30588.535698900872</v>
      </c>
      <c r="N72" s="44">
        <f>'Statistics NZ'!N$72*'Economic Forecasts'!P$9*1000000/SUM('Statistics NZ'!N$30:N$110,'Statistics NZ'!N$130:N$210)</f>
        <v>32123.939213077938</v>
      </c>
      <c r="O72" s="44">
        <f>'Statistics NZ'!O$72*'Economic Forecasts'!Q$9*1000000/SUM('Statistics NZ'!O$30:O$110,'Statistics NZ'!O$130:O$210)</f>
        <v>32920.207987124129</v>
      </c>
      <c r="P72" s="44">
        <f>'Statistics NZ'!P$72*'Economic Forecasts'!R$9*1000000/SUM('Statistics NZ'!P$30:P$110,'Statistics NZ'!P$130:P$210)</f>
        <v>33465.704966591395</v>
      </c>
      <c r="Q72" s="44">
        <f>'Statistics NZ'!Q$72*'Economic Forecasts'!S$9*1000000/SUM('Statistics NZ'!Q$30:Q$110,'Statistics NZ'!Q$130:Q$210)</f>
        <v>32773.046471684313</v>
      </c>
      <c r="R72" s="44">
        <f>'Statistics NZ'!R$72*'Economic Forecasts'!T$9*1000000/SUM('Statistics NZ'!R$30:R$110,'Statistics NZ'!R$130:R$210)</f>
        <v>31596.856787629189</v>
      </c>
      <c r="S72" s="44">
        <f>'Statistics NZ'!S$72*'Economic Forecasts'!U$9*1000000/SUM('Statistics NZ'!S$30:S$110,'Statistics NZ'!S$130:S$210)</f>
        <v>30600.364290543574</v>
      </c>
      <c r="T72" s="44">
        <f>'Statistics NZ'!T$72*'Economic Forecasts'!V$9*1000000/SUM('Statistics NZ'!T$30:T$110,'Statistics NZ'!T$130:T$210)</f>
        <v>31578.203442879501</v>
      </c>
      <c r="U72" s="45">
        <f>SUM('Statistics NZ'!U$72,$M$12/5*(U$8-U$9)*1000)*'Economic Forecasts'!W$9*1000000/SUM('Statistics NZ'!U$30:U$110,'Statistics NZ'!U$130:U$210,SUM($E$12:$T$13)*(U$8-U$9)*1000)</f>
        <v>31989.625993287664</v>
      </c>
      <c r="V72" s="45">
        <f>SUM('Statistics NZ'!V$72,$M$12/5*(V$8-V$9)*1000)*'Economic Forecasts'!X$9*1000000/SUM('Statistics NZ'!V$30:V$110,'Statistics NZ'!V$130:V$210,SUM($E$12:$T$13)*(V$8-V$9)*1000)</f>
        <v>32739.274445215557</v>
      </c>
      <c r="W72" s="45">
        <f>SUM('Statistics NZ'!W$72,$M$12/5*(W$8-W$9)*1000)*'Economic Forecasts'!Y$9*1000000/SUM('Statistics NZ'!W$30:W$110,'Statistics NZ'!W$130:W$210,SUM($E$12:$T$13)*(W$8-W$9)*1000)</f>
        <v>32773.685444822637</v>
      </c>
      <c r="X72" s="45">
        <f>SUM('Statistics NZ'!X$72,$M$12/5*(X$8-X$9)*1000)*'Economic Forecasts'!Z$9*1000000/SUM('Statistics NZ'!X$30:X$110,'Statistics NZ'!X$130:X$210,SUM($E$12:$T$13)*(X$8-X$9)*1000)</f>
        <v>34233.923924073519</v>
      </c>
      <c r="Y72" s="45">
        <f>SUM('Statistics NZ'!Y$72,$M$12/5*(Y$8-Y$9)*1000)*'Economic Forecasts'!AA$9*1000000/SUM('Statistics NZ'!Y$30:Y$110,'Statistics NZ'!Y$130:Y$210,SUM($E$12:$T$13)*(Y$8-Y$9)*1000)</f>
        <v>33847.229646018248</v>
      </c>
      <c r="Z72" s="46">
        <f>SUM(Y$72,'Statistics NZ'!Z$72-'Statistics NZ'!Y$72,$M$12/5*(Z$8-Z$9)*1000)</f>
        <v>33012.486281138736</v>
      </c>
      <c r="AA72" s="46">
        <f>SUM(Z$72,'Statistics NZ'!AA$72-'Statistics NZ'!Z$72,$M$12/5*(AA$8-AA$9)*1000)</f>
        <v>32165.640262211029</v>
      </c>
      <c r="AB72" s="46">
        <f>SUM(AA$72,'Statistics NZ'!AB$72-'Statistics NZ'!AA$72,$M$12/5*(AB$8-AB$9)*1000)</f>
        <v>31147.112120044767</v>
      </c>
      <c r="AC72" s="46">
        <f>SUM(AB$72,'Statistics NZ'!AC$72-'Statistics NZ'!AB$72,$M$12/5*(AC$8-AC$9)*1000)</f>
        <v>30057.112120044767</v>
      </c>
      <c r="AD72" s="46">
        <f>SUM(AC$72,'Statistics NZ'!AD$72-'Statistics NZ'!AC$72,$M$12/5*(AD$8-AD$9)*1000)</f>
        <v>30477.112120044767</v>
      </c>
      <c r="AE72" s="46">
        <f>SUM(AD$72,'Statistics NZ'!AE$72-'Statistics NZ'!AD$72,$M$12/5*(AE$8-AE$9)*1000)</f>
        <v>30507.112120044767</v>
      </c>
      <c r="AF72" s="46">
        <f>SUM(AE$72,'Statistics NZ'!AF$72-'Statistics NZ'!AE$72,$M$12/5*(AF$8-AF$9)*1000)</f>
        <v>31727.112120044767</v>
      </c>
      <c r="AG72" s="46">
        <f>SUM(AF$72,'Statistics NZ'!AG$72-'Statistics NZ'!AF$72,$M$12/5*(AG$8-AG$9)*1000)</f>
        <v>32437.112120044767</v>
      </c>
      <c r="AH72" s="46">
        <f>SUM(AG$72,'Statistics NZ'!AH$72-'Statistics NZ'!AG$72,$M$12/5*(AH$8-AH$9)*1000)</f>
        <v>33217.112120044767</v>
      </c>
      <c r="AI72" s="46">
        <f>SUM(AH$72,'Statistics NZ'!AI$72-'Statistics NZ'!AH$72,$M$12/5*(AI$8-AI$9)*1000)</f>
        <v>34527.112120044767</v>
      </c>
      <c r="AJ72" s="46">
        <f>SUM(AI$72,'Statistics NZ'!AJ$72-'Statistics NZ'!AI$72,$M$12/5*(AJ$8-AJ$9)*1000)</f>
        <v>35657.112120044767</v>
      </c>
      <c r="AK72" s="46">
        <f>SUM(AJ$72,'Statistics NZ'!AK$72-'Statistics NZ'!AJ$72,$M$12/5*(AK$8-AK$9)*1000)</f>
        <v>36407.112120044767</v>
      </c>
      <c r="AL72" s="46">
        <f>SUM(AK$72,'Statistics NZ'!AL$72-'Statistics NZ'!AK$72,$M$12/5*(AL$8-AL$9)*1000)</f>
        <v>37767.112120044767</v>
      </c>
      <c r="AM72" s="46">
        <f>SUM(AL$72,'Statistics NZ'!AM$72-'Statistics NZ'!AL$72,$M$12/5*(AM$8-AM$9)*1000)</f>
        <v>38467.112120044767</v>
      </c>
      <c r="AN72" s="46">
        <f>SUM(AM$72,'Statistics NZ'!AN$72-'Statistics NZ'!AM$72,$M$12/5*(AN$8-AN$9)*1000)</f>
        <v>40117.112120044767</v>
      </c>
      <c r="AO72" s="46">
        <f>SUM(AN$72,'Statistics NZ'!AO$72-'Statistics NZ'!AN$72,$M$12/5*(AO$8-AO$9)*1000)</f>
        <v>42377.112120044767</v>
      </c>
      <c r="AP72" s="46">
        <f>SUM(AO$72,'Statistics NZ'!AP$72-'Statistics NZ'!AO$72,$M$12/5*(AP$8-AP$9)*1000)</f>
        <v>43387.112120044767</v>
      </c>
      <c r="AQ72" s="46">
        <f>SUM(AP$72,'Statistics NZ'!AQ$72-'Statistics NZ'!AP$72,$M$12/5*(AQ$8-AQ$9)*1000)</f>
        <v>45107.112120044767</v>
      </c>
      <c r="AR72" s="46">
        <f>SUM(AQ$72,'Statistics NZ'!AR$72-'Statistics NZ'!AQ$72,$M$12/5*(AR$8-AR$9)*1000)</f>
        <v>45927.112120044767</v>
      </c>
      <c r="AS72" s="46">
        <f>SUM(AR$72,'Statistics NZ'!AS$72-'Statistics NZ'!AR$72,$M$12/5*(AS$8-AS$9)*1000)</f>
        <v>45567.112120044767</v>
      </c>
      <c r="AT72" s="46">
        <f>SUM(AS$72,'Statistics NZ'!AT$72-'Statistics NZ'!AS$72,$M$12/5*(AT$8-AT$9)*1000)</f>
        <v>45197.112120044767</v>
      </c>
      <c r="AU72" s="46">
        <f>SUM(AT$72,'Statistics NZ'!AU$72-'Statistics NZ'!AT$72,$M$12/5*(AU$8-AU$9)*1000)</f>
        <v>43997.112120044767</v>
      </c>
      <c r="AV72" s="46">
        <f>SUM(AU$72,'Statistics NZ'!AV$72-'Statistics NZ'!AU$72,$M$12/5*(AV$8-AV$9)*1000)</f>
        <v>43767.112120044767</v>
      </c>
      <c r="AW72" s="46">
        <f>SUM(AV$72,'Statistics NZ'!AW$72-'Statistics NZ'!AV$72,$M$12/5*(AW$8-AW$9)*1000)</f>
        <v>42787.112120044767</v>
      </c>
      <c r="AX72" s="46">
        <f>SUM(AW$72,'Statistics NZ'!AX$72-'Statistics NZ'!AW$72,$M$12/5*(AX$8-AX$9)*1000)</f>
        <v>42667.112120044767</v>
      </c>
      <c r="AY72" s="46">
        <f>SUM(AX$72,'Statistics NZ'!AY$72-'Statistics NZ'!AX$72,$M$12/5*(AY$8-AY$9)*1000)</f>
        <v>42387.112120044767</v>
      </c>
      <c r="AZ72" s="46">
        <f>SUM(AY$72,'Statistics NZ'!AZ$72-'Statistics NZ'!AY$72,$M$12/5*(AZ$8-AZ$9)*1000)</f>
        <v>41377.112120044767</v>
      </c>
      <c r="BA72" s="46">
        <f>SUM(AZ$72,'Statistics NZ'!BA$72-'Statistics NZ'!AZ$72,$M$12/5*(BA$8-BA$9)*1000)</f>
        <v>42927.112120044767</v>
      </c>
      <c r="BB72" s="46">
        <f>SUM(BA$72,'Statistics NZ'!BB$72-'Statistics NZ'!BA$72,$M$12/5*(BB$8-BB$9)*1000)</f>
        <v>42647.112120044767</v>
      </c>
      <c r="BC72" s="46">
        <f>SUM(BB$72,'Statistics NZ'!BC$72-'Statistics NZ'!BB$72,$M$12/5*(BC$8-BC$9)*1000)</f>
        <v>42027.112120044767</v>
      </c>
      <c r="BD72" s="46">
        <f>SUM(BC$72,'Statistics NZ'!BD$72-'Statistics NZ'!BC$72,$M$12/5*(BD$8-BD$9)*1000)</f>
        <v>42057.112120044767</v>
      </c>
      <c r="BE72" s="46">
        <f>SUM(BD$72,'Statistics NZ'!BE$72-'Statistics NZ'!BD$72,$M$12/5*(BE$8-BE$9)*1000)</f>
        <v>43017.112120044767</v>
      </c>
      <c r="BF72" s="46">
        <f>SUM(BE$72,'Statistics NZ'!BF$72-'Statistics NZ'!BE$72,$M$12/5*(BF$8-BF$9)*1000)</f>
        <v>43197.112120044767</v>
      </c>
      <c r="BG72" s="46">
        <f>SUM(BF$72,'Statistics NZ'!BG$72-'Statistics NZ'!BF$72,$M$12/5*(BG$8-BG$9)*1000)</f>
        <v>43967.112120044767</v>
      </c>
      <c r="BH72" s="46">
        <f>SUM(BG$72,'Statistics NZ'!BH$72-'Statistics NZ'!BG$72,$M$12/5*(BH$8-BH$9)*1000)</f>
        <v>46157.112120044767</v>
      </c>
      <c r="BI72" s="46">
        <f>SUM(BH$72,'Statistics NZ'!BI$72-'Statistics NZ'!BH$72,$M$12/5*(BI$8-BI$9)*1000)</f>
        <v>47347.112120044767</v>
      </c>
    </row>
    <row r="73" spans="1:61" x14ac:dyDescent="0.25">
      <c r="A73" s="11">
        <v>58</v>
      </c>
      <c r="B73" s="44">
        <f>'Statistics NZ'!B$73*'Economic Forecasts'!D$9*1000000/SUM('Statistics NZ'!B$30:B$110,'Statistics NZ'!B$130:B$210)</f>
        <v>23951.08727308028</v>
      </c>
      <c r="C73" s="44">
        <f>'Statistics NZ'!C$73*'Economic Forecasts'!E$9*1000000/SUM('Statistics NZ'!C$30:C$110,'Statistics NZ'!C$130:C$210)</f>
        <v>23617.288210864921</v>
      </c>
      <c r="D73" s="44">
        <f>'Statistics NZ'!D$73*'Economic Forecasts'!F$9*1000000/SUM('Statistics NZ'!D$30:D$110,'Statistics NZ'!D$130:D$210)</f>
        <v>24262.127553325565</v>
      </c>
      <c r="E73" s="44">
        <f>'Statistics NZ'!E$73*'Economic Forecasts'!G$9*1000000/SUM('Statistics NZ'!E$30:E$110,'Statistics NZ'!E$130:E$210)</f>
        <v>24095.855284820551</v>
      </c>
      <c r="F73" s="44">
        <f>'Statistics NZ'!F$73*'Economic Forecasts'!H$9*1000000/SUM('Statistics NZ'!F$30:F$110,'Statistics NZ'!F$130:F$210)</f>
        <v>24522.07836723786</v>
      </c>
      <c r="G73" s="44">
        <f>'Statistics NZ'!G$73*'Economic Forecasts'!I$9*1000000/SUM('Statistics NZ'!G$30:G$110,'Statistics NZ'!G$130:G$210)</f>
        <v>25027.659317183279</v>
      </c>
      <c r="H73" s="44">
        <f>'Statistics NZ'!H$73*'Economic Forecasts'!J$9*1000000/SUM('Statistics NZ'!H$30:H$110,'Statistics NZ'!H$130:H$210)</f>
        <v>26066.088840736727</v>
      </c>
      <c r="I73" s="44">
        <f>'Statistics NZ'!I$73*'Economic Forecasts'!K$9*1000000/SUM('Statistics NZ'!I$30:I$110,'Statistics NZ'!I$130:I$210)</f>
        <v>26567.6348806077</v>
      </c>
      <c r="J73" s="44">
        <f>'Statistics NZ'!J$73*'Economic Forecasts'!L$9*1000000/SUM('Statistics NZ'!J$30:J$110,'Statistics NZ'!J$130:J$210)</f>
        <v>27227.255225064775</v>
      </c>
      <c r="K73" s="44">
        <f>'Statistics NZ'!K$73*'Economic Forecasts'!M$9*1000000/SUM('Statistics NZ'!K$30:K$110,'Statistics NZ'!K$130:K$210)</f>
        <v>27913.740854863783</v>
      </c>
      <c r="L73" s="44">
        <f>'Statistics NZ'!L$73*'Economic Forecasts'!N$9*1000000/SUM('Statistics NZ'!L$30:L$110,'Statistics NZ'!L$130:L$210)</f>
        <v>28674.331245992227</v>
      </c>
      <c r="M73" s="44">
        <f>'Statistics NZ'!M$73*'Economic Forecasts'!O$9*1000000/SUM('Statistics NZ'!M$30:M$110,'Statistics NZ'!M$130:M$210)</f>
        <v>30100.057006807285</v>
      </c>
      <c r="N73" s="44">
        <f>'Statistics NZ'!N$73*'Economic Forecasts'!P$9*1000000/SUM('Statistics NZ'!N$30:N$110,'Statistics NZ'!N$130:N$210)</f>
        <v>30617.059335278973</v>
      </c>
      <c r="O73" s="44">
        <f>'Statistics NZ'!O$73*'Economic Forecasts'!Q$9*1000000/SUM('Statistics NZ'!O$30:O$110,'Statistics NZ'!O$130:O$210)</f>
        <v>32074.587351851529</v>
      </c>
      <c r="P73" s="44">
        <f>'Statistics NZ'!P$73*'Economic Forecasts'!R$9*1000000/SUM('Statistics NZ'!P$30:P$110,'Statistics NZ'!P$130:P$210)</f>
        <v>33062.858841039357</v>
      </c>
      <c r="Q73" s="44">
        <f>'Statistics NZ'!Q$73*'Economic Forecasts'!S$9*1000000/SUM('Statistics NZ'!Q$30:Q$110,'Statistics NZ'!Q$130:Q$210)</f>
        <v>33408.837612693045</v>
      </c>
      <c r="R73" s="44">
        <f>'Statistics NZ'!R$73*'Economic Forecasts'!T$9*1000000/SUM('Statistics NZ'!R$30:R$110,'Statistics NZ'!R$130:R$210)</f>
        <v>32413.415960836122</v>
      </c>
      <c r="S73" s="44">
        <f>'Statistics NZ'!S$73*'Economic Forecasts'!U$9*1000000/SUM('Statistics NZ'!S$30:S$110,'Statistics NZ'!S$130:S$210)</f>
        <v>30954.012160354032</v>
      </c>
      <c r="T73" s="44">
        <f>'Statistics NZ'!T$73*'Economic Forecasts'!V$9*1000000/SUM('Statistics NZ'!T$30:T$110,'Statistics NZ'!T$130:T$210)</f>
        <v>30745.633107285692</v>
      </c>
      <c r="U73" s="45">
        <f>SUM('Statistics NZ'!U$73,$M$12/5*(U$8-U$9)*1000)*'Economic Forecasts'!W$9*1000000/SUM('Statistics NZ'!U$30:U$110,'Statistics NZ'!U$130:U$210,SUM($E$12:$T$13)*(U$8-U$9)*1000)</f>
        <v>31524.093426040385</v>
      </c>
      <c r="V73" s="45">
        <f>SUM('Statistics NZ'!V$73,$M$12/5*(V$8-V$9)*1000)*'Economic Forecasts'!X$9*1000000/SUM('Statistics NZ'!V$30:V$110,'Statistics NZ'!V$130:V$210,SUM($E$12:$T$13)*(V$8-V$9)*1000)</f>
        <v>31937.308182334182</v>
      </c>
      <c r="W73" s="45">
        <f>SUM('Statistics NZ'!W$73,$M$12/5*(W$8-W$9)*1000)*'Economic Forecasts'!Y$9*1000000/SUM('Statistics NZ'!W$30:W$110,'Statistics NZ'!W$130:W$210,SUM($E$12:$T$13)*(W$8-W$9)*1000)</f>
        <v>32704.364475203052</v>
      </c>
      <c r="X73" s="45">
        <f>SUM('Statistics NZ'!X$73,$M$12/5*(X$8-X$9)*1000)*'Economic Forecasts'!Z$9*1000000/SUM('Statistics NZ'!X$30:X$110,'Statistics NZ'!X$130:X$210,SUM($E$12:$T$13)*(X$8-X$9)*1000)</f>
        <v>32748.134756408504</v>
      </c>
      <c r="Y73" s="45">
        <f>SUM('Statistics NZ'!Y$73,$M$12/5*(Y$8-Y$9)*1000)*'Economic Forecasts'!AA$9*1000000/SUM('Statistics NZ'!Y$30:Y$110,'Statistics NZ'!Y$130:Y$210,SUM($E$12:$T$13)*(Y$8-Y$9)*1000)</f>
        <v>34213.858969312649</v>
      </c>
      <c r="Z73" s="46">
        <f>SUM(Y$73,'Statistics NZ'!Z$73-'Statistics NZ'!Y$73,$M$12/5*(Z$8-Z$9)*1000)</f>
        <v>33819.115604433136</v>
      </c>
      <c r="AA73" s="46">
        <f>SUM(Z$73,'Statistics NZ'!AA$73-'Statistics NZ'!Z$73,$M$12/5*(AA$8-AA$9)*1000)</f>
        <v>32992.269585505426</v>
      </c>
      <c r="AB73" s="46">
        <f>SUM(AA$73,'Statistics NZ'!AB$73-'Statistics NZ'!AA$73,$M$12/5*(AB$8-AB$9)*1000)</f>
        <v>32153.741443339164</v>
      </c>
      <c r="AC73" s="46">
        <f>SUM(AB$73,'Statistics NZ'!AC$73-'Statistics NZ'!AB$73,$M$12/5*(AC$8-AC$9)*1000)</f>
        <v>31133.741443339164</v>
      </c>
      <c r="AD73" s="46">
        <f>SUM(AC$73,'Statistics NZ'!AD$73-'Statistics NZ'!AC$73,$M$12/5*(AD$8-AD$9)*1000)</f>
        <v>30053.741443339164</v>
      </c>
      <c r="AE73" s="46">
        <f>SUM(AD$73,'Statistics NZ'!AE$73-'Statistics NZ'!AD$73,$M$12/5*(AE$8-AE$9)*1000)</f>
        <v>30483.741443339164</v>
      </c>
      <c r="AF73" s="46">
        <f>SUM(AE$73,'Statistics NZ'!AF$73-'Statistics NZ'!AE$73,$M$12/5*(AF$8-AF$9)*1000)</f>
        <v>30513.741443339164</v>
      </c>
      <c r="AG73" s="46">
        <f>SUM(AF$73,'Statistics NZ'!AG$73-'Statistics NZ'!AF$73,$M$12/5*(AG$8-AG$9)*1000)</f>
        <v>31733.741443339164</v>
      </c>
      <c r="AH73" s="46">
        <f>SUM(AG$73,'Statistics NZ'!AH$73-'Statistics NZ'!AG$73,$M$12/5*(AH$8-AH$9)*1000)</f>
        <v>32433.741443339164</v>
      </c>
      <c r="AI73" s="46">
        <f>SUM(AH$73,'Statistics NZ'!AI$73-'Statistics NZ'!AH$73,$M$12/5*(AI$8-AI$9)*1000)</f>
        <v>33213.741443339168</v>
      </c>
      <c r="AJ73" s="46">
        <f>SUM(AI$73,'Statistics NZ'!AJ$73-'Statistics NZ'!AI$73,$M$12/5*(AJ$8-AJ$9)*1000)</f>
        <v>34523.741443339168</v>
      </c>
      <c r="AK73" s="46">
        <f>SUM(AJ$73,'Statistics NZ'!AK$73-'Statistics NZ'!AJ$73,$M$12/5*(AK$8-AK$9)*1000)</f>
        <v>35653.741443339168</v>
      </c>
      <c r="AL73" s="46">
        <f>SUM(AK$73,'Statistics NZ'!AL$73-'Statistics NZ'!AK$73,$M$12/5*(AL$8-AL$9)*1000)</f>
        <v>36403.741443339168</v>
      </c>
      <c r="AM73" s="46">
        <f>SUM(AL$73,'Statistics NZ'!AM$73-'Statistics NZ'!AL$73,$M$12/5*(AM$8-AM$9)*1000)</f>
        <v>37763.741443339168</v>
      </c>
      <c r="AN73" s="46">
        <f>SUM(AM$73,'Statistics NZ'!AN$73-'Statistics NZ'!AM$73,$M$12/5*(AN$8-AN$9)*1000)</f>
        <v>38463.741443339168</v>
      </c>
      <c r="AO73" s="46">
        <f>SUM(AN$73,'Statistics NZ'!AO$73-'Statistics NZ'!AN$73,$M$12/5*(AO$8-AO$9)*1000)</f>
        <v>40113.741443339168</v>
      </c>
      <c r="AP73" s="46">
        <f>SUM(AO$73,'Statistics NZ'!AP$73-'Statistics NZ'!AO$73,$M$12/5*(AP$8-AP$9)*1000)</f>
        <v>42373.741443339168</v>
      </c>
      <c r="AQ73" s="46">
        <f>SUM(AP$73,'Statistics NZ'!AQ$73-'Statistics NZ'!AP$73,$M$12/5*(AQ$8-AQ$9)*1000)</f>
        <v>43383.741443339168</v>
      </c>
      <c r="AR73" s="46">
        <f>SUM(AQ$73,'Statistics NZ'!AR$73-'Statistics NZ'!AQ$73,$M$12/5*(AR$8-AR$9)*1000)</f>
        <v>45103.741443339168</v>
      </c>
      <c r="AS73" s="46">
        <f>SUM(AR$73,'Statistics NZ'!AS$73-'Statistics NZ'!AR$73,$M$12/5*(AS$8-AS$9)*1000)</f>
        <v>45913.741443339168</v>
      </c>
      <c r="AT73" s="46">
        <f>SUM(AS$73,'Statistics NZ'!AT$73-'Statistics NZ'!AS$73,$M$12/5*(AT$8-AT$9)*1000)</f>
        <v>45563.741443339168</v>
      </c>
      <c r="AU73" s="46">
        <f>SUM(AT$73,'Statistics NZ'!AU$73-'Statistics NZ'!AT$73,$M$12/5*(AU$8-AU$9)*1000)</f>
        <v>45203.741443339168</v>
      </c>
      <c r="AV73" s="46">
        <f>SUM(AU$73,'Statistics NZ'!AV$73-'Statistics NZ'!AU$73,$M$12/5*(AV$8-AV$9)*1000)</f>
        <v>44003.741443339168</v>
      </c>
      <c r="AW73" s="46">
        <f>SUM(AV$73,'Statistics NZ'!AW$73-'Statistics NZ'!AV$73,$M$12/5*(AW$8-AW$9)*1000)</f>
        <v>43773.741443339168</v>
      </c>
      <c r="AX73" s="46">
        <f>SUM(AW$73,'Statistics NZ'!AX$73-'Statistics NZ'!AW$73,$M$12/5*(AX$8-AX$9)*1000)</f>
        <v>42793.741443339168</v>
      </c>
      <c r="AY73" s="46">
        <f>SUM(AX$73,'Statistics NZ'!AY$73-'Statistics NZ'!AX$73,$M$12/5*(AY$8-AY$9)*1000)</f>
        <v>42673.741443339168</v>
      </c>
      <c r="AZ73" s="46">
        <f>SUM(AY$73,'Statistics NZ'!AZ$73-'Statistics NZ'!AY$73,$M$12/5*(AZ$8-AZ$9)*1000)</f>
        <v>42403.741443339168</v>
      </c>
      <c r="BA73" s="46">
        <f>SUM(AZ$73,'Statistics NZ'!BA$73-'Statistics NZ'!AZ$73,$M$12/5*(BA$8-BA$9)*1000)</f>
        <v>41393.741443339168</v>
      </c>
      <c r="BB73" s="46">
        <f>SUM(BA$73,'Statistics NZ'!BB$73-'Statistics NZ'!BA$73,$M$12/5*(BB$8-BB$9)*1000)</f>
        <v>42943.741443339168</v>
      </c>
      <c r="BC73" s="46">
        <f>SUM(BB$73,'Statistics NZ'!BC$73-'Statistics NZ'!BB$73,$M$12/5*(BC$8-BC$9)*1000)</f>
        <v>42663.741443339168</v>
      </c>
      <c r="BD73" s="46">
        <f>SUM(BC$73,'Statistics NZ'!BD$73-'Statistics NZ'!BC$73,$M$12/5*(BD$8-BD$9)*1000)</f>
        <v>42053.741443339168</v>
      </c>
      <c r="BE73" s="46">
        <f>SUM(BD$73,'Statistics NZ'!BE$73-'Statistics NZ'!BD$73,$M$12/5*(BE$8-BE$9)*1000)</f>
        <v>42083.741443339168</v>
      </c>
      <c r="BF73" s="46">
        <f>SUM(BE$73,'Statistics NZ'!BF$73-'Statistics NZ'!BE$73,$M$12/5*(BF$8-BF$9)*1000)</f>
        <v>43043.741443339168</v>
      </c>
      <c r="BG73" s="46">
        <f>SUM(BF$73,'Statistics NZ'!BG$73-'Statistics NZ'!BF$73,$M$12/5*(BG$8-BG$9)*1000)</f>
        <v>43223.741443339168</v>
      </c>
      <c r="BH73" s="46">
        <f>SUM(BG$73,'Statistics NZ'!BH$73-'Statistics NZ'!BG$73,$M$12/5*(BH$8-BH$9)*1000)</f>
        <v>44003.741443339168</v>
      </c>
      <c r="BI73" s="46">
        <f>SUM(BH$73,'Statistics NZ'!BI$73-'Statistics NZ'!BH$73,$M$12/5*(BI$8-BI$9)*1000)</f>
        <v>46193.741443339168</v>
      </c>
    </row>
    <row r="74" spans="1:61" x14ac:dyDescent="0.25">
      <c r="A74" s="11">
        <v>59</v>
      </c>
      <c r="B74" s="44">
        <f>'Statistics NZ'!B$74*'Economic Forecasts'!D$9*1000000/SUM('Statistics NZ'!B$30:B$110,'Statistics NZ'!B$130:B$210)</f>
        <v>24127.198208911756</v>
      </c>
      <c r="C74" s="44">
        <f>'Statistics NZ'!C$74*'Economic Forecasts'!E$9*1000000/SUM('Statistics NZ'!C$30:C$110,'Statistics NZ'!C$130:C$210)</f>
        <v>24010.091341191157</v>
      </c>
      <c r="D74" s="44">
        <f>'Statistics NZ'!D$74*'Economic Forecasts'!F$9*1000000/SUM('Statistics NZ'!D$30:D$110,'Statistics NZ'!D$130:D$210)</f>
        <v>23554.891446507972</v>
      </c>
      <c r="E74" s="44">
        <f>'Statistics NZ'!E$74*'Economic Forecasts'!G$9*1000000/SUM('Statistics NZ'!E$30:E$110,'Statistics NZ'!E$130:E$210)</f>
        <v>24154.697422268215</v>
      </c>
      <c r="F74" s="44">
        <f>'Statistics NZ'!F$74*'Economic Forecasts'!H$9*1000000/SUM('Statistics NZ'!F$30:F$110,'Statistics NZ'!F$130:F$210)</f>
        <v>24031.636799893102</v>
      </c>
      <c r="G74" s="44">
        <f>'Statistics NZ'!G$74*'Economic Forecasts'!I$9*1000000/SUM('Statistics NZ'!G$30:G$110,'Statistics NZ'!G$130:G$210)</f>
        <v>24526.713231949234</v>
      </c>
      <c r="H74" s="44">
        <f>'Statistics NZ'!H$74*'Economic Forecasts'!J$9*1000000/SUM('Statistics NZ'!H$30:H$110,'Statistics NZ'!H$130:H$210)</f>
        <v>25034.449440707569</v>
      </c>
      <c r="I74" s="44">
        <f>'Statistics NZ'!I$74*'Economic Forecasts'!K$9*1000000/SUM('Statistics NZ'!I$30:I$110,'Statistics NZ'!I$130:I$210)</f>
        <v>25969.618006911373</v>
      </c>
      <c r="J74" s="44">
        <f>'Statistics NZ'!J$74*'Economic Forecasts'!L$9*1000000/SUM('Statistics NZ'!J$30:J$110,'Statistics NZ'!J$130:J$210)</f>
        <v>26388.593352086424</v>
      </c>
      <c r="K74" s="44">
        <f>'Statistics NZ'!K$74*'Economic Forecasts'!M$9*1000000/SUM('Statistics NZ'!K$30:K$110,'Statistics NZ'!K$130:K$210)</f>
        <v>27183.524404178468</v>
      </c>
      <c r="L74" s="44">
        <f>'Statistics NZ'!L$74*'Economic Forecasts'!N$9*1000000/SUM('Statistics NZ'!L$30:L$110,'Statistics NZ'!L$130:L$210)</f>
        <v>27944.085119184274</v>
      </c>
      <c r="M74" s="44">
        <f>'Statistics NZ'!M$74*'Economic Forecasts'!O$9*1000000/SUM('Statistics NZ'!M$30:M$110,'Statistics NZ'!M$130:M$210)</f>
        <v>28878.860276573298</v>
      </c>
      <c r="N74" s="44">
        <f>'Statistics NZ'!N$74*'Economic Forecasts'!P$9*1000000/SUM('Statistics NZ'!N$30:N$110,'Statistics NZ'!N$130:N$210)</f>
        <v>30118.027687436457</v>
      </c>
      <c r="O74" s="44">
        <f>'Statistics NZ'!O$74*'Economic Forecasts'!Q$9*1000000/SUM('Statistics NZ'!O$30:O$110,'Statistics NZ'!O$130:O$210)</f>
        <v>30629.16603342045</v>
      </c>
      <c r="P74" s="44">
        <f>'Statistics NZ'!P$74*'Economic Forecasts'!R$9*1000000/SUM('Statistics NZ'!P$30:P$110,'Statistics NZ'!P$130:P$210)</f>
        <v>32139.260406846872</v>
      </c>
      <c r="Q74" s="44">
        <f>'Statistics NZ'!Q$74*'Economic Forecasts'!S$9*1000000/SUM('Statistics NZ'!Q$30:Q$110,'Statistics NZ'!Q$130:Q$210)</f>
        <v>33071.07356903216</v>
      </c>
      <c r="R74" s="44">
        <f>'Statistics NZ'!R$74*'Economic Forecasts'!T$9*1000000/SUM('Statistics NZ'!R$30:R$110,'Statistics NZ'!R$130:R$210)</f>
        <v>33050.730437485436</v>
      </c>
      <c r="S74" s="44">
        <f>'Statistics NZ'!S$74*'Economic Forecasts'!U$9*1000000/SUM('Statistics NZ'!S$30:S$110,'Statistics NZ'!S$130:S$210)</f>
        <v>31730.072763549197</v>
      </c>
      <c r="T74" s="44">
        <f>'Statistics NZ'!T$74*'Economic Forecasts'!V$9*1000000/SUM('Statistics NZ'!T$30:T$110,'Statistics NZ'!T$130:T$210)</f>
        <v>31082.625862168898</v>
      </c>
      <c r="U74" s="45">
        <f>SUM('Statistics NZ'!U$74,$M$12/5*(U$8-U$9)*1000)*'Economic Forecasts'!W$9*1000000/SUM('Statistics NZ'!U$30:U$110,'Statistics NZ'!U$130:U$210,SUM($E$12:$T$13)*(U$8-U$9)*1000)</f>
        <v>30701.982722178167</v>
      </c>
      <c r="V74" s="45">
        <f>SUM('Statistics NZ'!V$74,$M$12/5*(V$8-V$9)*1000)*'Economic Forecasts'!X$9*1000000/SUM('Statistics NZ'!V$30:V$110,'Statistics NZ'!V$130:V$210,SUM($E$12:$T$13)*(V$8-V$9)*1000)</f>
        <v>31471.969733501781</v>
      </c>
      <c r="W74" s="45">
        <f>SUM('Statistics NZ'!W$74,$M$12/5*(W$8-W$9)*1000)*'Economic Forecasts'!Y$9*1000000/SUM('Statistics NZ'!W$30:W$110,'Statistics NZ'!W$130:W$210,SUM($E$12:$T$13)*(W$8-W$9)*1000)</f>
        <v>31912.124822407815</v>
      </c>
      <c r="X74" s="45">
        <f>SUM('Statistics NZ'!X$74,$M$12/5*(X$8-X$9)*1000)*'Economic Forecasts'!Z$9*1000000/SUM('Statistics NZ'!X$30:X$110,'Statistics NZ'!X$130:X$210,SUM($E$12:$T$13)*(X$8-X$9)*1000)</f>
        <v>32688.703189701904</v>
      </c>
      <c r="Y74" s="45">
        <f>SUM('Statistics NZ'!Y$74,$M$12/5*(Y$8-Y$9)*1000)*'Economic Forecasts'!AA$9*1000000/SUM('Statistics NZ'!Y$30:Y$110,'Statistics NZ'!Y$130:Y$210,SUM($E$12:$T$13)*(Y$8-Y$9)*1000)</f>
        <v>32737.432775505491</v>
      </c>
      <c r="Z74" s="46">
        <f>SUM(Y$74,'Statistics NZ'!Z$74-'Statistics NZ'!Y$74,$M$12/5*(Z$8-Z$9)*1000)</f>
        <v>34212.689410625979</v>
      </c>
      <c r="AA74" s="46">
        <f>SUM(Z$74,'Statistics NZ'!AA$74-'Statistics NZ'!Z$74,$M$12/5*(AA$8-AA$9)*1000)</f>
        <v>33825.843391698269</v>
      </c>
      <c r="AB74" s="46">
        <f>SUM(AA$74,'Statistics NZ'!AB$74-'Statistics NZ'!AA$74,$M$12/5*(AB$8-AB$9)*1000)</f>
        <v>32997.315249532003</v>
      </c>
      <c r="AC74" s="46">
        <f>SUM(AB$74,'Statistics NZ'!AC$74-'Statistics NZ'!AB$74,$M$12/5*(AC$8-AC$9)*1000)</f>
        <v>32167.315249532003</v>
      </c>
      <c r="AD74" s="46">
        <f>SUM(AC$74,'Statistics NZ'!AD$74-'Statistics NZ'!AC$74,$M$12/5*(AD$8-AD$9)*1000)</f>
        <v>31157.315249532003</v>
      </c>
      <c r="AE74" s="46">
        <f>SUM(AD$74,'Statistics NZ'!AE$74-'Statistics NZ'!AD$74,$M$12/5*(AE$8-AE$9)*1000)</f>
        <v>30077.315249532003</v>
      </c>
      <c r="AF74" s="46">
        <f>SUM(AE$74,'Statistics NZ'!AF$74-'Statistics NZ'!AE$74,$M$12/5*(AF$8-AF$9)*1000)</f>
        <v>30507.315249532003</v>
      </c>
      <c r="AG74" s="46">
        <f>SUM(AF$74,'Statistics NZ'!AG$74-'Statistics NZ'!AF$74,$M$12/5*(AG$8-AG$9)*1000)</f>
        <v>30537.315249532003</v>
      </c>
      <c r="AH74" s="46">
        <f>SUM(AG$74,'Statistics NZ'!AH$74-'Statistics NZ'!AG$74,$M$12/5*(AH$8-AH$9)*1000)</f>
        <v>31757.315249532003</v>
      </c>
      <c r="AI74" s="46">
        <f>SUM(AH$74,'Statistics NZ'!AI$74-'Statistics NZ'!AH$74,$M$12/5*(AI$8-AI$9)*1000)</f>
        <v>32457.315249532003</v>
      </c>
      <c r="AJ74" s="46">
        <f>SUM(AI$74,'Statistics NZ'!AJ$74-'Statistics NZ'!AI$74,$M$12/5*(AJ$8-AJ$9)*1000)</f>
        <v>33237.315249532003</v>
      </c>
      <c r="AK74" s="46">
        <f>SUM(AJ$74,'Statistics NZ'!AK$74-'Statistics NZ'!AJ$74,$M$12/5*(AK$8-AK$9)*1000)</f>
        <v>34547.315249532003</v>
      </c>
      <c r="AL74" s="46">
        <f>SUM(AK$74,'Statistics NZ'!AL$74-'Statistics NZ'!AK$74,$M$12/5*(AL$8-AL$9)*1000)</f>
        <v>35677.315249532003</v>
      </c>
      <c r="AM74" s="46">
        <f>SUM(AL$74,'Statistics NZ'!AM$74-'Statistics NZ'!AL$74,$M$12/5*(AM$8-AM$9)*1000)</f>
        <v>36427.315249532003</v>
      </c>
      <c r="AN74" s="46">
        <f>SUM(AM$74,'Statistics NZ'!AN$74-'Statistics NZ'!AM$74,$M$12/5*(AN$8-AN$9)*1000)</f>
        <v>37797.315249532003</v>
      </c>
      <c r="AO74" s="46">
        <f>SUM(AN$74,'Statistics NZ'!AO$74-'Statistics NZ'!AN$74,$M$12/5*(AO$8-AO$9)*1000)</f>
        <v>38487.315249532003</v>
      </c>
      <c r="AP74" s="46">
        <f>SUM(AO$74,'Statistics NZ'!AP$74-'Statistics NZ'!AO$74,$M$12/5*(AP$8-AP$9)*1000)</f>
        <v>40137.315249532003</v>
      </c>
      <c r="AQ74" s="46">
        <f>SUM(AP$74,'Statistics NZ'!AQ$74-'Statistics NZ'!AP$74,$M$12/5*(AQ$8-AQ$9)*1000)</f>
        <v>42397.315249532003</v>
      </c>
      <c r="AR74" s="46">
        <f>SUM(AQ$74,'Statistics NZ'!AR$74-'Statistics NZ'!AQ$74,$M$12/5*(AR$8-AR$9)*1000)</f>
        <v>43407.315249532003</v>
      </c>
      <c r="AS74" s="46">
        <f>SUM(AR$74,'Statistics NZ'!AS$74-'Statistics NZ'!AR$74,$M$12/5*(AS$8-AS$9)*1000)</f>
        <v>45117.315249532003</v>
      </c>
      <c r="AT74" s="46">
        <f>SUM(AS$74,'Statistics NZ'!AT$74-'Statistics NZ'!AS$74,$M$12/5*(AT$8-AT$9)*1000)</f>
        <v>45937.315249532003</v>
      </c>
      <c r="AU74" s="46">
        <f>SUM(AT$74,'Statistics NZ'!AU$74-'Statistics NZ'!AT$74,$M$12/5*(AU$8-AU$9)*1000)</f>
        <v>45587.315249532003</v>
      </c>
      <c r="AV74" s="46">
        <f>SUM(AU$74,'Statistics NZ'!AV$74-'Statistics NZ'!AU$74,$M$12/5*(AV$8-AV$9)*1000)</f>
        <v>45227.315249532003</v>
      </c>
      <c r="AW74" s="46">
        <f>SUM(AV$74,'Statistics NZ'!AW$74-'Statistics NZ'!AV$74,$M$12/5*(AW$8-AW$9)*1000)</f>
        <v>44037.315249532003</v>
      </c>
      <c r="AX74" s="46">
        <f>SUM(AW$74,'Statistics NZ'!AX$74-'Statistics NZ'!AW$74,$M$12/5*(AX$8-AX$9)*1000)</f>
        <v>43817.315249532003</v>
      </c>
      <c r="AY74" s="46">
        <f>SUM(AX$74,'Statistics NZ'!AY$74-'Statistics NZ'!AX$74,$M$12/5*(AY$8-AY$9)*1000)</f>
        <v>42837.315249532003</v>
      </c>
      <c r="AZ74" s="46">
        <f>SUM(AY$74,'Statistics NZ'!AZ$74-'Statistics NZ'!AY$74,$M$12/5*(AZ$8-AZ$9)*1000)</f>
        <v>42717.315249532003</v>
      </c>
      <c r="BA74" s="46">
        <f>SUM(AZ$74,'Statistics NZ'!BA$74-'Statistics NZ'!AZ$74,$M$12/5*(BA$8-BA$9)*1000)</f>
        <v>42447.315249532003</v>
      </c>
      <c r="BB74" s="46">
        <f>SUM(BA$74,'Statistics NZ'!BB$74-'Statistics NZ'!BA$74,$M$12/5*(BB$8-BB$9)*1000)</f>
        <v>41447.315249532003</v>
      </c>
      <c r="BC74" s="46">
        <f>SUM(BB$74,'Statistics NZ'!BC$74-'Statistics NZ'!BB$74,$M$12/5*(BC$8-BC$9)*1000)</f>
        <v>42997.315249532003</v>
      </c>
      <c r="BD74" s="46">
        <f>SUM(BC$74,'Statistics NZ'!BD$74-'Statistics NZ'!BC$74,$M$12/5*(BD$8-BD$9)*1000)</f>
        <v>42717.315249532003</v>
      </c>
      <c r="BE74" s="46">
        <f>SUM(BD$74,'Statistics NZ'!BE$74-'Statistics NZ'!BD$74,$M$12/5*(BE$8-BE$9)*1000)</f>
        <v>42107.315249532003</v>
      </c>
      <c r="BF74" s="46">
        <f>SUM(BE$74,'Statistics NZ'!BF$74-'Statistics NZ'!BE$74,$M$12/5*(BF$8-BF$9)*1000)</f>
        <v>42137.315249532003</v>
      </c>
      <c r="BG74" s="46">
        <f>SUM(BF$74,'Statistics NZ'!BG$74-'Statistics NZ'!BF$74,$M$12/5*(BG$8-BG$9)*1000)</f>
        <v>43097.315249532003</v>
      </c>
      <c r="BH74" s="46">
        <f>SUM(BG$74,'Statistics NZ'!BH$74-'Statistics NZ'!BG$74,$M$12/5*(BH$8-BH$9)*1000)</f>
        <v>43277.315249532003</v>
      </c>
      <c r="BI74" s="46">
        <f>SUM(BH$74,'Statistics NZ'!BI$74-'Statistics NZ'!BH$74,$M$12/5*(BI$8-BI$9)*1000)</f>
        <v>44057.315249532003</v>
      </c>
    </row>
    <row r="75" spans="1:61" x14ac:dyDescent="0.25">
      <c r="A75" s="11">
        <v>60</v>
      </c>
      <c r="B75" s="44">
        <f>'Statistics NZ'!B$75*'Economic Forecasts'!D$9*1000000/SUM('Statistics NZ'!B$30:B$110,'Statistics NZ'!B$130:B$210)</f>
        <v>20350.597029414621</v>
      </c>
      <c r="C75" s="44">
        <f>'Statistics NZ'!C$75*'Economic Forecasts'!E$9*1000000/SUM('Statistics NZ'!C$30:C$110,'Statistics NZ'!C$130:C$210)</f>
        <v>24127.932280289024</v>
      </c>
      <c r="D75" s="44">
        <f>'Statistics NZ'!D$75*'Economic Forecasts'!F$9*1000000/SUM('Statistics NZ'!D$30:D$110,'Statistics NZ'!D$130:D$210)</f>
        <v>23977.268565857372</v>
      </c>
      <c r="E75" s="44">
        <f>'Statistics NZ'!E$75*'Economic Forecasts'!G$9*1000000/SUM('Statistics NZ'!E$30:E$110,'Statistics NZ'!E$130:E$210)</f>
        <v>23468.205818712075</v>
      </c>
      <c r="F75" s="44">
        <f>'Statistics NZ'!F$75*'Economic Forecasts'!H$9*1000000/SUM('Statistics NZ'!F$30:F$110,'Statistics NZ'!F$130:F$210)</f>
        <v>24090.489787974475</v>
      </c>
      <c r="G75" s="44">
        <f>'Statistics NZ'!G$75*'Economic Forecasts'!I$9*1000000/SUM('Statistics NZ'!G$30:G$110,'Statistics NZ'!G$130:G$210)</f>
        <v>24055.234563493665</v>
      </c>
      <c r="H75" s="44">
        <f>'Statistics NZ'!H$75*'Economic Forecasts'!J$9*1000000/SUM('Statistics NZ'!H$30:H$110,'Statistics NZ'!H$130:H$210)</f>
        <v>24543.192583550826</v>
      </c>
      <c r="I75" s="44">
        <f>'Statistics NZ'!I$75*'Economic Forecasts'!K$9*1000000/SUM('Statistics NZ'!I$30:I$110,'Statistics NZ'!I$130:I$210)</f>
        <v>24989.262476261636</v>
      </c>
      <c r="J75" s="44">
        <f>'Statistics NZ'!J$75*'Economic Forecasts'!L$9*1000000/SUM('Statistics NZ'!J$30:J$110,'Statistics NZ'!J$130:J$210)</f>
        <v>25813.232299694297</v>
      </c>
      <c r="K75" s="44">
        <f>'Statistics NZ'!K$75*'Economic Forecasts'!M$9*1000000/SUM('Statistics NZ'!K$30:K$110,'Statistics NZ'!K$130:K$210)</f>
        <v>26385.154418095863</v>
      </c>
      <c r="L75" s="44">
        <f>'Statistics NZ'!L$75*'Economic Forecasts'!N$9*1000000/SUM('Statistics NZ'!L$30:L$110,'Statistics NZ'!L$130:L$210)</f>
        <v>27194.365762328111</v>
      </c>
      <c r="M75" s="44">
        <f>'Statistics NZ'!M$75*'Economic Forecasts'!O$9*1000000/SUM('Statistics NZ'!M$30:M$110,'Statistics NZ'!M$130:M$210)</f>
        <v>28009.3682046467</v>
      </c>
      <c r="N75" s="44">
        <f>'Statistics NZ'!N$75*'Economic Forecasts'!P$9*1000000/SUM('Statistics NZ'!N$30:N$110,'Statistics NZ'!N$130:N$210)</f>
        <v>28924.265706322993</v>
      </c>
      <c r="O75" s="44">
        <f>'Statistics NZ'!O$75*'Economic Forecasts'!Q$9*1000000/SUM('Statistics NZ'!O$30:O$110,'Statistics NZ'!O$130:O$210)</f>
        <v>30108.0277349385</v>
      </c>
      <c r="P75" s="44">
        <f>'Statistics NZ'!P$75*'Economic Forecasts'!R$9*1000000/SUM('Statistics NZ'!P$30:P$110,'Statistics NZ'!P$130:P$210)</f>
        <v>30763.688270815517</v>
      </c>
      <c r="Q75" s="44">
        <f>'Statistics NZ'!Q$75*'Economic Forecasts'!S$9*1000000/SUM('Statistics NZ'!Q$30:Q$110,'Statistics NZ'!Q$130:Q$210)</f>
        <v>32067.715674627754</v>
      </c>
      <c r="R75" s="44">
        <f>'Statistics NZ'!R$75*'Economic Forecasts'!T$9*1000000/SUM('Statistics NZ'!R$30:R$110,'Statistics NZ'!R$130:R$210)</f>
        <v>32801.779470044297</v>
      </c>
      <c r="S75" s="44">
        <f>'Statistics NZ'!S$75*'Economic Forecasts'!U$9*1000000/SUM('Statistics NZ'!S$30:S$110,'Statistics NZ'!S$130:S$210)</f>
        <v>32348.956535717491</v>
      </c>
      <c r="T75" s="44">
        <f>'Statistics NZ'!T$75*'Economic Forecasts'!V$9*1000000/SUM('Statistics NZ'!T$30:T$110,'Statistics NZ'!T$130:T$210)</f>
        <v>31915.196197762707</v>
      </c>
      <c r="U75" s="45">
        <f>SUM('Statistics NZ'!U$75,$N$12/5*(U$8-U$9)*1000)*'Economic Forecasts'!W$9*1000000/SUM('Statistics NZ'!U$30:U$110,'Statistics NZ'!U$130:U$210,SUM($E$12:$T$13)*(U$8-U$9)*1000)</f>
        <v>31026.581980278239</v>
      </c>
      <c r="V75" s="45">
        <f>SUM('Statistics NZ'!V$75,$N$12/5*(V$8-V$9)*1000)*'Economic Forecasts'!X$9*1000000/SUM('Statistics NZ'!V$30:V$110,'Statistics NZ'!V$130:V$210,SUM($E$12:$T$13)*(V$8-V$9)*1000)</f>
        <v>30658.129603139201</v>
      </c>
      <c r="W75" s="45">
        <f>SUM('Statistics NZ'!W$75,$N$12/5*(W$8-W$9)*1000)*'Economic Forecasts'!Y$9*1000000/SUM('Statistics NZ'!W$30:W$110,'Statistics NZ'!W$130:W$210,SUM($E$12:$T$13)*(W$8-W$9)*1000)</f>
        <v>31453.453122242616</v>
      </c>
      <c r="X75" s="45">
        <f>SUM('Statistics NZ'!X$75,$N$12/5*(X$8-X$9)*1000)*'Economic Forecasts'!Z$9*1000000/SUM('Statistics NZ'!X$30:X$110,'Statistics NZ'!X$130:X$210,SUM($E$12:$T$13)*(X$8-X$9)*1000)</f>
        <v>31891.600107687249</v>
      </c>
      <c r="Y75" s="45">
        <f>SUM('Statistics NZ'!Y$75,$N$12/5*(Y$8-Y$9)*1000)*'Economic Forecasts'!AA$9*1000000/SUM('Statistics NZ'!Y$30:Y$110,'Statistics NZ'!Y$130:Y$210,SUM($E$12:$T$13)*(Y$8-Y$9)*1000)</f>
        <v>32671.940832319171</v>
      </c>
      <c r="Z75" s="46">
        <f>SUM(Y$75,'Statistics NZ'!Z$75-'Statistics NZ'!Y$75,$N$12/5*(Z$8-Z$9)*1000)</f>
        <v>32729.638682518282</v>
      </c>
      <c r="AA75" s="46">
        <f>SUM(Z$75,'Statistics NZ'!AA$75-'Statistics NZ'!Z$75,$N$12/5*(AA$8-AA$9)*1000)</f>
        <v>34204.257392637752</v>
      </c>
      <c r="AB75" s="46">
        <f>SUM(AA$75,'Statistics NZ'!AB$75-'Statistics NZ'!AA$75,$N$12/5*(AB$8-AB$9)*1000)</f>
        <v>33816.412790693503</v>
      </c>
      <c r="AC75" s="46">
        <f>SUM(AB$75,'Statistics NZ'!AC$75-'Statistics NZ'!AB$75,$N$12/5*(AC$8-AC$9)*1000)</f>
        <v>32996.412790693503</v>
      </c>
      <c r="AD75" s="46">
        <f>SUM(AC$75,'Statistics NZ'!AD$75-'Statistics NZ'!AC$75,$N$12/5*(AD$8-AD$9)*1000)</f>
        <v>32166.412790693503</v>
      </c>
      <c r="AE75" s="46">
        <f>SUM(AD$75,'Statistics NZ'!AE$75-'Statistics NZ'!AD$75,$N$12/5*(AE$8-AE$9)*1000)</f>
        <v>31166.412790693503</v>
      </c>
      <c r="AF75" s="46">
        <f>SUM(AE$75,'Statistics NZ'!AF$75-'Statistics NZ'!AE$75,$N$12/5*(AF$8-AF$9)*1000)</f>
        <v>30096.412790693503</v>
      </c>
      <c r="AG75" s="46">
        <f>SUM(AF$75,'Statistics NZ'!AG$75-'Statistics NZ'!AF$75,$N$12/5*(AG$8-AG$9)*1000)</f>
        <v>30516.412790693503</v>
      </c>
      <c r="AH75" s="46">
        <f>SUM(AG$75,'Statistics NZ'!AH$75-'Statistics NZ'!AG$75,$N$12/5*(AH$8-AH$9)*1000)</f>
        <v>30556.412790693503</v>
      </c>
      <c r="AI75" s="46">
        <f>SUM(AH$75,'Statistics NZ'!AI$75-'Statistics NZ'!AH$75,$N$12/5*(AI$8-AI$9)*1000)</f>
        <v>31776.412790693503</v>
      </c>
      <c r="AJ75" s="46">
        <f>SUM(AI$75,'Statistics NZ'!AJ$75-'Statistics NZ'!AI$75,$N$12/5*(AJ$8-AJ$9)*1000)</f>
        <v>32476.412790693503</v>
      </c>
      <c r="AK75" s="46">
        <f>SUM(AJ$75,'Statistics NZ'!AK$75-'Statistics NZ'!AJ$75,$N$12/5*(AK$8-AK$9)*1000)</f>
        <v>33266.412790693503</v>
      </c>
      <c r="AL75" s="46">
        <f>SUM(AK$75,'Statistics NZ'!AL$75-'Statistics NZ'!AK$75,$N$12/5*(AL$8-AL$9)*1000)</f>
        <v>34576.412790693503</v>
      </c>
      <c r="AM75" s="46">
        <f>SUM(AL$75,'Statistics NZ'!AM$75-'Statistics NZ'!AL$75,$N$12/5*(AM$8-AM$9)*1000)</f>
        <v>35696.412790693503</v>
      </c>
      <c r="AN75" s="46">
        <f>SUM(AM$75,'Statistics NZ'!AN$75-'Statistics NZ'!AM$75,$N$12/5*(AN$8-AN$9)*1000)</f>
        <v>36446.412790693503</v>
      </c>
      <c r="AO75" s="46">
        <f>SUM(AN$75,'Statistics NZ'!AO$75-'Statistics NZ'!AN$75,$N$12/5*(AO$8-AO$9)*1000)</f>
        <v>37816.412790693503</v>
      </c>
      <c r="AP75" s="46">
        <f>SUM(AO$75,'Statistics NZ'!AP$75-'Statistics NZ'!AO$75,$N$12/5*(AP$8-AP$9)*1000)</f>
        <v>38506.412790693503</v>
      </c>
      <c r="AQ75" s="46">
        <f>SUM(AP$75,'Statistics NZ'!AQ$75-'Statistics NZ'!AP$75,$N$12/5*(AQ$8-AQ$9)*1000)</f>
        <v>40156.412790693503</v>
      </c>
      <c r="AR75" s="46">
        <f>SUM(AQ$75,'Statistics NZ'!AR$75-'Statistics NZ'!AQ$75,$N$12/5*(AR$8-AR$9)*1000)</f>
        <v>42406.412790693503</v>
      </c>
      <c r="AS75" s="46">
        <f>SUM(AR$75,'Statistics NZ'!AS$75-'Statistics NZ'!AR$75,$N$12/5*(AS$8-AS$9)*1000)</f>
        <v>43426.412790693503</v>
      </c>
      <c r="AT75" s="46">
        <f>SUM(AS$75,'Statistics NZ'!AT$75-'Statistics NZ'!AS$75,$N$12/5*(AT$8-AT$9)*1000)</f>
        <v>45136.412790693503</v>
      </c>
      <c r="AU75" s="46">
        <f>SUM(AT$75,'Statistics NZ'!AU$75-'Statistics NZ'!AT$75,$N$12/5*(AU$8-AU$9)*1000)</f>
        <v>45956.412790693503</v>
      </c>
      <c r="AV75" s="46">
        <f>SUM(AU$75,'Statistics NZ'!AV$75-'Statistics NZ'!AU$75,$N$12/5*(AV$8-AV$9)*1000)</f>
        <v>45606.412790693503</v>
      </c>
      <c r="AW75" s="46">
        <f>SUM(AV$75,'Statistics NZ'!AW$75-'Statistics NZ'!AV$75,$N$12/5*(AW$8-AW$9)*1000)</f>
        <v>45256.412790693503</v>
      </c>
      <c r="AX75" s="46">
        <f>SUM(AW$75,'Statistics NZ'!AX$75-'Statistics NZ'!AW$75,$N$12/5*(AX$8-AX$9)*1000)</f>
        <v>44066.412790693503</v>
      </c>
      <c r="AY75" s="46">
        <f>SUM(AX$75,'Statistics NZ'!AY$75-'Statistics NZ'!AX$75,$N$12/5*(AY$8-AY$9)*1000)</f>
        <v>43846.412790693503</v>
      </c>
      <c r="AZ75" s="46">
        <f>SUM(AY$75,'Statistics NZ'!AZ$75-'Statistics NZ'!AY$75,$N$12/5*(AZ$8-AZ$9)*1000)</f>
        <v>42876.412790693503</v>
      </c>
      <c r="BA75" s="46">
        <f>SUM(AZ$75,'Statistics NZ'!BA$75-'Statistics NZ'!AZ$75,$N$12/5*(BA$8-BA$9)*1000)</f>
        <v>42756.412790693503</v>
      </c>
      <c r="BB75" s="46">
        <f>SUM(BA$75,'Statistics NZ'!BB$75-'Statistics NZ'!BA$75,$N$12/5*(BB$8-BB$9)*1000)</f>
        <v>42486.412790693503</v>
      </c>
      <c r="BC75" s="46">
        <f>SUM(BB$75,'Statistics NZ'!BC$75-'Statistics NZ'!BB$75,$N$12/5*(BC$8-BC$9)*1000)</f>
        <v>41486.412790693503</v>
      </c>
      <c r="BD75" s="46">
        <f>SUM(BC$75,'Statistics NZ'!BD$75-'Statistics NZ'!BC$75,$N$12/5*(BD$8-BD$9)*1000)</f>
        <v>43036.412790693503</v>
      </c>
      <c r="BE75" s="46">
        <f>SUM(BD$75,'Statistics NZ'!BE$75-'Statistics NZ'!BD$75,$N$12/5*(BE$8-BE$9)*1000)</f>
        <v>42766.412790693503</v>
      </c>
      <c r="BF75" s="46">
        <f>SUM(BE$75,'Statistics NZ'!BF$75-'Statistics NZ'!BE$75,$N$12/5*(BF$8-BF$9)*1000)</f>
        <v>42156.412790693503</v>
      </c>
      <c r="BG75" s="46">
        <f>SUM(BF$75,'Statistics NZ'!BG$75-'Statistics NZ'!BF$75,$N$12/5*(BG$8-BG$9)*1000)</f>
        <v>42186.412790693503</v>
      </c>
      <c r="BH75" s="46">
        <f>SUM(BG$75,'Statistics NZ'!BH$75-'Statistics NZ'!BG$75,$N$12/5*(BH$8-BH$9)*1000)</f>
        <v>43156.412790693503</v>
      </c>
      <c r="BI75" s="46">
        <f>SUM(BH$75,'Statistics NZ'!BI$75-'Statistics NZ'!BH$75,$N$12/5*(BI$8-BI$9)*1000)</f>
        <v>43336.412790693503</v>
      </c>
    </row>
    <row r="76" spans="1:61" x14ac:dyDescent="0.25">
      <c r="A76" s="11">
        <v>61</v>
      </c>
      <c r="B76" s="44">
        <f>'Statistics NZ'!B$76*'Economic Forecasts'!D$9*1000000/SUM('Statistics NZ'!B$30:B$110,'Statistics NZ'!B$130:B$210)</f>
        <v>19274.363532666728</v>
      </c>
      <c r="C76" s="44">
        <f>'Statistics NZ'!C$76*'Economic Forecasts'!E$9*1000000/SUM('Statistics NZ'!C$30:C$110,'Statistics NZ'!C$130:C$210)</f>
        <v>20376.662385673477</v>
      </c>
      <c r="D76" s="44">
        <f>'Statistics NZ'!D$76*'Economic Forecasts'!F$9*1000000/SUM('Statistics NZ'!D$30:D$110,'Statistics NZ'!D$130:D$210)</f>
        <v>24036.204908092164</v>
      </c>
      <c r="E76" s="44">
        <f>'Statistics NZ'!E$76*'Economic Forecasts'!G$9*1000000/SUM('Statistics NZ'!E$30:E$110,'Statistics NZ'!E$130:E$210)</f>
        <v>23870.293757937816</v>
      </c>
      <c r="F76" s="44">
        <f>'Statistics NZ'!F$76*'Economic Forecasts'!H$9*1000000/SUM('Statistics NZ'!F$30:F$110,'Statistics NZ'!F$130:F$210)</f>
        <v>23433.298087732499</v>
      </c>
      <c r="G76" s="44">
        <f>'Statistics NZ'!G$76*'Economic Forecasts'!I$9*1000000/SUM('Statistics NZ'!G$30:G$110,'Statistics NZ'!G$130:G$210)</f>
        <v>24104.34692479112</v>
      </c>
      <c r="H76" s="44">
        <f>'Statistics NZ'!H$76*'Economic Forecasts'!J$9*1000000/SUM('Statistics NZ'!H$30:H$110,'Statistics NZ'!H$130:H$210)</f>
        <v>24012.635177821547</v>
      </c>
      <c r="I76" s="44">
        <f>'Statistics NZ'!I$76*'Economic Forecasts'!K$9*1000000/SUM('Statistics NZ'!I$30:I$110,'Statistics NZ'!I$130:I$210)</f>
        <v>24479.477600323775</v>
      </c>
      <c r="J76" s="44">
        <f>'Statistics NZ'!J$76*'Economic Forecasts'!L$9*1000000/SUM('Statistics NZ'!J$30:J$110,'Statistics NZ'!J$130:J$210)</f>
        <v>24838.044075300855</v>
      </c>
      <c r="K76" s="44">
        <f>'Statistics NZ'!K$76*'Economic Forecasts'!M$9*1000000/SUM('Statistics NZ'!K$30:K$110,'Statistics NZ'!K$130:K$210)</f>
        <v>25732.827722150319</v>
      </c>
      <c r="L76" s="44">
        <f>'Statistics NZ'!L$76*'Economic Forecasts'!N$9*1000000/SUM('Statistics NZ'!L$30:L$110,'Statistics NZ'!L$130:L$210)</f>
        <v>26503.066095616581</v>
      </c>
      <c r="M76" s="44">
        <f>'Statistics NZ'!M$76*'Economic Forecasts'!O$9*1000000/SUM('Statistics NZ'!M$30:M$110,'Statistics NZ'!M$130:M$210)</f>
        <v>27227.802297296948</v>
      </c>
      <c r="N76" s="44">
        <f>'Statistics NZ'!N$76*'Economic Forecasts'!P$9*1000000/SUM('Statistics NZ'!N$30:N$110,'Statistics NZ'!N$130:N$210)</f>
        <v>27994.696950537917</v>
      </c>
      <c r="O76" s="44">
        <f>'Statistics NZ'!O$76*'Economic Forecasts'!Q$9*1000000/SUM('Statistics NZ'!O$30:O$110,'Statistics NZ'!O$130:O$210)</f>
        <v>28967.423157128946</v>
      </c>
      <c r="P76" s="44">
        <f>'Statistics NZ'!P$76*'Economic Forecasts'!R$9*1000000/SUM('Statistics NZ'!P$30:P$110,'Statistics NZ'!P$130:P$210)</f>
        <v>30233.110446917708</v>
      </c>
      <c r="Q76" s="44">
        <f>'Statistics NZ'!Q$76*'Economic Forecasts'!S$9*1000000/SUM('Statistics NZ'!Q$30:Q$110,'Statistics NZ'!Q$130:Q$210)</f>
        <v>30627.251370779857</v>
      </c>
      <c r="R76" s="44">
        <f>'Statistics NZ'!R$76*'Economic Forecasts'!T$9*1000000/SUM('Statistics NZ'!R$30:R$110,'Statistics NZ'!R$130:R$210)</f>
        <v>31656.605019815062</v>
      </c>
      <c r="S76" s="44">
        <f>'Statistics NZ'!S$76*'Economic Forecasts'!U$9*1000000/SUM('Statistics NZ'!S$30:S$110,'Statistics NZ'!S$130:S$210)</f>
        <v>32054.249977542113</v>
      </c>
      <c r="T76" s="44">
        <f>'Statistics NZ'!T$76*'Economic Forecasts'!V$9*1000000/SUM('Statistics NZ'!T$30:T$110,'Statistics NZ'!T$130:T$210)</f>
        <v>32509.88929461543</v>
      </c>
      <c r="U76" s="45">
        <f>SUM('Statistics NZ'!U$76,$N$12/5*(U$8-U$9)*1000)*'Economic Forecasts'!W$9*1000000/SUM('Statistics NZ'!U$30:U$110,'Statistics NZ'!U$130:U$210,SUM($E$12:$T$13)*(U$8-U$9)*1000)</f>
        <v>31858.597632379759</v>
      </c>
      <c r="V76" s="45">
        <f>SUM('Statistics NZ'!V$76,$N$12/5*(V$8-V$9)*1000)*'Economic Forecasts'!X$9*1000000/SUM('Statistics NZ'!V$30:V$110,'Statistics NZ'!V$130:V$210,SUM($E$12:$T$13)*(V$8-V$9)*1000)</f>
        <v>30974.955781067652</v>
      </c>
      <c r="W76" s="45">
        <f>SUM('Statistics NZ'!W$76,$N$12/5*(W$8-W$9)*1000)*'Economic Forecasts'!Y$9*1000000/SUM('Statistics NZ'!W$30:W$110,'Statistics NZ'!W$130:W$210,SUM($E$12:$T$13)*(W$8-W$9)*1000)</f>
        <v>30631.504482467553</v>
      </c>
      <c r="X76" s="45">
        <f>SUM('Statistics NZ'!X$76,$N$12/5*(X$8-X$9)*1000)*'Economic Forecasts'!Z$9*1000000/SUM('Statistics NZ'!X$30:X$110,'Statistics NZ'!X$130:X$210,SUM($E$12:$T$13)*(X$8-X$9)*1000)</f>
        <v>31426.052835152204</v>
      </c>
      <c r="Y76" s="45">
        <f>SUM('Statistics NZ'!Y$76,$N$12/5*(Y$8-Y$9)*1000)*'Economic Forecasts'!AA$9*1000000/SUM('Statistics NZ'!Y$30:Y$110,'Statistics NZ'!Y$130:Y$210,SUM($E$12:$T$13)*(Y$8-Y$9)*1000)</f>
        <v>31879.228781952916</v>
      </c>
      <c r="Z76" s="46">
        <f>SUM(Y$76,'Statistics NZ'!Z$76-'Statistics NZ'!Y$76,$N$12/5*(Z$8-Z$9)*1000)</f>
        <v>32666.926632152026</v>
      </c>
      <c r="AA76" s="46">
        <f>SUM(Z$76,'Statistics NZ'!AA$76-'Statistics NZ'!Z$76,$N$12/5*(AA$8-AA$9)*1000)</f>
        <v>32721.545342271493</v>
      </c>
      <c r="AB76" s="46">
        <f>SUM(AA$76,'Statistics NZ'!AB$76-'Statistics NZ'!AA$76,$N$12/5*(AB$8-AB$9)*1000)</f>
        <v>34193.700740327244</v>
      </c>
      <c r="AC76" s="46">
        <f>SUM(AB$76,'Statistics NZ'!AC$76-'Statistics NZ'!AB$76,$N$12/5*(AC$8-AC$9)*1000)</f>
        <v>33813.700740327244</v>
      </c>
      <c r="AD76" s="46">
        <f>SUM(AC$76,'Statistics NZ'!AD$76-'Statistics NZ'!AC$76,$N$12/5*(AD$8-AD$9)*1000)</f>
        <v>32993.700740327244</v>
      </c>
      <c r="AE76" s="46">
        <f>SUM(AD$76,'Statistics NZ'!AE$76-'Statistics NZ'!AD$76,$N$12/5*(AE$8-AE$9)*1000)</f>
        <v>32173.700740327244</v>
      </c>
      <c r="AF76" s="46">
        <f>SUM(AE$76,'Statistics NZ'!AF$76-'Statistics NZ'!AE$76,$N$12/5*(AF$8-AF$9)*1000)</f>
        <v>31173.700740327244</v>
      </c>
      <c r="AG76" s="46">
        <f>SUM(AF$76,'Statistics NZ'!AG$76-'Statistics NZ'!AF$76,$N$12/5*(AG$8-AG$9)*1000)</f>
        <v>30113.700740327244</v>
      </c>
      <c r="AH76" s="46">
        <f>SUM(AG$76,'Statistics NZ'!AH$76-'Statistics NZ'!AG$76,$N$12/5*(AH$8-AH$9)*1000)</f>
        <v>30543.700740327244</v>
      </c>
      <c r="AI76" s="46">
        <f>SUM(AH$76,'Statistics NZ'!AI$76-'Statistics NZ'!AH$76,$N$12/5*(AI$8-AI$9)*1000)</f>
        <v>30583.700740327244</v>
      </c>
      <c r="AJ76" s="46">
        <f>SUM(AI$76,'Statistics NZ'!AJ$76-'Statistics NZ'!AI$76,$N$12/5*(AJ$8-AJ$9)*1000)</f>
        <v>31793.700740327244</v>
      </c>
      <c r="AK76" s="46">
        <f>SUM(AJ$76,'Statistics NZ'!AK$76-'Statistics NZ'!AJ$76,$N$12/5*(AK$8-AK$9)*1000)</f>
        <v>32503.700740327244</v>
      </c>
      <c r="AL76" s="46">
        <f>SUM(AK$76,'Statistics NZ'!AL$76-'Statistics NZ'!AK$76,$N$12/5*(AL$8-AL$9)*1000)</f>
        <v>33283.700740327244</v>
      </c>
      <c r="AM76" s="46">
        <f>SUM(AL$76,'Statistics NZ'!AM$76-'Statistics NZ'!AL$76,$N$12/5*(AM$8-AM$9)*1000)</f>
        <v>34593.700740327244</v>
      </c>
      <c r="AN76" s="46">
        <f>SUM(AM$76,'Statistics NZ'!AN$76-'Statistics NZ'!AM$76,$N$12/5*(AN$8-AN$9)*1000)</f>
        <v>35723.700740327244</v>
      </c>
      <c r="AO76" s="46">
        <f>SUM(AN$76,'Statistics NZ'!AO$76-'Statistics NZ'!AN$76,$N$12/5*(AO$8-AO$9)*1000)</f>
        <v>36473.700740327244</v>
      </c>
      <c r="AP76" s="46">
        <f>SUM(AO$76,'Statistics NZ'!AP$76-'Statistics NZ'!AO$76,$N$12/5*(AP$8-AP$9)*1000)</f>
        <v>37833.700740327244</v>
      </c>
      <c r="AQ76" s="46">
        <f>SUM(AP$76,'Statistics NZ'!AQ$76-'Statistics NZ'!AP$76,$N$12/5*(AQ$8-AQ$9)*1000)</f>
        <v>38533.700740327244</v>
      </c>
      <c r="AR76" s="46">
        <f>SUM(AQ$76,'Statistics NZ'!AR$76-'Statistics NZ'!AQ$76,$N$12/5*(AR$8-AR$9)*1000)</f>
        <v>40183.700740327244</v>
      </c>
      <c r="AS76" s="46">
        <f>SUM(AR$76,'Statistics NZ'!AS$76-'Statistics NZ'!AR$76,$N$12/5*(AS$8-AS$9)*1000)</f>
        <v>42423.700740327244</v>
      </c>
      <c r="AT76" s="46">
        <f>SUM(AS$76,'Statistics NZ'!AT$76-'Statistics NZ'!AS$76,$N$12/5*(AT$8-AT$9)*1000)</f>
        <v>43443.700740327244</v>
      </c>
      <c r="AU76" s="46">
        <f>SUM(AT$76,'Statistics NZ'!AU$76-'Statistics NZ'!AT$76,$N$12/5*(AU$8-AU$9)*1000)</f>
        <v>45153.700740327244</v>
      </c>
      <c r="AV76" s="46">
        <f>SUM(AU$76,'Statistics NZ'!AV$76-'Statistics NZ'!AU$76,$N$12/5*(AV$8-AV$9)*1000)</f>
        <v>45973.700740327244</v>
      </c>
      <c r="AW76" s="46">
        <f>SUM(AV$76,'Statistics NZ'!AW$76-'Statistics NZ'!AV$76,$N$12/5*(AW$8-AW$9)*1000)</f>
        <v>45633.700740327244</v>
      </c>
      <c r="AX76" s="46">
        <f>SUM(AW$76,'Statistics NZ'!AX$76-'Statistics NZ'!AW$76,$N$12/5*(AX$8-AX$9)*1000)</f>
        <v>45273.700740327244</v>
      </c>
      <c r="AY76" s="46">
        <f>SUM(AX$76,'Statistics NZ'!AY$76-'Statistics NZ'!AX$76,$N$12/5*(AY$8-AY$9)*1000)</f>
        <v>44093.700740327244</v>
      </c>
      <c r="AZ76" s="46">
        <f>SUM(AY$76,'Statistics NZ'!AZ$76-'Statistics NZ'!AY$76,$N$12/5*(AZ$8-AZ$9)*1000)</f>
        <v>43873.700740327244</v>
      </c>
      <c r="BA76" s="46">
        <f>SUM(AZ$76,'Statistics NZ'!BA$76-'Statistics NZ'!AZ$76,$N$12/5*(BA$8-BA$9)*1000)</f>
        <v>42913.700740327244</v>
      </c>
      <c r="BB76" s="46">
        <f>SUM(BA$76,'Statistics NZ'!BB$76-'Statistics NZ'!BA$76,$N$12/5*(BB$8-BB$9)*1000)</f>
        <v>42803.700740327244</v>
      </c>
      <c r="BC76" s="46">
        <f>SUM(BB$76,'Statistics NZ'!BC$76-'Statistics NZ'!BB$76,$N$12/5*(BC$8-BC$9)*1000)</f>
        <v>42533.700740327244</v>
      </c>
      <c r="BD76" s="46">
        <f>SUM(BC$76,'Statistics NZ'!BD$76-'Statistics NZ'!BC$76,$N$12/5*(BD$8-BD$9)*1000)</f>
        <v>41533.700740327244</v>
      </c>
      <c r="BE76" s="46">
        <f>SUM(BD$76,'Statistics NZ'!BE$76-'Statistics NZ'!BD$76,$N$12/5*(BE$8-BE$9)*1000)</f>
        <v>43083.700740327244</v>
      </c>
      <c r="BF76" s="46">
        <f>SUM(BE$76,'Statistics NZ'!BF$76-'Statistics NZ'!BE$76,$N$12/5*(BF$8-BF$9)*1000)</f>
        <v>42813.700740327244</v>
      </c>
      <c r="BG76" s="46">
        <f>SUM(BF$76,'Statistics NZ'!BG$76-'Statistics NZ'!BF$76,$N$12/5*(BG$8-BG$9)*1000)</f>
        <v>42213.700740327244</v>
      </c>
      <c r="BH76" s="46">
        <f>SUM(BG$76,'Statistics NZ'!BH$76-'Statistics NZ'!BG$76,$N$12/5*(BH$8-BH$9)*1000)</f>
        <v>42243.700740327244</v>
      </c>
      <c r="BI76" s="46">
        <f>SUM(BH$76,'Statistics NZ'!BI$76-'Statistics NZ'!BH$76,$N$12/5*(BI$8-BI$9)*1000)</f>
        <v>43213.700740327244</v>
      </c>
    </row>
    <row r="77" spans="1:61" x14ac:dyDescent="0.25">
      <c r="A77" s="11">
        <v>62</v>
      </c>
      <c r="B77" s="44">
        <f>'Statistics NZ'!B$77*'Economic Forecasts'!D$9*1000000/SUM('Statistics NZ'!B$30:B$110,'Statistics NZ'!B$130:B$210)</f>
        <v>18276.401562955052</v>
      </c>
      <c r="C77" s="44">
        <f>'Statistics NZ'!C$77*'Economic Forecasts'!E$9*1000000/SUM('Statistics NZ'!C$30:C$110,'Statistics NZ'!C$130:C$210)</f>
        <v>19257.1734642437</v>
      </c>
      <c r="D77" s="44">
        <f>'Statistics NZ'!D$77*'Economic Forecasts'!F$9*1000000/SUM('Statistics NZ'!D$30:D$110,'Statistics NZ'!D$130:D$210)</f>
        <v>20313.392623594034</v>
      </c>
      <c r="E77" s="44">
        <f>'Statistics NZ'!E$77*'Economic Forecasts'!G$9*1000000/SUM('Statistics NZ'!E$30:E$110,'Statistics NZ'!E$130:E$210)</f>
        <v>23899.714826661653</v>
      </c>
      <c r="F77" s="44">
        <f>'Statistics NZ'!F$77*'Economic Forecasts'!H$9*1000000/SUM('Statistics NZ'!F$30:F$110,'Statistics NZ'!F$130:F$210)</f>
        <v>23815.842510261409</v>
      </c>
      <c r="G77" s="44">
        <f>'Statistics NZ'!G$77*'Economic Forecasts'!I$9*1000000/SUM('Statistics NZ'!G$30:G$110,'Statistics NZ'!G$130:G$210)</f>
        <v>23416.773866626743</v>
      </c>
      <c r="H77" s="44">
        <f>'Statistics NZ'!H$77*'Economic Forecasts'!J$9*1000000/SUM('Statistics NZ'!H$30:H$110,'Statistics NZ'!H$130:H$210)</f>
        <v>24081.411137823492</v>
      </c>
      <c r="I77" s="44">
        <f>'Statistics NZ'!I$77*'Economic Forecasts'!K$9*1000000/SUM('Statistics NZ'!I$30:I$110,'Statistics NZ'!I$130:I$210)</f>
        <v>23901.067837240436</v>
      </c>
      <c r="J77" s="44">
        <f>'Statistics NZ'!J$77*'Economic Forecasts'!L$9*1000000/SUM('Statistics NZ'!J$30:J$110,'Statistics NZ'!J$130:J$210)</f>
        <v>24301.690551884469</v>
      </c>
      <c r="K77" s="44">
        <f>'Statistics NZ'!K$77*'Economic Forecasts'!M$9*1000000/SUM('Statistics NZ'!K$30:K$110,'Statistics NZ'!K$130:K$210)</f>
        <v>24759.20578790324</v>
      </c>
      <c r="L77" s="44">
        <f>'Statistics NZ'!L$77*'Economic Forecasts'!N$9*1000000/SUM('Statistics NZ'!L$30:L$110,'Statistics NZ'!L$130:L$210)</f>
        <v>25704.663663639887</v>
      </c>
      <c r="M77" s="44">
        <f>'Statistics NZ'!M$77*'Economic Forecasts'!O$9*1000000/SUM('Statistics NZ'!M$30:M$110,'Statistics NZ'!M$130:M$210)</f>
        <v>26553.701702207785</v>
      </c>
      <c r="N77" s="44">
        <f>'Statistics NZ'!N$77*'Economic Forecasts'!P$9*1000000/SUM('Statistics NZ'!N$30:N$110,'Statistics NZ'!N$130:N$210)</f>
        <v>27221.687143095591</v>
      </c>
      <c r="O77" s="44">
        <f>'Statistics NZ'!O$77*'Economic Forecasts'!Q$9*1000000/SUM('Statistics NZ'!O$30:O$110,'Statistics NZ'!O$130:O$210)</f>
        <v>28043.140137179817</v>
      </c>
      <c r="P77" s="44">
        <f>'Statistics NZ'!P$77*'Economic Forecasts'!R$9*1000000/SUM('Statistics NZ'!P$30:P$110,'Statistics NZ'!P$130:P$210)</f>
        <v>29122.827222835262</v>
      </c>
      <c r="Q77" s="44">
        <f>'Statistics NZ'!Q$77*'Economic Forecasts'!S$9*1000000/SUM('Statistics NZ'!Q$30:Q$110,'Statistics NZ'!Q$130:Q$210)</f>
        <v>30190.144961336355</v>
      </c>
      <c r="R77" s="44">
        <f>'Statistics NZ'!R$77*'Economic Forecasts'!T$9*1000000/SUM('Statistics NZ'!R$30:R$110,'Statistics NZ'!R$130:R$210)</f>
        <v>30252.521563447048</v>
      </c>
      <c r="S77" s="44">
        <f>'Statistics NZ'!S$77*'Economic Forecasts'!U$9*1000000/SUM('Statistics NZ'!S$30:S$110,'Statistics NZ'!S$130:S$210)</f>
        <v>30954.012160354032</v>
      </c>
      <c r="T77" s="44">
        <f>'Statistics NZ'!T$77*'Economic Forecasts'!V$9*1000000/SUM('Statistics NZ'!T$30:T$110,'Statistics NZ'!T$130:T$210)</f>
        <v>32162.984988118009</v>
      </c>
      <c r="U77" s="45">
        <f>SUM('Statistics NZ'!U$77,$N$12/5*(U$8-U$9)*1000)*'Economic Forecasts'!W$9*1000000/SUM('Statistics NZ'!U$30:U$110,'Statistics NZ'!U$130:U$210,SUM($E$12:$T$13)*(U$8-U$9)*1000)</f>
        <v>32442.98957849868</v>
      </c>
      <c r="V77" s="45">
        <f>SUM('Statistics NZ'!V$77,$N$12/5*(V$8-V$9)*1000)*'Economic Forecasts'!X$9*1000000/SUM('Statistics NZ'!V$30:V$110,'Statistics NZ'!V$130:V$210,SUM($E$12:$T$13)*(V$8-V$9)*1000)</f>
        <v>31786.822862009289</v>
      </c>
      <c r="W77" s="45">
        <f>SUM('Statistics NZ'!W$77,$N$12/5*(W$8-W$9)*1000)*'Economic Forecasts'!Y$9*1000000/SUM('Statistics NZ'!W$30:W$110,'Statistics NZ'!W$130:W$210,SUM($E$12:$T$13)*(W$8-W$9)*1000)</f>
        <v>30938.49734792571</v>
      </c>
      <c r="X77" s="45">
        <f>SUM('Statistics NZ'!X$77,$N$12/5*(X$8-X$9)*1000)*'Economic Forecasts'!Z$9*1000000/SUM('Statistics NZ'!X$30:X$110,'Statistics NZ'!X$130:X$210,SUM($E$12:$T$13)*(X$8-X$9)*1000)</f>
        <v>30594.010901259797</v>
      </c>
      <c r="Y77" s="45">
        <f>SUM('Statistics NZ'!Y$77,$N$12/5*(Y$8-Y$9)*1000)*'Economic Forecasts'!AA$9*1000000/SUM('Statistics NZ'!Y$30:Y$110,'Statistics NZ'!Y$130:Y$210,SUM($E$12:$T$13)*(Y$8-Y$9)*1000)</f>
        <v>31403.601551733158</v>
      </c>
      <c r="Z77" s="46">
        <f>SUM(Y$77,'Statistics NZ'!Z$77-'Statistics NZ'!Y$77,$N$12/5*(Z$8-Z$9)*1000)</f>
        <v>31861.299401932269</v>
      </c>
      <c r="AA77" s="46">
        <f>SUM(Z$77,'Statistics NZ'!AA$77-'Statistics NZ'!Z$77,$N$12/5*(AA$8-AA$9)*1000)</f>
        <v>32645.918112051735</v>
      </c>
      <c r="AB77" s="46">
        <f>SUM(AA$77,'Statistics NZ'!AB$77-'Statistics NZ'!AA$77,$N$12/5*(AB$8-AB$9)*1000)</f>
        <v>32708.073510107486</v>
      </c>
      <c r="AC77" s="46">
        <f>SUM(AB$77,'Statistics NZ'!AC$77-'Statistics NZ'!AB$77,$N$12/5*(AC$8-AC$9)*1000)</f>
        <v>34168.073510107482</v>
      </c>
      <c r="AD77" s="46">
        <f>SUM(AC$77,'Statistics NZ'!AD$77-'Statistics NZ'!AC$77,$N$12/5*(AD$8-AD$9)*1000)</f>
        <v>33798.073510107482</v>
      </c>
      <c r="AE77" s="46">
        <f>SUM(AD$77,'Statistics NZ'!AE$77-'Statistics NZ'!AD$77,$N$12/5*(AE$8-AE$9)*1000)</f>
        <v>32988.073510107482</v>
      </c>
      <c r="AF77" s="46">
        <f>SUM(AE$77,'Statistics NZ'!AF$77-'Statistics NZ'!AE$77,$N$12/5*(AF$8-AF$9)*1000)</f>
        <v>32178.073510107482</v>
      </c>
      <c r="AG77" s="46">
        <f>SUM(AF$77,'Statistics NZ'!AG$77-'Statistics NZ'!AF$77,$N$12/5*(AG$8-AG$9)*1000)</f>
        <v>31178.073510107482</v>
      </c>
      <c r="AH77" s="46">
        <f>SUM(AG$77,'Statistics NZ'!AH$77-'Statistics NZ'!AG$77,$N$12/5*(AH$8-AH$9)*1000)</f>
        <v>30128.073510107482</v>
      </c>
      <c r="AI77" s="46">
        <f>SUM(AH$77,'Statistics NZ'!AI$77-'Statistics NZ'!AH$77,$N$12/5*(AI$8-AI$9)*1000)</f>
        <v>30558.073510107482</v>
      </c>
      <c r="AJ77" s="46">
        <f>SUM(AI$77,'Statistics NZ'!AJ$77-'Statistics NZ'!AI$77,$N$12/5*(AJ$8-AJ$9)*1000)</f>
        <v>30598.073510107482</v>
      </c>
      <c r="AK77" s="46">
        <f>SUM(AJ$77,'Statistics NZ'!AK$77-'Statistics NZ'!AJ$77,$N$12/5*(AK$8-AK$9)*1000)</f>
        <v>31808.073510107482</v>
      </c>
      <c r="AL77" s="46">
        <f>SUM(AK$77,'Statistics NZ'!AL$77-'Statistics NZ'!AK$77,$N$12/5*(AL$8-AL$9)*1000)</f>
        <v>32518.073510107482</v>
      </c>
      <c r="AM77" s="46">
        <f>SUM(AL$77,'Statistics NZ'!AM$77-'Statistics NZ'!AL$77,$N$12/5*(AM$8-AM$9)*1000)</f>
        <v>33298.073510107482</v>
      </c>
      <c r="AN77" s="46">
        <f>SUM(AM$77,'Statistics NZ'!AN$77-'Statistics NZ'!AM$77,$N$12/5*(AN$8-AN$9)*1000)</f>
        <v>34608.073510107482</v>
      </c>
      <c r="AO77" s="46">
        <f>SUM(AN$77,'Statistics NZ'!AO$77-'Statistics NZ'!AN$77,$N$12/5*(AO$8-AO$9)*1000)</f>
        <v>35738.073510107482</v>
      </c>
      <c r="AP77" s="46">
        <f>SUM(AO$77,'Statistics NZ'!AP$77-'Statistics NZ'!AO$77,$N$12/5*(AP$8-AP$9)*1000)</f>
        <v>36488.073510107482</v>
      </c>
      <c r="AQ77" s="46">
        <f>SUM(AP$77,'Statistics NZ'!AQ$77-'Statistics NZ'!AP$77,$N$12/5*(AQ$8-AQ$9)*1000)</f>
        <v>37848.073510107482</v>
      </c>
      <c r="AR77" s="46">
        <f>SUM(AQ$77,'Statistics NZ'!AR$77-'Statistics NZ'!AQ$77,$N$12/5*(AR$8-AR$9)*1000)</f>
        <v>38548.073510107482</v>
      </c>
      <c r="AS77" s="46">
        <f>SUM(AR$77,'Statistics NZ'!AS$77-'Statistics NZ'!AR$77,$N$12/5*(AS$8-AS$9)*1000)</f>
        <v>40188.073510107482</v>
      </c>
      <c r="AT77" s="46">
        <f>SUM(AS$77,'Statistics NZ'!AT$77-'Statistics NZ'!AS$77,$N$12/5*(AT$8-AT$9)*1000)</f>
        <v>42438.073510107482</v>
      </c>
      <c r="AU77" s="46">
        <f>SUM(AT$77,'Statistics NZ'!AU$77-'Statistics NZ'!AT$77,$N$12/5*(AU$8-AU$9)*1000)</f>
        <v>43458.073510107482</v>
      </c>
      <c r="AV77" s="46">
        <f>SUM(AU$77,'Statistics NZ'!AV$77-'Statistics NZ'!AU$77,$N$12/5*(AV$8-AV$9)*1000)</f>
        <v>45158.073510107482</v>
      </c>
      <c r="AW77" s="46">
        <f>SUM(AV$77,'Statistics NZ'!AW$77-'Statistics NZ'!AV$77,$N$12/5*(AW$8-AW$9)*1000)</f>
        <v>45988.073510107482</v>
      </c>
      <c r="AX77" s="46">
        <f>SUM(AW$77,'Statistics NZ'!AX$77-'Statistics NZ'!AW$77,$N$12/5*(AX$8-AX$9)*1000)</f>
        <v>45638.073510107482</v>
      </c>
      <c r="AY77" s="46">
        <f>SUM(AX$77,'Statistics NZ'!AY$77-'Statistics NZ'!AX$77,$N$12/5*(AY$8-AY$9)*1000)</f>
        <v>45298.073510107482</v>
      </c>
      <c r="AZ77" s="46">
        <f>SUM(AY$77,'Statistics NZ'!AZ$77-'Statistics NZ'!AY$77,$N$12/5*(AZ$8-AZ$9)*1000)</f>
        <v>44118.073510107482</v>
      </c>
      <c r="BA77" s="46">
        <f>SUM(AZ$77,'Statistics NZ'!BA$77-'Statistics NZ'!AZ$77,$N$12/5*(BA$8-BA$9)*1000)</f>
        <v>43908.073510107482</v>
      </c>
      <c r="BB77" s="46">
        <f>SUM(BA$77,'Statistics NZ'!BB$77-'Statistics NZ'!BA$77,$N$12/5*(BB$8-BB$9)*1000)</f>
        <v>42938.073510107482</v>
      </c>
      <c r="BC77" s="46">
        <f>SUM(BB$77,'Statistics NZ'!BC$77-'Statistics NZ'!BB$77,$N$12/5*(BC$8-BC$9)*1000)</f>
        <v>42838.073510107482</v>
      </c>
      <c r="BD77" s="46">
        <f>SUM(BC$77,'Statistics NZ'!BD$77-'Statistics NZ'!BC$77,$N$12/5*(BD$8-BD$9)*1000)</f>
        <v>42568.073510107482</v>
      </c>
      <c r="BE77" s="46">
        <f>SUM(BD$77,'Statistics NZ'!BE$77-'Statistics NZ'!BD$77,$N$12/5*(BE$8-BE$9)*1000)</f>
        <v>41578.073510107482</v>
      </c>
      <c r="BF77" s="46">
        <f>SUM(BE$77,'Statistics NZ'!BF$77-'Statistics NZ'!BE$77,$N$12/5*(BF$8-BF$9)*1000)</f>
        <v>43128.073510107482</v>
      </c>
      <c r="BG77" s="46">
        <f>SUM(BF$77,'Statistics NZ'!BG$77-'Statistics NZ'!BF$77,$N$12/5*(BG$8-BG$9)*1000)</f>
        <v>42858.073510107482</v>
      </c>
      <c r="BH77" s="46">
        <f>SUM(BG$77,'Statistics NZ'!BH$77-'Statistics NZ'!BG$77,$N$12/5*(BH$8-BH$9)*1000)</f>
        <v>42258.073510107482</v>
      </c>
      <c r="BI77" s="46">
        <f>SUM(BH$77,'Statistics NZ'!BI$77-'Statistics NZ'!BH$77,$N$12/5*(BI$8-BI$9)*1000)</f>
        <v>42298.073510107482</v>
      </c>
    </row>
    <row r="78" spans="1:61" x14ac:dyDescent="0.25">
      <c r="A78" s="11">
        <v>63</v>
      </c>
      <c r="B78" s="44">
        <f>'Statistics NZ'!B$78*'Economic Forecasts'!D$9*1000000/SUM('Statistics NZ'!B$30:B$110,'Statistics NZ'!B$130:B$210)</f>
        <v>16476.156441122221</v>
      </c>
      <c r="C78" s="44">
        <f>'Statistics NZ'!C$78*'Economic Forecasts'!E$9*1000000/SUM('Statistics NZ'!C$30:C$110,'Statistics NZ'!C$130:C$210)</f>
        <v>18265.345560169957</v>
      </c>
      <c r="D78" s="44">
        <f>'Statistics NZ'!D$78*'Economic Forecasts'!F$9*1000000/SUM('Statistics NZ'!D$30:D$110,'Statistics NZ'!D$130:D$210)</f>
        <v>19193.602121132855</v>
      </c>
      <c r="E78" s="44">
        <f>'Statistics NZ'!E$78*'Economic Forecasts'!G$9*1000000/SUM('Statistics NZ'!E$30:E$110,'Statistics NZ'!E$130:E$210)</f>
        <v>20182.853144550547</v>
      </c>
      <c r="F78" s="44">
        <f>'Statistics NZ'!F$78*'Economic Forecasts'!H$9*1000000/SUM('Statistics NZ'!F$30:F$110,'Statistics NZ'!F$130:F$210)</f>
        <v>23806.033678914511</v>
      </c>
      <c r="G78" s="44">
        <f>'Statistics NZ'!G$78*'Economic Forecasts'!I$9*1000000/SUM('Statistics NZ'!G$30:G$110,'Statistics NZ'!G$130:G$210)</f>
        <v>23770.382867968423</v>
      </c>
      <c r="H78" s="44">
        <f>'Statistics NZ'!H$78*'Economic Forecasts'!J$9*1000000/SUM('Statistics NZ'!H$30:H$110,'Statistics NZ'!H$130:H$210)</f>
        <v>23403.476674947186</v>
      </c>
      <c r="I78" s="44">
        <f>'Statistics NZ'!I$78*'Economic Forecasts'!K$9*1000000/SUM('Statistics NZ'!I$30:I$110,'Statistics NZ'!I$130:I$210)</f>
        <v>23989.29983499891</v>
      </c>
      <c r="J78" s="44">
        <f>'Statistics NZ'!J$78*'Economic Forecasts'!L$9*1000000/SUM('Statistics NZ'!J$30:J$110,'Statistics NZ'!J$130:J$210)</f>
        <v>23667.818206028729</v>
      </c>
      <c r="K78" s="44">
        <f>'Statistics NZ'!K$78*'Economic Forecasts'!M$9*1000000/SUM('Statistics NZ'!K$30:K$110,'Statistics NZ'!K$130:K$210)</f>
        <v>24262.65860143723</v>
      </c>
      <c r="L78" s="44">
        <f>'Statistics NZ'!L$78*'Economic Forecasts'!N$9*1000000/SUM('Statistics NZ'!L$30:L$110,'Statistics NZ'!L$130:L$210)</f>
        <v>24750.475391277501</v>
      </c>
      <c r="M78" s="44">
        <f>'Statistics NZ'!M$78*'Economic Forecasts'!O$9*1000000/SUM('Statistics NZ'!M$30:M$110,'Statistics NZ'!M$130:M$210)</f>
        <v>25762.366221016167</v>
      </c>
      <c r="N78" s="44">
        <f>'Statistics NZ'!N$78*'Economic Forecasts'!P$9*1000000/SUM('Statistics NZ'!N$30:N$110,'Statistics NZ'!N$130:N$210)</f>
        <v>26536.74174409606</v>
      </c>
      <c r="O78" s="44">
        <f>'Statistics NZ'!O$78*'Economic Forecasts'!Q$9*1000000/SUM('Statistics NZ'!O$30:O$110,'Statistics NZ'!O$130:O$210)</f>
        <v>27295.84748275287</v>
      </c>
      <c r="P78" s="44">
        <f>'Statistics NZ'!P$78*'Economic Forecasts'!R$9*1000000/SUM('Statistics NZ'!P$30:P$110,'Statistics NZ'!P$130:P$210)</f>
        <v>28228.705334414881</v>
      </c>
      <c r="Q78" s="44">
        <f>'Statistics NZ'!Q$78*'Economic Forecasts'!S$9*1000000/SUM('Statistics NZ'!Q$30:Q$110,'Statistics NZ'!Q$130:Q$210)</f>
        <v>29027.839281679771</v>
      </c>
      <c r="R78" s="44">
        <f>'Statistics NZ'!R$78*'Economic Forecasts'!T$9*1000000/SUM('Statistics NZ'!R$30:R$110,'Statistics NZ'!R$130:R$210)</f>
        <v>29764.577667262416</v>
      </c>
      <c r="S78" s="44">
        <f>'Statistics NZ'!S$78*'Economic Forecasts'!U$9*1000000/SUM('Statistics NZ'!S$30:S$110,'Statistics NZ'!S$130:S$210)</f>
        <v>29588.538440808104</v>
      </c>
      <c r="T78" s="44">
        <f>'Statistics NZ'!T$78*'Economic Forecasts'!V$9*1000000/SUM('Statistics NZ'!T$30:T$110,'Statistics NZ'!T$130:T$210)</f>
        <v>31092.537413783113</v>
      </c>
      <c r="U78" s="45">
        <f>SUM('Statistics NZ'!U$78,$N$12/5*(U$8-U$9)*1000)*'Economic Forecasts'!W$9*1000000/SUM('Statistics NZ'!U$30:U$110,'Statistics NZ'!U$130:U$210,SUM($E$12:$T$13)*(U$8-U$9)*1000)</f>
        <v>32076.506493644436</v>
      </c>
      <c r="V78" s="45">
        <f>SUM('Statistics NZ'!V$78,$N$12/5*(V$8-V$9)*1000)*'Economic Forecasts'!X$9*1000000/SUM('Statistics NZ'!V$30:V$110,'Statistics NZ'!V$130:V$210,SUM($E$12:$T$13)*(V$8-V$9)*1000)</f>
        <v>32351.169491444332</v>
      </c>
      <c r="W78" s="45">
        <f>SUM('Statistics NZ'!W$78,$N$12/5*(W$8-W$9)*1000)*'Economic Forecasts'!Y$9*1000000/SUM('Statistics NZ'!W$30:W$110,'Statistics NZ'!W$130:W$210,SUM($E$12:$T$13)*(W$8-W$9)*1000)</f>
        <v>31730.737000720947</v>
      </c>
      <c r="X78" s="45">
        <f>SUM('Statistics NZ'!X$78,$N$12/5*(X$8-X$9)*1000)*'Economic Forecasts'!Z$9*1000000/SUM('Statistics NZ'!X$30:X$110,'Statistics NZ'!X$130:X$210,SUM($E$12:$T$13)*(X$8-X$9)*1000)</f>
        <v>30891.168734792805</v>
      </c>
      <c r="Y78" s="45">
        <f>SUM('Statistics NZ'!Y$78,$N$12/5*(Y$8-Y$9)*1000)*'Economic Forecasts'!AA$9*1000000/SUM('Statistics NZ'!Y$30:Y$110,'Statistics NZ'!Y$130:Y$210,SUM($E$12:$T$13)*(Y$8-Y$9)*1000)</f>
        <v>30561.344998219014</v>
      </c>
      <c r="Z78" s="46">
        <f>SUM(Y$78,'Statistics NZ'!Z$78-'Statistics NZ'!Y$78,$N$12/5*(Z$8-Z$9)*1000)</f>
        <v>31379.042848418125</v>
      </c>
      <c r="AA78" s="46">
        <f>SUM(Z$78,'Statistics NZ'!AA$78-'Statistics NZ'!Z$78,$N$12/5*(AA$8-AA$9)*1000)</f>
        <v>31833.661558537591</v>
      </c>
      <c r="AB78" s="46">
        <f>SUM(AA$78,'Statistics NZ'!AB$78-'Statistics NZ'!AA$78,$N$12/5*(AB$8-AB$9)*1000)</f>
        <v>32615.816956593342</v>
      </c>
      <c r="AC78" s="46">
        <f>SUM(AB$78,'Statistics NZ'!AC$78-'Statistics NZ'!AB$78,$N$12/5*(AC$8-AC$9)*1000)</f>
        <v>32675.816956593342</v>
      </c>
      <c r="AD78" s="46">
        <f>SUM(AC$78,'Statistics NZ'!AD$78-'Statistics NZ'!AC$78,$N$12/5*(AD$8-AD$9)*1000)</f>
        <v>34135.816956593342</v>
      </c>
      <c r="AE78" s="46">
        <f>SUM(AD$78,'Statistics NZ'!AE$78-'Statistics NZ'!AD$78,$N$12/5*(AE$8-AE$9)*1000)</f>
        <v>33765.816956593342</v>
      </c>
      <c r="AF78" s="46">
        <f>SUM(AE$78,'Statistics NZ'!AF$78-'Statistics NZ'!AE$78,$N$12/5*(AF$8-AF$9)*1000)</f>
        <v>32975.816956593342</v>
      </c>
      <c r="AG78" s="46">
        <f>SUM(AF$78,'Statistics NZ'!AG$78-'Statistics NZ'!AF$78,$N$12/5*(AG$8-AG$9)*1000)</f>
        <v>32165.816956593342</v>
      </c>
      <c r="AH78" s="46">
        <f>SUM(AG$78,'Statistics NZ'!AH$78-'Statistics NZ'!AG$78,$N$12/5*(AH$8-AH$9)*1000)</f>
        <v>31175.816956593342</v>
      </c>
      <c r="AI78" s="46">
        <f>SUM(AH$78,'Statistics NZ'!AI$78-'Statistics NZ'!AH$78,$N$12/5*(AI$8-AI$9)*1000)</f>
        <v>30125.816956593342</v>
      </c>
      <c r="AJ78" s="46">
        <f>SUM(AI$78,'Statistics NZ'!AJ$78-'Statistics NZ'!AI$78,$N$12/5*(AJ$8-AJ$9)*1000)</f>
        <v>30555.816956593342</v>
      </c>
      <c r="AK78" s="46">
        <f>SUM(AJ$78,'Statistics NZ'!AK$78-'Statistics NZ'!AJ$78,$N$12/5*(AK$8-AK$9)*1000)</f>
        <v>30605.816956593342</v>
      </c>
      <c r="AL78" s="46">
        <f>SUM(AK$78,'Statistics NZ'!AL$78-'Statistics NZ'!AK$78,$N$12/5*(AL$8-AL$9)*1000)</f>
        <v>31815.816956593342</v>
      </c>
      <c r="AM78" s="46">
        <f>SUM(AL$78,'Statistics NZ'!AM$78-'Statistics NZ'!AL$78,$N$12/5*(AM$8-AM$9)*1000)</f>
        <v>32525.816956593342</v>
      </c>
      <c r="AN78" s="46">
        <f>SUM(AM$78,'Statistics NZ'!AN$78-'Statistics NZ'!AM$78,$N$12/5*(AN$8-AN$9)*1000)</f>
        <v>33305.816956593342</v>
      </c>
      <c r="AO78" s="46">
        <f>SUM(AN$78,'Statistics NZ'!AO$78-'Statistics NZ'!AN$78,$N$12/5*(AO$8-AO$9)*1000)</f>
        <v>34615.816956593342</v>
      </c>
      <c r="AP78" s="46">
        <f>SUM(AO$78,'Statistics NZ'!AP$78-'Statistics NZ'!AO$78,$N$12/5*(AP$8-AP$9)*1000)</f>
        <v>35745.816956593342</v>
      </c>
      <c r="AQ78" s="46">
        <f>SUM(AP$78,'Statistics NZ'!AQ$78-'Statistics NZ'!AP$78,$N$12/5*(AQ$8-AQ$9)*1000)</f>
        <v>36495.816956593342</v>
      </c>
      <c r="AR78" s="46">
        <f>SUM(AQ$78,'Statistics NZ'!AR$78-'Statistics NZ'!AQ$78,$N$12/5*(AR$8-AR$9)*1000)</f>
        <v>37855.816956593342</v>
      </c>
      <c r="AS78" s="46">
        <f>SUM(AR$78,'Statistics NZ'!AS$78-'Statistics NZ'!AR$78,$N$12/5*(AS$8-AS$9)*1000)</f>
        <v>38555.816956593342</v>
      </c>
      <c r="AT78" s="46">
        <f>SUM(AS$78,'Statistics NZ'!AT$78-'Statistics NZ'!AS$78,$N$12/5*(AT$8-AT$9)*1000)</f>
        <v>40195.816956593342</v>
      </c>
      <c r="AU78" s="46">
        <f>SUM(AT$78,'Statistics NZ'!AU$78-'Statistics NZ'!AT$78,$N$12/5*(AU$8-AU$9)*1000)</f>
        <v>42435.816956593342</v>
      </c>
      <c r="AV78" s="46">
        <f>SUM(AU$78,'Statistics NZ'!AV$78-'Statistics NZ'!AU$78,$N$12/5*(AV$8-AV$9)*1000)</f>
        <v>43455.816956593342</v>
      </c>
      <c r="AW78" s="46">
        <f>SUM(AV$78,'Statistics NZ'!AW$78-'Statistics NZ'!AV$78,$N$12/5*(AW$8-AW$9)*1000)</f>
        <v>45165.816956593342</v>
      </c>
      <c r="AX78" s="46">
        <f>SUM(AW$78,'Statistics NZ'!AX$78-'Statistics NZ'!AW$78,$N$12/5*(AX$8-AX$9)*1000)</f>
        <v>45985.816956593342</v>
      </c>
      <c r="AY78" s="46">
        <f>SUM(AX$78,'Statistics NZ'!AY$78-'Statistics NZ'!AX$78,$N$12/5*(AY$8-AY$9)*1000)</f>
        <v>45645.816956593342</v>
      </c>
      <c r="AZ78" s="46">
        <f>SUM(AY$78,'Statistics NZ'!AZ$78-'Statistics NZ'!AY$78,$N$12/5*(AZ$8-AZ$9)*1000)</f>
        <v>45305.816956593342</v>
      </c>
      <c r="BA78" s="46">
        <f>SUM(AZ$78,'Statistics NZ'!BA$78-'Statistics NZ'!AZ$78,$N$12/5*(BA$8-BA$9)*1000)</f>
        <v>44135.816956593342</v>
      </c>
      <c r="BB78" s="46">
        <f>SUM(BA$78,'Statistics NZ'!BB$78-'Statistics NZ'!BA$78,$N$12/5*(BB$8-BB$9)*1000)</f>
        <v>43925.816956593342</v>
      </c>
      <c r="BC78" s="46">
        <f>SUM(BB$78,'Statistics NZ'!BC$78-'Statistics NZ'!BB$78,$N$12/5*(BC$8-BC$9)*1000)</f>
        <v>42965.816956593342</v>
      </c>
      <c r="BD78" s="46">
        <f>SUM(BC$78,'Statistics NZ'!BD$78-'Statistics NZ'!BC$78,$N$12/5*(BD$8-BD$9)*1000)</f>
        <v>42855.816956593342</v>
      </c>
      <c r="BE78" s="46">
        <f>SUM(BD$78,'Statistics NZ'!BE$78-'Statistics NZ'!BD$78,$N$12/5*(BE$8-BE$9)*1000)</f>
        <v>42595.816956593342</v>
      </c>
      <c r="BF78" s="46">
        <f>SUM(BE$78,'Statistics NZ'!BF$78-'Statistics NZ'!BE$78,$N$12/5*(BF$8-BF$9)*1000)</f>
        <v>41605.816956593342</v>
      </c>
      <c r="BG78" s="46">
        <f>SUM(BF$78,'Statistics NZ'!BG$78-'Statistics NZ'!BF$78,$N$12/5*(BG$8-BG$9)*1000)</f>
        <v>43155.816956593342</v>
      </c>
      <c r="BH78" s="46">
        <f>SUM(BG$78,'Statistics NZ'!BH$78-'Statistics NZ'!BG$78,$N$12/5*(BH$8-BH$9)*1000)</f>
        <v>42895.816956593342</v>
      </c>
      <c r="BI78" s="46">
        <f>SUM(BH$78,'Statistics NZ'!BI$78-'Statistics NZ'!BH$78,$N$12/5*(BI$8-BI$9)*1000)</f>
        <v>42295.816956593342</v>
      </c>
    </row>
    <row r="79" spans="1:61" x14ac:dyDescent="0.25">
      <c r="A79" s="11">
        <v>64</v>
      </c>
      <c r="B79" s="44">
        <f>'Statistics NZ'!B$79*'Economic Forecasts'!D$9*1000000/SUM('Statistics NZ'!B$30:B$110,'Statistics NZ'!B$130:B$210)</f>
        <v>18325.321267352683</v>
      </c>
      <c r="C79" s="44">
        <f>'Statistics NZ'!C$79*'Economic Forecasts'!E$9*1000000/SUM('Statistics NZ'!C$30:C$110,'Statistics NZ'!C$130:C$210)</f>
        <v>16448.631082411117</v>
      </c>
      <c r="D79" s="44">
        <f>'Statistics NZ'!D$79*'Economic Forecasts'!F$9*1000000/SUM('Statistics NZ'!D$30:D$110,'Statistics NZ'!D$130:D$210)</f>
        <v>18201.507026847074</v>
      </c>
      <c r="E79" s="44">
        <f>'Statistics NZ'!E$79*'Economic Forecasts'!G$9*1000000/SUM('Statistics NZ'!E$30:E$110,'Statistics NZ'!E$130:E$210)</f>
        <v>19113.887647584554</v>
      </c>
      <c r="F79" s="44">
        <f>'Statistics NZ'!F$79*'Economic Forecasts'!H$9*1000000/SUM('Statistics NZ'!F$30:F$110,'Statistics NZ'!F$130:F$210)</f>
        <v>20127.721923828834</v>
      </c>
      <c r="G79" s="44">
        <f>'Statistics NZ'!G$79*'Economic Forecasts'!I$9*1000000/SUM('Statistics NZ'!G$30:G$110,'Statistics NZ'!G$130:G$210)</f>
        <v>23740.915451189947</v>
      </c>
      <c r="H79" s="44">
        <f>'Statistics NZ'!H$79*'Economic Forecasts'!J$9*1000000/SUM('Statistics NZ'!H$30:H$110,'Statistics NZ'!H$130:H$210)</f>
        <v>23727.706200670636</v>
      </c>
      <c r="I79" s="44">
        <f>'Statistics NZ'!I$79*'Economic Forecasts'!K$9*1000000/SUM('Statistics NZ'!I$30:I$110,'Statistics NZ'!I$130:I$210)</f>
        <v>23332.461629463593</v>
      </c>
      <c r="J79" s="44">
        <f>'Statistics NZ'!J$79*'Economic Forecasts'!L$9*1000000/SUM('Statistics NZ'!J$30:J$110,'Statistics NZ'!J$130:J$210)</f>
        <v>23765.337028468071</v>
      </c>
      <c r="K79" s="44">
        <f>'Statistics NZ'!K$79*'Economic Forecasts'!M$9*1000000/SUM('Statistics NZ'!K$30:K$110,'Statistics NZ'!K$130:K$210)</f>
        <v>23503.23349272451</v>
      </c>
      <c r="L79" s="44">
        <f>'Statistics NZ'!L$79*'Economic Forecasts'!N$9*1000000/SUM('Statistics NZ'!L$30:L$110,'Statistics NZ'!L$130:L$210)</f>
        <v>24176.01510485524</v>
      </c>
      <c r="M79" s="44">
        <f>'Statistics NZ'!M$79*'Economic Forecasts'!O$9*1000000/SUM('Statistics NZ'!M$30:M$110,'Statistics NZ'!M$130:M$210)</f>
        <v>24814.71755835459</v>
      </c>
      <c r="N79" s="44">
        <f>'Statistics NZ'!N$79*'Economic Forecasts'!P$9*1000000/SUM('Statistics NZ'!N$30:N$110,'Statistics NZ'!N$130:N$210)</f>
        <v>25675.667528210939</v>
      </c>
      <c r="O79" s="44">
        <f>'Statistics NZ'!O$79*'Economic Forecasts'!Q$9*1000000/SUM('Statistics NZ'!O$30:O$110,'Statistics NZ'!O$130:O$210)</f>
        <v>26538.722030241348</v>
      </c>
      <c r="P79" s="44">
        <f>'Statistics NZ'!P$79*'Economic Forecasts'!R$9*1000000/SUM('Statistics NZ'!P$30:P$110,'Statistics NZ'!P$130:P$210)</f>
        <v>27511.442720627103</v>
      </c>
      <c r="Q79" s="44">
        <f>'Statistics NZ'!Q$79*'Economic Forecasts'!S$9*1000000/SUM('Statistics NZ'!Q$30:Q$110,'Statistics NZ'!Q$130:Q$210)</f>
        <v>28193.363409105816</v>
      </c>
      <c r="R79" s="44">
        <f>'Statistics NZ'!R$79*'Economic Forecasts'!T$9*1000000/SUM('Statistics NZ'!R$30:R$110,'Statistics NZ'!R$130:R$210)</f>
        <v>28679.151449219058</v>
      </c>
      <c r="S79" s="44">
        <f>'Statistics NZ'!S$79*'Economic Forecasts'!U$9*1000000/SUM('Statistics NZ'!S$30:S$110,'Statistics NZ'!S$130:S$210)</f>
        <v>29087.537291909961</v>
      </c>
      <c r="T79" s="44">
        <f>'Statistics NZ'!T$79*'Economic Forecasts'!V$9*1000000/SUM('Statistics NZ'!T$30:T$110,'Statistics NZ'!T$130:T$210)</f>
        <v>29695.008636179216</v>
      </c>
      <c r="U79" s="45">
        <f>SUM('Statistics NZ'!U$79,$N$12/5*(U$8-U$9)*1000)*'Economic Forecasts'!W$9*1000000/SUM('Statistics NZ'!U$30:U$110,'Statistics NZ'!U$130:U$210,SUM($E$12:$T$13)*(U$8-U$9)*1000)</f>
        <v>30986.96218732102</v>
      </c>
      <c r="V79" s="45">
        <f>SUM('Statistics NZ'!V$79,$N$12/5*(V$8-V$9)*1000)*'Economic Forecasts'!X$9*1000000/SUM('Statistics NZ'!V$30:V$110,'Statistics NZ'!V$130:V$210,SUM($E$12:$T$13)*(V$8-V$9)*1000)</f>
        <v>31965.037587094033</v>
      </c>
      <c r="W79" s="45">
        <f>SUM('Statistics NZ'!W$79,$N$12/5*(W$8-W$9)*1000)*'Economic Forecasts'!Y$9*1000000/SUM('Statistics NZ'!W$30:W$110,'Statistics NZ'!W$130:W$210,SUM($E$12:$T$13)*(W$8-W$9)*1000)</f>
        <v>32265.498766357734</v>
      </c>
      <c r="X79" s="45">
        <f>SUM('Statistics NZ'!X$79,$N$12/5*(X$8-X$9)*1000)*'Economic Forecasts'!Z$9*1000000/SUM('Statistics NZ'!X$30:X$110,'Statistics NZ'!X$130:X$210,SUM($E$12:$T$13)*(X$8-X$9)*1000)</f>
        <v>31653.873840860844</v>
      </c>
      <c r="Y79" s="45">
        <f>SUM('Statistics NZ'!Y$79,$N$12/5*(Y$8-Y$9)*1000)*'Economic Forecasts'!AA$9*1000000/SUM('Statistics NZ'!Y$30:Y$110,'Statistics NZ'!Y$130:Y$210,SUM($E$12:$T$13)*(Y$8-Y$9)*1000)</f>
        <v>30818.976414588047</v>
      </c>
      <c r="Z79" s="46">
        <f>SUM(Y$79,'Statistics NZ'!Z$79-'Statistics NZ'!Y$79,$N$12/5*(Z$8-Z$9)*1000)</f>
        <v>30496.674264787158</v>
      </c>
      <c r="AA79" s="46">
        <f>SUM(Z$79,'Statistics NZ'!AA$79-'Statistics NZ'!Z$79,$N$12/5*(AA$8-AA$9)*1000)</f>
        <v>31311.292974906624</v>
      </c>
      <c r="AB79" s="46">
        <f>SUM(AA$79,'Statistics NZ'!AB$79-'Statistics NZ'!AA$79,$N$12/5*(AB$8-AB$9)*1000)</f>
        <v>31763.448372962375</v>
      </c>
      <c r="AC79" s="46">
        <f>SUM(AB$79,'Statistics NZ'!AC$79-'Statistics NZ'!AB$79,$N$12/5*(AC$8-AC$9)*1000)</f>
        <v>32553.448372962375</v>
      </c>
      <c r="AD79" s="46">
        <f>SUM(AC$79,'Statistics NZ'!AD$79-'Statistics NZ'!AC$79,$N$12/5*(AD$8-AD$9)*1000)</f>
        <v>32613.448372962375</v>
      </c>
      <c r="AE79" s="46">
        <f>SUM(AD$79,'Statistics NZ'!AE$79-'Statistics NZ'!AD$79,$N$12/5*(AE$8-AE$9)*1000)</f>
        <v>34073.448372962375</v>
      </c>
      <c r="AF79" s="46">
        <f>SUM(AE$79,'Statistics NZ'!AF$79-'Statistics NZ'!AE$79,$N$12/5*(AF$8-AF$9)*1000)</f>
        <v>33713.448372962375</v>
      </c>
      <c r="AG79" s="46">
        <f>SUM(AF$79,'Statistics NZ'!AG$79-'Statistics NZ'!AF$79,$N$12/5*(AG$8-AG$9)*1000)</f>
        <v>32923.448372962375</v>
      </c>
      <c r="AH79" s="46">
        <f>SUM(AG$79,'Statistics NZ'!AH$79-'Statistics NZ'!AG$79,$N$12/5*(AH$8-AH$9)*1000)</f>
        <v>32123.448372962375</v>
      </c>
      <c r="AI79" s="46">
        <f>SUM(AH$79,'Statistics NZ'!AI$79-'Statistics NZ'!AH$79,$N$12/5*(AI$8-AI$9)*1000)</f>
        <v>31143.448372962375</v>
      </c>
      <c r="AJ79" s="46">
        <f>SUM(AI$79,'Statistics NZ'!AJ$79-'Statistics NZ'!AI$79,$N$12/5*(AJ$8-AJ$9)*1000)</f>
        <v>30103.448372962375</v>
      </c>
      <c r="AK79" s="46">
        <f>SUM(AJ$79,'Statistics NZ'!AK$79-'Statistics NZ'!AJ$79,$N$12/5*(AK$8-AK$9)*1000)</f>
        <v>30533.448372962375</v>
      </c>
      <c r="AL79" s="46">
        <f>SUM(AK$79,'Statistics NZ'!AL$79-'Statistics NZ'!AK$79,$N$12/5*(AL$8-AL$9)*1000)</f>
        <v>30583.448372962375</v>
      </c>
      <c r="AM79" s="46">
        <f>SUM(AL$79,'Statistics NZ'!AM$79-'Statistics NZ'!AL$79,$N$12/5*(AM$8-AM$9)*1000)</f>
        <v>31793.448372962375</v>
      </c>
      <c r="AN79" s="46">
        <f>SUM(AM$79,'Statistics NZ'!AN$79-'Statistics NZ'!AM$79,$N$12/5*(AN$8-AN$9)*1000)</f>
        <v>32503.448372962375</v>
      </c>
      <c r="AO79" s="46">
        <f>SUM(AN$79,'Statistics NZ'!AO$79-'Statistics NZ'!AN$79,$N$12/5*(AO$8-AO$9)*1000)</f>
        <v>33283.448372962375</v>
      </c>
      <c r="AP79" s="46">
        <f>SUM(AO$79,'Statistics NZ'!AP$79-'Statistics NZ'!AO$79,$N$12/5*(AP$8-AP$9)*1000)</f>
        <v>34593.448372962375</v>
      </c>
      <c r="AQ79" s="46">
        <f>SUM(AP$79,'Statistics NZ'!AQ$79-'Statistics NZ'!AP$79,$N$12/5*(AQ$8-AQ$9)*1000)</f>
        <v>35713.448372962375</v>
      </c>
      <c r="AR79" s="46">
        <f>SUM(AQ$79,'Statistics NZ'!AR$79-'Statistics NZ'!AQ$79,$N$12/5*(AR$8-AR$9)*1000)</f>
        <v>36473.448372962375</v>
      </c>
      <c r="AS79" s="46">
        <f>SUM(AR$79,'Statistics NZ'!AS$79-'Statistics NZ'!AR$79,$N$12/5*(AS$8-AS$9)*1000)</f>
        <v>37823.448372962375</v>
      </c>
      <c r="AT79" s="46">
        <f>SUM(AS$79,'Statistics NZ'!AT$79-'Statistics NZ'!AS$79,$N$12/5*(AT$8-AT$9)*1000)</f>
        <v>38523.448372962375</v>
      </c>
      <c r="AU79" s="46">
        <f>SUM(AT$79,'Statistics NZ'!AU$79-'Statistics NZ'!AT$79,$N$12/5*(AU$8-AU$9)*1000)</f>
        <v>40173.448372962375</v>
      </c>
      <c r="AV79" s="46">
        <f>SUM(AU$79,'Statistics NZ'!AV$79-'Statistics NZ'!AU$79,$N$12/5*(AV$8-AV$9)*1000)</f>
        <v>42403.448372962375</v>
      </c>
      <c r="AW79" s="46">
        <f>SUM(AV$79,'Statistics NZ'!AW$79-'Statistics NZ'!AV$79,$N$12/5*(AW$8-AW$9)*1000)</f>
        <v>43423.448372962375</v>
      </c>
      <c r="AX79" s="46">
        <f>SUM(AW$79,'Statistics NZ'!AX$79-'Statistics NZ'!AW$79,$N$12/5*(AX$8-AX$9)*1000)</f>
        <v>45133.448372962375</v>
      </c>
      <c r="AY79" s="46">
        <f>SUM(AX$79,'Statistics NZ'!AY$79-'Statistics NZ'!AX$79,$N$12/5*(AY$8-AY$9)*1000)</f>
        <v>45953.448372962375</v>
      </c>
      <c r="AZ79" s="46">
        <f>SUM(AY$79,'Statistics NZ'!AZ$79-'Statistics NZ'!AY$79,$N$12/5*(AZ$8-AZ$9)*1000)</f>
        <v>45623.448372962375</v>
      </c>
      <c r="BA79" s="46">
        <f>SUM(AZ$79,'Statistics NZ'!BA$79-'Statistics NZ'!AZ$79,$N$12/5*(BA$8-BA$9)*1000)</f>
        <v>45283.448372962375</v>
      </c>
      <c r="BB79" s="46">
        <f>SUM(BA$79,'Statistics NZ'!BB$79-'Statistics NZ'!BA$79,$N$12/5*(BB$8-BB$9)*1000)</f>
        <v>44113.448372962375</v>
      </c>
      <c r="BC79" s="46">
        <f>SUM(BB$79,'Statistics NZ'!BC$79-'Statistics NZ'!BB$79,$N$12/5*(BC$8-BC$9)*1000)</f>
        <v>43903.448372962375</v>
      </c>
      <c r="BD79" s="46">
        <f>SUM(BC$79,'Statistics NZ'!BD$79-'Statistics NZ'!BC$79,$N$12/5*(BD$8-BD$9)*1000)</f>
        <v>42953.448372962375</v>
      </c>
      <c r="BE79" s="46">
        <f>SUM(BD$79,'Statistics NZ'!BE$79-'Statistics NZ'!BD$79,$N$12/5*(BE$8-BE$9)*1000)</f>
        <v>42853.448372962375</v>
      </c>
      <c r="BF79" s="46">
        <f>SUM(BE$79,'Statistics NZ'!BF$79-'Statistics NZ'!BE$79,$N$12/5*(BF$8-BF$9)*1000)</f>
        <v>42593.448372962375</v>
      </c>
      <c r="BG79" s="46">
        <f>SUM(BF$79,'Statistics NZ'!BG$79-'Statistics NZ'!BF$79,$N$12/5*(BG$8-BG$9)*1000)</f>
        <v>41613.448372962375</v>
      </c>
      <c r="BH79" s="46">
        <f>SUM(BG$79,'Statistics NZ'!BH$79-'Statistics NZ'!BG$79,$N$12/5*(BH$8-BH$9)*1000)</f>
        <v>43163.448372962375</v>
      </c>
      <c r="BI79" s="46">
        <f>SUM(BH$79,'Statistics NZ'!BI$79-'Statistics NZ'!BH$79,$N$12/5*(BI$8-BI$9)*1000)</f>
        <v>42893.448372962375</v>
      </c>
    </row>
    <row r="80" spans="1:61" x14ac:dyDescent="0.25">
      <c r="A80" s="11">
        <v>65</v>
      </c>
      <c r="B80" s="44">
        <f>'Statistics NZ'!B$80*'Economic Forecasts'!D$9*1000000/SUM('Statistics NZ'!B$30:B$110,'Statistics NZ'!B$130:B$210)</f>
        <v>18002.451218328319</v>
      </c>
      <c r="C80" s="44">
        <f>'Statistics NZ'!C$80*'Economic Forecasts'!E$9*1000000/SUM('Statistics NZ'!C$30:C$110,'Statistics NZ'!C$130:C$210)</f>
        <v>18294.805794944426</v>
      </c>
      <c r="D80" s="44">
        <f>'Statistics NZ'!D$80*'Economic Forecasts'!F$9*1000000/SUM('Statistics NZ'!D$30:D$110,'Statistics NZ'!D$130:D$210)</f>
        <v>16374.480417568304</v>
      </c>
      <c r="E80" s="44">
        <f>'Statistics NZ'!E$80*'Economic Forecasts'!G$9*1000000/SUM('Statistics NZ'!E$30:E$110,'Statistics NZ'!E$130:E$210)</f>
        <v>18084.150242250344</v>
      </c>
      <c r="F80" s="44">
        <f>'Statistics NZ'!F$80*'Economic Forecasts'!H$9*1000000/SUM('Statistics NZ'!F$30:F$110,'Statistics NZ'!F$130:F$210)</f>
        <v>19068.368138364156</v>
      </c>
      <c r="G80" s="44">
        <f>'Statistics NZ'!G$80*'Economic Forecasts'!I$9*1000000/SUM('Statistics NZ'!G$30:G$110,'Statistics NZ'!G$130:G$210)</f>
        <v>20086.955770659264</v>
      </c>
      <c r="H80" s="44">
        <f>'Statistics NZ'!H$80*'Economic Forecasts'!J$9*1000000/SUM('Statistics NZ'!H$30:H$110,'Statistics NZ'!H$130:H$210)</f>
        <v>23619.629692096154</v>
      </c>
      <c r="I80" s="44">
        <f>'Statistics NZ'!I$80*'Economic Forecasts'!K$9*1000000/SUM('Statistics NZ'!I$30:I$110,'Statistics NZ'!I$130:I$210)</f>
        <v>23577.550512126025</v>
      </c>
      <c r="J80" s="44">
        <f>'Statistics NZ'!J$80*'Economic Forecasts'!L$9*1000000/SUM('Statistics NZ'!J$30:J$110,'Statistics NZ'!J$130:J$210)</f>
        <v>23033.945860173</v>
      </c>
      <c r="K80" s="44">
        <f>'Statistics NZ'!K$80*'Economic Forecasts'!M$9*1000000/SUM('Statistics NZ'!K$30:K$110,'Statistics NZ'!K$130:K$210)</f>
        <v>23629.804344176628</v>
      </c>
      <c r="L80" s="44">
        <f>'Statistics NZ'!L$80*'Economic Forecasts'!N$9*1000000/SUM('Statistics NZ'!L$30:L$110,'Statistics NZ'!L$130:L$210)</f>
        <v>23416.559132974973</v>
      </c>
      <c r="M80" s="44">
        <f>'Statistics NZ'!M$80*'Economic Forecasts'!O$9*1000000/SUM('Statistics NZ'!M$30:M$110,'Statistics NZ'!M$130:M$210)</f>
        <v>24150.386537107301</v>
      </c>
      <c r="N80" s="44">
        <f>'Statistics NZ'!N$80*'Economic Forecasts'!P$9*1000000/SUM('Statistics NZ'!N$30:N$110,'Statistics NZ'!N$130:N$210)</f>
        <v>24755.883706697285</v>
      </c>
      <c r="O80" s="44">
        <f>'Statistics NZ'!O$80*'Economic Forecasts'!Q$9*1000000/SUM('Statistics NZ'!O$30:O$110,'Statistics NZ'!O$130:O$210)</f>
        <v>25634.104606461358</v>
      </c>
      <c r="P80" s="44">
        <f>'Statistics NZ'!P$80*'Economic Forecasts'!R$9*1000000/SUM('Statistics NZ'!P$30:P$110,'Statistics NZ'!P$130:P$210)</f>
        <v>26676.273923750919</v>
      </c>
      <c r="Q80" s="44">
        <f>'Statistics NZ'!Q$80*'Economic Forecasts'!S$9*1000000/SUM('Statistics NZ'!Q$30:Q$110,'Statistics NZ'!Q$130:Q$210)</f>
        <v>27438.361429157951</v>
      </c>
      <c r="R80" s="44">
        <f>'Statistics NZ'!R$80*'Economic Forecasts'!T$9*1000000/SUM('Statistics NZ'!R$30:R$110,'Statistics NZ'!R$130:R$210)</f>
        <v>27832.71815991919</v>
      </c>
      <c r="S80" s="44">
        <f>'Statistics NZ'!S$80*'Economic Forecasts'!U$9*1000000/SUM('Statistics NZ'!S$30:S$110,'Statistics NZ'!S$130:S$210)</f>
        <v>28006.946578600237</v>
      </c>
      <c r="T80" s="44">
        <f>'Statistics NZ'!T$80*'Economic Forecasts'!V$9*1000000/SUM('Statistics NZ'!T$30:T$110,'Statistics NZ'!T$130:T$210)</f>
        <v>29169.696400625977</v>
      </c>
      <c r="U80" s="45">
        <f>SUM('Statistics NZ'!U$80,$O$12/5*(U$8-U$9)*1000)*'Economic Forecasts'!W$9*1000000/SUM('Statistics NZ'!U$30:U$110,'Statistics NZ'!U$130:U$210,SUM($E$12:$T$13)*(U$8-U$9)*1000)</f>
        <v>29568.596713563791</v>
      </c>
      <c r="V80" s="45">
        <f>SUM('Statistics NZ'!V$80,$O$12/5*(V$8-V$9)*1000)*'Economic Forecasts'!X$9*1000000/SUM('Statistics NZ'!V$30:V$110,'Statistics NZ'!V$130:V$210,SUM($E$12:$T$13)*(V$8-V$9)*1000)</f>
        <v>30843.83778801094</v>
      </c>
      <c r="W80" s="45">
        <f>SUM('Statistics NZ'!W$80,$O$12/5*(W$8-W$9)*1000)*'Economic Forecasts'!Y$9*1000000/SUM('Statistics NZ'!W$30:W$110,'Statistics NZ'!W$130:W$210,SUM($E$12:$T$13)*(W$8-W$9)*1000)</f>
        <v>31839.063657923576</v>
      </c>
      <c r="X80" s="45">
        <f>SUM('Statistics NZ'!X$80,$O$12/5*(X$8-X$9)*1000)*'Economic Forecasts'!Z$9*1000000/SUM('Statistics NZ'!X$30:X$110,'Statistics NZ'!X$130:X$210,SUM($E$12:$T$13)*(X$8-X$9)*1000)</f>
        <v>32141.027874989613</v>
      </c>
      <c r="Y80" s="45">
        <f>SUM('Statistics NZ'!Y$80,$O$12/5*(Y$8-Y$9)*1000)*'Economic Forecasts'!AA$9*1000000/SUM('Statistics NZ'!Y$30:Y$110,'Statistics NZ'!Y$130:Y$210,SUM($E$12:$T$13)*(Y$8-Y$9)*1000)</f>
        <v>31546.226171343344</v>
      </c>
      <c r="Z80" s="46">
        <f>SUM(Y$80,'Statistics NZ'!Z$80-'Statistics NZ'!Y$80,$O$12/5*(Z$8-Z$9)*1000)</f>
        <v>30720.133937973827</v>
      </c>
      <c r="AA80" s="46">
        <f>SUM(Z$80,'Statistics NZ'!AA$80-'Statistics NZ'!Z$80,$O$12/5*(AA$8-AA$9)*1000)</f>
        <v>30402.478597952118</v>
      </c>
      <c r="AB80" s="46">
        <f>SUM(AA$80,'Statistics NZ'!AB$80-'Statistics NZ'!AA$80,$O$12/5*(AB$8-AB$9)*1000)</f>
        <v>31213.572772608655</v>
      </c>
      <c r="AC80" s="46">
        <f>SUM(AB$80,'Statistics NZ'!AC$80-'Statistics NZ'!AB$80,$O$12/5*(AC$8-AC$9)*1000)</f>
        <v>31663.572772608655</v>
      </c>
      <c r="AD80" s="46">
        <f>SUM(AC$80,'Statistics NZ'!AD$80-'Statistics NZ'!AC$80,$O$12/5*(AD$8-AD$9)*1000)</f>
        <v>32453.572772608655</v>
      </c>
      <c r="AE80" s="46">
        <f>SUM(AD$80,'Statistics NZ'!AE$80-'Statistics NZ'!AD$80,$O$12/5*(AE$8-AE$9)*1000)</f>
        <v>32513.572772608655</v>
      </c>
      <c r="AF80" s="46">
        <f>SUM(AE$80,'Statistics NZ'!AF$80-'Statistics NZ'!AE$80,$O$12/5*(AF$8-AF$9)*1000)</f>
        <v>33973.572772608655</v>
      </c>
      <c r="AG80" s="46">
        <f>SUM(AF$80,'Statistics NZ'!AG$80-'Statistics NZ'!AF$80,$O$12/5*(AG$8-AG$9)*1000)</f>
        <v>33613.572772608655</v>
      </c>
      <c r="AH80" s="46">
        <f>SUM(AG$80,'Statistics NZ'!AH$80-'Statistics NZ'!AG$80,$O$12/5*(AH$8-AH$9)*1000)</f>
        <v>32833.572772608655</v>
      </c>
      <c r="AI80" s="46">
        <f>SUM(AH$80,'Statistics NZ'!AI$80-'Statistics NZ'!AH$80,$O$12/5*(AI$8-AI$9)*1000)</f>
        <v>32043.572772608655</v>
      </c>
      <c r="AJ80" s="46">
        <f>SUM(AI$80,'Statistics NZ'!AJ$80-'Statistics NZ'!AI$80,$O$12/5*(AJ$8-AJ$9)*1000)</f>
        <v>31073.572772608655</v>
      </c>
      <c r="AK80" s="46">
        <f>SUM(AJ$80,'Statistics NZ'!AK$80-'Statistics NZ'!AJ$80,$O$12/5*(AK$8-AK$9)*1000)</f>
        <v>30033.572772608655</v>
      </c>
      <c r="AL80" s="46">
        <f>SUM(AK$80,'Statistics NZ'!AL$80-'Statistics NZ'!AK$80,$O$12/5*(AL$8-AL$9)*1000)</f>
        <v>30473.572772608655</v>
      </c>
      <c r="AM80" s="46">
        <f>SUM(AL$80,'Statistics NZ'!AM$80-'Statistics NZ'!AL$80,$O$12/5*(AM$8-AM$9)*1000)</f>
        <v>30523.572772608655</v>
      </c>
      <c r="AN80" s="46">
        <f>SUM(AM$80,'Statistics NZ'!AN$80-'Statistics NZ'!AM$80,$O$12/5*(AN$8-AN$9)*1000)</f>
        <v>31733.572772608655</v>
      </c>
      <c r="AO80" s="46">
        <f>SUM(AN$80,'Statistics NZ'!AO$80-'Statistics NZ'!AN$80,$O$12/5*(AO$8-AO$9)*1000)</f>
        <v>32443.572772608655</v>
      </c>
      <c r="AP80" s="46">
        <f>SUM(AO$80,'Statistics NZ'!AP$80-'Statistics NZ'!AO$80,$O$12/5*(AP$8-AP$9)*1000)</f>
        <v>33223.572772608655</v>
      </c>
      <c r="AQ80" s="46">
        <f>SUM(AP$80,'Statistics NZ'!AQ$80-'Statistics NZ'!AP$80,$O$12/5*(AQ$8-AQ$9)*1000)</f>
        <v>34523.572772608655</v>
      </c>
      <c r="AR80" s="46">
        <f>SUM(AQ$80,'Statistics NZ'!AR$80-'Statistics NZ'!AQ$80,$O$12/5*(AR$8-AR$9)*1000)</f>
        <v>35653.572772608655</v>
      </c>
      <c r="AS80" s="46">
        <f>SUM(AR$80,'Statistics NZ'!AS$80-'Statistics NZ'!AR$80,$O$12/5*(AS$8-AS$9)*1000)</f>
        <v>36403.572772608655</v>
      </c>
      <c r="AT80" s="46">
        <f>SUM(AS$80,'Statistics NZ'!AT$80-'Statistics NZ'!AS$80,$O$12/5*(AT$8-AT$9)*1000)</f>
        <v>37763.572772608655</v>
      </c>
      <c r="AU80" s="46">
        <f>SUM(AT$80,'Statistics NZ'!AU$80-'Statistics NZ'!AT$80,$O$12/5*(AU$8-AU$9)*1000)</f>
        <v>38463.572772608655</v>
      </c>
      <c r="AV80" s="46">
        <f>SUM(AU$80,'Statistics NZ'!AV$80-'Statistics NZ'!AU$80,$O$12/5*(AV$8-AV$9)*1000)</f>
        <v>40103.572772608655</v>
      </c>
      <c r="AW80" s="46">
        <f>SUM(AV$80,'Statistics NZ'!AW$80-'Statistics NZ'!AV$80,$O$12/5*(AW$8-AW$9)*1000)</f>
        <v>42343.572772608655</v>
      </c>
      <c r="AX80" s="46">
        <f>SUM(AW$80,'Statistics NZ'!AX$80-'Statistics NZ'!AW$80,$O$12/5*(AX$8-AX$9)*1000)</f>
        <v>43353.572772608655</v>
      </c>
      <c r="AY80" s="46">
        <f>SUM(AX$80,'Statistics NZ'!AY$80-'Statistics NZ'!AX$80,$O$12/5*(AY$8-AY$9)*1000)</f>
        <v>45063.572772608655</v>
      </c>
      <c r="AZ80" s="46">
        <f>SUM(AY$80,'Statistics NZ'!AZ$80-'Statistics NZ'!AY$80,$O$12/5*(AZ$8-AZ$9)*1000)</f>
        <v>45883.572772608655</v>
      </c>
      <c r="BA80" s="46">
        <f>SUM(AZ$80,'Statistics NZ'!BA$80-'Statistics NZ'!AZ$80,$O$12/5*(BA$8-BA$9)*1000)</f>
        <v>45553.572772608655</v>
      </c>
      <c r="BB80" s="46">
        <f>SUM(BA$80,'Statistics NZ'!BB$80-'Statistics NZ'!BA$80,$O$12/5*(BB$8-BB$9)*1000)</f>
        <v>45223.572772608655</v>
      </c>
      <c r="BC80" s="46">
        <f>SUM(BB$80,'Statistics NZ'!BC$80-'Statistics NZ'!BB$80,$O$12/5*(BC$8-BC$9)*1000)</f>
        <v>44063.572772608655</v>
      </c>
      <c r="BD80" s="46">
        <f>SUM(BC$80,'Statistics NZ'!BD$80-'Statistics NZ'!BC$80,$O$12/5*(BD$8-BD$9)*1000)</f>
        <v>43853.572772608655</v>
      </c>
      <c r="BE80" s="46">
        <f>SUM(BD$80,'Statistics NZ'!BE$80-'Statistics NZ'!BD$80,$O$12/5*(BE$8-BE$9)*1000)</f>
        <v>42913.572772608655</v>
      </c>
      <c r="BF80" s="46">
        <f>SUM(BE$80,'Statistics NZ'!BF$80-'Statistics NZ'!BE$80,$O$12/5*(BF$8-BF$9)*1000)</f>
        <v>42813.572772608655</v>
      </c>
      <c r="BG80" s="46">
        <f>SUM(BF$80,'Statistics NZ'!BG$80-'Statistics NZ'!BF$80,$O$12/5*(BG$8-BG$9)*1000)</f>
        <v>42553.572772608655</v>
      </c>
      <c r="BH80" s="46">
        <f>SUM(BG$80,'Statistics NZ'!BH$80-'Statistics NZ'!BG$80,$O$12/5*(BH$8-BH$9)*1000)</f>
        <v>41573.572772608655</v>
      </c>
      <c r="BI80" s="46">
        <f>SUM(BH$80,'Statistics NZ'!BI$80-'Statistics NZ'!BH$80,$O$12/5*(BI$8-BI$9)*1000)</f>
        <v>43123.572772608655</v>
      </c>
    </row>
    <row r="81" spans="1:61" x14ac:dyDescent="0.25">
      <c r="A81" s="11">
        <v>66</v>
      </c>
      <c r="B81" s="44">
        <f>'Statistics NZ'!B$81*'Economic Forecasts'!D$9*1000000/SUM('Statistics NZ'!B$30:B$110,'Statistics NZ'!B$130:B$210)</f>
        <v>16534.860086399378</v>
      </c>
      <c r="C81" s="44">
        <f>'Statistics NZ'!C$81*'Economic Forecasts'!E$9*1000000/SUM('Statistics NZ'!C$30:C$110,'Statistics NZ'!C$130:C$210)</f>
        <v>17911.822742876346</v>
      </c>
      <c r="D81" s="44">
        <f>'Statistics NZ'!D$81*'Economic Forecasts'!F$9*1000000/SUM('Statistics NZ'!D$30:D$110,'Statistics NZ'!D$130:D$210)</f>
        <v>18142.570684612274</v>
      </c>
      <c r="E81" s="44">
        <f>'Statistics NZ'!E$81*'Economic Forecasts'!G$9*1000000/SUM('Statistics NZ'!E$30:E$110,'Statistics NZ'!E$130:E$210)</f>
        <v>16250.236958464653</v>
      </c>
      <c r="F81" s="44">
        <f>'Statistics NZ'!F$81*'Economic Forecasts'!H$9*1000000/SUM('Statistics NZ'!F$30:F$110,'Statistics NZ'!F$130:F$210)</f>
        <v>17989.396690205693</v>
      </c>
      <c r="G81" s="44">
        <f>'Statistics NZ'!G$81*'Economic Forecasts'!I$9*1000000/SUM('Statistics NZ'!G$30:G$110,'Statistics NZ'!G$130:G$210)</f>
        <v>18986.838877596263</v>
      </c>
      <c r="H81" s="44">
        <f>'Statistics NZ'!H$81*'Economic Forecasts'!J$9*1000000/SUM('Statistics NZ'!H$30:H$110,'Statistics NZ'!H$130:H$210)</f>
        <v>19994.154086279399</v>
      </c>
      <c r="I81" s="44">
        <f>'Statistics NZ'!I$81*'Economic Forecasts'!K$9*1000000/SUM('Statistics NZ'!I$30:I$110,'Statistics NZ'!I$130:I$210)</f>
        <v>23469.711403754554</v>
      </c>
      <c r="J81" s="44">
        <f>'Statistics NZ'!J$81*'Economic Forecasts'!L$9*1000000/SUM('Statistics NZ'!J$30:J$110,'Statistics NZ'!J$130:J$210)</f>
        <v>23316.750445247093</v>
      </c>
      <c r="K81" s="44">
        <f>'Statistics NZ'!K$81*'Economic Forecasts'!M$9*1000000/SUM('Statistics NZ'!K$30:K$110,'Statistics NZ'!K$130:K$210)</f>
        <v>22831.434358094026</v>
      </c>
      <c r="L81" s="44">
        <f>'Statistics NZ'!L$81*'Economic Forecasts'!N$9*1000000/SUM('Statistics NZ'!L$30:L$110,'Statistics NZ'!L$130:L$210)</f>
        <v>23455.505593071397</v>
      </c>
      <c r="M81" s="44">
        <f>'Statistics NZ'!M$81*'Economic Forecasts'!O$9*1000000/SUM('Statistics NZ'!M$30:M$110,'Statistics NZ'!M$130:M$210)</f>
        <v>23398.129351283169</v>
      </c>
      <c r="N81" s="44">
        <f>'Statistics NZ'!N$81*'Economic Forecasts'!P$9*1000000/SUM('Statistics NZ'!N$30:N$110,'Statistics NZ'!N$130:N$210)</f>
        <v>24041.583504883489</v>
      </c>
      <c r="O81" s="44">
        <f>'Statistics NZ'!O$81*'Economic Forecasts'!Q$9*1000000/SUM('Statistics NZ'!O$30:O$110,'Statistics NZ'!O$130:O$210)</f>
        <v>24650.82479800484</v>
      </c>
      <c r="P81" s="44">
        <f>'Statistics NZ'!P$81*'Economic Forecasts'!R$9*1000000/SUM('Statistics NZ'!P$30:P$110,'Statistics NZ'!P$130:P$210)</f>
        <v>25762.501004815807</v>
      </c>
      <c r="Q81" s="44">
        <f>'Statistics NZ'!Q$81*'Economic Forecasts'!S$9*1000000/SUM('Statistics NZ'!Q$30:Q$110,'Statistics NZ'!Q$130:Q$210)</f>
        <v>26564.14861027095</v>
      </c>
      <c r="R81" s="44">
        <f>'Statistics NZ'!R$81*'Economic Forecasts'!T$9*1000000/SUM('Statistics NZ'!R$30:R$110,'Statistics NZ'!R$130:R$210)</f>
        <v>27055.99114150284</v>
      </c>
      <c r="S81" s="44">
        <f>'Statistics NZ'!S$81*'Economic Forecasts'!U$9*1000000/SUM('Statistics NZ'!S$30:S$110,'Statistics NZ'!S$130:S$210)</f>
        <v>27240.70952734425</v>
      </c>
      <c r="T81" s="44">
        <f>'Statistics NZ'!T$81*'Economic Forecasts'!V$9*1000000/SUM('Statistics NZ'!T$30:T$110,'Statistics NZ'!T$130:T$210)</f>
        <v>28099.248826291081</v>
      </c>
      <c r="U81" s="45">
        <f>SUM('Statistics NZ'!U$81,$O$12/5*(U$8-U$9)*1000)*'Economic Forecasts'!W$9*1000000/SUM('Statistics NZ'!U$30:U$110,'Statistics NZ'!U$130:U$210,SUM($E$12:$T$13)*(U$8-U$9)*1000)</f>
        <v>29013.919612162776</v>
      </c>
      <c r="V81" s="45">
        <f>SUM('Statistics NZ'!V$81,$O$12/5*(V$8-V$9)*1000)*'Economic Forecasts'!X$9*1000000/SUM('Statistics NZ'!V$30:V$110,'Statistics NZ'!V$130:V$210,SUM($E$12:$T$13)*(V$8-V$9)*1000)</f>
        <v>29418.119987332939</v>
      </c>
      <c r="W81" s="45">
        <f>SUM('Statistics NZ'!W$81,$O$12/5*(W$8-W$9)*1000)*'Economic Forecasts'!Y$9*1000000/SUM('Statistics NZ'!W$30:W$110,'Statistics NZ'!W$130:W$210,SUM($E$12:$T$13)*(W$8-W$9)*1000)</f>
        <v>30710.122152690365</v>
      </c>
      <c r="X81" s="45">
        <f>SUM('Statistics NZ'!X$81,$O$12/5*(X$8-X$9)*1000)*'Economic Forecasts'!Z$9*1000000/SUM('Statistics NZ'!X$30:X$110,'Statistics NZ'!X$130:X$210,SUM($E$12:$T$13)*(X$8-X$9)*1000)</f>
        <v>31705.196385807878</v>
      </c>
      <c r="Y81" s="45">
        <f>SUM('Statistics NZ'!Y$81,$O$12/5*(Y$8-Y$9)*1000)*'Economic Forecasts'!AA$9*1000000/SUM('Statistics NZ'!Y$30:Y$110,'Statistics NZ'!Y$130:Y$210,SUM($E$12:$T$13)*(Y$8-Y$9)*1000)</f>
        <v>32021.853401563098</v>
      </c>
      <c r="Z81" s="46">
        <f>SUM(Y$81,'Statistics NZ'!Z$81-'Statistics NZ'!Y$81,$O$12/5*(Z$8-Z$9)*1000)</f>
        <v>31425.761168193581</v>
      </c>
      <c r="AA81" s="46">
        <f>SUM(Z$81,'Statistics NZ'!AA$81-'Statistics NZ'!Z$81,$O$12/5*(AA$8-AA$9)*1000)</f>
        <v>30608.105828171872</v>
      </c>
      <c r="AB81" s="46">
        <f>SUM(AA$81,'Statistics NZ'!AB$81-'Statistics NZ'!AA$81,$O$12/5*(AB$8-AB$9)*1000)</f>
        <v>30289.200002828409</v>
      </c>
      <c r="AC81" s="46">
        <f>SUM(AB$81,'Statistics NZ'!AC$81-'Statistics NZ'!AB$81,$O$12/5*(AC$8-AC$9)*1000)</f>
        <v>31099.200002828409</v>
      </c>
      <c r="AD81" s="46">
        <f>SUM(AC$81,'Statistics NZ'!AD$81-'Statistics NZ'!AC$81,$O$12/5*(AD$8-AD$9)*1000)</f>
        <v>31559.200002828409</v>
      </c>
      <c r="AE81" s="46">
        <f>SUM(AD$81,'Statistics NZ'!AE$81-'Statistics NZ'!AD$81,$O$12/5*(AE$8-AE$9)*1000)</f>
        <v>32349.200002828409</v>
      </c>
      <c r="AF81" s="46">
        <f>SUM(AE$81,'Statistics NZ'!AF$81-'Statistics NZ'!AE$81,$O$12/5*(AF$8-AF$9)*1000)</f>
        <v>32409.200002828409</v>
      </c>
      <c r="AG81" s="46">
        <f>SUM(AF$81,'Statistics NZ'!AG$81-'Statistics NZ'!AF$81,$O$12/5*(AG$8-AG$9)*1000)</f>
        <v>33869.200002828409</v>
      </c>
      <c r="AH81" s="46">
        <f>SUM(AG$81,'Statistics NZ'!AH$81-'Statistics NZ'!AG$81,$O$12/5*(AH$8-AH$9)*1000)</f>
        <v>33519.200002828409</v>
      </c>
      <c r="AI81" s="46">
        <f>SUM(AH$81,'Statistics NZ'!AI$81-'Statistics NZ'!AH$81,$O$12/5*(AI$8-AI$9)*1000)</f>
        <v>32739.200002828409</v>
      </c>
      <c r="AJ81" s="46">
        <f>SUM(AI$81,'Statistics NZ'!AJ$81-'Statistics NZ'!AI$81,$O$12/5*(AJ$8-AJ$9)*1000)</f>
        <v>31959.200002828409</v>
      </c>
      <c r="AK81" s="46">
        <f>SUM(AJ$81,'Statistics NZ'!AK$81-'Statistics NZ'!AJ$81,$O$12/5*(AK$8-AK$9)*1000)</f>
        <v>30989.200002828409</v>
      </c>
      <c r="AL81" s="46">
        <f>SUM(AK$81,'Statistics NZ'!AL$81-'Statistics NZ'!AK$81,$O$12/5*(AL$8-AL$9)*1000)</f>
        <v>29969.200002828409</v>
      </c>
      <c r="AM81" s="46">
        <f>SUM(AL$81,'Statistics NZ'!AM$81-'Statistics NZ'!AL$81,$O$12/5*(AM$8-AM$9)*1000)</f>
        <v>30399.200002828409</v>
      </c>
      <c r="AN81" s="46">
        <f>SUM(AM$81,'Statistics NZ'!AN$81-'Statistics NZ'!AM$81,$O$12/5*(AN$8-AN$9)*1000)</f>
        <v>30459.200002828409</v>
      </c>
      <c r="AO81" s="46">
        <f>SUM(AN$81,'Statistics NZ'!AO$81-'Statistics NZ'!AN$81,$O$12/5*(AO$8-AO$9)*1000)</f>
        <v>31669.200002828409</v>
      </c>
      <c r="AP81" s="46">
        <f>SUM(AO$81,'Statistics NZ'!AP$81-'Statistics NZ'!AO$81,$O$12/5*(AP$8-AP$9)*1000)</f>
        <v>32369.200002828409</v>
      </c>
      <c r="AQ81" s="46">
        <f>SUM(AP$81,'Statistics NZ'!AQ$81-'Statistics NZ'!AP$81,$O$12/5*(AQ$8-AQ$9)*1000)</f>
        <v>33159.200002828409</v>
      </c>
      <c r="AR81" s="46">
        <f>SUM(AQ$81,'Statistics NZ'!AR$81-'Statistics NZ'!AQ$81,$O$12/5*(AR$8-AR$9)*1000)</f>
        <v>34459.200002828409</v>
      </c>
      <c r="AS81" s="46">
        <f>SUM(AR$81,'Statistics NZ'!AS$81-'Statistics NZ'!AR$81,$O$12/5*(AS$8-AS$9)*1000)</f>
        <v>35579.200002828409</v>
      </c>
      <c r="AT81" s="46">
        <f>SUM(AS$81,'Statistics NZ'!AT$81-'Statistics NZ'!AS$81,$O$12/5*(AT$8-AT$9)*1000)</f>
        <v>36339.200002828409</v>
      </c>
      <c r="AU81" s="46">
        <f>SUM(AT$81,'Statistics NZ'!AU$81-'Statistics NZ'!AT$81,$O$12/5*(AU$8-AU$9)*1000)</f>
        <v>37689.200002828409</v>
      </c>
      <c r="AV81" s="46">
        <f>SUM(AU$81,'Statistics NZ'!AV$81-'Statistics NZ'!AU$81,$O$12/5*(AV$8-AV$9)*1000)</f>
        <v>38399.200002828409</v>
      </c>
      <c r="AW81" s="46">
        <f>SUM(AV$81,'Statistics NZ'!AW$81-'Statistics NZ'!AV$81,$O$12/5*(AW$8-AW$9)*1000)</f>
        <v>40029.200002828409</v>
      </c>
      <c r="AX81" s="46">
        <f>SUM(AW$81,'Statistics NZ'!AX$81-'Statistics NZ'!AW$81,$O$12/5*(AX$8-AX$9)*1000)</f>
        <v>42269.200002828409</v>
      </c>
      <c r="AY81" s="46">
        <f>SUM(AX$81,'Statistics NZ'!AY$81-'Statistics NZ'!AX$81,$O$12/5*(AY$8-AY$9)*1000)</f>
        <v>43279.200002828409</v>
      </c>
      <c r="AZ81" s="46">
        <f>SUM(AY$81,'Statistics NZ'!AZ$81-'Statistics NZ'!AY$81,$O$12/5*(AZ$8-AZ$9)*1000)</f>
        <v>44979.200002828409</v>
      </c>
      <c r="BA81" s="46">
        <f>SUM(AZ$81,'Statistics NZ'!BA$81-'Statistics NZ'!AZ$81,$O$12/5*(BA$8-BA$9)*1000)</f>
        <v>45809.200002828409</v>
      </c>
      <c r="BB81" s="46">
        <f>SUM(BA$81,'Statistics NZ'!BB$81-'Statistics NZ'!BA$81,$O$12/5*(BB$8-BB$9)*1000)</f>
        <v>45489.200002828409</v>
      </c>
      <c r="BC81" s="46">
        <f>SUM(BB$81,'Statistics NZ'!BC$81-'Statistics NZ'!BB$81,$O$12/5*(BC$8-BC$9)*1000)</f>
        <v>45149.200002828409</v>
      </c>
      <c r="BD81" s="46">
        <f>SUM(BC$81,'Statistics NZ'!BD$81-'Statistics NZ'!BC$81,$O$12/5*(BD$8-BD$9)*1000)</f>
        <v>43999.200002828409</v>
      </c>
      <c r="BE81" s="46">
        <f>SUM(BD$81,'Statistics NZ'!BE$81-'Statistics NZ'!BD$81,$O$12/5*(BE$8-BE$9)*1000)</f>
        <v>43799.200002828409</v>
      </c>
      <c r="BF81" s="46">
        <f>SUM(BE$81,'Statistics NZ'!BF$81-'Statistics NZ'!BE$81,$O$12/5*(BF$8-BF$9)*1000)</f>
        <v>42859.200002828409</v>
      </c>
      <c r="BG81" s="46">
        <f>SUM(BF$81,'Statistics NZ'!BG$81-'Statistics NZ'!BF$81,$O$12/5*(BG$8-BG$9)*1000)</f>
        <v>42759.200002828409</v>
      </c>
      <c r="BH81" s="46">
        <f>SUM(BG$81,'Statistics NZ'!BH$81-'Statistics NZ'!BG$81,$O$12/5*(BH$8-BH$9)*1000)</f>
        <v>42509.200002828409</v>
      </c>
      <c r="BI81" s="46">
        <f>SUM(BH$81,'Statistics NZ'!BI$81-'Statistics NZ'!BH$81,$O$12/5*(BI$8-BI$9)*1000)</f>
        <v>41539.200002828409</v>
      </c>
    </row>
    <row r="82" spans="1:61" x14ac:dyDescent="0.25">
      <c r="A82" s="11">
        <v>67</v>
      </c>
      <c r="B82" s="44">
        <f>'Statistics NZ'!B$82*'Economic Forecasts'!D$9*1000000/SUM('Statistics NZ'!B$30:B$110,'Statistics NZ'!B$130:B$210)</f>
        <v>15282.515653820017</v>
      </c>
      <c r="C82" s="44">
        <f>'Statistics NZ'!C$82*'Economic Forecasts'!E$9*1000000/SUM('Statistics NZ'!C$30:C$110,'Statistics NZ'!C$130:C$210)</f>
        <v>16438.811004152962</v>
      </c>
      <c r="D82" s="44">
        <f>'Statistics NZ'!D$82*'Economic Forecasts'!F$9*1000000/SUM('Statistics NZ'!D$30:D$110,'Statistics NZ'!D$130:D$210)</f>
        <v>17730.016288968684</v>
      </c>
      <c r="E82" s="44">
        <f>'Statistics NZ'!E$82*'Economic Forecasts'!G$9*1000000/SUM('Statistics NZ'!E$30:E$110,'Statistics NZ'!E$130:E$210)</f>
        <v>18015.50108189473</v>
      </c>
      <c r="F82" s="44">
        <f>'Statistics NZ'!F$82*'Economic Forecasts'!H$9*1000000/SUM('Statistics NZ'!F$30:F$110,'Statistics NZ'!F$130:F$210)</f>
        <v>16115.909902948722</v>
      </c>
      <c r="G82" s="44">
        <f>'Statistics NZ'!G$82*'Economic Forecasts'!I$9*1000000/SUM('Statistics NZ'!G$30:G$110,'Statistics NZ'!G$130:G$210)</f>
        <v>17886.721984533262</v>
      </c>
      <c r="H82" s="44">
        <f>'Statistics NZ'!H$82*'Economic Forecasts'!J$9*1000000/SUM('Statistics NZ'!H$30:H$110,'Statistics NZ'!H$130:H$210)</f>
        <v>18854.438177675755</v>
      </c>
      <c r="I82" s="44">
        <f>'Statistics NZ'!I$82*'Economic Forecasts'!K$9*1000000/SUM('Statistics NZ'!I$30:I$110,'Statistics NZ'!I$130:I$210)</f>
        <v>19793.378163818063</v>
      </c>
      <c r="J82" s="44">
        <f>'Statistics NZ'!J$82*'Economic Forecasts'!L$9*1000000/SUM('Statistics NZ'!J$30:J$110,'Statistics NZ'!J$130:J$210)</f>
        <v>23141.216564856273</v>
      </c>
      <c r="K82" s="44">
        <f>'Statistics NZ'!K$82*'Economic Forecasts'!M$9*1000000/SUM('Statistics NZ'!K$30:K$110,'Statistics NZ'!K$130:K$210)</f>
        <v>23094.312280340731</v>
      </c>
      <c r="L82" s="44">
        <f>'Statistics NZ'!L$82*'Economic Forecasts'!N$9*1000000/SUM('Statistics NZ'!L$30:L$110,'Statistics NZ'!L$130:L$210)</f>
        <v>22666.839776118813</v>
      </c>
      <c r="M82" s="44">
        <f>'Statistics NZ'!M$82*'Economic Forecasts'!O$9*1000000/SUM('Statistics NZ'!M$30:M$110,'Statistics NZ'!M$130:M$210)</f>
        <v>23359.051055915683</v>
      </c>
      <c r="N82" s="44">
        <f>'Statistics NZ'!N$82*'Economic Forecasts'!P$9*1000000/SUM('Statistics NZ'!N$30:N$110,'Statistics NZ'!N$130:N$210)</f>
        <v>23200.079157541211</v>
      </c>
      <c r="O82" s="44">
        <f>'Statistics NZ'!O$82*'Economic Forecasts'!Q$9*1000000/SUM('Statistics NZ'!O$30:O$110,'Statistics NZ'!O$130:O$210)</f>
        <v>23952.696134000711</v>
      </c>
      <c r="P82" s="44">
        <f>'Statistics NZ'!P$82*'Economic Forecasts'!R$9*1000000/SUM('Statistics NZ'!P$30:P$110,'Statistics NZ'!P$130:P$210)</f>
        <v>24681.694326505454</v>
      </c>
      <c r="Q82" s="44">
        <f>'Statistics NZ'!Q$82*'Economic Forecasts'!S$9*1000000/SUM('Statistics NZ'!Q$30:Q$110,'Statistics NZ'!Q$130:Q$210)</f>
        <v>25570.724952444809</v>
      </c>
      <c r="R82" s="44">
        <f>'Statistics NZ'!R$82*'Economic Forecasts'!T$9*1000000/SUM('Statistics NZ'!R$30:R$110,'Statistics NZ'!R$130:R$210)</f>
        <v>26119.935503924164</v>
      </c>
      <c r="S82" s="44">
        <f>'Statistics NZ'!S$82*'Economic Forecasts'!U$9*1000000/SUM('Statistics NZ'!S$30:S$110,'Statistics NZ'!S$130:S$210)</f>
        <v>26366.413404757288</v>
      </c>
      <c r="T82" s="44">
        <f>'Statistics NZ'!T$82*'Economic Forecasts'!V$9*1000000/SUM('Statistics NZ'!T$30:T$110,'Statistics NZ'!T$130:T$210)</f>
        <v>27197.297629397784</v>
      </c>
      <c r="U82" s="45">
        <f>SUM('Statistics NZ'!U$82,$O$12/5*(U$8-U$9)*1000)*'Economic Forecasts'!W$9*1000000/SUM('Statistics NZ'!U$30:U$110,'Statistics NZ'!U$130:U$210,SUM($E$12:$T$13)*(U$8-U$9)*1000)</f>
        <v>27924.375305839352</v>
      </c>
      <c r="V82" s="45">
        <f>SUM('Statistics NZ'!V$82,$O$12/5*(V$8-V$9)*1000)*'Economic Forecasts'!X$9*1000000/SUM('Statistics NZ'!V$30:V$110,'Statistics NZ'!V$130:V$210,SUM($E$12:$T$13)*(V$8-V$9)*1000)</f>
        <v>28843.872539837634</v>
      </c>
      <c r="W82" s="45">
        <f>SUM('Statistics NZ'!W$82,$O$12/5*(W$8-W$9)*1000)*'Economic Forecasts'!Y$9*1000000/SUM('Statistics NZ'!W$30:W$110,'Statistics NZ'!W$130:W$210,SUM($E$12:$T$13)*(W$8-W$9)*1000)</f>
        <v>29264.284786339053</v>
      </c>
      <c r="X82" s="45">
        <f>SUM('Statistics NZ'!X$82,$O$12/5*(X$8-X$9)*1000)*'Economic Forecasts'!Z$9*1000000/SUM('Statistics NZ'!X$30:X$110,'Statistics NZ'!X$130:X$210,SUM($E$12:$T$13)*(X$8-X$9)*1000)</f>
        <v>30556.186096146932</v>
      </c>
      <c r="Y82" s="45">
        <f>SUM('Statistics NZ'!Y$82,$O$12/5*(Y$8-Y$9)*1000)*'Economic Forecasts'!AA$9*1000000/SUM('Statistics NZ'!Y$30:Y$110,'Statistics NZ'!Y$130:Y$210,SUM($E$12:$T$13)*(Y$8-Y$9)*1000)</f>
        <v>31556.135071972916</v>
      </c>
      <c r="Z82" s="46">
        <f>SUM(Y$82,'Statistics NZ'!Z$82-'Statistics NZ'!Y$82,$O$12/5*(Z$8-Z$9)*1000)</f>
        <v>31880.0428386034</v>
      </c>
      <c r="AA82" s="46">
        <f>SUM(Z$82,'Statistics NZ'!AA$82-'Statistics NZ'!Z$82,$O$12/5*(AA$8-AA$9)*1000)</f>
        <v>31282.387498581691</v>
      </c>
      <c r="AB82" s="46">
        <f>SUM(AA$82,'Statistics NZ'!AB$82-'Statistics NZ'!AA$82,$O$12/5*(AB$8-AB$9)*1000)</f>
        <v>30473.481673238228</v>
      </c>
      <c r="AC82" s="46">
        <f>SUM(AB$82,'Statistics NZ'!AC$82-'Statistics NZ'!AB$82,$O$12/5*(AC$8-AC$9)*1000)</f>
        <v>30163.481673238228</v>
      </c>
      <c r="AD82" s="46">
        <f>SUM(AC$82,'Statistics NZ'!AD$82-'Statistics NZ'!AC$82,$O$12/5*(AD$8-AD$9)*1000)</f>
        <v>30973.481673238228</v>
      </c>
      <c r="AE82" s="46">
        <f>SUM(AD$82,'Statistics NZ'!AE$82-'Statistics NZ'!AD$82,$O$12/5*(AE$8-AE$9)*1000)</f>
        <v>31433.481673238228</v>
      </c>
      <c r="AF82" s="46">
        <f>SUM(AE$82,'Statistics NZ'!AF$82-'Statistics NZ'!AE$82,$O$12/5*(AF$8-AF$9)*1000)</f>
        <v>32223.481673238228</v>
      </c>
      <c r="AG82" s="46">
        <f>SUM(AF$82,'Statistics NZ'!AG$82-'Statistics NZ'!AF$82,$O$12/5*(AG$8-AG$9)*1000)</f>
        <v>32293.481673238228</v>
      </c>
      <c r="AH82" s="46">
        <f>SUM(AG$82,'Statistics NZ'!AH$82-'Statistics NZ'!AG$82,$O$12/5*(AH$8-AH$9)*1000)</f>
        <v>33743.481673238231</v>
      </c>
      <c r="AI82" s="46">
        <f>SUM(AH$82,'Statistics NZ'!AI$82-'Statistics NZ'!AH$82,$O$12/5*(AI$8-AI$9)*1000)</f>
        <v>33403.481673238231</v>
      </c>
      <c r="AJ82" s="46">
        <f>SUM(AI$82,'Statistics NZ'!AJ$82-'Statistics NZ'!AI$82,$O$12/5*(AJ$8-AJ$9)*1000)</f>
        <v>32633.481673238231</v>
      </c>
      <c r="AK82" s="46">
        <f>SUM(AJ$82,'Statistics NZ'!AK$82-'Statistics NZ'!AJ$82,$O$12/5*(AK$8-AK$9)*1000)</f>
        <v>31853.481673238231</v>
      </c>
      <c r="AL82" s="46">
        <f>SUM(AK$82,'Statistics NZ'!AL$82-'Statistics NZ'!AK$82,$O$12/5*(AL$8-AL$9)*1000)</f>
        <v>30903.481673238231</v>
      </c>
      <c r="AM82" s="46">
        <f>SUM(AL$82,'Statistics NZ'!AM$82-'Statistics NZ'!AL$82,$O$12/5*(AM$8-AM$9)*1000)</f>
        <v>29883.481673238231</v>
      </c>
      <c r="AN82" s="46">
        <f>SUM(AM$82,'Statistics NZ'!AN$82-'Statistics NZ'!AM$82,$O$12/5*(AN$8-AN$9)*1000)</f>
        <v>30323.481673238231</v>
      </c>
      <c r="AO82" s="46">
        <f>SUM(AN$82,'Statistics NZ'!AO$82-'Statistics NZ'!AN$82,$O$12/5*(AO$8-AO$9)*1000)</f>
        <v>30373.481673238231</v>
      </c>
      <c r="AP82" s="46">
        <f>SUM(AO$82,'Statistics NZ'!AP$82-'Statistics NZ'!AO$82,$O$12/5*(AP$8-AP$9)*1000)</f>
        <v>31583.481673238231</v>
      </c>
      <c r="AQ82" s="46">
        <f>SUM(AP$82,'Statistics NZ'!AQ$82-'Statistics NZ'!AP$82,$O$12/5*(AQ$8-AQ$9)*1000)</f>
        <v>32293.481673238231</v>
      </c>
      <c r="AR82" s="46">
        <f>SUM(AQ$82,'Statistics NZ'!AR$82-'Statistics NZ'!AQ$82,$O$12/5*(AR$8-AR$9)*1000)</f>
        <v>33083.481673238231</v>
      </c>
      <c r="AS82" s="46">
        <f>SUM(AR$82,'Statistics NZ'!AS$82-'Statistics NZ'!AR$82,$O$12/5*(AS$8-AS$9)*1000)</f>
        <v>34383.481673238231</v>
      </c>
      <c r="AT82" s="46">
        <f>SUM(AS$82,'Statistics NZ'!AT$82-'Statistics NZ'!AS$82,$O$12/5*(AT$8-AT$9)*1000)</f>
        <v>35503.481673238231</v>
      </c>
      <c r="AU82" s="46">
        <f>SUM(AT$82,'Statistics NZ'!AU$82-'Statistics NZ'!AT$82,$O$12/5*(AU$8-AU$9)*1000)</f>
        <v>36253.481673238231</v>
      </c>
      <c r="AV82" s="46">
        <f>SUM(AU$82,'Statistics NZ'!AV$82-'Statistics NZ'!AU$82,$O$12/5*(AV$8-AV$9)*1000)</f>
        <v>37613.481673238231</v>
      </c>
      <c r="AW82" s="46">
        <f>SUM(AV$82,'Statistics NZ'!AW$82-'Statistics NZ'!AV$82,$O$12/5*(AW$8-AW$9)*1000)</f>
        <v>38313.481673238231</v>
      </c>
      <c r="AX82" s="46">
        <f>SUM(AW$82,'Statistics NZ'!AX$82-'Statistics NZ'!AW$82,$O$12/5*(AX$8-AX$9)*1000)</f>
        <v>39943.481673238231</v>
      </c>
      <c r="AY82" s="46">
        <f>SUM(AX$82,'Statistics NZ'!AY$82-'Statistics NZ'!AX$82,$O$12/5*(AY$8-AY$9)*1000)</f>
        <v>42173.481673238231</v>
      </c>
      <c r="AZ82" s="46">
        <f>SUM(AY$82,'Statistics NZ'!AZ$82-'Statistics NZ'!AY$82,$O$12/5*(AZ$8-AZ$9)*1000)</f>
        <v>43193.481673238231</v>
      </c>
      <c r="BA82" s="46">
        <f>SUM(AZ$82,'Statistics NZ'!BA$82-'Statistics NZ'!AZ$82,$O$12/5*(BA$8-BA$9)*1000)</f>
        <v>44893.481673238231</v>
      </c>
      <c r="BB82" s="46">
        <f>SUM(BA$82,'Statistics NZ'!BB$82-'Statistics NZ'!BA$82,$O$12/5*(BB$8-BB$9)*1000)</f>
        <v>45713.481673238231</v>
      </c>
      <c r="BC82" s="46">
        <f>SUM(BB$82,'Statistics NZ'!BC$82-'Statistics NZ'!BB$82,$O$12/5*(BC$8-BC$9)*1000)</f>
        <v>45403.481673238231</v>
      </c>
      <c r="BD82" s="46">
        <f>SUM(BC$82,'Statistics NZ'!BD$82-'Statistics NZ'!BC$82,$O$12/5*(BD$8-BD$9)*1000)</f>
        <v>45073.481673238231</v>
      </c>
      <c r="BE82" s="46">
        <f>SUM(BD$82,'Statistics NZ'!BE$82-'Statistics NZ'!BD$82,$O$12/5*(BE$8-BE$9)*1000)</f>
        <v>43933.481673238231</v>
      </c>
      <c r="BF82" s="46">
        <f>SUM(BE$82,'Statistics NZ'!BF$82-'Statistics NZ'!BE$82,$O$12/5*(BF$8-BF$9)*1000)</f>
        <v>43733.481673238231</v>
      </c>
      <c r="BG82" s="46">
        <f>SUM(BF$82,'Statistics NZ'!BG$82-'Statistics NZ'!BF$82,$O$12/5*(BG$8-BG$9)*1000)</f>
        <v>42793.481673238231</v>
      </c>
      <c r="BH82" s="46">
        <f>SUM(BG$82,'Statistics NZ'!BH$82-'Statistics NZ'!BG$82,$O$12/5*(BH$8-BH$9)*1000)</f>
        <v>42703.481673238231</v>
      </c>
      <c r="BI82" s="46">
        <f>SUM(BH$82,'Statistics NZ'!BI$82-'Statistics NZ'!BH$82,$O$12/5*(BI$8-BI$9)*1000)</f>
        <v>42453.481673238231</v>
      </c>
    </row>
    <row r="83" spans="1:61" x14ac:dyDescent="0.25">
      <c r="A83" s="11">
        <v>68</v>
      </c>
      <c r="B83" s="44">
        <f>'Statistics NZ'!B$83*'Economic Forecasts'!D$9*1000000/SUM('Statistics NZ'!B$30:B$110,'Statistics NZ'!B$130:B$210)</f>
        <v>14441.096738180757</v>
      </c>
      <c r="C83" s="44">
        <f>'Statistics NZ'!C$83*'Economic Forecasts'!E$9*1000000/SUM('Statistics NZ'!C$30:C$110,'Statistics NZ'!C$130:C$210)</f>
        <v>15132.740595818228</v>
      </c>
      <c r="D83" s="44">
        <f>'Statistics NZ'!D$83*'Economic Forecasts'!F$9*1000000/SUM('Statistics NZ'!D$30:D$110,'Statistics NZ'!D$130:D$210)</f>
        <v>16276.253180510306</v>
      </c>
      <c r="E83" s="44">
        <f>'Statistics NZ'!E$83*'Economic Forecasts'!G$9*1000000/SUM('Statistics NZ'!E$30:E$110,'Statistics NZ'!E$130:E$210)</f>
        <v>17515.342913589542</v>
      </c>
      <c r="F83" s="44">
        <f>'Statistics NZ'!F$83*'Economic Forecasts'!H$9*1000000/SUM('Statistics NZ'!F$30:F$110,'Statistics NZ'!F$130:F$210)</f>
        <v>17842.264220002267</v>
      </c>
      <c r="G83" s="44">
        <f>'Statistics NZ'!G$83*'Economic Forecasts'!I$9*1000000/SUM('Statistics NZ'!G$30:G$110,'Statistics NZ'!G$130:G$210)</f>
        <v>16000.807310710974</v>
      </c>
      <c r="H83" s="44">
        <f>'Statistics NZ'!H$83*'Economic Forecasts'!J$9*1000000/SUM('Statistics NZ'!H$30:H$110,'Statistics NZ'!H$130:H$210)</f>
        <v>17734.372543358386</v>
      </c>
      <c r="I83" s="44">
        <f>'Statistics NZ'!I$83*'Economic Forecasts'!K$9*1000000/SUM('Statistics NZ'!I$30:I$110,'Statistics NZ'!I$130:I$210)</f>
        <v>18734.594190716354</v>
      </c>
      <c r="J83" s="44">
        <f>'Statistics NZ'!J$83*'Economic Forecasts'!L$9*1000000/SUM('Statistics NZ'!J$30:J$110,'Statistics NZ'!J$130:J$210)</f>
        <v>19513.516370112684</v>
      </c>
      <c r="K83" s="44">
        <f>'Statistics NZ'!K$83*'Economic Forecasts'!M$9*1000000/SUM('Statistics NZ'!K$30:K$110,'Statistics NZ'!K$130:K$210)</f>
        <v>22841.170577436496</v>
      </c>
      <c r="L83" s="44">
        <f>'Statistics NZ'!L$83*'Economic Forecasts'!N$9*1000000/SUM('Statistics NZ'!L$30:L$110,'Statistics NZ'!L$130:L$210)</f>
        <v>22890.78192167325</v>
      </c>
      <c r="M83" s="44">
        <f>'Statistics NZ'!M$83*'Economic Forecasts'!O$9*1000000/SUM('Statistics NZ'!M$30:M$110,'Statistics NZ'!M$130:M$210)</f>
        <v>22538.406853198441</v>
      </c>
      <c r="N83" s="44">
        <f>'Statistics NZ'!N$83*'Economic Forecasts'!P$9*1000000/SUM('Statistics NZ'!N$30:N$110,'Statistics NZ'!N$130:N$210)</f>
        <v>23170.724354726943</v>
      </c>
      <c r="O83" s="44">
        <f>'Statistics NZ'!O$83*'Economic Forecasts'!Q$9*1000000/SUM('Statistics NZ'!O$30:O$110,'Statistics NZ'!O$130:O$210)</f>
        <v>23077.577104474414</v>
      </c>
      <c r="P83" s="44">
        <f>'Statistics NZ'!P$83*'Economic Forecasts'!R$9*1000000/SUM('Statistics NZ'!P$30:P$110,'Statistics NZ'!P$130:P$210)</f>
        <v>23934.95516694558</v>
      </c>
      <c r="Q83" s="44">
        <f>'Statistics NZ'!Q$83*'Economic Forecasts'!S$9*1000000/SUM('Statistics NZ'!Q$30:Q$110,'Statistics NZ'!Q$130:Q$210)</f>
        <v>24517.695875149104</v>
      </c>
      <c r="R83" s="44">
        <f>'Statistics NZ'!R$83*'Economic Forecasts'!T$9*1000000/SUM('Statistics NZ'!R$30:R$110,'Statistics NZ'!R$130:R$210)</f>
        <v>25173.921827647839</v>
      </c>
      <c r="S83" s="44">
        <f>'Statistics NZ'!S$83*'Economic Forecasts'!U$9*1000000/SUM('Statistics NZ'!S$30:S$110,'Statistics NZ'!S$130:S$210)</f>
        <v>25364.411106960997</v>
      </c>
      <c r="T83" s="44">
        <f>'Statistics NZ'!T$83*'Economic Forecasts'!V$9*1000000/SUM('Statistics NZ'!T$30:T$110,'Statistics NZ'!T$130:T$210)</f>
        <v>26374.638845418187</v>
      </c>
      <c r="U83" s="45">
        <f>SUM('Statistics NZ'!U$83,$O$12/5*(U$8-U$9)*1000)*'Economic Forecasts'!W$9*1000000/SUM('Statistics NZ'!U$30:U$110,'Statistics NZ'!U$130:U$210,SUM($E$12:$T$13)*(U$8-U$9)*1000)</f>
        <v>27003.2151195841</v>
      </c>
      <c r="V83" s="45">
        <f>SUM('Statistics NZ'!V$83,$O$12/5*(V$8-V$9)*1000)*'Economic Forecasts'!X$9*1000000/SUM('Statistics NZ'!V$30:V$110,'Statistics NZ'!V$130:V$210,SUM($E$12:$T$13)*(V$8-V$9)*1000)</f>
        <v>27734.980917088076</v>
      </c>
      <c r="W83" s="45">
        <f>SUM('Statistics NZ'!W$83,$O$12/5*(W$8-W$9)*1000)*'Economic Forecasts'!Y$9*1000000/SUM('Statistics NZ'!W$30:W$110,'Statistics NZ'!W$130:W$210,SUM($E$12:$T$13)*(W$8-W$9)*1000)</f>
        <v>28660.202051082684</v>
      </c>
      <c r="X83" s="45">
        <f>SUM('Statistics NZ'!X$83,$O$12/5*(X$8-X$9)*1000)*'Economic Forecasts'!Z$9*1000000/SUM('Statistics NZ'!X$30:X$110,'Statistics NZ'!X$130:X$210,SUM($E$12:$T$13)*(X$8-X$9)*1000)</f>
        <v>29090.207450717455</v>
      </c>
      <c r="Y83" s="45">
        <f>SUM('Statistics NZ'!Y$83,$O$12/5*(Y$8-Y$9)*1000)*'Economic Forecasts'!AA$9*1000000/SUM('Statistics NZ'!Y$30:Y$110,'Statistics NZ'!Y$130:Y$210,SUM($E$12:$T$13)*(Y$8-Y$9)*1000)</f>
        <v>30376.975897053122</v>
      </c>
      <c r="Z83" s="46">
        <f>SUM(Y$83,'Statistics NZ'!Z$83-'Statistics NZ'!Y$83,$O$12/5*(Z$8-Z$9)*1000)</f>
        <v>31390.883663683606</v>
      </c>
      <c r="AA83" s="46">
        <f>SUM(Z$83,'Statistics NZ'!AA$83-'Statistics NZ'!Z$83,$O$12/5*(AA$8-AA$9)*1000)</f>
        <v>31703.228323661897</v>
      </c>
      <c r="AB83" s="46">
        <f>SUM(AA$83,'Statistics NZ'!AB$83-'Statistics NZ'!AA$83,$O$12/5*(AB$8-AB$9)*1000)</f>
        <v>31124.322498318434</v>
      </c>
      <c r="AC83" s="46">
        <f>SUM(AB$83,'Statistics NZ'!AC$83-'Statistics NZ'!AB$83,$O$12/5*(AC$8-AC$9)*1000)</f>
        <v>30324.322498318434</v>
      </c>
      <c r="AD83" s="46">
        <f>SUM(AC$83,'Statistics NZ'!AD$83-'Statistics NZ'!AC$83,$O$12/5*(AD$8-AD$9)*1000)</f>
        <v>30024.322498318434</v>
      </c>
      <c r="AE83" s="46">
        <f>SUM(AD$83,'Statistics NZ'!AE$83-'Statistics NZ'!AD$83,$O$12/5*(AE$8-AE$9)*1000)</f>
        <v>30834.322498318434</v>
      </c>
      <c r="AF83" s="46">
        <f>SUM(AE$83,'Statistics NZ'!AF$83-'Statistics NZ'!AE$83,$O$12/5*(AF$8-AF$9)*1000)</f>
        <v>31294.322498318434</v>
      </c>
      <c r="AG83" s="46">
        <f>SUM(AF$83,'Statistics NZ'!AG$83-'Statistics NZ'!AF$83,$O$12/5*(AG$8-AG$9)*1000)</f>
        <v>32084.322498318434</v>
      </c>
      <c r="AH83" s="46">
        <f>SUM(AG$83,'Statistics NZ'!AH$83-'Statistics NZ'!AG$83,$O$12/5*(AH$8-AH$9)*1000)</f>
        <v>32154.322498318434</v>
      </c>
      <c r="AI83" s="46">
        <f>SUM(AH$83,'Statistics NZ'!AI$83-'Statistics NZ'!AH$83,$O$12/5*(AI$8-AI$9)*1000)</f>
        <v>33604.322498318434</v>
      </c>
      <c r="AJ83" s="46">
        <f>SUM(AI$83,'Statistics NZ'!AJ$83-'Statistics NZ'!AI$83,$O$12/5*(AJ$8-AJ$9)*1000)</f>
        <v>33264.322498318434</v>
      </c>
      <c r="AK83" s="46">
        <f>SUM(AJ$83,'Statistics NZ'!AK$83-'Statistics NZ'!AJ$83,$O$12/5*(AK$8-AK$9)*1000)</f>
        <v>32504.322498318434</v>
      </c>
      <c r="AL83" s="46">
        <f>SUM(AK$83,'Statistics NZ'!AL$83-'Statistics NZ'!AK$83,$O$12/5*(AL$8-AL$9)*1000)</f>
        <v>31734.322498318434</v>
      </c>
      <c r="AM83" s="46">
        <f>SUM(AL$83,'Statistics NZ'!AM$83-'Statistics NZ'!AL$83,$O$12/5*(AM$8-AM$9)*1000)</f>
        <v>30794.322498318434</v>
      </c>
      <c r="AN83" s="46">
        <f>SUM(AM$83,'Statistics NZ'!AN$83-'Statistics NZ'!AM$83,$O$12/5*(AN$8-AN$9)*1000)</f>
        <v>29784.322498318434</v>
      </c>
      <c r="AO83" s="46">
        <f>SUM(AN$83,'Statistics NZ'!AO$83-'Statistics NZ'!AN$83,$O$12/5*(AO$8-AO$9)*1000)</f>
        <v>30224.322498318434</v>
      </c>
      <c r="AP83" s="46">
        <f>SUM(AO$83,'Statistics NZ'!AP$83-'Statistics NZ'!AO$83,$O$12/5*(AP$8-AP$9)*1000)</f>
        <v>30284.322498318434</v>
      </c>
      <c r="AQ83" s="46">
        <f>SUM(AP$83,'Statistics NZ'!AQ$83-'Statistics NZ'!AP$83,$O$12/5*(AQ$8-AQ$9)*1000)</f>
        <v>31484.322498318434</v>
      </c>
      <c r="AR83" s="46">
        <f>SUM(AQ$83,'Statistics NZ'!AR$83-'Statistics NZ'!AQ$83,$O$12/5*(AR$8-AR$9)*1000)</f>
        <v>32194.322498318434</v>
      </c>
      <c r="AS83" s="46">
        <f>SUM(AR$83,'Statistics NZ'!AS$83-'Statistics NZ'!AR$83,$O$12/5*(AS$8-AS$9)*1000)</f>
        <v>32984.322498318434</v>
      </c>
      <c r="AT83" s="46">
        <f>SUM(AS$83,'Statistics NZ'!AT$83-'Statistics NZ'!AS$83,$O$12/5*(AT$8-AT$9)*1000)</f>
        <v>34284.322498318434</v>
      </c>
      <c r="AU83" s="46">
        <f>SUM(AT$83,'Statistics NZ'!AU$83-'Statistics NZ'!AT$83,$O$12/5*(AU$8-AU$9)*1000)</f>
        <v>35404.322498318434</v>
      </c>
      <c r="AV83" s="46">
        <f>SUM(AU$83,'Statistics NZ'!AV$83-'Statistics NZ'!AU$83,$O$12/5*(AV$8-AV$9)*1000)</f>
        <v>36154.322498318434</v>
      </c>
      <c r="AW83" s="46">
        <f>SUM(AV$83,'Statistics NZ'!AW$83-'Statistics NZ'!AV$83,$O$12/5*(AW$8-AW$9)*1000)</f>
        <v>37504.322498318434</v>
      </c>
      <c r="AX83" s="46">
        <f>SUM(AW$83,'Statistics NZ'!AX$83-'Statistics NZ'!AW$83,$O$12/5*(AX$8-AX$9)*1000)</f>
        <v>38214.322498318434</v>
      </c>
      <c r="AY83" s="46">
        <f>SUM(AX$83,'Statistics NZ'!AY$83-'Statistics NZ'!AX$83,$O$12/5*(AY$8-AY$9)*1000)</f>
        <v>39844.322498318434</v>
      </c>
      <c r="AZ83" s="46">
        <f>SUM(AY$83,'Statistics NZ'!AZ$83-'Statistics NZ'!AY$83,$O$12/5*(AZ$8-AZ$9)*1000)</f>
        <v>42064.322498318434</v>
      </c>
      <c r="BA83" s="46">
        <f>SUM(AZ$83,'Statistics NZ'!BA$83-'Statistics NZ'!AZ$83,$O$12/5*(BA$8-BA$9)*1000)</f>
        <v>43084.322498318434</v>
      </c>
      <c r="BB83" s="46">
        <f>SUM(BA$83,'Statistics NZ'!BB$83-'Statistics NZ'!BA$83,$O$12/5*(BB$8-BB$9)*1000)</f>
        <v>44784.322498318434</v>
      </c>
      <c r="BC83" s="46">
        <f>SUM(BB$83,'Statistics NZ'!BC$83-'Statistics NZ'!BB$83,$O$12/5*(BC$8-BC$9)*1000)</f>
        <v>45604.322498318434</v>
      </c>
      <c r="BD83" s="46">
        <f>SUM(BC$83,'Statistics NZ'!BD$83-'Statistics NZ'!BC$83,$O$12/5*(BD$8-BD$9)*1000)</f>
        <v>45294.322498318434</v>
      </c>
      <c r="BE83" s="46">
        <f>SUM(BD$83,'Statistics NZ'!BE$83-'Statistics NZ'!BD$83,$O$12/5*(BE$8-BE$9)*1000)</f>
        <v>44974.322498318434</v>
      </c>
      <c r="BF83" s="46">
        <f>SUM(BE$83,'Statistics NZ'!BF$83-'Statistics NZ'!BE$83,$O$12/5*(BF$8-BF$9)*1000)</f>
        <v>43834.322498318434</v>
      </c>
      <c r="BG83" s="46">
        <f>SUM(BF$83,'Statistics NZ'!BG$83-'Statistics NZ'!BF$83,$O$12/5*(BG$8-BG$9)*1000)</f>
        <v>43644.322498318434</v>
      </c>
      <c r="BH83" s="46">
        <f>SUM(BG$83,'Statistics NZ'!BH$83-'Statistics NZ'!BG$83,$O$12/5*(BH$8-BH$9)*1000)</f>
        <v>42714.322498318434</v>
      </c>
      <c r="BI83" s="46">
        <f>SUM(BH$83,'Statistics NZ'!BI$83-'Statistics NZ'!BH$83,$O$12/5*(BI$8-BI$9)*1000)</f>
        <v>42624.322498318434</v>
      </c>
    </row>
    <row r="84" spans="1:61" x14ac:dyDescent="0.25">
      <c r="A84" s="11">
        <v>69</v>
      </c>
      <c r="B84" s="44">
        <f>'Statistics NZ'!B$84*'Economic Forecasts'!D$9*1000000/SUM('Statistics NZ'!B$30:B$110,'Statistics NZ'!B$130:B$210)</f>
        <v>13922.547871565865</v>
      </c>
      <c r="C84" s="44">
        <f>'Statistics NZ'!C$84*'Economic Forecasts'!E$9*1000000/SUM('Statistics NZ'!C$30:C$110,'Statistics NZ'!C$130:C$210)</f>
        <v>14337.314256907603</v>
      </c>
      <c r="D84" s="44">
        <f>'Statistics NZ'!D$84*'Economic Forecasts'!F$9*1000000/SUM('Statistics NZ'!D$30:D$110,'Statistics NZ'!D$130:D$210)</f>
        <v>14950.18548022733</v>
      </c>
      <c r="E84" s="44">
        <f>'Statistics NZ'!E$84*'Economic Forecasts'!G$9*1000000/SUM('Statistics NZ'!E$30:E$110,'Statistics NZ'!E$130:E$210)</f>
        <v>16063.903523213698</v>
      </c>
      <c r="F84" s="44">
        <f>'Statistics NZ'!F$84*'Economic Forecasts'!H$9*1000000/SUM('Statistics NZ'!F$30:F$110,'Statistics NZ'!F$130:F$210)</f>
        <v>17342.013821310615</v>
      </c>
      <c r="G84" s="44">
        <f>'Statistics NZ'!G$84*'Economic Forecasts'!I$9*1000000/SUM('Statistics NZ'!G$30:G$110,'Statistics NZ'!G$130:G$210)</f>
        <v>17680.450067083952</v>
      </c>
      <c r="H84" s="44">
        <f>'Statistics NZ'!H$84*'Economic Forecasts'!J$9*1000000/SUM('Statistics NZ'!H$30:H$110,'Statistics NZ'!H$130:H$210)</f>
        <v>15828.295937590226</v>
      </c>
      <c r="I84" s="44">
        <f>'Statistics NZ'!I$84*'Economic Forecasts'!K$9*1000000/SUM('Statistics NZ'!I$30:I$110,'Statistics NZ'!I$130:I$210)</f>
        <v>17548.363998630182</v>
      </c>
      <c r="J84" s="44">
        <f>'Statistics NZ'!J$84*'Economic Forecasts'!L$9*1000000/SUM('Statistics NZ'!J$30:J$110,'Statistics NZ'!J$130:J$210)</f>
        <v>18411.553676548101</v>
      </c>
      <c r="K84" s="44">
        <f>'Statistics NZ'!K$84*'Economic Forecasts'!M$9*1000000/SUM('Statistics NZ'!K$30:K$110,'Statistics NZ'!K$130:K$210)</f>
        <v>19258.241859407237</v>
      </c>
      <c r="L84" s="44">
        <f>'Statistics NZ'!L$84*'Economic Forecasts'!N$9*1000000/SUM('Statistics NZ'!L$30:L$110,'Statistics NZ'!L$130:L$210)</f>
        <v>22559.737010853642</v>
      </c>
      <c r="M84" s="44">
        <f>'Statistics NZ'!M$84*'Economic Forecasts'!O$9*1000000/SUM('Statistics NZ'!M$30:M$110,'Statistics NZ'!M$130:M$210)</f>
        <v>22733.798330035879</v>
      </c>
      <c r="N84" s="44">
        <f>'Statistics NZ'!N$84*'Economic Forecasts'!P$9*1000000/SUM('Statistics NZ'!N$30:N$110,'Statistics NZ'!N$130:N$210)</f>
        <v>22250.940533213292</v>
      </c>
      <c r="O84" s="44">
        <f>'Statistics NZ'!O$84*'Economic Forecasts'!Q$9*1000000/SUM('Statistics NZ'!O$30:O$110,'Statistics NZ'!O$130:O$210)</f>
        <v>23048.078710220718</v>
      </c>
      <c r="P84" s="44">
        <f>'Statistics NZ'!P$84*'Economic Forecasts'!R$9*1000000/SUM('Statistics NZ'!P$30:P$110,'Statistics NZ'!P$130:P$210)</f>
        <v>23021.18224801046</v>
      </c>
      <c r="Q84" s="44">
        <f>'Statistics NZ'!Q$84*'Economic Forecasts'!S$9*1000000/SUM('Statistics NZ'!Q$30:Q$110,'Statistics NZ'!Q$130:Q$210)</f>
        <v>23802.430841514284</v>
      </c>
      <c r="R84" s="44">
        <f>'Statistics NZ'!R$84*'Economic Forecasts'!T$9*1000000/SUM('Statistics NZ'!R$30:R$110,'Statistics NZ'!R$130:R$210)</f>
        <v>24108.411686999771</v>
      </c>
      <c r="S84" s="44">
        <f>'Statistics NZ'!S$84*'Economic Forecasts'!U$9*1000000/SUM('Statistics NZ'!S$30:S$110,'Statistics NZ'!S$130:S$210)</f>
        <v>24539.232744069937</v>
      </c>
      <c r="T84" s="44">
        <f>'Statistics NZ'!T$84*'Economic Forecasts'!V$9*1000000/SUM('Statistics NZ'!T$30:T$110,'Statistics NZ'!T$130:T$210)</f>
        <v>25333.925925925927</v>
      </c>
      <c r="U84" s="45">
        <f>SUM('Statistics NZ'!U$84,$O$12/5*(U$8-U$9)*1000)*'Economic Forecasts'!W$9*1000000/SUM('Statistics NZ'!U$30:U$110,'Statistics NZ'!U$130:U$210,SUM($E$12:$T$13)*(U$8-U$9)*1000)</f>
        <v>26161.294519243274</v>
      </c>
      <c r="V84" s="45">
        <f>SUM('Statistics NZ'!V$84,$O$12/5*(V$8-V$9)*1000)*'Economic Forecasts'!X$9*1000000/SUM('Statistics NZ'!V$30:V$110,'Statistics NZ'!V$130:V$210,SUM($E$12:$T$13)*(V$8-V$9)*1000)</f>
        <v>26784.502383302741</v>
      </c>
      <c r="W84" s="45">
        <f>SUM('Statistics NZ'!W$84,$O$12/5*(W$8-W$9)*1000)*'Economic Forecasts'!Y$9*1000000/SUM('Statistics NZ'!W$30:W$110,'Statistics NZ'!W$130:W$210,SUM($E$12:$T$13)*(W$8-W$9)*1000)</f>
        <v>27531.260545849469</v>
      </c>
      <c r="X84" s="45">
        <f>SUM('Statistics NZ'!X$84,$O$12/5*(X$8-X$9)*1000)*'Economic Forecasts'!Z$9*1000000/SUM('Statistics NZ'!X$30:X$110,'Statistics NZ'!X$130:X$210,SUM($E$12:$T$13)*(X$8-X$9)*1000)</f>
        <v>28456.270739180378</v>
      </c>
      <c r="Y84" s="45">
        <f>SUM('Statistics NZ'!Y$84,$O$12/5*(Y$8-Y$9)*1000)*'Economic Forecasts'!AA$9*1000000/SUM('Statistics NZ'!Y$30:Y$110,'Statistics NZ'!Y$130:Y$210,SUM($E$12:$T$13)*(Y$8-Y$9)*1000)</f>
        <v>28900.549703245972</v>
      </c>
      <c r="Z84" s="46">
        <f>SUM(Y$84,'Statistics NZ'!Z$84-'Statistics NZ'!Y$84,$O$12/5*(Z$8-Z$9)*1000)</f>
        <v>30194.457469876455</v>
      </c>
      <c r="AA84" s="46">
        <f>SUM(Z$84,'Statistics NZ'!AA$84-'Statistics NZ'!Z$84,$O$12/5*(AA$8-AA$9)*1000)</f>
        <v>31196.802129854746</v>
      </c>
      <c r="AB84" s="46">
        <f>SUM(AA$84,'Statistics NZ'!AB$84-'Statistics NZ'!AA$84,$O$12/5*(AB$8-AB$9)*1000)</f>
        <v>31517.896304511283</v>
      </c>
      <c r="AC84" s="46">
        <f>SUM(AB$84,'Statistics NZ'!AC$84-'Statistics NZ'!AB$84,$O$12/5*(AC$8-AC$9)*1000)</f>
        <v>30947.896304511283</v>
      </c>
      <c r="AD84" s="46">
        <f>SUM(AC$84,'Statistics NZ'!AD$84-'Statistics NZ'!AC$84,$O$12/5*(AD$8-AD$9)*1000)</f>
        <v>30157.896304511283</v>
      </c>
      <c r="AE84" s="46">
        <f>SUM(AD$84,'Statistics NZ'!AE$84-'Statistics NZ'!AD$84,$O$12/5*(AE$8-AE$9)*1000)</f>
        <v>29857.896304511283</v>
      </c>
      <c r="AF84" s="46">
        <f>SUM(AE$84,'Statistics NZ'!AF$84-'Statistics NZ'!AE$84,$O$12/5*(AF$8-AF$9)*1000)</f>
        <v>30667.896304511283</v>
      </c>
      <c r="AG84" s="46">
        <f>SUM(AF$84,'Statistics NZ'!AG$84-'Statistics NZ'!AF$84,$O$12/5*(AG$8-AG$9)*1000)</f>
        <v>31137.896304511283</v>
      </c>
      <c r="AH84" s="46">
        <f>SUM(AG$84,'Statistics NZ'!AH$84-'Statistics NZ'!AG$84,$O$12/5*(AH$8-AH$9)*1000)</f>
        <v>31917.896304511283</v>
      </c>
      <c r="AI84" s="46">
        <f>SUM(AH$84,'Statistics NZ'!AI$84-'Statistics NZ'!AH$84,$O$12/5*(AI$8-AI$9)*1000)</f>
        <v>32007.896304511283</v>
      </c>
      <c r="AJ84" s="46">
        <f>SUM(AI$84,'Statistics NZ'!AJ$84-'Statistics NZ'!AI$84,$O$12/5*(AJ$8-AJ$9)*1000)</f>
        <v>33447.896304511283</v>
      </c>
      <c r="AK84" s="46">
        <f>SUM(AJ$84,'Statistics NZ'!AK$84-'Statistics NZ'!AJ$84,$O$12/5*(AK$8-AK$9)*1000)</f>
        <v>33117.896304511283</v>
      </c>
      <c r="AL84" s="46">
        <f>SUM(AK$84,'Statistics NZ'!AL$84-'Statistics NZ'!AK$84,$O$12/5*(AL$8-AL$9)*1000)</f>
        <v>32367.896304511283</v>
      </c>
      <c r="AM84" s="46">
        <f>SUM(AL$84,'Statistics NZ'!AM$84-'Statistics NZ'!AL$84,$O$12/5*(AM$8-AM$9)*1000)</f>
        <v>31607.896304511283</v>
      </c>
      <c r="AN84" s="46">
        <f>SUM(AM$84,'Statistics NZ'!AN$84-'Statistics NZ'!AM$84,$O$12/5*(AN$8-AN$9)*1000)</f>
        <v>30667.896304511283</v>
      </c>
      <c r="AO84" s="46">
        <f>SUM(AN$84,'Statistics NZ'!AO$84-'Statistics NZ'!AN$84,$O$12/5*(AO$8-AO$9)*1000)</f>
        <v>29667.896304511283</v>
      </c>
      <c r="AP84" s="46">
        <f>SUM(AO$84,'Statistics NZ'!AP$84-'Statistics NZ'!AO$84,$O$12/5*(AP$8-AP$9)*1000)</f>
        <v>30107.896304511283</v>
      </c>
      <c r="AQ84" s="46">
        <f>SUM(AP$84,'Statistics NZ'!AQ$84-'Statistics NZ'!AP$84,$O$12/5*(AQ$8-AQ$9)*1000)</f>
        <v>30167.896304511283</v>
      </c>
      <c r="AR84" s="46">
        <f>SUM(AQ$84,'Statistics NZ'!AR$84-'Statistics NZ'!AQ$84,$O$12/5*(AR$8-AR$9)*1000)</f>
        <v>31377.896304511283</v>
      </c>
      <c r="AS84" s="46">
        <f>SUM(AR$84,'Statistics NZ'!AS$84-'Statistics NZ'!AR$84,$O$12/5*(AS$8-AS$9)*1000)</f>
        <v>32087.896304511283</v>
      </c>
      <c r="AT84" s="46">
        <f>SUM(AS$84,'Statistics NZ'!AT$84-'Statistics NZ'!AS$84,$O$12/5*(AT$8-AT$9)*1000)</f>
        <v>32867.896304511283</v>
      </c>
      <c r="AU84" s="46">
        <f>SUM(AT$84,'Statistics NZ'!AU$84-'Statistics NZ'!AT$84,$O$12/5*(AU$8-AU$9)*1000)</f>
        <v>34167.896304511283</v>
      </c>
      <c r="AV84" s="46">
        <f>SUM(AU$84,'Statistics NZ'!AV$84-'Statistics NZ'!AU$84,$O$12/5*(AV$8-AV$9)*1000)</f>
        <v>35287.896304511283</v>
      </c>
      <c r="AW84" s="46">
        <f>SUM(AV$84,'Statistics NZ'!AW$84-'Statistics NZ'!AV$84,$O$12/5*(AW$8-AW$9)*1000)</f>
        <v>36047.896304511283</v>
      </c>
      <c r="AX84" s="46">
        <f>SUM(AW$84,'Statistics NZ'!AX$84-'Statistics NZ'!AW$84,$O$12/5*(AX$8-AX$9)*1000)</f>
        <v>37387.896304511283</v>
      </c>
      <c r="AY84" s="46">
        <f>SUM(AX$84,'Statistics NZ'!AY$84-'Statistics NZ'!AX$84,$O$12/5*(AY$8-AY$9)*1000)</f>
        <v>38097.896304511283</v>
      </c>
      <c r="AZ84" s="46">
        <f>SUM(AY$84,'Statistics NZ'!AZ$84-'Statistics NZ'!AY$84,$O$12/5*(AZ$8-AZ$9)*1000)</f>
        <v>39727.896304511283</v>
      </c>
      <c r="BA84" s="46">
        <f>SUM(AZ$84,'Statistics NZ'!BA$84-'Statistics NZ'!AZ$84,$O$12/5*(BA$8-BA$9)*1000)</f>
        <v>41947.896304511283</v>
      </c>
      <c r="BB84" s="46">
        <f>SUM(BA$84,'Statistics NZ'!BB$84-'Statistics NZ'!BA$84,$O$12/5*(BB$8-BB$9)*1000)</f>
        <v>42957.896304511283</v>
      </c>
      <c r="BC84" s="46">
        <f>SUM(BB$84,'Statistics NZ'!BC$84-'Statistics NZ'!BB$84,$O$12/5*(BC$8-BC$9)*1000)</f>
        <v>44657.896304511283</v>
      </c>
      <c r="BD84" s="46">
        <f>SUM(BC$84,'Statistics NZ'!BD$84-'Statistics NZ'!BC$84,$O$12/5*(BD$8-BD$9)*1000)</f>
        <v>45477.896304511283</v>
      </c>
      <c r="BE84" s="46">
        <f>SUM(BD$84,'Statistics NZ'!BE$84-'Statistics NZ'!BD$84,$O$12/5*(BE$8-BE$9)*1000)</f>
        <v>45177.896304511283</v>
      </c>
      <c r="BF84" s="46">
        <f>SUM(BE$84,'Statistics NZ'!BF$84-'Statistics NZ'!BE$84,$O$12/5*(BF$8-BF$9)*1000)</f>
        <v>44857.896304511283</v>
      </c>
      <c r="BG84" s="46">
        <f>SUM(BF$84,'Statistics NZ'!BG$84-'Statistics NZ'!BF$84,$O$12/5*(BG$8-BG$9)*1000)</f>
        <v>43727.896304511283</v>
      </c>
      <c r="BH84" s="46">
        <f>SUM(BG$84,'Statistics NZ'!BH$84-'Statistics NZ'!BG$84,$O$12/5*(BH$8-BH$9)*1000)</f>
        <v>43537.896304511283</v>
      </c>
      <c r="BI84" s="46">
        <f>SUM(BH$84,'Statistics NZ'!BI$84-'Statistics NZ'!BH$84,$O$12/5*(BI$8-BI$9)*1000)</f>
        <v>42617.896304511283</v>
      </c>
    </row>
    <row r="85" spans="1:61" x14ac:dyDescent="0.25">
      <c r="A85" s="11">
        <v>70</v>
      </c>
      <c r="B85" s="44">
        <f>'Statistics NZ'!B$85*'Economic Forecasts'!D$9*1000000/SUM('Statistics NZ'!B$30:B$110,'Statistics NZ'!B$130:B$210)</f>
        <v>13169.184423842345</v>
      </c>
      <c r="C85" s="44">
        <f>'Statistics NZ'!C$85*'Economic Forecasts'!E$9*1000000/SUM('Statistics NZ'!C$30:C$110,'Statistics NZ'!C$130:C$210)</f>
        <v>13738.289483160093</v>
      </c>
      <c r="D85" s="44">
        <f>'Statistics NZ'!D$85*'Economic Forecasts'!F$9*1000000/SUM('Statistics NZ'!D$30:D$110,'Statistics NZ'!D$130:D$210)</f>
        <v>14144.722136351747</v>
      </c>
      <c r="E85" s="44">
        <f>'Statistics NZ'!E$85*'Economic Forecasts'!G$9*1000000/SUM('Statistics NZ'!E$30:E$110,'Statistics NZ'!E$130:E$210)</f>
        <v>14710.534361917307</v>
      </c>
      <c r="F85" s="44">
        <f>'Statistics NZ'!F$85*'Economic Forecasts'!H$9*1000000/SUM('Statistics NZ'!F$30:F$110,'Statistics NZ'!F$130:F$210)</f>
        <v>15860.880287929447</v>
      </c>
      <c r="G85" s="44">
        <f>'Statistics NZ'!G$85*'Economic Forecasts'!I$9*1000000/SUM('Statistics NZ'!G$30:G$110,'Statistics NZ'!G$130:G$210)</f>
        <v>17140.214092811941</v>
      </c>
      <c r="H85" s="44">
        <f>'Statistics NZ'!H$85*'Economic Forecasts'!J$9*1000000/SUM('Statistics NZ'!H$30:H$110,'Statistics NZ'!H$130:H$210)</f>
        <v>17478.918977636877</v>
      </c>
      <c r="I85" s="44">
        <f>'Statistics NZ'!I$85*'Economic Forecasts'!K$9*1000000/SUM('Statistics NZ'!I$30:I$110,'Statistics NZ'!I$130:I$210)</f>
        <v>15617.06360325021</v>
      </c>
      <c r="J85" s="44">
        <f>'Statistics NZ'!J$85*'Economic Forecasts'!L$9*1000000/SUM('Statistics NZ'!J$30:J$110,'Statistics NZ'!J$130:J$210)</f>
        <v>17251.079689519913</v>
      </c>
      <c r="K85" s="44">
        <f>'Statistics NZ'!K$85*'Economic Forecasts'!M$9*1000000/SUM('Statistics NZ'!K$30:K$110,'Statistics NZ'!K$130:K$210)</f>
        <v>18148.312854365566</v>
      </c>
      <c r="L85" s="44">
        <f>'Statistics NZ'!L$85*'Economic Forecasts'!N$9*1000000/SUM('Statistics NZ'!L$30:L$110,'Statistics NZ'!L$130:L$210)</f>
        <v>19035.082372127268</v>
      </c>
      <c r="M85" s="44">
        <f>'Statistics NZ'!M$85*'Economic Forecasts'!O$9*1000000/SUM('Statistics NZ'!M$30:M$110,'Statistics NZ'!M$130:M$210)</f>
        <v>22343.015376361007</v>
      </c>
      <c r="N85" s="44">
        <f>'Statistics NZ'!N$85*'Economic Forecasts'!P$9*1000000/SUM('Statistics NZ'!N$30:N$110,'Statistics NZ'!N$130:N$210)</f>
        <v>22475.994021455994</v>
      </c>
      <c r="O85" s="44">
        <f>'Statistics NZ'!O$85*'Economic Forecasts'!Q$9*1000000/SUM('Statistics NZ'!O$30:O$110,'Statistics NZ'!O$130:O$210)</f>
        <v>22084.464497933335</v>
      </c>
      <c r="P85" s="44">
        <f>'Statistics NZ'!P$85*'Economic Forecasts'!R$9*1000000/SUM('Statistics NZ'!P$30:P$110,'Statistics NZ'!P$130:P$210)</f>
        <v>22952.403641208897</v>
      </c>
      <c r="Q85" s="44">
        <f>'Statistics NZ'!Q$85*'Economic Forecasts'!S$9*1000000/SUM('Statistics NZ'!Q$30:Q$110,'Statistics NZ'!Q$130:Q$210)</f>
        <v>22858.67836657945</v>
      </c>
      <c r="R85" s="44">
        <f>'Statistics NZ'!R$85*'Economic Forecasts'!T$9*1000000/SUM('Statistics NZ'!R$30:R$110,'Statistics NZ'!R$130:R$210)</f>
        <v>23381.474862071649</v>
      </c>
      <c r="S85" s="44">
        <f>'Statistics NZ'!S$85*'Economic Forecasts'!U$9*1000000/SUM('Statistics NZ'!S$30:S$110,'Statistics NZ'!S$130:S$210)</f>
        <v>23399.700719125136</v>
      </c>
      <c r="T85" s="44">
        <f>'Statistics NZ'!T$85*'Economic Forecasts'!V$9*1000000/SUM('Statistics NZ'!T$30:T$110,'Statistics NZ'!T$130:T$210)</f>
        <v>24471.620935489482</v>
      </c>
      <c r="U85" s="45">
        <f>SUM('Statistics NZ'!U$85,$P$12/5*(U$8-U$9)*1000)*'Economic Forecasts'!W$9*1000000/SUM('Statistics NZ'!U$30:U$110,'Statistics NZ'!U$130:U$210,SUM($E$12:$T$13)*(U$8-U$9)*1000)</f>
        <v>25104.083872972224</v>
      </c>
      <c r="V85" s="45">
        <f>SUM('Statistics NZ'!V$85,$P$12/5*(V$8-V$9)*1000)*'Economic Forecasts'!X$9*1000000/SUM('Statistics NZ'!V$30:V$110,'Statistics NZ'!V$130:V$210,SUM($E$12:$T$13)*(V$8-V$9)*1000)</f>
        <v>25925.472362179662</v>
      </c>
      <c r="W85" s="45">
        <f>SUM('Statistics NZ'!W$85,$P$12/5*(W$8-W$9)*1000)*'Economic Forecasts'!Y$9*1000000/SUM('Statistics NZ'!W$30:W$110,'Statistics NZ'!W$130:W$210,SUM($E$12:$T$13)*(W$8-W$9)*1000)</f>
        <v>26564.215172399905</v>
      </c>
      <c r="X85" s="45">
        <f>SUM('Statistics NZ'!X$85,$P$12/5*(X$8-X$9)*1000)*'Economic Forecasts'!Z$9*1000000/SUM('Statistics NZ'!X$30:X$110,'Statistics NZ'!X$130:X$210,SUM($E$12:$T$13)*(X$8-X$9)*1000)</f>
        <v>27312.185158672197</v>
      </c>
      <c r="Y85" s="45">
        <f>SUM('Statistics NZ'!Y$85,$P$12/5*(Y$8-Y$9)*1000)*'Economic Forecasts'!AA$9*1000000/SUM('Statistics NZ'!Y$30:Y$110,'Statistics NZ'!Y$130:Y$210,SUM($E$12:$T$13)*(Y$8-Y$9)*1000)</f>
        <v>28252.78050900477</v>
      </c>
      <c r="Z85" s="46">
        <f>SUM(Y$85,'Statistics NZ'!Z$85-'Statistics NZ'!Y$85,$P$12/5*(Z$8-Z$9)*1000)</f>
        <v>28684.360410607267</v>
      </c>
      <c r="AA85" s="46">
        <f>SUM(Z$85,'Statistics NZ'!AA$85-'Statistics NZ'!Z$85,$P$12/5*(AA$8-AA$9)*1000)</f>
        <v>29975.308351568765</v>
      </c>
      <c r="AB85" s="46">
        <f>SUM(AA$85,'Statistics NZ'!AB$85-'Statistics NZ'!AA$85,$P$12/5*(AB$8-AB$9)*1000)</f>
        <v>30975.750724017464</v>
      </c>
      <c r="AC85" s="46">
        <f>SUM(AB$85,'Statistics NZ'!AC$85-'Statistics NZ'!AB$85,$P$12/5*(AC$8-AC$9)*1000)</f>
        <v>31295.750724017464</v>
      </c>
      <c r="AD85" s="46">
        <f>SUM(AC$85,'Statistics NZ'!AD$85-'Statistics NZ'!AC$85,$P$12/5*(AD$8-AD$9)*1000)</f>
        <v>30735.750724017464</v>
      </c>
      <c r="AE85" s="46">
        <f>SUM(AD$85,'Statistics NZ'!AE$85-'Statistics NZ'!AD$85,$P$12/5*(AE$8-AE$9)*1000)</f>
        <v>29955.750724017464</v>
      </c>
      <c r="AF85" s="46">
        <f>SUM(AE$85,'Statistics NZ'!AF$85-'Statistics NZ'!AE$85,$P$12/5*(AF$8-AF$9)*1000)</f>
        <v>29665.750724017464</v>
      </c>
      <c r="AG85" s="46">
        <f>SUM(AF$85,'Statistics NZ'!AG$85-'Statistics NZ'!AF$85,$P$12/5*(AG$8-AG$9)*1000)</f>
        <v>30475.750724017464</v>
      </c>
      <c r="AH85" s="46">
        <f>SUM(AG$85,'Statistics NZ'!AH$85-'Statistics NZ'!AG$85,$P$12/5*(AH$8-AH$9)*1000)</f>
        <v>30945.750724017464</v>
      </c>
      <c r="AI85" s="46">
        <f>SUM(AH$85,'Statistics NZ'!AI$85-'Statistics NZ'!AH$85,$P$12/5*(AI$8-AI$9)*1000)</f>
        <v>31725.750724017464</v>
      </c>
      <c r="AJ85" s="46">
        <f>SUM(AI$85,'Statistics NZ'!AJ$85-'Statistics NZ'!AI$85,$P$12/5*(AJ$8-AJ$9)*1000)</f>
        <v>31815.750724017464</v>
      </c>
      <c r="AK85" s="46">
        <f>SUM(AJ$85,'Statistics NZ'!AK$85-'Statistics NZ'!AJ$85,$P$12/5*(AK$8-AK$9)*1000)</f>
        <v>33255.75072401746</v>
      </c>
      <c r="AL85" s="46">
        <f>SUM(AK$85,'Statistics NZ'!AL$85-'Statistics NZ'!AK$85,$P$12/5*(AL$8-AL$9)*1000)</f>
        <v>32925.75072401746</v>
      </c>
      <c r="AM85" s="46">
        <f>SUM(AL$85,'Statistics NZ'!AM$85-'Statistics NZ'!AL$85,$P$12/5*(AM$8-AM$9)*1000)</f>
        <v>32195.75072401746</v>
      </c>
      <c r="AN85" s="46">
        <f>SUM(AM$85,'Statistics NZ'!AN$85-'Statistics NZ'!AM$85,$P$12/5*(AN$8-AN$9)*1000)</f>
        <v>31435.75072401746</v>
      </c>
      <c r="AO85" s="46">
        <f>SUM(AN$85,'Statistics NZ'!AO$85-'Statistics NZ'!AN$85,$P$12/5*(AO$8-AO$9)*1000)</f>
        <v>30515.75072401746</v>
      </c>
      <c r="AP85" s="46">
        <f>SUM(AO$85,'Statistics NZ'!AP$85-'Statistics NZ'!AO$85,$P$12/5*(AP$8-AP$9)*1000)</f>
        <v>29525.75072401746</v>
      </c>
      <c r="AQ85" s="46">
        <f>SUM(AP$85,'Statistics NZ'!AQ$85-'Statistics NZ'!AP$85,$P$12/5*(AQ$8-AQ$9)*1000)</f>
        <v>29965.75072401746</v>
      </c>
      <c r="AR85" s="46">
        <f>SUM(AQ$85,'Statistics NZ'!AR$85-'Statistics NZ'!AQ$85,$P$12/5*(AR$8-AR$9)*1000)</f>
        <v>30035.75072401746</v>
      </c>
      <c r="AS85" s="46">
        <f>SUM(AR$85,'Statistics NZ'!AS$85-'Statistics NZ'!AR$85,$P$12/5*(AS$8-AS$9)*1000)</f>
        <v>31235.75072401746</v>
      </c>
      <c r="AT85" s="46">
        <f>SUM(AS$85,'Statistics NZ'!AT$85-'Statistics NZ'!AS$85,$P$12/5*(AT$8-AT$9)*1000)</f>
        <v>31945.75072401746</v>
      </c>
      <c r="AU85" s="46">
        <f>SUM(AT$85,'Statistics NZ'!AU$85-'Statistics NZ'!AT$85,$P$12/5*(AU$8-AU$9)*1000)</f>
        <v>32725.75072401746</v>
      </c>
      <c r="AV85" s="46">
        <f>SUM(AU$85,'Statistics NZ'!AV$85-'Statistics NZ'!AU$85,$P$12/5*(AV$8-AV$9)*1000)</f>
        <v>34025.75072401746</v>
      </c>
      <c r="AW85" s="46">
        <f>SUM(AV$85,'Statistics NZ'!AW$85-'Statistics NZ'!AV$85,$P$12/5*(AW$8-AW$9)*1000)</f>
        <v>35135.75072401746</v>
      </c>
      <c r="AX85" s="46">
        <f>SUM(AW$85,'Statistics NZ'!AX$85-'Statistics NZ'!AW$85,$P$12/5*(AX$8-AX$9)*1000)</f>
        <v>35895.75072401746</v>
      </c>
      <c r="AY85" s="46">
        <f>SUM(AX$85,'Statistics NZ'!AY$85-'Statistics NZ'!AX$85,$P$12/5*(AY$8-AY$9)*1000)</f>
        <v>37245.75072401746</v>
      </c>
      <c r="AZ85" s="46">
        <f>SUM(AY$85,'Statistics NZ'!AZ$85-'Statistics NZ'!AY$85,$P$12/5*(AZ$8-AZ$9)*1000)</f>
        <v>37945.75072401746</v>
      </c>
      <c r="BA85" s="46">
        <f>SUM(AZ$85,'Statistics NZ'!BA$85-'Statistics NZ'!AZ$85,$P$12/5*(BA$8-BA$9)*1000)</f>
        <v>39575.75072401746</v>
      </c>
      <c r="BB85" s="46">
        <f>SUM(BA$85,'Statistics NZ'!BB$85-'Statistics NZ'!BA$85,$P$12/5*(BB$8-BB$9)*1000)</f>
        <v>41785.75072401746</v>
      </c>
      <c r="BC85" s="46">
        <f>SUM(BB$85,'Statistics NZ'!BC$85-'Statistics NZ'!BB$85,$P$12/5*(BC$8-BC$9)*1000)</f>
        <v>42805.75072401746</v>
      </c>
      <c r="BD85" s="46">
        <f>SUM(BC$85,'Statistics NZ'!BD$85-'Statistics NZ'!BC$85,$P$12/5*(BD$8-BD$9)*1000)</f>
        <v>44495.75072401746</v>
      </c>
      <c r="BE85" s="46">
        <f>SUM(BD$85,'Statistics NZ'!BE$85-'Statistics NZ'!BD$85,$P$12/5*(BE$8-BE$9)*1000)</f>
        <v>45325.75072401746</v>
      </c>
      <c r="BF85" s="46">
        <f>SUM(BE$85,'Statistics NZ'!BF$85-'Statistics NZ'!BE$85,$P$12/5*(BF$8-BF$9)*1000)</f>
        <v>45015.75072401746</v>
      </c>
      <c r="BG85" s="46">
        <f>SUM(BF$85,'Statistics NZ'!BG$85-'Statistics NZ'!BF$85,$P$12/5*(BG$8-BG$9)*1000)</f>
        <v>44705.75072401746</v>
      </c>
      <c r="BH85" s="46">
        <f>SUM(BG$85,'Statistics NZ'!BH$85-'Statistics NZ'!BG$85,$P$12/5*(BH$8-BH$9)*1000)</f>
        <v>43585.75072401746</v>
      </c>
      <c r="BI85" s="46">
        <f>SUM(BH$85,'Statistics NZ'!BI$85-'Statistics NZ'!BH$85,$P$12/5*(BI$8-BI$9)*1000)</f>
        <v>43405.75072401746</v>
      </c>
    </row>
    <row r="86" spans="1:61" x14ac:dyDescent="0.25">
      <c r="A86" s="11">
        <v>71</v>
      </c>
      <c r="B86" s="44">
        <f>'Statistics NZ'!B$86*'Economic Forecasts'!D$9*1000000/SUM('Statistics NZ'!B$30:B$110,'Statistics NZ'!B$130:B$210)</f>
        <v>12376.685212600718</v>
      </c>
      <c r="C86" s="44">
        <f>'Statistics NZ'!C$86*'Economic Forecasts'!E$9*1000000/SUM('Statistics NZ'!C$30:C$110,'Statistics NZ'!C$130:C$210)</f>
        <v>13011.603692056557</v>
      </c>
      <c r="D86" s="44">
        <f>'Statistics NZ'!D$86*'Economic Forecasts'!F$9*1000000/SUM('Statistics NZ'!D$30:D$110,'Statistics NZ'!D$130:D$210)</f>
        <v>13525.890542886358</v>
      </c>
      <c r="E86" s="44">
        <f>'Statistics NZ'!E$86*'Economic Forecasts'!G$9*1000000/SUM('Statistics NZ'!E$30:E$110,'Statistics NZ'!E$130:E$210)</f>
        <v>13916.165506373773</v>
      </c>
      <c r="F86" s="44">
        <f>'Statistics NZ'!F$86*'Economic Forecasts'!H$9*1000000/SUM('Statistics NZ'!F$30:F$110,'Statistics NZ'!F$130:F$210)</f>
        <v>14497.452730711024</v>
      </c>
      <c r="G86" s="44">
        <f>'Statistics NZ'!G$86*'Economic Forecasts'!I$9*1000000/SUM('Statistics NZ'!G$30:G$110,'Statistics NZ'!G$130:G$210)</f>
        <v>15617.730892590822</v>
      </c>
      <c r="H86" s="44">
        <f>'Statistics NZ'!H$86*'Economic Forecasts'!J$9*1000000/SUM('Statistics NZ'!H$30:H$110,'Statistics NZ'!H$130:H$210)</f>
        <v>16909.061023335056</v>
      </c>
      <c r="I86" s="44">
        <f>'Statistics NZ'!I$86*'Economic Forecasts'!K$9*1000000/SUM('Statistics NZ'!I$30:I$110,'Statistics NZ'!I$130:I$210)</f>
        <v>17224.846673515771</v>
      </c>
      <c r="J86" s="44">
        <f>'Statistics NZ'!J$86*'Economic Forecasts'!L$9*1000000/SUM('Statistics NZ'!J$30:J$110,'Statistics NZ'!J$130:J$210)</f>
        <v>15310.455122976971</v>
      </c>
      <c r="K86" s="44">
        <f>'Statistics NZ'!K$86*'Economic Forecasts'!M$9*1000000/SUM('Statistics NZ'!K$30:K$110,'Statistics NZ'!K$130:K$210)</f>
        <v>16999.438971954016</v>
      </c>
      <c r="L86" s="44">
        <f>'Statistics NZ'!L$86*'Economic Forecasts'!N$9*1000000/SUM('Statistics NZ'!L$30:L$110,'Statistics NZ'!L$130:L$210)</f>
        <v>17886.161799282756</v>
      </c>
      <c r="M86" s="44">
        <f>'Statistics NZ'!M$86*'Economic Forecasts'!O$9*1000000/SUM('Statistics NZ'!M$30:M$110,'Statistics NZ'!M$130:M$210)</f>
        <v>18845.507940970871</v>
      </c>
      <c r="N86" s="44">
        <f>'Statistics NZ'!N$86*'Economic Forecasts'!P$9*1000000/SUM('Statistics NZ'!N$30:N$110,'Statistics NZ'!N$130:N$210)</f>
        <v>22035.671979242008</v>
      </c>
      <c r="O86" s="44">
        <f>'Statistics NZ'!O$86*'Economic Forecasts'!Q$9*1000000/SUM('Statistics NZ'!O$30:O$110,'Statistics NZ'!O$130:O$210)</f>
        <v>22261.454863455507</v>
      </c>
      <c r="P86" s="44">
        <f>'Statistics NZ'!P$86*'Economic Forecasts'!R$9*1000000/SUM('Statistics NZ'!P$30:P$110,'Statistics NZ'!P$130:P$210)</f>
        <v>21950.20108495748</v>
      </c>
      <c r="Q86" s="44">
        <f>'Statistics NZ'!Q$86*'Economic Forecasts'!S$9*1000000/SUM('Statistics NZ'!Q$30:Q$110,'Statistics NZ'!Q$130:Q$210)</f>
        <v>22818.941420266405</v>
      </c>
      <c r="R86" s="44">
        <f>'Statistics NZ'!R$86*'Economic Forecasts'!T$9*1000000/SUM('Statistics NZ'!R$30:R$110,'Statistics NZ'!R$130:R$210)</f>
        <v>22445.419224492969</v>
      </c>
      <c r="S86" s="44">
        <f>'Statistics NZ'!S$86*'Economic Forecasts'!U$9*1000000/SUM('Statistics NZ'!S$30:S$110,'Statistics NZ'!S$130:S$210)</f>
        <v>22692.404979504223</v>
      </c>
      <c r="T86" s="44">
        <f>'Statistics NZ'!T$86*'Economic Forecasts'!V$9*1000000/SUM('Statistics NZ'!T$30:T$110,'Statistics NZ'!T$130:T$210)</f>
        <v>23331.792499855099</v>
      </c>
      <c r="U86" s="45">
        <f>SUM('Statistics NZ'!U$86,$P$12/5*(U$8-U$9)*1000)*'Economic Forecasts'!W$9*1000000/SUM('Statistics NZ'!U$30:U$110,'Statistics NZ'!U$130:U$210,SUM($E$12:$T$13)*(U$8-U$9)*1000)</f>
        <v>24212.638531434877</v>
      </c>
      <c r="V86" s="45">
        <f>SUM('Statistics NZ'!V$86,$P$12/5*(V$8-V$9)*1000)*'Economic Forecasts'!X$9*1000000/SUM('Statistics NZ'!V$30:V$110,'Statistics NZ'!V$130:V$210,SUM($E$12:$T$13)*(V$8-V$9)*1000)</f>
        <v>24846.2831936109</v>
      </c>
      <c r="W86" s="45">
        <f>SUM('Statistics NZ'!W$86,$P$12/5*(W$8-W$9)*1000)*'Economic Forecasts'!Y$9*1000000/SUM('Statistics NZ'!W$30:W$110,'Statistics NZ'!W$130:W$210,SUM($E$12:$T$13)*(W$8-W$9)*1000)</f>
        <v>25682.848558665202</v>
      </c>
      <c r="X86" s="45">
        <f>SUM('Statistics NZ'!X$86,$P$12/5*(X$8-X$9)*1000)*'Economic Forecasts'!Z$9*1000000/SUM('Statistics NZ'!X$30:X$110,'Statistics NZ'!X$130:X$210,SUM($E$12:$T$13)*(X$8-X$9)*1000)</f>
        <v>26331.564308013287</v>
      </c>
      <c r="Y86" s="45">
        <f>SUM('Statistics NZ'!Y$86,$P$12/5*(Y$8-Y$9)*1000)*'Economic Forecasts'!AA$9*1000000/SUM('Statistics NZ'!Y$30:Y$110,'Statistics NZ'!Y$130:Y$210,SUM($E$12:$T$13)*(Y$8-Y$9)*1000)</f>
        <v>27083.530234714544</v>
      </c>
      <c r="Z86" s="46">
        <f>SUM(Y$86,'Statistics NZ'!Z$86-'Statistics NZ'!Y$86,$P$12/5*(Z$8-Z$9)*1000)</f>
        <v>28015.110136317042</v>
      </c>
      <c r="AA86" s="46">
        <f>SUM(Z$86,'Statistics NZ'!AA$86-'Statistics NZ'!Z$86,$P$12/5*(AA$8-AA$9)*1000)</f>
        <v>28456.05807727854</v>
      </c>
      <c r="AB86" s="46">
        <f>SUM(AA$86,'Statistics NZ'!AB$86-'Statistics NZ'!AA$86,$P$12/5*(AB$8-AB$9)*1000)</f>
        <v>29736.500449727238</v>
      </c>
      <c r="AC86" s="46">
        <f>SUM(AB$86,'Statistics NZ'!AC$86-'Statistics NZ'!AB$86,$P$12/5*(AC$8-AC$9)*1000)</f>
        <v>30736.500449727238</v>
      </c>
      <c r="AD86" s="46">
        <f>SUM(AC$86,'Statistics NZ'!AD$86-'Statistics NZ'!AC$86,$P$12/5*(AD$8-AD$9)*1000)</f>
        <v>31066.500449727238</v>
      </c>
      <c r="AE86" s="46">
        <f>SUM(AD$86,'Statistics NZ'!AE$86-'Statistics NZ'!AD$86,$P$12/5*(AE$8-AE$9)*1000)</f>
        <v>30506.500449727238</v>
      </c>
      <c r="AF86" s="46">
        <f>SUM(AE$86,'Statistics NZ'!AF$86-'Statistics NZ'!AE$86,$P$12/5*(AF$8-AF$9)*1000)</f>
        <v>29746.500449727238</v>
      </c>
      <c r="AG86" s="46">
        <f>SUM(AF$86,'Statistics NZ'!AG$86-'Statistics NZ'!AF$86,$P$12/5*(AG$8-AG$9)*1000)</f>
        <v>29466.500449727238</v>
      </c>
      <c r="AH86" s="46">
        <f>SUM(AG$86,'Statistics NZ'!AH$86-'Statistics NZ'!AG$86,$P$12/5*(AH$8-AH$9)*1000)</f>
        <v>30276.500449727238</v>
      </c>
      <c r="AI86" s="46">
        <f>SUM(AH$86,'Statistics NZ'!AI$86-'Statistics NZ'!AH$86,$P$12/5*(AI$8-AI$9)*1000)</f>
        <v>30736.500449727238</v>
      </c>
      <c r="AJ86" s="46">
        <f>SUM(AI$86,'Statistics NZ'!AJ$86-'Statistics NZ'!AI$86,$P$12/5*(AJ$8-AJ$9)*1000)</f>
        <v>31526.500449727238</v>
      </c>
      <c r="AK86" s="46">
        <f>SUM(AJ$86,'Statistics NZ'!AK$86-'Statistics NZ'!AJ$86,$P$12/5*(AK$8-AK$9)*1000)</f>
        <v>31616.500449727238</v>
      </c>
      <c r="AL86" s="46">
        <f>SUM(AK$86,'Statistics NZ'!AL$86-'Statistics NZ'!AK$86,$P$12/5*(AL$8-AL$9)*1000)</f>
        <v>33056.500449727238</v>
      </c>
      <c r="AM86" s="46">
        <f>SUM(AL$86,'Statistics NZ'!AM$86-'Statistics NZ'!AL$86,$P$12/5*(AM$8-AM$9)*1000)</f>
        <v>32736.500449727238</v>
      </c>
      <c r="AN86" s="46">
        <f>SUM(AM$86,'Statistics NZ'!AN$86-'Statistics NZ'!AM$86,$P$12/5*(AN$8-AN$9)*1000)</f>
        <v>32006.500449727238</v>
      </c>
      <c r="AO86" s="46">
        <f>SUM(AN$86,'Statistics NZ'!AO$86-'Statistics NZ'!AN$86,$P$12/5*(AO$8-AO$9)*1000)</f>
        <v>31256.500449727238</v>
      </c>
      <c r="AP86" s="46">
        <f>SUM(AO$86,'Statistics NZ'!AP$86-'Statistics NZ'!AO$86,$P$12/5*(AP$8-AP$9)*1000)</f>
        <v>30346.500449727238</v>
      </c>
      <c r="AQ86" s="46">
        <f>SUM(AP$86,'Statistics NZ'!AQ$86-'Statistics NZ'!AP$86,$P$12/5*(AQ$8-AQ$9)*1000)</f>
        <v>29366.500449727238</v>
      </c>
      <c r="AR86" s="46">
        <f>SUM(AQ$86,'Statistics NZ'!AR$86-'Statistics NZ'!AQ$86,$P$12/5*(AR$8-AR$9)*1000)</f>
        <v>29816.500449727238</v>
      </c>
      <c r="AS86" s="46">
        <f>SUM(AR$86,'Statistics NZ'!AS$86-'Statistics NZ'!AR$86,$P$12/5*(AS$8-AS$9)*1000)</f>
        <v>29886.500449727238</v>
      </c>
      <c r="AT86" s="46">
        <f>SUM(AS$86,'Statistics NZ'!AT$86-'Statistics NZ'!AS$86,$P$12/5*(AT$8-AT$9)*1000)</f>
        <v>31076.500449727238</v>
      </c>
      <c r="AU86" s="46">
        <f>SUM(AT$86,'Statistics NZ'!AU$86-'Statistics NZ'!AT$86,$P$12/5*(AU$8-AU$9)*1000)</f>
        <v>31786.500449727238</v>
      </c>
      <c r="AV86" s="46">
        <f>SUM(AU$86,'Statistics NZ'!AV$86-'Statistics NZ'!AU$86,$P$12/5*(AV$8-AV$9)*1000)</f>
        <v>32576.500449727238</v>
      </c>
      <c r="AW86" s="46">
        <f>SUM(AV$86,'Statistics NZ'!AW$86-'Statistics NZ'!AV$86,$P$12/5*(AW$8-AW$9)*1000)</f>
        <v>33866.500449727238</v>
      </c>
      <c r="AX86" s="46">
        <f>SUM(AW$86,'Statistics NZ'!AX$86-'Statistics NZ'!AW$86,$P$12/5*(AX$8-AX$9)*1000)</f>
        <v>34986.500449727238</v>
      </c>
      <c r="AY86" s="46">
        <f>SUM(AX$86,'Statistics NZ'!AY$86-'Statistics NZ'!AX$86,$P$12/5*(AY$8-AY$9)*1000)</f>
        <v>35736.500449727238</v>
      </c>
      <c r="AZ86" s="46">
        <f>SUM(AY$86,'Statistics NZ'!AZ$86-'Statistics NZ'!AY$86,$P$12/5*(AZ$8-AZ$9)*1000)</f>
        <v>37086.500449727238</v>
      </c>
      <c r="BA86" s="46">
        <f>SUM(AZ$86,'Statistics NZ'!BA$86-'Statistics NZ'!AZ$86,$P$12/5*(BA$8-BA$9)*1000)</f>
        <v>37786.500449727238</v>
      </c>
      <c r="BB86" s="46">
        <f>SUM(BA$86,'Statistics NZ'!BB$86-'Statistics NZ'!BA$86,$P$12/5*(BB$8-BB$9)*1000)</f>
        <v>39416.500449727238</v>
      </c>
      <c r="BC86" s="46">
        <f>SUM(BB$86,'Statistics NZ'!BC$86-'Statistics NZ'!BB$86,$P$12/5*(BC$8-BC$9)*1000)</f>
        <v>41616.500449727238</v>
      </c>
      <c r="BD86" s="46">
        <f>SUM(BC$86,'Statistics NZ'!BD$86-'Statistics NZ'!BC$86,$P$12/5*(BD$8-BD$9)*1000)</f>
        <v>42636.500449727238</v>
      </c>
      <c r="BE86" s="46">
        <f>SUM(BD$86,'Statistics NZ'!BE$86-'Statistics NZ'!BD$86,$P$12/5*(BE$8-BE$9)*1000)</f>
        <v>44316.500449727238</v>
      </c>
      <c r="BF86" s="46">
        <f>SUM(BE$86,'Statistics NZ'!BF$86-'Statistics NZ'!BE$86,$P$12/5*(BF$8-BF$9)*1000)</f>
        <v>45156.500449727238</v>
      </c>
      <c r="BG86" s="46">
        <f>SUM(BF$86,'Statistics NZ'!BG$86-'Statistics NZ'!BF$86,$P$12/5*(BG$8-BG$9)*1000)</f>
        <v>44856.500449727238</v>
      </c>
      <c r="BH86" s="46">
        <f>SUM(BG$86,'Statistics NZ'!BH$86-'Statistics NZ'!BG$86,$P$12/5*(BH$8-BH$9)*1000)</f>
        <v>44546.500449727238</v>
      </c>
      <c r="BI86" s="46">
        <f>SUM(BH$86,'Statistics NZ'!BI$86-'Statistics NZ'!BH$86,$P$12/5*(BI$8-BI$9)*1000)</f>
        <v>43436.500449727238</v>
      </c>
    </row>
    <row r="87" spans="1:61" x14ac:dyDescent="0.25">
      <c r="A87" s="11">
        <v>72</v>
      </c>
      <c r="B87" s="44">
        <f>'Statistics NZ'!B$87*'Economic Forecasts'!D$9*1000000/SUM('Statistics NZ'!B$30:B$110,'Statistics NZ'!B$130:B$210)</f>
        <v>12141.870631492087</v>
      </c>
      <c r="C87" s="44">
        <f>'Statistics NZ'!C$87*'Economic Forecasts'!E$9*1000000/SUM('Statistics NZ'!C$30:C$110,'Statistics NZ'!C$130:C$210)</f>
        <v>12216.177353145929</v>
      </c>
      <c r="D87" s="44">
        <f>'Statistics NZ'!D$87*'Economic Forecasts'!F$9*1000000/SUM('Statistics NZ'!D$30:D$110,'Statistics NZ'!D$130:D$210)</f>
        <v>12808.831712362971</v>
      </c>
      <c r="E87" s="44">
        <f>'Statistics NZ'!E$87*'Economic Forecasts'!G$9*1000000/SUM('Statistics NZ'!E$30:E$110,'Statistics NZ'!E$130:E$210)</f>
        <v>13278.709017357354</v>
      </c>
      <c r="F87" s="44">
        <f>'Statistics NZ'!F$87*'Economic Forecasts'!H$9*1000000/SUM('Statistics NZ'!F$30:F$110,'Statistics NZ'!F$130:F$210)</f>
        <v>13732.363885653202</v>
      </c>
      <c r="G87" s="44">
        <f>'Statistics NZ'!G$87*'Economic Forecasts'!I$9*1000000/SUM('Statistics NZ'!G$30:G$110,'Statistics NZ'!G$130:G$210)</f>
        <v>14311.342082078509</v>
      </c>
      <c r="H87" s="44">
        <f>'Statistics NZ'!H$87*'Economic Forecasts'!J$9*1000000/SUM('Statistics NZ'!H$30:H$110,'Statistics NZ'!H$130:H$210)</f>
        <v>15405.815040435427</v>
      </c>
      <c r="I87" s="44">
        <f>'Statistics NZ'!I$87*'Economic Forecasts'!K$9*1000000/SUM('Statistics NZ'!I$30:I$110,'Statistics NZ'!I$130:I$210)</f>
        <v>16626.829799819436</v>
      </c>
      <c r="J87" s="44">
        <f>'Statistics NZ'!J$87*'Economic Forecasts'!L$9*1000000/SUM('Statistics NZ'!J$30:J$110,'Statistics NZ'!J$130:J$210)</f>
        <v>16890.260046494339</v>
      </c>
      <c r="K87" s="44">
        <f>'Statistics NZ'!K$87*'Economic Forecasts'!M$9*1000000/SUM('Statistics NZ'!K$30:K$110,'Statistics NZ'!K$130:K$210)</f>
        <v>15052.195103459853</v>
      </c>
      <c r="L87" s="44">
        <f>'Statistics NZ'!L$87*'Economic Forecasts'!N$9*1000000/SUM('Statistics NZ'!L$30:L$110,'Statistics NZ'!L$130:L$210)</f>
        <v>16727.504611414137</v>
      </c>
      <c r="M87" s="44">
        <f>'Statistics NZ'!M$87*'Economic Forecasts'!O$9*1000000/SUM('Statistics NZ'!M$30:M$110,'Statistics NZ'!M$130:M$210)</f>
        <v>17653.6199322625</v>
      </c>
      <c r="N87" s="44">
        <f>'Statistics NZ'!N$87*'Economic Forecasts'!P$9*1000000/SUM('Statistics NZ'!N$30:N$110,'Statistics NZ'!N$130:N$210)</f>
        <v>18571.805247158674</v>
      </c>
      <c r="O87" s="44">
        <f>'Statistics NZ'!O$87*'Economic Forecasts'!Q$9*1000000/SUM('Statistics NZ'!O$30:O$110,'Statistics NZ'!O$130:O$210)</f>
        <v>21848.477343903771</v>
      </c>
      <c r="P87" s="44">
        <f>'Statistics NZ'!P$87*'Economic Forecasts'!R$9*1000000/SUM('Statistics NZ'!P$30:P$110,'Statistics NZ'!P$130:P$210)</f>
        <v>22077.932783303251</v>
      </c>
      <c r="Q87" s="44">
        <f>'Statistics NZ'!Q$87*'Economic Forecasts'!S$9*1000000/SUM('Statistics NZ'!Q$30:Q$110,'Statistics NZ'!Q$130:Q$210)</f>
        <v>21736.109633235916</v>
      </c>
      <c r="R87" s="44">
        <f>'Statistics NZ'!R$87*'Economic Forecasts'!T$9*1000000/SUM('Statistics NZ'!R$30:R$110,'Statistics NZ'!R$130:R$210)</f>
        <v>22405.587069702389</v>
      </c>
      <c r="S87" s="44">
        <f>'Statistics NZ'!S$87*'Economic Forecasts'!U$9*1000000/SUM('Statistics NZ'!S$30:S$110,'Statistics NZ'!S$130:S$210)</f>
        <v>21759.167545282191</v>
      </c>
      <c r="T87" s="44">
        <f>'Statistics NZ'!T$87*'Economic Forecasts'!V$9*1000000/SUM('Statistics NZ'!T$30:T$110,'Statistics NZ'!T$130:T$210)</f>
        <v>22608.249232017621</v>
      </c>
      <c r="U87" s="45">
        <f>SUM('Statistics NZ'!U$87,$P$12/5*(U$8-U$9)*1000)*'Economic Forecasts'!W$9*1000000/SUM('Statistics NZ'!U$30:U$110,'Statistics NZ'!U$130:U$210,SUM($E$12:$T$13)*(U$8-U$9)*1000)</f>
        <v>23053.759587436329</v>
      </c>
      <c r="V87" s="45">
        <f>SUM('Statistics NZ'!V$87,$P$12/5*(V$8-V$9)*1000)*'Economic Forecasts'!X$9*1000000/SUM('Statistics NZ'!V$30:V$110,'Statistics NZ'!V$130:V$210,SUM($E$12:$T$13)*(V$8-V$9)*1000)</f>
        <v>23945.308750126882</v>
      </c>
      <c r="W87" s="45">
        <f>SUM('Statistics NZ'!W$87,$P$12/5*(W$8-W$9)*1000)*'Economic Forecasts'!Y$9*1000000/SUM('Statistics NZ'!W$30:W$110,'Statistics NZ'!W$130:W$210,SUM($E$12:$T$13)*(W$8-W$9)*1000)</f>
        <v>24593.51903607175</v>
      </c>
      <c r="X87" s="45">
        <f>SUM('Statistics NZ'!X$87,$P$12/5*(X$8-X$9)*1000)*'Economic Forecasts'!Z$9*1000000/SUM('Statistics NZ'!X$30:X$110,'Statistics NZ'!X$130:X$210,SUM($E$12:$T$13)*(X$8-X$9)*1000)</f>
        <v>25420.280285178746</v>
      </c>
      <c r="Y87" s="45">
        <f>SUM('Statistics NZ'!Y$87,$P$12/5*(Y$8-Y$9)*1000)*'Economic Forecasts'!AA$9*1000000/SUM('Statistics NZ'!Y$30:Y$110,'Statistics NZ'!Y$130:Y$210,SUM($E$12:$T$13)*(Y$8-Y$9)*1000)</f>
        <v>26072.822370497568</v>
      </c>
      <c r="Z87" s="46">
        <f>SUM(Y$87,'Statistics NZ'!Z$87-'Statistics NZ'!Y$87,$P$12/5*(Z$8-Z$9)*1000)</f>
        <v>26824.402272100066</v>
      </c>
      <c r="AA87" s="46">
        <f>SUM(Z$87,'Statistics NZ'!AA$87-'Statistics NZ'!Z$87,$P$12/5*(AA$8-AA$9)*1000)</f>
        <v>27755.350213061563</v>
      </c>
      <c r="AB87" s="46">
        <f>SUM(AA$87,'Statistics NZ'!AB$87-'Statistics NZ'!AA$87,$P$12/5*(AB$8-AB$9)*1000)</f>
        <v>28195.792585510262</v>
      </c>
      <c r="AC87" s="46">
        <f>SUM(AB$87,'Statistics NZ'!AC$87-'Statistics NZ'!AB$87,$P$12/5*(AC$8-AC$9)*1000)</f>
        <v>29475.792585510262</v>
      </c>
      <c r="AD87" s="46">
        <f>SUM(AC$87,'Statistics NZ'!AD$87-'Statistics NZ'!AC$87,$P$12/5*(AD$8-AD$9)*1000)</f>
        <v>30465.792585510262</v>
      </c>
      <c r="AE87" s="46">
        <f>SUM(AD$87,'Statistics NZ'!AE$87-'Statistics NZ'!AD$87,$P$12/5*(AE$8-AE$9)*1000)</f>
        <v>30795.792585510262</v>
      </c>
      <c r="AF87" s="46">
        <f>SUM(AE$87,'Statistics NZ'!AF$87-'Statistics NZ'!AE$87,$P$12/5*(AF$8-AF$9)*1000)</f>
        <v>30255.792585510262</v>
      </c>
      <c r="AG87" s="46">
        <f>SUM(AF$87,'Statistics NZ'!AG$87-'Statistics NZ'!AF$87,$P$12/5*(AG$8-AG$9)*1000)</f>
        <v>29505.792585510262</v>
      </c>
      <c r="AH87" s="46">
        <f>SUM(AG$87,'Statistics NZ'!AH$87-'Statistics NZ'!AG$87,$P$12/5*(AH$8-AH$9)*1000)</f>
        <v>29235.792585510262</v>
      </c>
      <c r="AI87" s="46">
        <f>SUM(AH$87,'Statistics NZ'!AI$87-'Statistics NZ'!AH$87,$P$12/5*(AI$8-AI$9)*1000)</f>
        <v>30045.792585510262</v>
      </c>
      <c r="AJ87" s="46">
        <f>SUM(AI$87,'Statistics NZ'!AJ$87-'Statistics NZ'!AI$87,$P$12/5*(AJ$8-AJ$9)*1000)</f>
        <v>30505.792585510262</v>
      </c>
      <c r="AK87" s="46">
        <f>SUM(AJ$87,'Statistics NZ'!AK$87-'Statistics NZ'!AJ$87,$P$12/5*(AK$8-AK$9)*1000)</f>
        <v>31295.792585510262</v>
      </c>
      <c r="AL87" s="46">
        <f>SUM(AK$87,'Statistics NZ'!AL$87-'Statistics NZ'!AK$87,$P$12/5*(AL$8-AL$9)*1000)</f>
        <v>31395.792585510262</v>
      </c>
      <c r="AM87" s="46">
        <f>SUM(AL$87,'Statistics NZ'!AM$87-'Statistics NZ'!AL$87,$P$12/5*(AM$8-AM$9)*1000)</f>
        <v>32825.792585510266</v>
      </c>
      <c r="AN87" s="46">
        <f>SUM(AM$87,'Statistics NZ'!AN$87-'Statistics NZ'!AM$87,$P$12/5*(AN$8-AN$9)*1000)</f>
        <v>32515.792585510266</v>
      </c>
      <c r="AO87" s="46">
        <f>SUM(AN$87,'Statistics NZ'!AO$87-'Statistics NZ'!AN$87,$P$12/5*(AO$8-AO$9)*1000)</f>
        <v>31795.792585510266</v>
      </c>
      <c r="AP87" s="46">
        <f>SUM(AO$87,'Statistics NZ'!AP$87-'Statistics NZ'!AO$87,$P$12/5*(AP$8-AP$9)*1000)</f>
        <v>31065.792585510266</v>
      </c>
      <c r="AQ87" s="46">
        <f>SUM(AP$87,'Statistics NZ'!AQ$87-'Statistics NZ'!AP$87,$P$12/5*(AQ$8-AQ$9)*1000)</f>
        <v>30155.792585510266</v>
      </c>
      <c r="AR87" s="46">
        <f>SUM(AQ$87,'Statistics NZ'!AR$87-'Statistics NZ'!AQ$87,$P$12/5*(AR$8-AR$9)*1000)</f>
        <v>29185.792585510266</v>
      </c>
      <c r="AS87" s="46">
        <f>SUM(AR$87,'Statistics NZ'!AS$87-'Statistics NZ'!AR$87,$P$12/5*(AS$8-AS$9)*1000)</f>
        <v>29635.792585510266</v>
      </c>
      <c r="AT87" s="46">
        <f>SUM(AS$87,'Statistics NZ'!AT$87-'Statistics NZ'!AS$87,$P$12/5*(AT$8-AT$9)*1000)</f>
        <v>29705.792585510266</v>
      </c>
      <c r="AU87" s="46">
        <f>SUM(AT$87,'Statistics NZ'!AU$87-'Statistics NZ'!AT$87,$P$12/5*(AU$8-AU$9)*1000)</f>
        <v>30905.792585510266</v>
      </c>
      <c r="AV87" s="46">
        <f>SUM(AU$87,'Statistics NZ'!AV$87-'Statistics NZ'!AU$87,$P$12/5*(AV$8-AV$9)*1000)</f>
        <v>31615.792585510266</v>
      </c>
      <c r="AW87" s="46">
        <f>SUM(AV$87,'Statistics NZ'!AW$87-'Statistics NZ'!AV$87,$P$12/5*(AW$8-AW$9)*1000)</f>
        <v>32395.792585510266</v>
      </c>
      <c r="AX87" s="46">
        <f>SUM(AW$87,'Statistics NZ'!AX$87-'Statistics NZ'!AW$87,$P$12/5*(AX$8-AX$9)*1000)</f>
        <v>33685.792585510266</v>
      </c>
      <c r="AY87" s="46">
        <f>SUM(AX$87,'Statistics NZ'!AY$87-'Statistics NZ'!AX$87,$P$12/5*(AY$8-AY$9)*1000)</f>
        <v>34805.792585510266</v>
      </c>
      <c r="AZ87" s="46">
        <f>SUM(AY$87,'Statistics NZ'!AZ$87-'Statistics NZ'!AY$87,$P$12/5*(AZ$8-AZ$9)*1000)</f>
        <v>35555.792585510266</v>
      </c>
      <c r="BA87" s="46">
        <f>SUM(AZ$87,'Statistics NZ'!BA$87-'Statistics NZ'!AZ$87,$P$12/5*(BA$8-BA$9)*1000)</f>
        <v>36895.792585510266</v>
      </c>
      <c r="BB87" s="46">
        <f>SUM(BA$87,'Statistics NZ'!BB$87-'Statistics NZ'!BA$87,$P$12/5*(BB$8-BB$9)*1000)</f>
        <v>37605.792585510266</v>
      </c>
      <c r="BC87" s="46">
        <f>SUM(BB$87,'Statistics NZ'!BC$87-'Statistics NZ'!BB$87,$P$12/5*(BC$8-BC$9)*1000)</f>
        <v>39225.792585510266</v>
      </c>
      <c r="BD87" s="46">
        <f>SUM(BC$87,'Statistics NZ'!BD$87-'Statistics NZ'!BC$87,$P$12/5*(BD$8-BD$9)*1000)</f>
        <v>41425.792585510266</v>
      </c>
      <c r="BE87" s="46">
        <f>SUM(BD$87,'Statistics NZ'!BE$87-'Statistics NZ'!BD$87,$P$12/5*(BE$8-BE$9)*1000)</f>
        <v>42435.792585510266</v>
      </c>
      <c r="BF87" s="46">
        <f>SUM(BE$87,'Statistics NZ'!BF$87-'Statistics NZ'!BE$87,$P$12/5*(BF$8-BF$9)*1000)</f>
        <v>44125.792585510266</v>
      </c>
      <c r="BG87" s="46">
        <f>SUM(BF$87,'Statistics NZ'!BG$87-'Statistics NZ'!BF$87,$P$12/5*(BG$8-BG$9)*1000)</f>
        <v>44955.792585510266</v>
      </c>
      <c r="BH87" s="46">
        <f>SUM(BG$87,'Statistics NZ'!BH$87-'Statistics NZ'!BG$87,$P$12/5*(BH$8-BH$9)*1000)</f>
        <v>44665.792585510266</v>
      </c>
      <c r="BI87" s="46">
        <f>SUM(BH$87,'Statistics NZ'!BI$87-'Statistics NZ'!BH$87,$P$12/5*(BI$8-BI$9)*1000)</f>
        <v>44365.792585510266</v>
      </c>
    </row>
    <row r="88" spans="1:61" x14ac:dyDescent="0.25">
      <c r="A88" s="11">
        <v>73</v>
      </c>
      <c r="B88" s="44">
        <f>'Statistics NZ'!B$88*'Economic Forecasts'!D$9*1000000/SUM('Statistics NZ'!B$30:B$110,'Statistics NZ'!B$130:B$210)</f>
        <v>12034.247281817297</v>
      </c>
      <c r="C88" s="44">
        <f>'Statistics NZ'!C$88*'Economic Forecasts'!E$9*1000000/SUM('Statistics NZ'!C$30:C$110,'Statistics NZ'!C$130:C$210)</f>
        <v>11931.395083659409</v>
      </c>
      <c r="D88" s="44">
        <f>'Statistics NZ'!D$88*'Economic Forecasts'!F$9*1000000/SUM('Statistics NZ'!D$30:D$110,'Statistics NZ'!D$130:D$210)</f>
        <v>11964.077473664185</v>
      </c>
      <c r="E88" s="44">
        <f>'Statistics NZ'!E$88*'Economic Forecasts'!G$9*1000000/SUM('Statistics NZ'!E$30:E$110,'Statistics NZ'!E$130:E$210)</f>
        <v>12533.375276353547</v>
      </c>
      <c r="F88" s="44">
        <f>'Statistics NZ'!F$88*'Economic Forecasts'!H$9*1000000/SUM('Statistics NZ'!F$30:F$110,'Statistics NZ'!F$130:F$210)</f>
        <v>13026.128028676751</v>
      </c>
      <c r="G88" s="44">
        <f>'Statistics NZ'!G$88*'Economic Forecasts'!I$9*1000000/SUM('Statistics NZ'!G$30:G$110,'Statistics NZ'!G$130:G$210)</f>
        <v>13515.72182905973</v>
      </c>
      <c r="H88" s="44">
        <f>'Statistics NZ'!H$88*'Economic Forecasts'!J$9*1000000/SUM('Statistics NZ'!H$30:H$110,'Statistics NZ'!H$130:H$210)</f>
        <v>14099.071800398495</v>
      </c>
      <c r="I88" s="44">
        <f>'Statistics NZ'!I$88*'Economic Forecasts'!K$9*1000000/SUM('Statistics NZ'!I$30:I$110,'Statistics NZ'!I$130:I$210)</f>
        <v>15185.707169764328</v>
      </c>
      <c r="J88" s="44">
        <f>'Statistics NZ'!J$88*'Economic Forecasts'!L$9*1000000/SUM('Statistics NZ'!J$30:J$110,'Statistics NZ'!J$130:J$210)</f>
        <v>16285.643347370407</v>
      </c>
      <c r="K88" s="44">
        <f>'Statistics NZ'!K$88*'Economic Forecasts'!M$9*1000000/SUM('Statistics NZ'!K$30:K$110,'Statistics NZ'!K$130:K$210)</f>
        <v>16600.253978912711</v>
      </c>
      <c r="L88" s="44">
        <f>'Statistics NZ'!L$88*'Economic Forecasts'!N$9*1000000/SUM('Statistics NZ'!L$30:L$110,'Statistics NZ'!L$130:L$210)</f>
        <v>14809.391451665255</v>
      </c>
      <c r="M88" s="44">
        <f>'Statistics NZ'!M$88*'Economic Forecasts'!O$9*1000000/SUM('Statistics NZ'!M$30:M$110,'Statistics NZ'!M$130:M$210)</f>
        <v>16451.962349712259</v>
      </c>
      <c r="N88" s="44">
        <f>'Statistics NZ'!N$88*'Economic Forecasts'!P$9*1000000/SUM('Statistics NZ'!N$30:N$110,'Statistics NZ'!N$130:N$210)</f>
        <v>17338.903528959523</v>
      </c>
      <c r="O88" s="44">
        <f>'Statistics NZ'!O$88*'Economic Forecasts'!Q$9*1000000/SUM('Statistics NZ'!O$30:O$110,'Statistics NZ'!O$130:O$210)</f>
        <v>18289.004437291183</v>
      </c>
      <c r="P88" s="44">
        <f>'Statistics NZ'!P$88*'Economic Forecasts'!R$9*1000000/SUM('Statistics NZ'!P$30:P$110,'Statistics NZ'!P$130:P$210)</f>
        <v>21655.435627236475</v>
      </c>
      <c r="Q88" s="44">
        <f>'Statistics NZ'!Q$88*'Economic Forecasts'!S$9*1000000/SUM('Statistics NZ'!Q$30:Q$110,'Statistics NZ'!Q$130:Q$210)</f>
        <v>21855.320472175052</v>
      </c>
      <c r="R88" s="44">
        <f>'Statistics NZ'!R$88*'Economic Forecasts'!T$9*1000000/SUM('Statistics NZ'!R$30:R$110,'Statistics NZ'!R$130:R$210)</f>
        <v>21290.286735566089</v>
      </c>
      <c r="S88" s="44">
        <f>'Statistics NZ'!S$88*'Economic Forecasts'!U$9*1000000/SUM('Statistics NZ'!S$30:S$110,'Statistics NZ'!S$130:S$210)</f>
        <v>21739.520441403831</v>
      </c>
      <c r="T88" s="44">
        <f>'Statistics NZ'!T$88*'Economic Forecasts'!V$9*1000000/SUM('Statistics NZ'!T$30:T$110,'Statistics NZ'!T$130:T$210)</f>
        <v>21636.917173824841</v>
      </c>
      <c r="U88" s="45">
        <f>SUM('Statistics NZ'!U$88,$P$12/5*(U$8-U$9)*1000)*'Economic Forecasts'!W$9*1000000/SUM('Statistics NZ'!U$30:U$110,'Statistics NZ'!U$130:U$210,SUM($E$12:$T$13)*(U$8-U$9)*1000)</f>
        <v>22310.888469488542</v>
      </c>
      <c r="V88" s="45">
        <f>SUM('Statistics NZ'!V$88,$P$12/5*(V$8-V$9)*1000)*'Economic Forecasts'!X$9*1000000/SUM('Statistics NZ'!V$30:V$110,'Statistics NZ'!V$130:V$210,SUM($E$12:$T$13)*(V$8-V$9)*1000)</f>
        <v>22767.11140095548</v>
      </c>
      <c r="W88" s="45">
        <f>SUM('Statistics NZ'!W$88,$P$12/5*(W$8-W$9)*1000)*'Economic Forecasts'!Y$9*1000000/SUM('Statistics NZ'!W$30:W$110,'Statistics NZ'!W$130:W$210,SUM($E$12:$T$13)*(W$8-W$9)*1000)</f>
        <v>23662.637444037347</v>
      </c>
      <c r="X88" s="45">
        <f>SUM('Statistics NZ'!X$88,$P$12/5*(X$8-X$9)*1000)*'Economic Forecasts'!Z$9*1000000/SUM('Statistics NZ'!X$30:X$110,'Statistics NZ'!X$130:X$210,SUM($E$12:$T$13)*(X$8-X$9)*1000)</f>
        <v>24310.891039988866</v>
      </c>
      <c r="Y88" s="45">
        <f>SUM('Statistics NZ'!Y$88,$P$12/5*(Y$8-Y$9)*1000)*'Economic Forecasts'!AA$9*1000000/SUM('Statistics NZ'!Y$30:Y$110,'Statistics NZ'!Y$130:Y$210,SUM($E$12:$T$13)*(Y$8-Y$9)*1000)</f>
        <v>25141.38571131722</v>
      </c>
      <c r="Z88" s="46">
        <f>SUM(Y$88,'Statistics NZ'!Z$88-'Statistics NZ'!Y$88,$P$12/5*(Z$8-Z$9)*1000)</f>
        <v>25792.965612919717</v>
      </c>
      <c r="AA88" s="46">
        <f>SUM(Z$88,'Statistics NZ'!AA$88-'Statistics NZ'!Z$88,$P$12/5*(AA$8-AA$9)*1000)</f>
        <v>26543.913553881215</v>
      </c>
      <c r="AB88" s="46">
        <f>SUM(AA$88,'Statistics NZ'!AB$88-'Statistics NZ'!AA$88,$P$12/5*(AB$8-AB$9)*1000)</f>
        <v>27474.355926329914</v>
      </c>
      <c r="AC88" s="46">
        <f>SUM(AB$88,'Statistics NZ'!AC$88-'Statistics NZ'!AB$88,$P$12/5*(AC$8-AC$9)*1000)</f>
        <v>27914.355926329914</v>
      </c>
      <c r="AD88" s="46">
        <f>SUM(AC$88,'Statistics NZ'!AD$88-'Statistics NZ'!AC$88,$P$12/5*(AD$8-AD$9)*1000)</f>
        <v>29184.355926329914</v>
      </c>
      <c r="AE88" s="46">
        <f>SUM(AD$88,'Statistics NZ'!AE$88-'Statistics NZ'!AD$88,$P$12/5*(AE$8-AE$9)*1000)</f>
        <v>30174.355926329914</v>
      </c>
      <c r="AF88" s="46">
        <f>SUM(AE$88,'Statistics NZ'!AF$88-'Statistics NZ'!AE$88,$P$12/5*(AF$8-AF$9)*1000)</f>
        <v>30514.355926329914</v>
      </c>
      <c r="AG88" s="46">
        <f>SUM(AF$88,'Statistics NZ'!AG$88-'Statistics NZ'!AF$88,$P$12/5*(AG$8-AG$9)*1000)</f>
        <v>29984.355926329914</v>
      </c>
      <c r="AH88" s="46">
        <f>SUM(AG$88,'Statistics NZ'!AH$88-'Statistics NZ'!AG$88,$P$12/5*(AH$8-AH$9)*1000)</f>
        <v>29244.355926329914</v>
      </c>
      <c r="AI88" s="46">
        <f>SUM(AH$88,'Statistics NZ'!AI$88-'Statistics NZ'!AH$88,$P$12/5*(AI$8-AI$9)*1000)</f>
        <v>28974.355926329914</v>
      </c>
      <c r="AJ88" s="46">
        <f>SUM(AI$88,'Statistics NZ'!AJ$88-'Statistics NZ'!AI$88,$P$12/5*(AJ$8-AJ$9)*1000)</f>
        <v>29784.355926329914</v>
      </c>
      <c r="AK88" s="46">
        <f>SUM(AJ$88,'Statistics NZ'!AK$88-'Statistics NZ'!AJ$88,$P$12/5*(AK$8-AK$9)*1000)</f>
        <v>30254.355926329914</v>
      </c>
      <c r="AL88" s="46">
        <f>SUM(AK$88,'Statistics NZ'!AL$88-'Statistics NZ'!AK$88,$P$12/5*(AL$8-AL$9)*1000)</f>
        <v>31044.355926329914</v>
      </c>
      <c r="AM88" s="46">
        <f>SUM(AL$88,'Statistics NZ'!AM$88-'Statistics NZ'!AL$88,$P$12/5*(AM$8-AM$9)*1000)</f>
        <v>31144.355926329914</v>
      </c>
      <c r="AN88" s="46">
        <f>SUM(AM$88,'Statistics NZ'!AN$88-'Statistics NZ'!AM$88,$P$12/5*(AN$8-AN$9)*1000)</f>
        <v>32564.355926329914</v>
      </c>
      <c r="AO88" s="46">
        <f>SUM(AN$88,'Statistics NZ'!AO$88-'Statistics NZ'!AN$88,$P$12/5*(AO$8-AO$9)*1000)</f>
        <v>32264.355926329914</v>
      </c>
      <c r="AP88" s="46">
        <f>SUM(AO$88,'Statistics NZ'!AP$88-'Statistics NZ'!AO$88,$P$12/5*(AP$8-AP$9)*1000)</f>
        <v>31554.355926329914</v>
      </c>
      <c r="AQ88" s="46">
        <f>SUM(AP$88,'Statistics NZ'!AQ$88-'Statistics NZ'!AP$88,$P$12/5*(AQ$8-AQ$9)*1000)</f>
        <v>30834.355926329914</v>
      </c>
      <c r="AR88" s="46">
        <f>SUM(AQ$88,'Statistics NZ'!AR$88-'Statistics NZ'!AQ$88,$P$12/5*(AR$8-AR$9)*1000)</f>
        <v>29944.355926329914</v>
      </c>
      <c r="AS88" s="46">
        <f>SUM(AR$88,'Statistics NZ'!AS$88-'Statistics NZ'!AR$88,$P$12/5*(AS$8-AS$9)*1000)</f>
        <v>28994.355926329914</v>
      </c>
      <c r="AT88" s="46">
        <f>SUM(AS$88,'Statistics NZ'!AT$88-'Statistics NZ'!AS$88,$P$12/5*(AT$8-AT$9)*1000)</f>
        <v>29444.355926329914</v>
      </c>
      <c r="AU88" s="46">
        <f>SUM(AT$88,'Statistics NZ'!AU$88-'Statistics NZ'!AT$88,$P$12/5*(AU$8-AU$9)*1000)</f>
        <v>29514.355926329914</v>
      </c>
      <c r="AV88" s="46">
        <f>SUM(AU$88,'Statistics NZ'!AV$88-'Statistics NZ'!AU$88,$P$12/5*(AV$8-AV$9)*1000)</f>
        <v>30714.355926329914</v>
      </c>
      <c r="AW88" s="46">
        <f>SUM(AV$88,'Statistics NZ'!AW$88-'Statistics NZ'!AV$88,$P$12/5*(AW$8-AW$9)*1000)</f>
        <v>31414.355926329914</v>
      </c>
      <c r="AX88" s="46">
        <f>SUM(AW$88,'Statistics NZ'!AX$88-'Statistics NZ'!AW$88,$P$12/5*(AX$8-AX$9)*1000)</f>
        <v>32204.355926329914</v>
      </c>
      <c r="AY88" s="46">
        <f>SUM(AX$88,'Statistics NZ'!AY$88-'Statistics NZ'!AX$88,$P$12/5*(AY$8-AY$9)*1000)</f>
        <v>33484.35592632991</v>
      </c>
      <c r="AZ88" s="46">
        <f>SUM(AY$88,'Statistics NZ'!AZ$88-'Statistics NZ'!AY$88,$P$12/5*(AZ$8-AZ$9)*1000)</f>
        <v>34594.35592632991</v>
      </c>
      <c r="BA88" s="46">
        <f>SUM(AZ$88,'Statistics NZ'!BA$88-'Statistics NZ'!AZ$88,$P$12/5*(BA$8-BA$9)*1000)</f>
        <v>35354.35592632991</v>
      </c>
      <c r="BB88" s="46">
        <f>SUM(BA$88,'Statistics NZ'!BB$88-'Statistics NZ'!BA$88,$P$12/5*(BB$8-BB$9)*1000)</f>
        <v>36694.35592632991</v>
      </c>
      <c r="BC88" s="46">
        <f>SUM(BB$88,'Statistics NZ'!BC$88-'Statistics NZ'!BB$88,$P$12/5*(BC$8-BC$9)*1000)</f>
        <v>37404.35592632991</v>
      </c>
      <c r="BD88" s="46">
        <f>SUM(BC$88,'Statistics NZ'!BD$88-'Statistics NZ'!BC$88,$P$12/5*(BD$8-BD$9)*1000)</f>
        <v>39014.35592632991</v>
      </c>
      <c r="BE88" s="46">
        <f>SUM(BD$88,'Statistics NZ'!BE$88-'Statistics NZ'!BD$88,$P$12/5*(BE$8-BE$9)*1000)</f>
        <v>41204.35592632991</v>
      </c>
      <c r="BF88" s="46">
        <f>SUM(BE$88,'Statistics NZ'!BF$88-'Statistics NZ'!BE$88,$P$12/5*(BF$8-BF$9)*1000)</f>
        <v>42224.35592632991</v>
      </c>
      <c r="BG88" s="46">
        <f>SUM(BF$88,'Statistics NZ'!BG$88-'Statistics NZ'!BF$88,$P$12/5*(BG$8-BG$9)*1000)</f>
        <v>43904.35592632991</v>
      </c>
      <c r="BH88" s="46">
        <f>SUM(BG$88,'Statistics NZ'!BH$88-'Statistics NZ'!BG$88,$P$12/5*(BH$8-BH$9)*1000)</f>
        <v>44734.35592632991</v>
      </c>
      <c r="BI88" s="46">
        <f>SUM(BH$88,'Statistics NZ'!BI$88-'Statistics NZ'!BH$88,$P$12/5*(BI$8-BI$9)*1000)</f>
        <v>44454.35592632991</v>
      </c>
    </row>
    <row r="89" spans="1:61" x14ac:dyDescent="0.25">
      <c r="A89" s="11">
        <v>74</v>
      </c>
      <c r="B89" s="44">
        <f>'Statistics NZ'!B$89*'Economic Forecasts'!D$9*1000000/SUM('Statistics NZ'!B$30:B$110,'Statistics NZ'!B$130:B$210)</f>
        <v>11701.593291913407</v>
      </c>
      <c r="C89" s="44">
        <f>'Statistics NZ'!C$89*'Economic Forecasts'!E$9*1000000/SUM('Statistics NZ'!C$30:C$110,'Statistics NZ'!C$130:C$210)</f>
        <v>11813.554144561538</v>
      </c>
      <c r="D89" s="44">
        <f>'Statistics NZ'!D$89*'Economic Forecasts'!F$9*1000000/SUM('Statistics NZ'!D$30:D$110,'Statistics NZ'!D$130:D$210)</f>
        <v>11669.395762490189</v>
      </c>
      <c r="E89" s="44">
        <f>'Statistics NZ'!E$89*'Economic Forecasts'!G$9*1000000/SUM('Statistics NZ'!E$30:E$110,'Statistics NZ'!E$130:E$210)</f>
        <v>11699.778329178233</v>
      </c>
      <c r="F89" s="44">
        <f>'Statistics NZ'!F$89*'Economic Forecasts'!H$9*1000000/SUM('Statistics NZ'!F$30:F$110,'Statistics NZ'!F$130:F$210)</f>
        <v>12261.03918361893</v>
      </c>
      <c r="G89" s="44">
        <f>'Statistics NZ'!G$89*'Economic Forecasts'!I$9*1000000/SUM('Statistics NZ'!G$30:G$110,'Statistics NZ'!G$130:G$210)</f>
        <v>12818.326298635864</v>
      </c>
      <c r="H89" s="44">
        <f>'Statistics NZ'!H$89*'Economic Forecasts'!J$9*1000000/SUM('Statistics NZ'!H$30:H$110,'Statistics NZ'!H$130:H$210)</f>
        <v>13273.760280375165</v>
      </c>
      <c r="I89" s="44">
        <f>'Statistics NZ'!I$89*'Economic Forecasts'!K$9*1000000/SUM('Statistics NZ'!I$30:I$110,'Statistics NZ'!I$130:I$210)</f>
        <v>13783.798760935213</v>
      </c>
      <c r="J89" s="44">
        <f>'Statistics NZ'!J$89*'Economic Forecasts'!L$9*1000000/SUM('Statistics NZ'!J$30:J$110,'Statistics NZ'!J$130:J$210)</f>
        <v>14852.116657512055</v>
      </c>
      <c r="K89" s="44">
        <f>'Statistics NZ'!K$89*'Economic Forecasts'!M$9*1000000/SUM('Statistics NZ'!K$30:K$110,'Statistics NZ'!K$130:K$210)</f>
        <v>15938.191063624696</v>
      </c>
      <c r="L89" s="44">
        <f>'Statistics NZ'!L$89*'Economic Forecasts'!N$9*1000000/SUM('Statistics NZ'!L$30:L$110,'Statistics NZ'!L$130:L$210)</f>
        <v>16299.093550353473</v>
      </c>
      <c r="M89" s="44">
        <f>'Statistics NZ'!M$89*'Economic Forecasts'!O$9*1000000/SUM('Statistics NZ'!M$30:M$110,'Statistics NZ'!M$130:M$210)</f>
        <v>14556.665024389109</v>
      </c>
      <c r="N89" s="44">
        <f>'Statistics NZ'!N$89*'Economic Forecasts'!P$9*1000000/SUM('Statistics NZ'!N$30:N$110,'Statistics NZ'!N$130:N$210)</f>
        <v>16135.356613574633</v>
      </c>
      <c r="O89" s="44">
        <f>'Statistics NZ'!O$89*'Economic Forecasts'!Q$9*1000000/SUM('Statistics NZ'!O$30:O$110,'Statistics NZ'!O$130:O$210)</f>
        <v>17059.90467672054</v>
      </c>
      <c r="P89" s="44">
        <f>'Statistics NZ'!P$89*'Economic Forecasts'!R$9*1000000/SUM('Statistics NZ'!P$30:P$110,'Statistics NZ'!P$130:P$210)</f>
        <v>18078.948073554948</v>
      </c>
      <c r="Q89" s="44">
        <f>'Statistics NZ'!Q$89*'Economic Forecasts'!S$9*1000000/SUM('Statistics NZ'!Q$30:Q$110,'Statistics NZ'!Q$130:Q$210)</f>
        <v>21477.819482201117</v>
      </c>
      <c r="R89" s="44">
        <f>'Statistics NZ'!R$89*'Economic Forecasts'!T$9*1000000/SUM('Statistics NZ'!R$30:R$110,'Statistics NZ'!R$130:R$210)</f>
        <v>21419.741238635484</v>
      </c>
      <c r="S89" s="44">
        <f>'Statistics NZ'!S$89*'Economic Forecasts'!U$9*1000000/SUM('Statistics NZ'!S$30:S$110,'Statistics NZ'!S$130:S$210)</f>
        <v>20599.988416459029</v>
      </c>
      <c r="T89" s="44">
        <f>'Statistics NZ'!T$89*'Economic Forecasts'!V$9*1000000/SUM('Statistics NZ'!T$30:T$110,'Statistics NZ'!T$130:T$210)</f>
        <v>21597.270967367993</v>
      </c>
      <c r="U89" s="45">
        <f>SUM('Statistics NZ'!U$89,$P$12/5*(U$8-U$9)*1000)*'Economic Forecasts'!W$9*1000000/SUM('Statistics NZ'!U$30:U$110,'Statistics NZ'!U$130:U$210,SUM($E$12:$T$13)*(U$8-U$9)*1000)</f>
        <v>21320.393645558157</v>
      </c>
      <c r="V89" s="45">
        <f>SUM('Statistics NZ'!V$89,$P$12/5*(V$8-V$9)*1000)*'Economic Forecasts'!X$9*1000000/SUM('Statistics NZ'!V$30:V$110,'Statistics NZ'!V$130:V$210,SUM($E$12:$T$13)*(V$8-V$9)*1000)</f>
        <v>21994.847592254897</v>
      </c>
      <c r="W89" s="45">
        <f>SUM('Statistics NZ'!W$89,$P$12/5*(W$8-W$9)*1000)*'Economic Forecasts'!Y$9*1000000/SUM('Statistics NZ'!W$30:W$110,'Statistics NZ'!W$130:W$210,SUM($E$12:$T$13)*(W$8-W$9)*1000)</f>
        <v>22464.374969184548</v>
      </c>
      <c r="X89" s="45">
        <f>SUM('Statistics NZ'!X$89,$P$12/5*(X$8-X$9)*1000)*'Economic Forecasts'!Z$9*1000000/SUM('Statistics NZ'!X$30:X$110,'Statistics NZ'!X$130:X$210,SUM($E$12:$T$13)*(X$8-X$9)*1000)</f>
        <v>23350.08071156549</v>
      </c>
      <c r="Y89" s="45">
        <f>SUM('Statistics NZ'!Y$89,$P$12/5*(Y$8-Y$9)*1000)*'Economic Forecasts'!AA$9*1000000/SUM('Statistics NZ'!Y$30:Y$110,'Statistics NZ'!Y$130:Y$210,SUM($E$12:$T$13)*(Y$8-Y$9)*1000)</f>
        <v>24011.771039545307</v>
      </c>
      <c r="Z89" s="46">
        <f>SUM(Y$89,'Statistics NZ'!Z$89-'Statistics NZ'!Y$89,$P$12/5*(Z$8-Z$9)*1000)</f>
        <v>24843.350941147804</v>
      </c>
      <c r="AA89" s="46">
        <f>SUM(Z$89,'Statistics NZ'!AA$89-'Statistics NZ'!Z$89,$P$12/5*(AA$8-AA$9)*1000)</f>
        <v>25484.298882109302</v>
      </c>
      <c r="AB89" s="46">
        <f>SUM(AA$89,'Statistics NZ'!AB$89-'Statistics NZ'!AA$89,$P$12/5*(AB$8-AB$9)*1000)</f>
        <v>26234.741254558001</v>
      </c>
      <c r="AC89" s="46">
        <f>SUM(AB$89,'Statistics NZ'!AC$89-'Statistics NZ'!AB$89,$P$12/5*(AC$8-AC$9)*1000)</f>
        <v>27154.741254558001</v>
      </c>
      <c r="AD89" s="46">
        <f>SUM(AC$89,'Statistics NZ'!AD$89-'Statistics NZ'!AC$89,$P$12/5*(AD$8-AD$9)*1000)</f>
        <v>27594.741254558001</v>
      </c>
      <c r="AE89" s="46">
        <f>SUM(AD$89,'Statistics NZ'!AE$89-'Statistics NZ'!AD$89,$P$12/5*(AE$8-AE$9)*1000)</f>
        <v>28864.741254558001</v>
      </c>
      <c r="AF89" s="46">
        <f>SUM(AE$89,'Statistics NZ'!AF$89-'Statistics NZ'!AE$89,$P$12/5*(AF$8-AF$9)*1000)</f>
        <v>29854.741254558001</v>
      </c>
      <c r="AG89" s="46">
        <f>SUM(AF$89,'Statistics NZ'!AG$89-'Statistics NZ'!AF$89,$P$12/5*(AG$8-AG$9)*1000)</f>
        <v>30194.741254558001</v>
      </c>
      <c r="AH89" s="46">
        <f>SUM(AG$89,'Statistics NZ'!AH$89-'Statistics NZ'!AG$89,$P$12/5*(AH$8-AH$9)*1000)</f>
        <v>29674.741254558001</v>
      </c>
      <c r="AI89" s="46">
        <f>SUM(AH$89,'Statistics NZ'!AI$89-'Statistics NZ'!AH$89,$P$12/5*(AI$8-AI$9)*1000)</f>
        <v>28954.741254558001</v>
      </c>
      <c r="AJ89" s="46">
        <f>SUM(AI$89,'Statistics NZ'!AJ$89-'Statistics NZ'!AI$89,$P$12/5*(AJ$8-AJ$9)*1000)</f>
        <v>28694.741254558001</v>
      </c>
      <c r="AK89" s="46">
        <f>SUM(AJ$89,'Statistics NZ'!AK$89-'Statistics NZ'!AJ$89,$P$12/5*(AK$8-AK$9)*1000)</f>
        <v>29504.741254558001</v>
      </c>
      <c r="AL89" s="46">
        <f>SUM(AK$89,'Statistics NZ'!AL$89-'Statistics NZ'!AK$89,$P$12/5*(AL$8-AL$9)*1000)</f>
        <v>29974.741254558001</v>
      </c>
      <c r="AM89" s="46">
        <f>SUM(AL$89,'Statistics NZ'!AM$89-'Statistics NZ'!AL$89,$P$12/5*(AM$8-AM$9)*1000)</f>
        <v>30764.741254558001</v>
      </c>
      <c r="AN89" s="46">
        <f>SUM(AM$89,'Statistics NZ'!AN$89-'Statistics NZ'!AM$89,$P$12/5*(AN$8-AN$9)*1000)</f>
        <v>30864.741254558001</v>
      </c>
      <c r="AO89" s="46">
        <f>SUM(AN$89,'Statistics NZ'!AO$89-'Statistics NZ'!AN$89,$P$12/5*(AO$8-AO$9)*1000)</f>
        <v>32284.741254558001</v>
      </c>
      <c r="AP89" s="46">
        <f>SUM(AO$89,'Statistics NZ'!AP$89-'Statistics NZ'!AO$89,$P$12/5*(AP$8-AP$9)*1000)</f>
        <v>31994.741254558001</v>
      </c>
      <c r="AQ89" s="46">
        <f>SUM(AP$89,'Statistics NZ'!AQ$89-'Statistics NZ'!AP$89,$P$12/5*(AQ$8-AQ$9)*1000)</f>
        <v>31294.741254558001</v>
      </c>
      <c r="AR89" s="46">
        <f>SUM(AQ$89,'Statistics NZ'!AR$89-'Statistics NZ'!AQ$89,$P$12/5*(AR$8-AR$9)*1000)</f>
        <v>30594.741254558001</v>
      </c>
      <c r="AS89" s="46">
        <f>SUM(AR$89,'Statistics NZ'!AS$89-'Statistics NZ'!AR$89,$P$12/5*(AS$8-AS$9)*1000)</f>
        <v>29714.741254558001</v>
      </c>
      <c r="AT89" s="46">
        <f>SUM(AS$89,'Statistics NZ'!AT$89-'Statistics NZ'!AS$89,$P$12/5*(AT$8-AT$9)*1000)</f>
        <v>28774.741254558001</v>
      </c>
      <c r="AU89" s="46">
        <f>SUM(AT$89,'Statistics NZ'!AU$89-'Statistics NZ'!AT$89,$P$12/5*(AU$8-AU$9)*1000)</f>
        <v>29214.741254558001</v>
      </c>
      <c r="AV89" s="46">
        <f>SUM(AU$89,'Statistics NZ'!AV$89-'Statistics NZ'!AU$89,$P$12/5*(AV$8-AV$9)*1000)</f>
        <v>29304.741254558001</v>
      </c>
      <c r="AW89" s="46">
        <f>SUM(AV$89,'Statistics NZ'!AW$89-'Statistics NZ'!AV$89,$P$12/5*(AW$8-AW$9)*1000)</f>
        <v>30494.741254558001</v>
      </c>
      <c r="AX89" s="46">
        <f>SUM(AW$89,'Statistics NZ'!AX$89-'Statistics NZ'!AW$89,$P$12/5*(AX$8-AX$9)*1000)</f>
        <v>31194.741254558001</v>
      </c>
      <c r="AY89" s="46">
        <f>SUM(AX$89,'Statistics NZ'!AY$89-'Statistics NZ'!AX$89,$P$12/5*(AY$8-AY$9)*1000)</f>
        <v>31984.741254558001</v>
      </c>
      <c r="AZ89" s="46">
        <f>SUM(AY$89,'Statistics NZ'!AZ$89-'Statistics NZ'!AY$89,$P$12/5*(AZ$8-AZ$9)*1000)</f>
        <v>33264.741254558001</v>
      </c>
      <c r="BA89" s="46">
        <f>SUM(AZ$89,'Statistics NZ'!BA$89-'Statistics NZ'!AZ$89,$P$12/5*(BA$8-BA$9)*1000)</f>
        <v>34374.741254558001</v>
      </c>
      <c r="BB89" s="46">
        <f>SUM(BA$89,'Statistics NZ'!BB$89-'Statistics NZ'!BA$89,$P$12/5*(BB$8-BB$9)*1000)</f>
        <v>35124.741254558001</v>
      </c>
      <c r="BC89" s="46">
        <f>SUM(BB$89,'Statistics NZ'!BC$89-'Statistics NZ'!BB$89,$P$12/5*(BC$8-BC$9)*1000)</f>
        <v>36464.741254558001</v>
      </c>
      <c r="BD89" s="46">
        <f>SUM(BC$89,'Statistics NZ'!BD$89-'Statistics NZ'!BC$89,$P$12/5*(BD$8-BD$9)*1000)</f>
        <v>37174.741254558001</v>
      </c>
      <c r="BE89" s="46">
        <f>SUM(BD$89,'Statistics NZ'!BE$89-'Statistics NZ'!BD$89,$P$12/5*(BE$8-BE$9)*1000)</f>
        <v>38784.741254558001</v>
      </c>
      <c r="BF89" s="46">
        <f>SUM(BE$89,'Statistics NZ'!BF$89-'Statistics NZ'!BE$89,$P$12/5*(BF$8-BF$9)*1000)</f>
        <v>40964.741254558001</v>
      </c>
      <c r="BG89" s="46">
        <f>SUM(BF$89,'Statistics NZ'!BG$89-'Statistics NZ'!BF$89,$P$12/5*(BG$8-BG$9)*1000)</f>
        <v>41974.741254558001</v>
      </c>
      <c r="BH89" s="46">
        <f>SUM(BG$89,'Statistics NZ'!BH$89-'Statistics NZ'!BG$89,$P$12/5*(BH$8-BH$9)*1000)</f>
        <v>43654.741254558001</v>
      </c>
      <c r="BI89" s="46">
        <f>SUM(BH$89,'Statistics NZ'!BI$89-'Statistics NZ'!BH$89,$P$12/5*(BI$8-BI$9)*1000)</f>
        <v>44484.741254558001</v>
      </c>
    </row>
    <row r="90" spans="1:61" x14ac:dyDescent="0.25">
      <c r="A90" s="11">
        <v>75</v>
      </c>
      <c r="B90" s="44">
        <f>'Statistics NZ'!B$90*'Economic Forecasts'!D$9*1000000/SUM('Statistics NZ'!B$30:B$110,'Statistics NZ'!B$130:B$210)</f>
        <v>11867.92028686535</v>
      </c>
      <c r="C90" s="44">
        <f>'Statistics NZ'!C$90*'Economic Forecasts'!E$9*1000000/SUM('Statistics NZ'!C$30:C$110,'Statistics NZ'!C$130:C$210)</f>
        <v>11440.391170751613</v>
      </c>
      <c r="D90" s="44">
        <f>'Statistics NZ'!D$90*'Economic Forecasts'!F$9*1000000/SUM('Statistics NZ'!D$30:D$110,'Statistics NZ'!D$130:D$210)</f>
        <v>11512.232183197393</v>
      </c>
      <c r="E90" s="44">
        <f>'Statistics NZ'!E$90*'Economic Forecasts'!G$9*1000000/SUM('Statistics NZ'!E$30:E$110,'Statistics NZ'!E$130:E$210)</f>
        <v>11356.532527400163</v>
      </c>
      <c r="F90" s="44">
        <f>'Statistics NZ'!F$90*'Economic Forecasts'!H$9*1000000/SUM('Statistics NZ'!F$30:F$110,'Statistics NZ'!F$130:F$210)</f>
        <v>11437.097350479737</v>
      </c>
      <c r="G90" s="44">
        <f>'Statistics NZ'!G$90*'Economic Forecasts'!I$9*1000000/SUM('Statistics NZ'!G$30:G$110,'Statistics NZ'!G$130:G$210)</f>
        <v>11993.238628838613</v>
      </c>
      <c r="H90" s="44">
        <f>'Statistics NZ'!H$90*'Economic Forecasts'!J$9*1000000/SUM('Statistics NZ'!H$30:H$110,'Statistics NZ'!H$130:H$210)</f>
        <v>12527.049857496921</v>
      </c>
      <c r="I90" s="44">
        <f>'Statistics NZ'!I$90*'Economic Forecasts'!K$9*1000000/SUM('Statistics NZ'!I$30:I$110,'Statistics NZ'!I$130:I$210)</f>
        <v>12960.30011518944</v>
      </c>
      <c r="J90" s="44">
        <f>'Statistics NZ'!J$90*'Economic Forecasts'!L$9*1000000/SUM('Statistics NZ'!J$30:J$110,'Statistics NZ'!J$130:J$210)</f>
        <v>13457.59749662944</v>
      </c>
      <c r="K90" s="44">
        <f>'Statistics NZ'!K$90*'Economic Forecasts'!M$9*1000000/SUM('Statistics NZ'!K$30:K$110,'Statistics NZ'!K$130:K$210)</f>
        <v>14555.647916993843</v>
      </c>
      <c r="L90" s="44">
        <f>'Statistics NZ'!L$90*'Economic Forecasts'!N$9*1000000/SUM('Statistics NZ'!L$30:L$110,'Statistics NZ'!L$130:L$210)</f>
        <v>15627.267113690161</v>
      </c>
      <c r="M90" s="44">
        <f>'Statistics NZ'!M$90*'Economic Forecasts'!O$9*1000000/SUM('Statistics NZ'!M$30:M$110,'Statistics NZ'!M$130:M$210)</f>
        <v>16002.561952986151</v>
      </c>
      <c r="N90" s="44">
        <f>'Statistics NZ'!N$90*'Economic Forecasts'!P$9*1000000/SUM('Statistics NZ'!N$30:N$110,'Statistics NZ'!N$130:N$210)</f>
        <v>14227.294430647373</v>
      </c>
      <c r="O90" s="44">
        <f>'Statistics NZ'!O$90*'Economic Forecasts'!Q$9*1000000/SUM('Statistics NZ'!O$30:O$110,'Statistics NZ'!O$130:O$210)</f>
        <v>15870.136108488157</v>
      </c>
      <c r="P90" s="44">
        <f>'Statistics NZ'!P$90*'Economic Forecasts'!R$9*1000000/SUM('Statistics NZ'!P$30:P$110,'Statistics NZ'!P$130:P$210)</f>
        <v>16811.456605354633</v>
      </c>
      <c r="Q90" s="44">
        <f>'Statistics NZ'!Q$90*'Economic Forecasts'!S$9*1000000/SUM('Statistics NZ'!Q$30:Q$110,'Statistics NZ'!Q$130:Q$210)</f>
        <v>17841.888894557447</v>
      </c>
      <c r="R90" s="44">
        <f>'Statistics NZ'!R$90*'Economic Forecasts'!T$9*1000000/SUM('Statistics NZ'!R$30:R$110,'Statistics NZ'!R$130:R$210)</f>
        <v>20991.545574636726</v>
      </c>
      <c r="S90" s="44">
        <f>'Statistics NZ'!S$90*'Economic Forecasts'!U$9*1000000/SUM('Statistics NZ'!S$30:S$110,'Statistics NZ'!S$130:S$210)</f>
        <v>20590.164864519851</v>
      </c>
      <c r="T90" s="44">
        <f>'Statistics NZ'!T$90*'Economic Forecasts'!V$9*1000000/SUM('Statistics NZ'!T$30:T$110,'Statistics NZ'!T$130:T$210)</f>
        <v>20388.061670434126</v>
      </c>
      <c r="U90" s="45">
        <f>SUM('Statistics NZ'!U$90,$Q$12/5*(U$8-U$9)*1000)*'Economic Forecasts'!W$9*1000000/SUM('Statistics NZ'!U$30:U$110,'Statistics NZ'!U$130:U$210,SUM($E$12:$T$13)*(U$8-U$9)*1000)</f>
        <v>21238.935102089607</v>
      </c>
      <c r="V90" s="45">
        <f>SUM('Statistics NZ'!V$90,$Q$12/5*(V$8-V$9)*1000)*'Economic Forecasts'!X$9*1000000/SUM('Statistics NZ'!V$30:V$110,'Statistics NZ'!V$130:V$210,SUM($E$12:$T$13)*(V$8-V$9)*1000)</f>
        <v>20972.761070683278</v>
      </c>
      <c r="W90" s="45">
        <f>SUM('Statistics NZ'!W$90,$Q$12/5*(W$8-W$9)*1000)*'Economic Forecasts'!Y$9*1000000/SUM('Statistics NZ'!W$30:W$110,'Statistics NZ'!W$130:W$210,SUM($E$12:$T$13)*(W$8-W$9)*1000)</f>
        <v>21660.266543401449</v>
      </c>
      <c r="X90" s="45">
        <f>SUM('Statistics NZ'!X$90,$Q$12/5*(X$8-X$9)*1000)*'Economic Forecasts'!Z$9*1000000/SUM('Statistics NZ'!X$30:X$110,'Statistics NZ'!X$130:X$210,SUM($E$12:$T$13)*(X$8-X$9)*1000)</f>
        <v>22130.216790372262</v>
      </c>
      <c r="Y90" s="45">
        <f>SUM('Statistics NZ'!Y$90,$Q$12/5*(Y$8-Y$9)*1000)*'Economic Forecasts'!AA$9*1000000/SUM('Statistics NZ'!Y$30:Y$110,'Statistics NZ'!Y$130:Y$210,SUM($E$12:$T$13)*(Y$8-Y$9)*1000)</f>
        <v>23019.757005453841</v>
      </c>
      <c r="Z90" s="46">
        <f>SUM(Y$90,'Statistics NZ'!Z$90-'Statistics NZ'!Y$90,$Q$12/5*(Z$8-Z$9)*1000)</f>
        <v>23670.627966695756</v>
      </c>
      <c r="AA90" s="46">
        <f>SUM(Z$90,'Statistics NZ'!AA$90-'Statistics NZ'!Z$90,$Q$12/5*(AA$8-AA$9)*1000)</f>
        <v>24501.150543440905</v>
      </c>
      <c r="AB90" s="46">
        <f>SUM(AA$90,'Statistics NZ'!AB$90-'Statistics NZ'!AA$90,$Q$12/5*(AB$8-AB$9)*1000)</f>
        <v>25141.394412588641</v>
      </c>
      <c r="AC90" s="46">
        <f>SUM(AB$90,'Statistics NZ'!AC$90-'Statistics NZ'!AB$90,$Q$12/5*(AC$8-AC$9)*1000)</f>
        <v>25891.394412588641</v>
      </c>
      <c r="AD90" s="46">
        <f>SUM(AC$90,'Statistics NZ'!AD$90-'Statistics NZ'!AC$90,$Q$12/5*(AD$8-AD$9)*1000)</f>
        <v>26811.394412588641</v>
      </c>
      <c r="AE90" s="46">
        <f>SUM(AD$90,'Statistics NZ'!AE$90-'Statistics NZ'!AD$90,$Q$12/5*(AE$8-AE$9)*1000)</f>
        <v>27251.394412588641</v>
      </c>
      <c r="AF90" s="46">
        <f>SUM(AE$90,'Statistics NZ'!AF$90-'Statistics NZ'!AE$90,$Q$12/5*(AF$8-AF$9)*1000)</f>
        <v>28511.394412588641</v>
      </c>
      <c r="AG90" s="46">
        <f>SUM(AF$90,'Statistics NZ'!AG$90-'Statistics NZ'!AF$90,$Q$12/5*(AG$8-AG$9)*1000)</f>
        <v>29491.394412588641</v>
      </c>
      <c r="AH90" s="46">
        <f>SUM(AG$90,'Statistics NZ'!AH$90-'Statistics NZ'!AG$90,$Q$12/5*(AH$8-AH$9)*1000)</f>
        <v>29841.394412588641</v>
      </c>
      <c r="AI90" s="46">
        <f>SUM(AH$90,'Statistics NZ'!AI$90-'Statistics NZ'!AH$90,$Q$12/5*(AI$8-AI$9)*1000)</f>
        <v>29341.394412588641</v>
      </c>
      <c r="AJ90" s="46">
        <f>SUM(AI$90,'Statistics NZ'!AJ$90-'Statistics NZ'!AI$90,$Q$12/5*(AJ$8-AJ$9)*1000)</f>
        <v>28631.394412588641</v>
      </c>
      <c r="AK90" s="46">
        <f>SUM(AJ$90,'Statistics NZ'!AK$90-'Statistics NZ'!AJ$90,$Q$12/5*(AK$8-AK$9)*1000)</f>
        <v>28381.394412588641</v>
      </c>
      <c r="AL90" s="46">
        <f>SUM(AK$90,'Statistics NZ'!AL$90-'Statistics NZ'!AK$90,$Q$12/5*(AL$8-AL$9)*1000)</f>
        <v>29191.394412588641</v>
      </c>
      <c r="AM90" s="46">
        <f>SUM(AL$90,'Statistics NZ'!AM$90-'Statistics NZ'!AL$90,$Q$12/5*(AM$8-AM$9)*1000)</f>
        <v>29661.394412588641</v>
      </c>
      <c r="AN90" s="46">
        <f>SUM(AM$90,'Statistics NZ'!AN$90-'Statistics NZ'!AM$90,$Q$12/5*(AN$8-AN$9)*1000)</f>
        <v>30441.394412588641</v>
      </c>
      <c r="AO90" s="46">
        <f>SUM(AN$90,'Statistics NZ'!AO$90-'Statistics NZ'!AN$90,$Q$12/5*(AO$8-AO$9)*1000)</f>
        <v>30561.394412588641</v>
      </c>
      <c r="AP90" s="46">
        <f>SUM(AO$90,'Statistics NZ'!AP$90-'Statistics NZ'!AO$90,$Q$12/5*(AP$8-AP$9)*1000)</f>
        <v>31971.394412588641</v>
      </c>
      <c r="AQ90" s="46">
        <f>SUM(AP$90,'Statistics NZ'!AQ$90-'Statistics NZ'!AP$90,$Q$12/5*(AQ$8-AQ$9)*1000)</f>
        <v>31681.394412588641</v>
      </c>
      <c r="AR90" s="46">
        <f>SUM(AQ$90,'Statistics NZ'!AR$90-'Statistics NZ'!AQ$90,$Q$12/5*(AR$8-AR$9)*1000)</f>
        <v>31001.394412588641</v>
      </c>
      <c r="AS90" s="46">
        <f>SUM(AR$90,'Statistics NZ'!AS$90-'Statistics NZ'!AR$90,$Q$12/5*(AS$8-AS$9)*1000)</f>
        <v>30311.394412588641</v>
      </c>
      <c r="AT90" s="46">
        <f>SUM(AS$90,'Statistics NZ'!AT$90-'Statistics NZ'!AS$90,$Q$12/5*(AT$8-AT$9)*1000)</f>
        <v>29451.394412588641</v>
      </c>
      <c r="AU90" s="46">
        <f>SUM(AT$90,'Statistics NZ'!AU$90-'Statistics NZ'!AT$90,$Q$12/5*(AU$8-AU$9)*1000)</f>
        <v>28521.394412588641</v>
      </c>
      <c r="AV90" s="46">
        <f>SUM(AU$90,'Statistics NZ'!AV$90-'Statistics NZ'!AU$90,$Q$12/5*(AV$8-AV$9)*1000)</f>
        <v>28971.394412588641</v>
      </c>
      <c r="AW90" s="46">
        <f>SUM(AV$90,'Statistics NZ'!AW$90-'Statistics NZ'!AV$90,$Q$12/5*(AW$8-AW$9)*1000)</f>
        <v>29061.394412588641</v>
      </c>
      <c r="AX90" s="46">
        <f>SUM(AW$90,'Statistics NZ'!AX$90-'Statistics NZ'!AW$90,$Q$12/5*(AX$8-AX$9)*1000)</f>
        <v>30241.394412588641</v>
      </c>
      <c r="AY90" s="46">
        <f>SUM(AX$90,'Statistics NZ'!AY$90-'Statistics NZ'!AX$90,$Q$12/5*(AY$8-AY$9)*1000)</f>
        <v>30951.394412588641</v>
      </c>
      <c r="AZ90" s="46">
        <f>SUM(AY$90,'Statistics NZ'!AZ$90-'Statistics NZ'!AY$90,$Q$12/5*(AZ$8-AZ$9)*1000)</f>
        <v>31731.394412588641</v>
      </c>
      <c r="BA90" s="46">
        <f>SUM(AZ$90,'Statistics NZ'!BA$90-'Statistics NZ'!AZ$90,$Q$12/5*(BA$8-BA$9)*1000)</f>
        <v>33001.394412588641</v>
      </c>
      <c r="BB90" s="46">
        <f>SUM(BA$90,'Statistics NZ'!BB$90-'Statistics NZ'!BA$90,$Q$12/5*(BB$8-BB$9)*1000)</f>
        <v>34111.394412588641</v>
      </c>
      <c r="BC90" s="46">
        <f>SUM(BB$90,'Statistics NZ'!BC$90-'Statistics NZ'!BB$90,$Q$12/5*(BC$8-BC$9)*1000)</f>
        <v>34871.394412588641</v>
      </c>
      <c r="BD90" s="46">
        <f>SUM(BC$90,'Statistics NZ'!BD$90-'Statistics NZ'!BC$90,$Q$12/5*(BD$8-BD$9)*1000)</f>
        <v>36201.394412588641</v>
      </c>
      <c r="BE90" s="46">
        <f>SUM(BD$90,'Statistics NZ'!BE$90-'Statistics NZ'!BD$90,$Q$12/5*(BE$8-BE$9)*1000)</f>
        <v>36911.394412588641</v>
      </c>
      <c r="BF90" s="46">
        <f>SUM(BE$90,'Statistics NZ'!BF$90-'Statistics NZ'!BE$90,$Q$12/5*(BF$8-BF$9)*1000)</f>
        <v>38511.394412588641</v>
      </c>
      <c r="BG90" s="46">
        <f>SUM(BF$90,'Statistics NZ'!BG$90-'Statistics NZ'!BF$90,$Q$12/5*(BG$8-BG$9)*1000)</f>
        <v>40681.394412588641</v>
      </c>
      <c r="BH90" s="46">
        <f>SUM(BG$90,'Statistics NZ'!BH$90-'Statistics NZ'!BG$90,$Q$12/5*(BH$8-BH$9)*1000)</f>
        <v>41701.394412588641</v>
      </c>
      <c r="BI90" s="46">
        <f>SUM(BH$90,'Statistics NZ'!BI$90-'Statistics NZ'!BH$90,$Q$12/5*(BI$8-BI$9)*1000)</f>
        <v>43371.394412588641</v>
      </c>
    </row>
    <row r="91" spans="1:61" x14ac:dyDescent="0.25">
      <c r="A91" s="11">
        <v>76</v>
      </c>
      <c r="B91" s="44">
        <f>'Statistics NZ'!B$91*'Economic Forecasts'!D$9*1000000/SUM('Statistics NZ'!B$30:B$110,'Statistics NZ'!B$130:B$210)</f>
        <v>11554.834178720512</v>
      </c>
      <c r="C91" s="44">
        <f>'Statistics NZ'!C$91*'Economic Forecasts'!E$9*1000000/SUM('Statistics NZ'!C$30:C$110,'Statistics NZ'!C$130:C$210)</f>
        <v>11597.512422882106</v>
      </c>
      <c r="D91" s="44">
        <f>'Statistics NZ'!D$91*'Economic Forecasts'!F$9*1000000/SUM('Statistics NZ'!D$30:D$110,'Statistics NZ'!D$130:D$210)</f>
        <v>11168.436853494397</v>
      </c>
      <c r="E91" s="44">
        <f>'Statistics NZ'!E$91*'Economic Forecasts'!G$9*1000000/SUM('Statistics NZ'!E$30:E$110,'Statistics NZ'!E$130:E$210)</f>
        <v>11229.041229596876</v>
      </c>
      <c r="F91" s="44">
        <f>'Statistics NZ'!F$91*'Economic Forecasts'!H$9*1000000/SUM('Statistics NZ'!F$30:F$110,'Statistics NZ'!F$130:F$210)</f>
        <v>11103.597084685302</v>
      </c>
      <c r="G91" s="44">
        <f>'Statistics NZ'!G$91*'Economic Forecasts'!I$9*1000000/SUM('Statistics NZ'!G$30:G$110,'Statistics NZ'!G$130:G$210)</f>
        <v>11177.973431300852</v>
      </c>
      <c r="H91" s="44">
        <f>'Statistics NZ'!H$91*'Economic Forecasts'!J$9*1000000/SUM('Statistics NZ'!H$30:H$110,'Statistics NZ'!H$130:H$210)</f>
        <v>11672.262926044188</v>
      </c>
      <c r="I91" s="44">
        <f>'Statistics NZ'!I$91*'Economic Forecasts'!K$9*1000000/SUM('Statistics NZ'!I$30:I$110,'Statistics NZ'!I$130:I$210)</f>
        <v>12225.033467202144</v>
      </c>
      <c r="J91" s="44">
        <f>'Statistics NZ'!J$91*'Economic Forecasts'!L$9*1000000/SUM('Statistics NZ'!J$30:J$110,'Statistics NZ'!J$130:J$210)</f>
        <v>12609.183741407149</v>
      </c>
      <c r="K91" s="44">
        <f>'Statistics NZ'!K$91*'Economic Forecasts'!M$9*1000000/SUM('Statistics NZ'!K$30:K$110,'Statistics NZ'!K$130:K$210)</f>
        <v>13143.896112335577</v>
      </c>
      <c r="L91" s="44">
        <f>'Statistics NZ'!L$91*'Economic Forecasts'!N$9*1000000/SUM('Statistics NZ'!L$30:L$110,'Statistics NZ'!L$130:L$210)</f>
        <v>14254.404395291212</v>
      </c>
      <c r="M91" s="44">
        <f>'Statistics NZ'!M$91*'Economic Forecasts'!O$9*1000000/SUM('Statistics NZ'!M$30:M$110,'Statistics NZ'!M$130:M$210)</f>
        <v>15318.691784055118</v>
      </c>
      <c r="N91" s="44">
        <f>'Statistics NZ'!N$91*'Economic Forecasts'!P$9*1000000/SUM('Statistics NZ'!N$30:N$110,'Statistics NZ'!N$130:N$210)</f>
        <v>15675.464702817806</v>
      </c>
      <c r="O91" s="44">
        <f>'Statistics NZ'!O$91*'Economic Forecasts'!Q$9*1000000/SUM('Statistics NZ'!O$30:O$110,'Statistics NZ'!O$130:O$210)</f>
        <v>13972.406078167081</v>
      </c>
      <c r="P91" s="44">
        <f>'Statistics NZ'!P$91*'Economic Forecasts'!R$9*1000000/SUM('Statistics NZ'!P$30:P$110,'Statistics NZ'!P$130:P$210)</f>
        <v>15593.092713441147</v>
      </c>
      <c r="Q91" s="44">
        <f>'Statistics NZ'!Q$91*'Economic Forecasts'!S$9*1000000/SUM('Statistics NZ'!Q$30:Q$110,'Statistics NZ'!Q$130:Q$210)</f>
        <v>16560.372375961731</v>
      </c>
      <c r="R91" s="44">
        <f>'Statistics NZ'!R$91*'Economic Forecasts'!T$9*1000000/SUM('Statistics NZ'!R$30:R$110,'Statistics NZ'!R$130:R$210)</f>
        <v>17356.861449996115</v>
      </c>
      <c r="S91" s="44">
        <f>'Statistics NZ'!S$91*'Economic Forecasts'!U$9*1000000/SUM('Statistics NZ'!S$30:S$110,'Statistics NZ'!S$130:S$210)</f>
        <v>20226.693442770214</v>
      </c>
      <c r="T91" s="44">
        <f>'Statistics NZ'!T$91*'Economic Forecasts'!V$9*1000000/SUM('Statistics NZ'!T$30:T$110,'Statistics NZ'!T$130:T$210)</f>
        <v>20368.238567205703</v>
      </c>
      <c r="U91" s="45">
        <f>SUM('Statistics NZ'!U$91,$Q$12/5*(U$8-U$9)*1000)*'Economic Forecasts'!W$9*1000000/SUM('Statistics NZ'!U$30:U$110,'Statistics NZ'!U$130:U$210,SUM($E$12:$T$13)*(U$8-U$9)*1000)</f>
        <v>20010.721520415929</v>
      </c>
      <c r="V91" s="45">
        <f>SUM('Statistics NZ'!V$91,$Q$12/5*(V$8-V$9)*1000)*'Economic Forecasts'!X$9*1000000/SUM('Statistics NZ'!V$30:V$110,'Statistics NZ'!V$130:V$210,SUM($E$12:$T$13)*(V$8-V$9)*1000)</f>
        <v>20853.951253960109</v>
      </c>
      <c r="W91" s="45">
        <f>SUM('Statistics NZ'!W$91,$Q$12/5*(W$8-W$9)*1000)*'Economic Forecasts'!Y$9*1000000/SUM('Statistics NZ'!W$30:W$110,'Statistics NZ'!W$130:W$210,SUM($E$12:$T$13)*(W$8-W$9)*1000)</f>
        <v>20620.451999107696</v>
      </c>
      <c r="X91" s="45">
        <f>SUM('Statistics NZ'!X$91,$Q$12/5*(X$8-X$9)*1000)*'Economic Forecasts'!Z$9*1000000/SUM('Statistics NZ'!X$30:X$110,'Statistics NZ'!X$130:X$210,SUM($E$12:$T$13)*(X$8-X$9)*1000)</f>
        <v>21298.174856479858</v>
      </c>
      <c r="Y91" s="45">
        <f>SUM('Statistics NZ'!Y$91,$Q$12/5*(Y$8-Y$9)*1000)*'Economic Forecasts'!AA$9*1000000/SUM('Statistics NZ'!Y$30:Y$110,'Statistics NZ'!Y$130:Y$210,SUM($E$12:$T$13)*(Y$8-Y$9)*1000)</f>
        <v>21771.235526126991</v>
      </c>
      <c r="Z91" s="46">
        <f>SUM(Y$91,'Statistics NZ'!Z$91-'Statistics NZ'!Y$91,$Q$12/5*(Z$8-Z$9)*1000)</f>
        <v>22662.106487368907</v>
      </c>
      <c r="AA91" s="46">
        <f>SUM(Z$91,'Statistics NZ'!AA$91-'Statistics NZ'!Z$91,$Q$12/5*(AA$8-AA$9)*1000)</f>
        <v>23312.629064114055</v>
      </c>
      <c r="AB91" s="46">
        <f>SUM(AA$91,'Statistics NZ'!AB$91-'Statistics NZ'!AA$91,$Q$12/5*(AB$8-AB$9)*1000)</f>
        <v>24132.872933261791</v>
      </c>
      <c r="AC91" s="46">
        <f>SUM(AB$91,'Statistics NZ'!AC$91-'Statistics NZ'!AB$91,$Q$12/5*(AC$8-AC$9)*1000)</f>
        <v>24772.872933261791</v>
      </c>
      <c r="AD91" s="46">
        <f>SUM(AC$91,'Statistics NZ'!AD$91-'Statistics NZ'!AC$91,$Q$12/5*(AD$8-AD$9)*1000)</f>
        <v>25522.872933261791</v>
      </c>
      <c r="AE91" s="46">
        <f>SUM(AD$91,'Statistics NZ'!AE$91-'Statistics NZ'!AD$91,$Q$12/5*(AE$8-AE$9)*1000)</f>
        <v>26432.872933261791</v>
      </c>
      <c r="AF91" s="46">
        <f>SUM(AE$91,'Statistics NZ'!AF$91-'Statistics NZ'!AE$91,$Q$12/5*(AF$8-AF$9)*1000)</f>
        <v>26882.872933261791</v>
      </c>
      <c r="AG91" s="46">
        <f>SUM(AF$91,'Statistics NZ'!AG$91-'Statistics NZ'!AF$91,$Q$12/5*(AG$8-AG$9)*1000)</f>
        <v>28122.872933261791</v>
      </c>
      <c r="AH91" s="46">
        <f>SUM(AG$91,'Statistics NZ'!AH$91-'Statistics NZ'!AG$91,$Q$12/5*(AH$8-AH$9)*1000)</f>
        <v>29102.872933261791</v>
      </c>
      <c r="AI91" s="46">
        <f>SUM(AH$91,'Statistics NZ'!AI$91-'Statistics NZ'!AH$91,$Q$12/5*(AI$8-AI$9)*1000)</f>
        <v>29452.872933261791</v>
      </c>
      <c r="AJ91" s="46">
        <f>SUM(AI$91,'Statistics NZ'!AJ$91-'Statistics NZ'!AI$91,$Q$12/5*(AJ$8-AJ$9)*1000)</f>
        <v>28962.872933261791</v>
      </c>
      <c r="AK91" s="46">
        <f>SUM(AJ$91,'Statistics NZ'!AK$91-'Statistics NZ'!AJ$91,$Q$12/5*(AK$8-AK$9)*1000)</f>
        <v>28272.872933261791</v>
      </c>
      <c r="AL91" s="46">
        <f>SUM(AK$91,'Statistics NZ'!AL$91-'Statistics NZ'!AK$91,$Q$12/5*(AL$8-AL$9)*1000)</f>
        <v>28042.872933261791</v>
      </c>
      <c r="AM91" s="46">
        <f>SUM(AL$91,'Statistics NZ'!AM$91-'Statistics NZ'!AL$91,$Q$12/5*(AM$8-AM$9)*1000)</f>
        <v>28842.872933261791</v>
      </c>
      <c r="AN91" s="46">
        <f>SUM(AM$91,'Statistics NZ'!AN$91-'Statistics NZ'!AM$91,$Q$12/5*(AN$8-AN$9)*1000)</f>
        <v>29322.872933261791</v>
      </c>
      <c r="AO91" s="46">
        <f>SUM(AN$91,'Statistics NZ'!AO$91-'Statistics NZ'!AN$91,$Q$12/5*(AO$8-AO$9)*1000)</f>
        <v>30102.872933261791</v>
      </c>
      <c r="AP91" s="46">
        <f>SUM(AO$91,'Statistics NZ'!AP$91-'Statistics NZ'!AO$91,$Q$12/5*(AP$8-AP$9)*1000)</f>
        <v>30222.872933261791</v>
      </c>
      <c r="AQ91" s="46">
        <f>SUM(AP$91,'Statistics NZ'!AQ$91-'Statistics NZ'!AP$91,$Q$12/5*(AQ$8-AQ$9)*1000)</f>
        <v>31622.872933261791</v>
      </c>
      <c r="AR91" s="46">
        <f>SUM(AQ$91,'Statistics NZ'!AR$91-'Statistics NZ'!AQ$91,$Q$12/5*(AR$8-AR$9)*1000)</f>
        <v>31352.872933261791</v>
      </c>
      <c r="AS91" s="46">
        <f>SUM(AR$91,'Statistics NZ'!AS$91-'Statistics NZ'!AR$91,$Q$12/5*(AS$8-AS$9)*1000)</f>
        <v>30682.872933261791</v>
      </c>
      <c r="AT91" s="46">
        <f>SUM(AS$91,'Statistics NZ'!AT$91-'Statistics NZ'!AS$91,$Q$12/5*(AT$8-AT$9)*1000)</f>
        <v>30002.872933261791</v>
      </c>
      <c r="AU91" s="46">
        <f>SUM(AT$91,'Statistics NZ'!AU$91-'Statistics NZ'!AT$91,$Q$12/5*(AU$8-AU$9)*1000)</f>
        <v>29152.872933261791</v>
      </c>
      <c r="AV91" s="46">
        <f>SUM(AU$91,'Statistics NZ'!AV$91-'Statistics NZ'!AU$91,$Q$12/5*(AV$8-AV$9)*1000)</f>
        <v>28242.872933261791</v>
      </c>
      <c r="AW91" s="46">
        <f>SUM(AV$91,'Statistics NZ'!AW$91-'Statistics NZ'!AV$91,$Q$12/5*(AW$8-AW$9)*1000)</f>
        <v>28692.872933261791</v>
      </c>
      <c r="AX91" s="46">
        <f>SUM(AW$91,'Statistics NZ'!AX$91-'Statistics NZ'!AW$91,$Q$12/5*(AX$8-AX$9)*1000)</f>
        <v>28792.872933261791</v>
      </c>
      <c r="AY91" s="46">
        <f>SUM(AX$91,'Statistics NZ'!AY$91-'Statistics NZ'!AX$91,$Q$12/5*(AY$8-AY$9)*1000)</f>
        <v>29962.872933261791</v>
      </c>
      <c r="AZ91" s="46">
        <f>SUM(AY$91,'Statistics NZ'!AZ$91-'Statistics NZ'!AY$91,$Q$12/5*(AZ$8-AZ$9)*1000)</f>
        <v>30672.872933261791</v>
      </c>
      <c r="BA91" s="46">
        <f>SUM(AZ$91,'Statistics NZ'!BA$91-'Statistics NZ'!AZ$91,$Q$12/5*(BA$8-BA$9)*1000)</f>
        <v>31452.872933261791</v>
      </c>
      <c r="BB91" s="46">
        <f>SUM(BA$91,'Statistics NZ'!BB$91-'Statistics NZ'!BA$91,$Q$12/5*(BB$8-BB$9)*1000)</f>
        <v>32722.872933261791</v>
      </c>
      <c r="BC91" s="46">
        <f>SUM(BB$91,'Statistics NZ'!BC$91-'Statistics NZ'!BB$91,$Q$12/5*(BC$8-BC$9)*1000)</f>
        <v>33822.872933261795</v>
      </c>
      <c r="BD91" s="46">
        <f>SUM(BC$91,'Statistics NZ'!BD$91-'Statistics NZ'!BC$91,$Q$12/5*(BD$8-BD$9)*1000)</f>
        <v>34582.872933261795</v>
      </c>
      <c r="BE91" s="46">
        <f>SUM(BD$91,'Statistics NZ'!BE$91-'Statistics NZ'!BD$91,$Q$12/5*(BE$8-BE$9)*1000)</f>
        <v>35912.872933261795</v>
      </c>
      <c r="BF91" s="46">
        <f>SUM(BE$91,'Statistics NZ'!BF$91-'Statistics NZ'!BE$91,$Q$12/5*(BF$8-BF$9)*1000)</f>
        <v>36622.872933261795</v>
      </c>
      <c r="BG91" s="46">
        <f>SUM(BF$91,'Statistics NZ'!BG$91-'Statistics NZ'!BF$91,$Q$12/5*(BG$8-BG$9)*1000)</f>
        <v>38212.872933261795</v>
      </c>
      <c r="BH91" s="46">
        <f>SUM(BG$91,'Statistics NZ'!BH$91-'Statistics NZ'!BG$91,$Q$12/5*(BH$8-BH$9)*1000)</f>
        <v>40372.872933261795</v>
      </c>
      <c r="BI91" s="46">
        <f>SUM(BH$91,'Statistics NZ'!BI$91-'Statistics NZ'!BH$91,$Q$12/5*(BI$8-BI$9)*1000)</f>
        <v>41382.872933261795</v>
      </c>
    </row>
    <row r="92" spans="1:61" x14ac:dyDescent="0.25">
      <c r="A92" s="11">
        <v>77</v>
      </c>
      <c r="B92" s="44">
        <f>'Statistics NZ'!B$92*'Economic Forecasts'!D$9*1000000/SUM('Statistics NZ'!B$30:B$110,'Statistics NZ'!B$130:B$210)</f>
        <v>10840.606494515096</v>
      </c>
      <c r="C92" s="44">
        <f>'Statistics NZ'!C$92*'Economic Forecasts'!E$9*1000000/SUM('Statistics NZ'!C$30:C$110,'Statistics NZ'!C$130:C$210)</f>
        <v>11253.809683846652</v>
      </c>
      <c r="D92" s="44">
        <f>'Statistics NZ'!D$92*'Economic Forecasts'!F$9*1000000/SUM('Statistics NZ'!D$30:D$110,'Statistics NZ'!D$130:D$210)</f>
        <v>11266.664090552396</v>
      </c>
      <c r="E92" s="44">
        <f>'Statistics NZ'!E$92*'Economic Forecasts'!G$9*1000000/SUM('Statistics NZ'!E$30:E$110,'Statistics NZ'!E$130:E$210)</f>
        <v>10836.760313279081</v>
      </c>
      <c r="F92" s="44">
        <f>'Statistics NZ'!F$92*'Economic Forecasts'!H$9*1000000/SUM('Statistics NZ'!F$30:F$110,'Statistics NZ'!F$130:F$210)</f>
        <v>10907.420457747399</v>
      </c>
      <c r="G92" s="44">
        <f>'Statistics NZ'!G$92*'Economic Forecasts'!I$9*1000000/SUM('Statistics NZ'!G$30:G$110,'Statistics NZ'!G$130:G$210)</f>
        <v>10853.831846737647</v>
      </c>
      <c r="H92" s="44">
        <f>'Statistics NZ'!H$92*'Economic Forecasts'!J$9*1000000/SUM('Statistics NZ'!H$30:H$110,'Statistics NZ'!H$130:H$210)</f>
        <v>10876.426817450267</v>
      </c>
      <c r="I92" s="44">
        <f>'Statistics NZ'!I$92*'Economic Forecasts'!K$9*1000000/SUM('Statistics NZ'!I$30:I$110,'Statistics NZ'!I$130:I$210)</f>
        <v>11313.302823697892</v>
      </c>
      <c r="J92" s="44">
        <f>'Statistics NZ'!J$92*'Economic Forecasts'!L$9*1000000/SUM('Statistics NZ'!J$30:J$110,'Statistics NZ'!J$130:J$210)</f>
        <v>11819.281279648463</v>
      </c>
      <c r="K92" s="44">
        <f>'Statistics NZ'!K$92*'Economic Forecasts'!M$9*1000000/SUM('Statistics NZ'!K$30:K$110,'Statistics NZ'!K$130:K$210)</f>
        <v>12287.108810198148</v>
      </c>
      <c r="L92" s="44">
        <f>'Statistics NZ'!L$92*'Economic Forecasts'!N$9*1000000/SUM('Statistics NZ'!L$30:L$110,'Statistics NZ'!L$130:L$210)</f>
        <v>12832.858601771733</v>
      </c>
      <c r="M92" s="44">
        <f>'Statistics NZ'!M$92*'Economic Forecasts'!O$9*1000000/SUM('Statistics NZ'!M$30:M$110,'Statistics NZ'!M$130:M$210)</f>
        <v>13960.721020034925</v>
      </c>
      <c r="N92" s="44">
        <f>'Statistics NZ'!N$92*'Economic Forecasts'!P$9*1000000/SUM('Statistics NZ'!N$30:N$110,'Statistics NZ'!N$130:N$210)</f>
        <v>14922.024763918324</v>
      </c>
      <c r="O92" s="44">
        <f>'Statistics NZ'!O$92*'Economic Forecasts'!Q$9*1000000/SUM('Statistics NZ'!O$30:O$110,'Statistics NZ'!O$130:O$210)</f>
        <v>15329.332213837073</v>
      </c>
      <c r="P92" s="44">
        <f>'Statistics NZ'!P$92*'Economic Forecasts'!R$9*1000000/SUM('Statistics NZ'!P$30:P$110,'Statistics NZ'!P$130:P$210)</f>
        <v>13736.070329798817</v>
      </c>
      <c r="Q92" s="44">
        <f>'Statistics NZ'!Q$92*'Economic Forecasts'!S$9*1000000/SUM('Statistics NZ'!Q$30:Q$110,'Statistics NZ'!Q$130:Q$210)</f>
        <v>15368.263986570366</v>
      </c>
      <c r="R92" s="44">
        <f>'Statistics NZ'!R$92*'Economic Forecasts'!T$9*1000000/SUM('Statistics NZ'!R$30:R$110,'Statistics NZ'!R$130:R$210)</f>
        <v>16062.3164193022</v>
      </c>
      <c r="S92" s="44">
        <f>'Statistics NZ'!S$92*'Economic Forecasts'!U$9*1000000/SUM('Statistics NZ'!S$30:S$110,'Statistics NZ'!S$130:S$210)</f>
        <v>16621.449881091405</v>
      </c>
      <c r="T92" s="44">
        <f>'Statistics NZ'!T$92*'Economic Forecasts'!V$9*1000000/SUM('Statistics NZ'!T$30:T$110,'Statistics NZ'!T$130:T$210)</f>
        <v>19951.953399408798</v>
      </c>
      <c r="U92" s="45">
        <f>SUM('Statistics NZ'!U$92,$Q$12/5*(U$8-U$9)*1000)*'Economic Forecasts'!W$9*1000000/SUM('Statistics NZ'!U$30:U$110,'Statistics NZ'!U$130:U$210,SUM($E$12:$T$13)*(U$8-U$9)*1000)</f>
        <v>19941.386882740804</v>
      </c>
      <c r="V92" s="45">
        <f>SUM('Statistics NZ'!V$92,$Q$12/5*(V$8-V$9)*1000)*'Economic Forecasts'!X$9*1000000/SUM('Statistics NZ'!V$30:V$110,'Statistics NZ'!V$130:V$210,SUM($E$12:$T$13)*(V$8-V$9)*1000)</f>
        <v>19606.44817836686</v>
      </c>
      <c r="W92" s="45">
        <f>SUM('Statistics NZ'!W$92,$Q$12/5*(W$8-W$9)*1000)*'Economic Forecasts'!Y$9*1000000/SUM('Statistics NZ'!W$30:W$110,'Statistics NZ'!W$130:W$210,SUM($E$12:$T$13)*(W$8-W$9)*1000)</f>
        <v>20452.101072888709</v>
      </c>
      <c r="X92" s="45">
        <f>SUM('Statistics NZ'!X$92,$Q$12/5*(X$8-X$9)*1000)*'Economic Forecasts'!Z$9*1000000/SUM('Statistics NZ'!X$30:X$110,'Statistics NZ'!X$130:X$210,SUM($E$12:$T$13)*(X$8-X$9)*1000)</f>
        <v>20228.406655761042</v>
      </c>
      <c r="Y92" s="45">
        <f>SUM('Statistics NZ'!Y$92,$Q$12/5*(Y$8-Y$9)*1000)*'Economic Forecasts'!AA$9*1000000/SUM('Statistics NZ'!Y$30:Y$110,'Statistics NZ'!Y$130:Y$210,SUM($E$12:$T$13)*(Y$8-Y$9)*1000)</f>
        <v>20909.161171353688</v>
      </c>
      <c r="Z92" s="46">
        <f>SUM(Y$92,'Statistics NZ'!Z$92-'Statistics NZ'!Y$92,$Q$12/5*(Z$8-Z$9)*1000)</f>
        <v>21390.032132595603</v>
      </c>
      <c r="AA92" s="46">
        <f>SUM(Z$92,'Statistics NZ'!AA$92-'Statistics NZ'!Z$92,$Q$12/5*(AA$8-AA$9)*1000)</f>
        <v>22260.554709340751</v>
      </c>
      <c r="AB92" s="46">
        <f>SUM(AA$92,'Statistics NZ'!AB$92-'Statistics NZ'!AA$92,$Q$12/5*(AB$8-AB$9)*1000)</f>
        <v>22910.798578488488</v>
      </c>
      <c r="AC92" s="46">
        <f>SUM(AB$92,'Statistics NZ'!AC$92-'Statistics NZ'!AB$92,$Q$12/5*(AC$8-AC$9)*1000)</f>
        <v>23730.798578488488</v>
      </c>
      <c r="AD92" s="46">
        <f>SUM(AC$92,'Statistics NZ'!AD$92-'Statistics NZ'!AC$92,$Q$12/5*(AD$8-AD$9)*1000)</f>
        <v>24370.798578488488</v>
      </c>
      <c r="AE92" s="46">
        <f>SUM(AD$92,'Statistics NZ'!AE$92-'Statistics NZ'!AD$92,$Q$12/5*(AE$8-AE$9)*1000)</f>
        <v>25110.798578488488</v>
      </c>
      <c r="AF92" s="46">
        <f>SUM(AE$92,'Statistics NZ'!AF$92-'Statistics NZ'!AE$92,$Q$12/5*(AF$8-AF$9)*1000)</f>
        <v>26010.798578488488</v>
      </c>
      <c r="AG92" s="46">
        <f>SUM(AF$92,'Statistics NZ'!AG$92-'Statistics NZ'!AF$92,$Q$12/5*(AG$8-AG$9)*1000)</f>
        <v>26460.798578488488</v>
      </c>
      <c r="AH92" s="46">
        <f>SUM(AG$92,'Statistics NZ'!AH$92-'Statistics NZ'!AG$92,$Q$12/5*(AH$8-AH$9)*1000)</f>
        <v>27700.798578488488</v>
      </c>
      <c r="AI92" s="46">
        <f>SUM(AH$92,'Statistics NZ'!AI$92-'Statistics NZ'!AH$92,$Q$12/5*(AI$8-AI$9)*1000)</f>
        <v>28670.798578488488</v>
      </c>
      <c r="AJ92" s="46">
        <f>SUM(AI$92,'Statistics NZ'!AJ$92-'Statistics NZ'!AI$92,$Q$12/5*(AJ$8-AJ$9)*1000)</f>
        <v>29020.798578488488</v>
      </c>
      <c r="AK92" s="46">
        <f>SUM(AJ$92,'Statistics NZ'!AK$92-'Statistics NZ'!AJ$92,$Q$12/5*(AK$8-AK$9)*1000)</f>
        <v>28550.798578488488</v>
      </c>
      <c r="AL92" s="46">
        <f>SUM(AK$92,'Statistics NZ'!AL$92-'Statistics NZ'!AK$92,$Q$12/5*(AL$8-AL$9)*1000)</f>
        <v>27880.798578488488</v>
      </c>
      <c r="AM92" s="46">
        <f>SUM(AL$92,'Statistics NZ'!AM$92-'Statistics NZ'!AL$92,$Q$12/5*(AM$8-AM$9)*1000)</f>
        <v>27660.798578488488</v>
      </c>
      <c r="AN92" s="46">
        <f>SUM(AM$92,'Statistics NZ'!AN$92-'Statistics NZ'!AM$92,$Q$12/5*(AN$8-AN$9)*1000)</f>
        <v>28460.798578488488</v>
      </c>
      <c r="AO92" s="46">
        <f>SUM(AN$92,'Statistics NZ'!AO$92-'Statistics NZ'!AN$92,$Q$12/5*(AO$8-AO$9)*1000)</f>
        <v>28930.798578488488</v>
      </c>
      <c r="AP92" s="46">
        <f>SUM(AO$92,'Statistics NZ'!AP$92-'Statistics NZ'!AO$92,$Q$12/5*(AP$8-AP$9)*1000)</f>
        <v>29710.798578488488</v>
      </c>
      <c r="AQ92" s="46">
        <f>SUM(AP$92,'Statistics NZ'!AQ$92-'Statistics NZ'!AP$92,$Q$12/5*(AQ$8-AQ$9)*1000)</f>
        <v>29840.798578488488</v>
      </c>
      <c r="AR92" s="46">
        <f>SUM(AQ$92,'Statistics NZ'!AR$92-'Statistics NZ'!AQ$92,$Q$12/5*(AR$8-AR$9)*1000)</f>
        <v>31230.798578488488</v>
      </c>
      <c r="AS92" s="46">
        <f>SUM(AR$92,'Statistics NZ'!AS$92-'Statistics NZ'!AR$92,$Q$12/5*(AS$8-AS$9)*1000)</f>
        <v>30970.798578488488</v>
      </c>
      <c r="AT92" s="46">
        <f>SUM(AS$92,'Statistics NZ'!AT$92-'Statistics NZ'!AS$92,$Q$12/5*(AT$8-AT$9)*1000)</f>
        <v>30320.798578488488</v>
      </c>
      <c r="AU92" s="46">
        <f>SUM(AT$92,'Statistics NZ'!AU$92-'Statistics NZ'!AT$92,$Q$12/5*(AU$8-AU$9)*1000)</f>
        <v>29650.798578488488</v>
      </c>
      <c r="AV92" s="46">
        <f>SUM(AU$92,'Statistics NZ'!AV$92-'Statistics NZ'!AU$92,$Q$12/5*(AV$8-AV$9)*1000)</f>
        <v>28830.798578488488</v>
      </c>
      <c r="AW92" s="46">
        <f>SUM(AV$92,'Statistics NZ'!AW$92-'Statistics NZ'!AV$92,$Q$12/5*(AW$8-AW$9)*1000)</f>
        <v>27930.798578488488</v>
      </c>
      <c r="AX92" s="46">
        <f>SUM(AW$92,'Statistics NZ'!AX$92-'Statistics NZ'!AW$92,$Q$12/5*(AX$8-AX$9)*1000)</f>
        <v>28380.798578488488</v>
      </c>
      <c r="AY92" s="46">
        <f>SUM(AX$92,'Statistics NZ'!AY$92-'Statistics NZ'!AX$92,$Q$12/5*(AY$8-AY$9)*1000)</f>
        <v>28480.798578488488</v>
      </c>
      <c r="AZ92" s="46">
        <f>SUM(AY$92,'Statistics NZ'!AZ$92-'Statistics NZ'!AY$92,$Q$12/5*(AZ$8-AZ$9)*1000)</f>
        <v>29650.798578488488</v>
      </c>
      <c r="BA92" s="46">
        <f>SUM(AZ$92,'Statistics NZ'!BA$92-'Statistics NZ'!AZ$92,$Q$12/5*(BA$8-BA$9)*1000)</f>
        <v>30360.798578488488</v>
      </c>
      <c r="BB92" s="46">
        <f>SUM(BA$92,'Statistics NZ'!BB$92-'Statistics NZ'!BA$92,$Q$12/5*(BB$8-BB$9)*1000)</f>
        <v>31140.798578488488</v>
      </c>
      <c r="BC92" s="46">
        <f>SUM(BB$92,'Statistics NZ'!BC$92-'Statistics NZ'!BB$92,$Q$12/5*(BC$8-BC$9)*1000)</f>
        <v>32400.798578488488</v>
      </c>
      <c r="BD92" s="46">
        <f>SUM(BC$92,'Statistics NZ'!BD$92-'Statistics NZ'!BC$92,$Q$12/5*(BD$8-BD$9)*1000)</f>
        <v>33500.798578488488</v>
      </c>
      <c r="BE92" s="46">
        <f>SUM(BD$92,'Statistics NZ'!BE$92-'Statistics NZ'!BD$92,$Q$12/5*(BE$8-BE$9)*1000)</f>
        <v>34260.798578488488</v>
      </c>
      <c r="BF92" s="46">
        <f>SUM(BE$92,'Statistics NZ'!BF$92-'Statistics NZ'!BE$92,$Q$12/5*(BF$8-BF$9)*1000)</f>
        <v>35570.798578488488</v>
      </c>
      <c r="BG92" s="46">
        <f>SUM(BF$92,'Statistics NZ'!BG$92-'Statistics NZ'!BF$92,$Q$12/5*(BG$8-BG$9)*1000)</f>
        <v>36290.798578488488</v>
      </c>
      <c r="BH92" s="46">
        <f>SUM(BG$92,'Statistics NZ'!BH$92-'Statistics NZ'!BG$92,$Q$12/5*(BH$8-BH$9)*1000)</f>
        <v>37870.798578488488</v>
      </c>
      <c r="BI92" s="46">
        <f>SUM(BH$92,'Statistics NZ'!BI$92-'Statistics NZ'!BH$92,$Q$12/5*(BI$8-BI$9)*1000)</f>
        <v>40020.798578488488</v>
      </c>
    </row>
    <row r="93" spans="1:61" x14ac:dyDescent="0.25">
      <c r="A93" s="11">
        <v>78</v>
      </c>
      <c r="B93" s="44">
        <f>'Statistics NZ'!B$93*'Economic Forecasts'!D$9*1000000/SUM('Statistics NZ'!B$30:B$110,'Statistics NZ'!B$130:B$210)</f>
        <v>10566.65614988836</v>
      </c>
      <c r="C93" s="44">
        <f>'Statistics NZ'!C$93*'Economic Forecasts'!E$9*1000000/SUM('Statistics NZ'!C$30:C$110,'Statistics NZ'!C$130:C$210)</f>
        <v>10546.764049259426</v>
      </c>
      <c r="D93" s="44">
        <f>'Statistics NZ'!D$93*'Economic Forecasts'!F$9*1000000/SUM('Statistics NZ'!D$30:D$110,'Statistics NZ'!D$130:D$210)</f>
        <v>10913.046037143604</v>
      </c>
      <c r="E93" s="44">
        <f>'Statistics NZ'!E$93*'Economic Forecasts'!G$9*1000000/SUM('Statistics NZ'!E$30:E$110,'Statistics NZ'!E$130:E$210)</f>
        <v>10915.216496542644</v>
      </c>
      <c r="F93" s="44">
        <f>'Statistics NZ'!F$93*'Economic Forecasts'!H$9*1000000/SUM('Statistics NZ'!F$30:F$110,'Statistics NZ'!F$130:F$210)</f>
        <v>10505.258372524699</v>
      </c>
      <c r="G93" s="44">
        <f>'Statistics NZ'!G$93*'Economic Forecasts'!I$9*1000000/SUM('Statistics NZ'!G$30:G$110,'Statistics NZ'!G$130:G$210)</f>
        <v>10608.270040250371</v>
      </c>
      <c r="H93" s="44">
        <f>'Statistics NZ'!H$93*'Economic Forecasts'!J$9*1000000/SUM('Statistics NZ'!H$30:H$110,'Statistics NZ'!H$130:H$210)</f>
        <v>10562.022428869952</v>
      </c>
      <c r="I93" s="44">
        <f>'Statistics NZ'!I$93*'Economic Forecasts'!K$9*1000000/SUM('Statistics NZ'!I$30:I$110,'Statistics NZ'!I$130:I$210)</f>
        <v>10519.214843871612</v>
      </c>
      <c r="J93" s="44">
        <f>'Statistics NZ'!J$93*'Economic Forecasts'!L$9*1000000/SUM('Statistics NZ'!J$30:J$110,'Statistics NZ'!J$130:J$210)</f>
        <v>10902.604348718631</v>
      </c>
      <c r="K93" s="44">
        <f>'Statistics NZ'!K$93*'Economic Forecasts'!M$9*1000000/SUM('Statistics NZ'!K$30:K$110,'Statistics NZ'!K$130:K$210)</f>
        <v>11440.057727403188</v>
      </c>
      <c r="L93" s="44">
        <f>'Statistics NZ'!L$93*'Economic Forecasts'!N$9*1000000/SUM('Statistics NZ'!L$30:L$110,'Statistics NZ'!L$130:L$210)</f>
        <v>11898.143559457556</v>
      </c>
      <c r="M93" s="44">
        <f>'Statistics NZ'!M$93*'Economic Forecasts'!O$9*1000000/SUM('Statistics NZ'!M$30:M$110,'Statistics NZ'!M$130:M$210)</f>
        <v>12544.132812963502</v>
      </c>
      <c r="N93" s="44">
        <f>'Statistics NZ'!N$93*'Economic Forecasts'!P$9*1000000/SUM('Statistics NZ'!N$30:N$110,'Statistics NZ'!N$130:N$210)</f>
        <v>13561.918900190687</v>
      </c>
      <c r="O93" s="44">
        <f>'Statistics NZ'!O$93*'Economic Forecasts'!Q$9*1000000/SUM('Statistics NZ'!O$30:O$110,'Statistics NZ'!O$130:O$210)</f>
        <v>14591.872357494687</v>
      </c>
      <c r="P93" s="44">
        <f>'Statistics NZ'!P$93*'Economic Forecasts'!R$9*1000000/SUM('Statistics NZ'!P$30:P$110,'Statistics NZ'!P$130:P$210)</f>
        <v>14954.434221712303</v>
      </c>
      <c r="Q93" s="44">
        <f>'Statistics NZ'!Q$93*'Economic Forecasts'!S$9*1000000/SUM('Statistics NZ'!Q$30:Q$110,'Statistics NZ'!Q$130:Q$210)</f>
        <v>13520.495983013749</v>
      </c>
      <c r="R93" s="44">
        <f>'Statistics NZ'!R$93*'Economic Forecasts'!T$9*1000000/SUM('Statistics NZ'!R$30:R$110,'Statistics NZ'!R$130:R$210)</f>
        <v>14887.267852980031</v>
      </c>
      <c r="S93" s="44">
        <f>'Statistics NZ'!S$93*'Economic Forecasts'!U$9*1000000/SUM('Statistics NZ'!S$30:S$110,'Statistics NZ'!S$130:S$210)</f>
        <v>15383.682336754811</v>
      </c>
      <c r="T93" s="44">
        <f>'Statistics NZ'!T$93*'Economic Forecasts'!V$9*1000000/SUM('Statistics NZ'!T$30:T$110,'Statistics NZ'!T$130:T$210)</f>
        <v>16383.79481829247</v>
      </c>
      <c r="U93" s="45">
        <f>SUM('Statistics NZ'!U$93,$Q$12/5*(U$8-U$9)*1000)*'Economic Forecasts'!W$9*1000000/SUM('Statistics NZ'!U$30:U$110,'Statistics NZ'!U$130:U$210,SUM($E$12:$T$13)*(U$8-U$9)*1000)</f>
        <v>19475.854315493521</v>
      </c>
      <c r="V93" s="45">
        <f>SUM('Statistics NZ'!V$93,$Q$12/5*(V$8-V$9)*1000)*'Economic Forecasts'!X$9*1000000/SUM('Statistics NZ'!V$30:V$110,'Statistics NZ'!V$130:V$210,SUM($E$12:$T$13)*(V$8-V$9)*1000)</f>
        <v>19487.638361643691</v>
      </c>
      <c r="W93" s="45">
        <f>SUM('Statistics NZ'!W$93,$Q$12/5*(W$8-W$9)*1000)*'Economic Forecasts'!Y$9*1000000/SUM('Statistics NZ'!W$30:W$110,'Statistics NZ'!W$130:W$210,SUM($E$12:$T$13)*(W$8-W$9)*1000)</f>
        <v>19174.614632756384</v>
      </c>
      <c r="X93" s="45">
        <f>SUM('Statistics NZ'!X$93,$Q$12/5*(X$8-X$9)*1000)*'Economic Forecasts'!Z$9*1000000/SUM('Statistics NZ'!X$30:X$110,'Statistics NZ'!X$130:X$210,SUM($E$12:$T$13)*(X$8-X$9)*1000)</f>
        <v>20020.396172287939</v>
      </c>
      <c r="Y93" s="45">
        <f>SUM('Statistics NZ'!Y$93,$Q$12/5*(Y$8-Y$9)*1000)*'Economic Forecasts'!AA$9*1000000/SUM('Statistics NZ'!Y$30:Y$110,'Statistics NZ'!Y$130:Y$210,SUM($E$12:$T$13)*(Y$8-Y$9)*1000)</f>
        <v>19809.273201470511</v>
      </c>
      <c r="Z93" s="46">
        <f>SUM(Y$93,'Statistics NZ'!Z$93-'Statistics NZ'!Y$93,$Q$12/5*(Z$8-Z$9)*1000)</f>
        <v>20490.144162712426</v>
      </c>
      <c r="AA93" s="46">
        <f>SUM(Z$93,'Statistics NZ'!AA$93-'Statistics NZ'!Z$93,$Q$12/5*(AA$8-AA$9)*1000)</f>
        <v>20960.666739457574</v>
      </c>
      <c r="AB93" s="46">
        <f>SUM(AA$93,'Statistics NZ'!AB$93-'Statistics NZ'!AA$93,$Q$12/5*(AB$8-AB$9)*1000)</f>
        <v>21830.910608605311</v>
      </c>
      <c r="AC93" s="46">
        <f>SUM(AB$93,'Statistics NZ'!AC$93-'Statistics NZ'!AB$93,$Q$12/5*(AC$8-AC$9)*1000)</f>
        <v>22470.910608605311</v>
      </c>
      <c r="AD93" s="46">
        <f>SUM(AC$93,'Statistics NZ'!AD$93-'Statistics NZ'!AC$93,$Q$12/5*(AD$8-AD$9)*1000)</f>
        <v>23280.910608605311</v>
      </c>
      <c r="AE93" s="46">
        <f>SUM(AD$93,'Statistics NZ'!AE$93-'Statistics NZ'!AD$93,$Q$12/5*(AE$8-AE$9)*1000)</f>
        <v>23920.910608605311</v>
      </c>
      <c r="AF93" s="46">
        <f>SUM(AE$93,'Statistics NZ'!AF$93-'Statistics NZ'!AE$93,$Q$12/5*(AF$8-AF$9)*1000)</f>
        <v>24650.910608605311</v>
      </c>
      <c r="AG93" s="46">
        <f>SUM(AF$93,'Statistics NZ'!AG$93-'Statistics NZ'!AF$93,$Q$12/5*(AG$8-AG$9)*1000)</f>
        <v>25550.910608605311</v>
      </c>
      <c r="AH93" s="46">
        <f>SUM(AG$93,'Statistics NZ'!AH$93-'Statistics NZ'!AG$93,$Q$12/5*(AH$8-AH$9)*1000)</f>
        <v>26000.910608605311</v>
      </c>
      <c r="AI93" s="46">
        <f>SUM(AH$93,'Statistics NZ'!AI$93-'Statistics NZ'!AH$93,$Q$12/5*(AI$8-AI$9)*1000)</f>
        <v>27230.910608605311</v>
      </c>
      <c r="AJ93" s="46">
        <f>SUM(AI$93,'Statistics NZ'!AJ$93-'Statistics NZ'!AI$93,$Q$12/5*(AJ$8-AJ$9)*1000)</f>
        <v>28190.910608605311</v>
      </c>
      <c r="AK93" s="46">
        <f>SUM(AJ$93,'Statistics NZ'!AK$93-'Statistics NZ'!AJ$93,$Q$12/5*(AK$8-AK$9)*1000)</f>
        <v>28550.910608605311</v>
      </c>
      <c r="AL93" s="46">
        <f>SUM(AK$93,'Statistics NZ'!AL$93-'Statistics NZ'!AK$93,$Q$12/5*(AL$8-AL$9)*1000)</f>
        <v>28100.910608605311</v>
      </c>
      <c r="AM93" s="46">
        <f>SUM(AL$93,'Statistics NZ'!AM$93-'Statistics NZ'!AL$93,$Q$12/5*(AM$8-AM$9)*1000)</f>
        <v>27440.910608605311</v>
      </c>
      <c r="AN93" s="46">
        <f>SUM(AM$93,'Statistics NZ'!AN$93-'Statistics NZ'!AM$93,$Q$12/5*(AN$8-AN$9)*1000)</f>
        <v>27230.910608605311</v>
      </c>
      <c r="AO93" s="46">
        <f>SUM(AN$93,'Statistics NZ'!AO$93-'Statistics NZ'!AN$93,$Q$12/5*(AO$8-AO$9)*1000)</f>
        <v>28030.910608605311</v>
      </c>
      <c r="AP93" s="46">
        <f>SUM(AO$93,'Statistics NZ'!AP$93-'Statistics NZ'!AO$93,$Q$12/5*(AP$8-AP$9)*1000)</f>
        <v>28510.910608605311</v>
      </c>
      <c r="AQ93" s="46">
        <f>SUM(AP$93,'Statistics NZ'!AQ$93-'Statistics NZ'!AP$93,$Q$12/5*(AQ$8-AQ$9)*1000)</f>
        <v>29280.910608605311</v>
      </c>
      <c r="AR93" s="46">
        <f>SUM(AQ$93,'Statistics NZ'!AR$93-'Statistics NZ'!AQ$93,$Q$12/5*(AR$8-AR$9)*1000)</f>
        <v>29410.910608605311</v>
      </c>
      <c r="AS93" s="46">
        <f>SUM(AR$93,'Statistics NZ'!AS$93-'Statistics NZ'!AR$93,$Q$12/5*(AS$8-AS$9)*1000)</f>
        <v>30790.910608605311</v>
      </c>
      <c r="AT93" s="46">
        <f>SUM(AS$93,'Statistics NZ'!AT$93-'Statistics NZ'!AS$93,$Q$12/5*(AT$8-AT$9)*1000)</f>
        <v>30550.910608605311</v>
      </c>
      <c r="AU93" s="46">
        <f>SUM(AT$93,'Statistics NZ'!AU$93-'Statistics NZ'!AT$93,$Q$12/5*(AU$8-AU$9)*1000)</f>
        <v>29910.910608605311</v>
      </c>
      <c r="AV93" s="46">
        <f>SUM(AU$93,'Statistics NZ'!AV$93-'Statistics NZ'!AU$93,$Q$12/5*(AV$8-AV$9)*1000)</f>
        <v>29270.910608605311</v>
      </c>
      <c r="AW93" s="46">
        <f>SUM(AV$93,'Statistics NZ'!AW$93-'Statistics NZ'!AV$93,$Q$12/5*(AW$8-AW$9)*1000)</f>
        <v>28460.910608605311</v>
      </c>
      <c r="AX93" s="46">
        <f>SUM(AW$93,'Statistics NZ'!AX$93-'Statistics NZ'!AW$93,$Q$12/5*(AX$8-AX$9)*1000)</f>
        <v>27580.910608605311</v>
      </c>
      <c r="AY93" s="46">
        <f>SUM(AX$93,'Statistics NZ'!AY$93-'Statistics NZ'!AX$93,$Q$12/5*(AY$8-AY$9)*1000)</f>
        <v>28030.910608605311</v>
      </c>
      <c r="AZ93" s="46">
        <f>SUM(AY$93,'Statistics NZ'!AZ$93-'Statistics NZ'!AY$93,$Q$12/5*(AZ$8-AZ$9)*1000)</f>
        <v>28140.910608605311</v>
      </c>
      <c r="BA93" s="46">
        <f>SUM(AZ$93,'Statistics NZ'!BA$93-'Statistics NZ'!AZ$93,$Q$12/5*(BA$8-BA$9)*1000)</f>
        <v>29300.910608605311</v>
      </c>
      <c r="BB93" s="46">
        <f>SUM(BA$93,'Statistics NZ'!BB$93-'Statistics NZ'!BA$93,$Q$12/5*(BB$8-BB$9)*1000)</f>
        <v>30010.910608605311</v>
      </c>
      <c r="BC93" s="46">
        <f>SUM(BB$93,'Statistics NZ'!BC$93-'Statistics NZ'!BB$93,$Q$12/5*(BC$8-BC$9)*1000)</f>
        <v>30780.910608605311</v>
      </c>
      <c r="BD93" s="46">
        <f>SUM(BC$93,'Statistics NZ'!BD$93-'Statistics NZ'!BC$93,$Q$12/5*(BD$8-BD$9)*1000)</f>
        <v>32040.910608605311</v>
      </c>
      <c r="BE93" s="46">
        <f>SUM(BD$93,'Statistics NZ'!BE$93-'Statistics NZ'!BD$93,$Q$12/5*(BE$8-BE$9)*1000)</f>
        <v>33130.910608605307</v>
      </c>
      <c r="BF93" s="46">
        <f>SUM(BE$93,'Statistics NZ'!BF$93-'Statistics NZ'!BE$93,$Q$12/5*(BF$8-BF$9)*1000)</f>
        <v>33890.910608605307</v>
      </c>
      <c r="BG93" s="46">
        <f>SUM(BF$93,'Statistics NZ'!BG$93-'Statistics NZ'!BF$93,$Q$12/5*(BG$8-BG$9)*1000)</f>
        <v>35200.910608605307</v>
      </c>
      <c r="BH93" s="46">
        <f>SUM(BG$93,'Statistics NZ'!BH$93-'Statistics NZ'!BG$93,$Q$12/5*(BH$8-BH$9)*1000)</f>
        <v>35910.910608605307</v>
      </c>
      <c r="BI93" s="46">
        <f>SUM(BH$93,'Statistics NZ'!BI$93-'Statistics NZ'!BH$93,$Q$12/5*(BI$8-BI$9)*1000)</f>
        <v>37490.910608605307</v>
      </c>
    </row>
    <row r="94" spans="1:61" x14ac:dyDescent="0.25">
      <c r="A94" s="11">
        <v>79</v>
      </c>
      <c r="B94" s="44">
        <f>'Statistics NZ'!B$94*'Economic Forecasts'!D$9*1000000/SUM('Statistics NZ'!B$30:B$110,'Statistics NZ'!B$130:B$210)</f>
        <v>9999.1875788758352</v>
      </c>
      <c r="C94" s="44">
        <f>'Statistics NZ'!C$94*'Economic Forecasts'!E$9*1000000/SUM('Statistics NZ'!C$30:C$110,'Statistics NZ'!C$130:C$210)</f>
        <v>10203.061310223971</v>
      </c>
      <c r="D94" s="44">
        <f>'Statistics NZ'!D$94*'Economic Forecasts'!F$9*1000000/SUM('Statistics NZ'!D$30:D$110,'Statistics NZ'!D$130:D$210)</f>
        <v>10176.341759208617</v>
      </c>
      <c r="E94" s="44">
        <f>'Statistics NZ'!E$94*'Economic Forecasts'!G$9*1000000/SUM('Statistics NZ'!E$30:E$110,'Statistics NZ'!E$130:E$210)</f>
        <v>10503.321534408959</v>
      </c>
      <c r="F94" s="44">
        <f>'Statistics NZ'!F$94*'Economic Forecasts'!H$9*1000000/SUM('Statistics NZ'!F$30:F$110,'Statistics NZ'!F$130:F$210)</f>
        <v>10593.537854646755</v>
      </c>
      <c r="G94" s="44">
        <f>'Statistics NZ'!G$94*'Economic Forecasts'!I$9*1000000/SUM('Statistics NZ'!G$30:G$110,'Statistics NZ'!G$130:G$210)</f>
        <v>10176.081260832761</v>
      </c>
      <c r="H94" s="44">
        <f>'Statistics NZ'!H$94*'Economic Forecasts'!J$9*1000000/SUM('Statistics NZ'!H$30:H$110,'Statistics NZ'!H$130:H$210)</f>
        <v>10277.093451719042</v>
      </c>
      <c r="I94" s="44">
        <f>'Statistics NZ'!I$94*'Economic Forecasts'!K$9*1000000/SUM('Statistics NZ'!I$30:I$110,'Statistics NZ'!I$130:I$210)</f>
        <v>10176.090408144204</v>
      </c>
      <c r="J94" s="44">
        <f>'Statistics NZ'!J$94*'Economic Forecasts'!L$9*1000000/SUM('Statistics NZ'!J$30:J$110,'Statistics NZ'!J$130:J$210)</f>
        <v>10122.453769203883</v>
      </c>
      <c r="K94" s="44">
        <f>'Statistics NZ'!K$94*'Economic Forecasts'!M$9*1000000/SUM('Statistics NZ'!K$30:K$110,'Statistics NZ'!K$130:K$210)</f>
        <v>10544.325547895874</v>
      </c>
      <c r="L94" s="44">
        <f>'Statistics NZ'!L$94*'Economic Forecasts'!N$9*1000000/SUM('Statistics NZ'!L$30:L$110,'Statistics NZ'!L$130:L$210)</f>
        <v>11041.321437336226</v>
      </c>
      <c r="M94" s="44">
        <f>'Statistics NZ'!M$94*'Economic Forecasts'!O$9*1000000/SUM('Statistics NZ'!M$30:M$110,'Statistics NZ'!M$130:M$210)</f>
        <v>11557.405854934441</v>
      </c>
      <c r="N94" s="44">
        <f>'Statistics NZ'!N$94*'Economic Forecasts'!P$9*1000000/SUM('Statistics NZ'!N$30:N$110,'Statistics NZ'!N$130:N$210)</f>
        <v>12143.103430834517</v>
      </c>
      <c r="O94" s="44">
        <f>'Statistics NZ'!O$94*'Economic Forecasts'!Q$9*1000000/SUM('Statistics NZ'!O$30:O$110,'Statistics NZ'!O$130:O$210)</f>
        <v>13175.949433317304</v>
      </c>
      <c r="P94" s="44">
        <f>'Statistics NZ'!P$94*'Economic Forecasts'!R$9*1000000/SUM('Statistics NZ'!P$30:P$110,'Statistics NZ'!P$130:P$210)</f>
        <v>14207.695062152425</v>
      </c>
      <c r="Q94" s="44">
        <f>'Statistics NZ'!Q$94*'Economic Forecasts'!S$9*1000000/SUM('Statistics NZ'!Q$30:Q$110,'Statistics NZ'!Q$130:Q$210)</f>
        <v>14623.196243200762</v>
      </c>
      <c r="R94" s="44">
        <f>'Statistics NZ'!R$94*'Economic Forecasts'!T$9*1000000/SUM('Statistics NZ'!R$30:R$110,'Statistics NZ'!R$130:R$210)</f>
        <v>13104.778926101486</v>
      </c>
      <c r="S94" s="44">
        <f>'Statistics NZ'!S$94*'Economic Forecasts'!U$9*1000000/SUM('Statistics NZ'!S$30:S$110,'Statistics NZ'!S$130:S$210)</f>
        <v>14155.738344357396</v>
      </c>
      <c r="T94" s="44">
        <f>'Statistics NZ'!T$94*'Economic Forecasts'!V$9*1000000/SUM('Statistics NZ'!T$30:T$110,'Statistics NZ'!T$130:T$210)</f>
        <v>15035.823798759637</v>
      </c>
      <c r="U94" s="45">
        <f>SUM('Statistics NZ'!U$94,$Q$12/5*(U$8-U$9)*1000)*'Economic Forecasts'!W$9*1000000/SUM('Statistics NZ'!U$30:U$110,'Statistics NZ'!U$130:U$210,SUM($E$12:$T$13)*(U$8-U$9)*1000)</f>
        <v>15939.787794062058</v>
      </c>
      <c r="V94" s="45">
        <f>SUM('Statistics NZ'!V$94,$Q$12/5*(V$8-V$9)*1000)*'Economic Forecasts'!X$9*1000000/SUM('Statistics NZ'!V$30:V$110,'Statistics NZ'!V$130:V$210,SUM($E$12:$T$13)*(V$8-V$9)*1000)</f>
        <v>18962.895004449707</v>
      </c>
      <c r="W94" s="45">
        <f>SUM('Statistics NZ'!W$94,$Q$12/5*(W$8-W$9)*1000)*'Economic Forecasts'!Y$9*1000000/SUM('Statistics NZ'!W$30:W$110,'Statistics NZ'!W$130:W$210,SUM($E$12:$T$13)*(W$8-W$9)*1000)</f>
        <v>18996.360710877456</v>
      </c>
      <c r="X94" s="45">
        <f>SUM('Statistics NZ'!X$94,$Q$12/5*(X$8-X$9)*1000)*'Economic Forecasts'!Z$9*1000000/SUM('Statistics NZ'!X$30:X$110,'Statistics NZ'!X$130:X$210,SUM($E$12:$T$13)*(X$8-X$9)*1000)</f>
        <v>18702.996443624965</v>
      </c>
      <c r="Y94" s="45">
        <f>SUM('Statistics NZ'!Y$94,$Q$12/5*(Y$8-Y$9)*1000)*'Economic Forecasts'!AA$9*1000000/SUM('Statistics NZ'!Y$30:Y$110,'Statistics NZ'!Y$130:Y$210,SUM($E$12:$T$13)*(Y$8-Y$9)*1000)</f>
        <v>19541.732884471901</v>
      </c>
      <c r="Z94" s="46">
        <f>SUM(Y$94,'Statistics NZ'!Z$94-'Statistics NZ'!Y$94,$Q$12/5*(Z$8-Z$9)*1000)</f>
        <v>19342.603845713817</v>
      </c>
      <c r="AA94" s="46">
        <f>SUM(Z$94,'Statistics NZ'!AA$94-'Statistics NZ'!Z$94,$Q$12/5*(AA$8-AA$9)*1000)</f>
        <v>20013.126422458965</v>
      </c>
      <c r="AB94" s="46">
        <f>SUM(AA$94,'Statistics NZ'!AB$94-'Statistics NZ'!AA$94,$Q$12/5*(AB$8-AB$9)*1000)</f>
        <v>20483.370291606701</v>
      </c>
      <c r="AC94" s="46">
        <f>SUM(AB$94,'Statistics NZ'!AC$94-'Statistics NZ'!AB$94,$Q$12/5*(AC$8-AC$9)*1000)</f>
        <v>21343.370291606701</v>
      </c>
      <c r="AD94" s="46">
        <f>SUM(AC$94,'Statistics NZ'!AD$94-'Statistics NZ'!AC$94,$Q$12/5*(AD$8-AD$9)*1000)</f>
        <v>21983.370291606701</v>
      </c>
      <c r="AE94" s="46">
        <f>SUM(AD$94,'Statistics NZ'!AE$94-'Statistics NZ'!AD$94,$Q$12/5*(AE$8-AE$9)*1000)</f>
        <v>22783.370291606701</v>
      </c>
      <c r="AF94" s="46">
        <f>SUM(AE$94,'Statistics NZ'!AF$94-'Statistics NZ'!AE$94,$Q$12/5*(AF$8-AF$9)*1000)</f>
        <v>23413.370291606701</v>
      </c>
      <c r="AG94" s="46">
        <f>SUM(AF$94,'Statistics NZ'!AG$94-'Statistics NZ'!AF$94,$Q$12/5*(AG$8-AG$9)*1000)</f>
        <v>24143.370291606701</v>
      </c>
      <c r="AH94" s="46">
        <f>SUM(AG$94,'Statistics NZ'!AH$94-'Statistics NZ'!AG$94,$Q$12/5*(AH$8-AH$9)*1000)</f>
        <v>25033.370291606701</v>
      </c>
      <c r="AI94" s="46">
        <f>SUM(AH$94,'Statistics NZ'!AI$94-'Statistics NZ'!AH$94,$Q$12/5*(AI$8-AI$9)*1000)</f>
        <v>25483.370291606701</v>
      </c>
      <c r="AJ94" s="46">
        <f>SUM(AI$94,'Statistics NZ'!AJ$94-'Statistics NZ'!AI$94,$Q$12/5*(AJ$8-AJ$9)*1000)</f>
        <v>26693.370291606701</v>
      </c>
      <c r="AK94" s="46">
        <f>SUM(AJ$94,'Statistics NZ'!AK$94-'Statistics NZ'!AJ$94,$Q$12/5*(AK$8-AK$9)*1000)</f>
        <v>27653.370291606701</v>
      </c>
      <c r="AL94" s="46">
        <f>SUM(AK$94,'Statistics NZ'!AL$94-'Statistics NZ'!AK$94,$Q$12/5*(AL$8-AL$9)*1000)</f>
        <v>28013.370291606701</v>
      </c>
      <c r="AM94" s="46">
        <f>SUM(AL$94,'Statistics NZ'!AM$94-'Statistics NZ'!AL$94,$Q$12/5*(AM$8-AM$9)*1000)</f>
        <v>27573.370291606701</v>
      </c>
      <c r="AN94" s="46">
        <f>SUM(AM$94,'Statistics NZ'!AN$94-'Statistics NZ'!AM$94,$Q$12/5*(AN$8-AN$9)*1000)</f>
        <v>26943.370291606701</v>
      </c>
      <c r="AO94" s="46">
        <f>SUM(AN$94,'Statistics NZ'!AO$94-'Statistics NZ'!AN$94,$Q$12/5*(AO$8-AO$9)*1000)</f>
        <v>26753.370291606701</v>
      </c>
      <c r="AP94" s="46">
        <f>SUM(AO$94,'Statistics NZ'!AP$94-'Statistics NZ'!AO$94,$Q$12/5*(AP$8-AP$9)*1000)</f>
        <v>27533.370291606701</v>
      </c>
      <c r="AQ94" s="46">
        <f>SUM(AP$94,'Statistics NZ'!AQ$94-'Statistics NZ'!AP$94,$Q$12/5*(AQ$8-AQ$9)*1000)</f>
        <v>28013.370291606701</v>
      </c>
      <c r="AR94" s="46">
        <f>SUM(AQ$94,'Statistics NZ'!AR$94-'Statistics NZ'!AQ$94,$Q$12/5*(AR$8-AR$9)*1000)</f>
        <v>28793.370291606701</v>
      </c>
      <c r="AS94" s="46">
        <f>SUM(AR$94,'Statistics NZ'!AS$94-'Statistics NZ'!AR$94,$Q$12/5*(AS$8-AS$9)*1000)</f>
        <v>28933.370291606701</v>
      </c>
      <c r="AT94" s="46">
        <f>SUM(AS$94,'Statistics NZ'!AT$94-'Statistics NZ'!AS$94,$Q$12/5*(AT$8-AT$9)*1000)</f>
        <v>30293.370291606701</v>
      </c>
      <c r="AU94" s="46">
        <f>SUM(AT$94,'Statistics NZ'!AU$94-'Statistics NZ'!AT$94,$Q$12/5*(AU$8-AU$9)*1000)</f>
        <v>30063.370291606701</v>
      </c>
      <c r="AV94" s="46">
        <f>SUM(AU$94,'Statistics NZ'!AV$94-'Statistics NZ'!AU$94,$Q$12/5*(AV$8-AV$9)*1000)</f>
        <v>29443.370291606701</v>
      </c>
      <c r="AW94" s="46">
        <f>SUM(AV$94,'Statistics NZ'!AW$94-'Statistics NZ'!AV$94,$Q$12/5*(AW$8-AW$9)*1000)</f>
        <v>28813.370291606701</v>
      </c>
      <c r="AX94" s="46">
        <f>SUM(AW$94,'Statistics NZ'!AX$94-'Statistics NZ'!AW$94,$Q$12/5*(AX$8-AX$9)*1000)</f>
        <v>28033.370291606701</v>
      </c>
      <c r="AY94" s="46">
        <f>SUM(AX$94,'Statistics NZ'!AY$94-'Statistics NZ'!AX$94,$Q$12/5*(AY$8-AY$9)*1000)</f>
        <v>27173.370291606701</v>
      </c>
      <c r="AZ94" s="46">
        <f>SUM(AY$94,'Statistics NZ'!AZ$94-'Statistics NZ'!AY$94,$Q$12/5*(AZ$8-AZ$9)*1000)</f>
        <v>27633.370291606701</v>
      </c>
      <c r="BA94" s="46">
        <f>SUM(AZ$94,'Statistics NZ'!BA$94-'Statistics NZ'!AZ$94,$Q$12/5*(BA$8-BA$9)*1000)</f>
        <v>27743.370291606701</v>
      </c>
      <c r="BB94" s="46">
        <f>SUM(BA$94,'Statistics NZ'!BB$94-'Statistics NZ'!BA$94,$Q$12/5*(BB$8-BB$9)*1000)</f>
        <v>28893.370291606701</v>
      </c>
      <c r="BC94" s="46">
        <f>SUM(BB$94,'Statistics NZ'!BC$94-'Statistics NZ'!BB$94,$Q$12/5*(BC$8-BC$9)*1000)</f>
        <v>29593.370291606701</v>
      </c>
      <c r="BD94" s="46">
        <f>SUM(BC$94,'Statistics NZ'!BD$94-'Statistics NZ'!BC$94,$Q$12/5*(BD$8-BD$9)*1000)</f>
        <v>30373.370291606701</v>
      </c>
      <c r="BE94" s="46">
        <f>SUM(BD$94,'Statistics NZ'!BE$94-'Statistics NZ'!BD$94,$Q$12/5*(BE$8-BE$9)*1000)</f>
        <v>31613.370291606701</v>
      </c>
      <c r="BF94" s="46">
        <f>SUM(BE$94,'Statistics NZ'!BF$94-'Statistics NZ'!BE$94,$Q$12/5*(BF$8-BF$9)*1000)</f>
        <v>32703.370291606701</v>
      </c>
      <c r="BG94" s="46">
        <f>SUM(BF$94,'Statistics NZ'!BG$94-'Statistics NZ'!BF$94,$Q$12/5*(BG$8-BG$9)*1000)</f>
        <v>33453.370291606698</v>
      </c>
      <c r="BH94" s="46">
        <f>SUM(BG$94,'Statistics NZ'!BH$94-'Statistics NZ'!BG$94,$Q$12/5*(BH$8-BH$9)*1000)</f>
        <v>34753.370291606698</v>
      </c>
      <c r="BI94" s="46">
        <f>SUM(BH$94,'Statistics NZ'!BI$94-'Statistics NZ'!BH$94,$Q$12/5*(BI$8-BI$9)*1000)</f>
        <v>35463.370291606698</v>
      </c>
    </row>
    <row r="95" spans="1:61" x14ac:dyDescent="0.25">
      <c r="A95" s="11">
        <v>80</v>
      </c>
      <c r="B95" s="44">
        <f>'Statistics NZ'!B$95*'Economic Forecasts'!D$9*1000000/SUM('Statistics NZ'!B$30:B$110,'Statistics NZ'!B$130:B$210)</f>
        <v>9676.3175298514689</v>
      </c>
      <c r="C95" s="44">
        <f>'Statistics NZ'!C$95*'Economic Forecasts'!E$9*1000000/SUM('Statistics NZ'!C$30:C$110,'Statistics NZ'!C$130:C$210)</f>
        <v>9653.1369277672402</v>
      </c>
      <c r="D95" s="44">
        <f>'Statistics NZ'!D$95*'Economic Forecasts'!F$9*1000000/SUM('Statistics NZ'!D$30:D$110,'Statistics NZ'!D$130:D$210)</f>
        <v>9812.9009820940228</v>
      </c>
      <c r="E95" s="44">
        <f>'Statistics NZ'!E$95*'Economic Forecasts'!G$9*1000000/SUM('Statistics NZ'!E$30:E$110,'Statistics NZ'!E$130:E$210)</f>
        <v>9757.9877934051492</v>
      </c>
      <c r="F95" s="44">
        <f>'Statistics NZ'!F$95*'Economic Forecasts'!H$9*1000000/SUM('Statistics NZ'!F$30:F$110,'Statistics NZ'!F$130:F$210)</f>
        <v>10103.096287301998</v>
      </c>
      <c r="G95" s="44">
        <f>'Statistics NZ'!G$95*'Economic Forecasts'!I$9*1000000/SUM('Statistics NZ'!G$30:G$110,'Statistics NZ'!G$130:G$210)</f>
        <v>10225.193622130219</v>
      </c>
      <c r="H95" s="44">
        <f>'Statistics NZ'!H$95*'Economic Forecasts'!J$9*1000000/SUM('Statistics NZ'!H$30:H$110,'Statistics NZ'!H$130:H$210)</f>
        <v>9756.3611831328944</v>
      </c>
      <c r="I95" s="44">
        <f>'Statistics NZ'!I$95*'Economic Forecasts'!K$9*1000000/SUM('Statistics NZ'!I$30:I$110,'Statistics NZ'!I$130:I$210)</f>
        <v>9891.7873042557858</v>
      </c>
      <c r="J95" s="44">
        <f>'Statistics NZ'!J$95*'Economic Forecasts'!L$9*1000000/SUM('Statistics NZ'!J$30:J$110,'Statistics NZ'!J$130:J$210)</f>
        <v>9751.8822439343749</v>
      </c>
      <c r="K95" s="44">
        <f>'Statistics NZ'!K$95*'Economic Forecasts'!M$9*1000000/SUM('Statistics NZ'!K$30:K$110,'Statistics NZ'!K$130:K$210)</f>
        <v>9745.955561813269</v>
      </c>
      <c r="L95" s="44">
        <f>'Statistics NZ'!L$95*'Economic Forecasts'!N$9*1000000/SUM('Statistics NZ'!L$30:L$110,'Statistics NZ'!L$130:L$210)</f>
        <v>10145.552855118473</v>
      </c>
      <c r="M95" s="44">
        <f>'Statistics NZ'!M$95*'Economic Forecasts'!O$9*1000000/SUM('Statistics NZ'!M$30:M$110,'Statistics NZ'!M$130:M$210)</f>
        <v>10687.913783007842</v>
      </c>
      <c r="N95" s="44">
        <f>'Statistics NZ'!N$95*'Economic Forecasts'!P$9*1000000/SUM('Statistics NZ'!N$30:N$110,'Statistics NZ'!N$130:N$210)</f>
        <v>11154.825069420911</v>
      </c>
      <c r="O95" s="44">
        <f>'Statistics NZ'!O$95*'Economic Forecasts'!Q$9*1000000/SUM('Statistics NZ'!O$30:O$110,'Statistics NZ'!O$130:O$210)</f>
        <v>11769.859307224488</v>
      </c>
      <c r="P95" s="44">
        <f>'Statistics NZ'!P$95*'Economic Forecasts'!R$9*1000000/SUM('Statistics NZ'!P$30:P$110,'Statistics NZ'!P$130:P$210)</f>
        <v>12733.867773547401</v>
      </c>
      <c r="Q95" s="44">
        <f>'Statistics NZ'!Q$95*'Economic Forecasts'!S$9*1000000/SUM('Statistics NZ'!Q$30:Q$110,'Statistics NZ'!Q$130:Q$210)</f>
        <v>13897.996972987679</v>
      </c>
      <c r="R95" s="44">
        <f>'Statistics NZ'!R$95*'Economic Forecasts'!T$9*1000000/SUM('Statistics NZ'!R$30:R$110,'Statistics NZ'!R$130:R$210)</f>
        <v>14080.666718470746</v>
      </c>
      <c r="S95" s="44">
        <f>'Statistics NZ'!S$95*'Economic Forecasts'!U$9*1000000/SUM('Statistics NZ'!S$30:S$110,'Statistics NZ'!S$130:S$210)</f>
        <v>12446.440306940196</v>
      </c>
      <c r="T95" s="44">
        <f>'Statistics NZ'!T$95*'Economic Forecasts'!V$9*1000000/SUM('Statistics NZ'!T$30:T$110,'Statistics NZ'!T$130:T$210)</f>
        <v>13796.879846983133</v>
      </c>
      <c r="U95" s="45">
        <f>SUM('Statistics NZ'!U$95,$R$12/5*(U$8-U$9)*1000)*'Economic Forecasts'!W$9*1000000/SUM('Statistics NZ'!U$30:U$110,'Statistics NZ'!U$130:U$210,SUM($E$12:$T$13)*(U$8-U$9)*1000)</f>
        <v>14571.677006915814</v>
      </c>
      <c r="V95" s="45">
        <f>SUM('Statistics NZ'!V$95,$R$12/5*(V$8-V$9)*1000)*'Economic Forecasts'!X$9*1000000/SUM('Statistics NZ'!V$30:V$110,'Statistics NZ'!V$130:V$210,SUM($E$12:$T$13)*(V$8-V$9)*1000)</f>
        <v>15466.632200264381</v>
      </c>
      <c r="W95" s="45">
        <f>SUM('Statistics NZ'!W$95,$R$12/5*(W$8-W$9)*1000)*'Economic Forecasts'!Y$9*1000000/SUM('Statistics NZ'!W$30:W$110,'Statistics NZ'!W$130:W$210,SUM($E$12:$T$13)*(W$8-W$9)*1000)</f>
        <v>18420.899137739081</v>
      </c>
      <c r="X95" s="45">
        <f>SUM('Statistics NZ'!X$95,$R$12/5*(X$8-X$9)*1000)*'Economic Forecasts'!Z$9*1000000/SUM('Statistics NZ'!X$30:X$110,'Statistics NZ'!X$130:X$210,SUM($E$12:$T$13)*(X$8-X$9)*1000)</f>
        <v>18464.43080564469</v>
      </c>
      <c r="Y95" s="45">
        <f>SUM('Statistics NZ'!Y$95,$R$12/5*(Y$8-Y$9)*1000)*'Economic Forecasts'!AA$9*1000000/SUM('Statistics NZ'!Y$30:Y$110,'Statistics NZ'!Y$130:Y$210,SUM($E$12:$T$13)*(Y$8-Y$9)*1000)</f>
        <v>18193.500413985676</v>
      </c>
      <c r="Z95" s="46">
        <f>SUM(Y$95,'Statistics NZ'!Z$95-'Statistics NZ'!Y$95,$R$12/5*(Z$8-Z$9)*1000)</f>
        <v>19013.979060727448</v>
      </c>
      <c r="AA95" s="46">
        <f>SUM(Z$95,'Statistics NZ'!AA$95-'Statistics NZ'!Z$95,$R$12/5*(AA$8-AA$9)*1000)</f>
        <v>18834.26624877251</v>
      </c>
      <c r="AB95" s="46">
        <f>SUM(AA$95,'Statistics NZ'!AB$95-'Statistics NZ'!AA$95,$R$12/5*(AB$8-AB$9)*1000)</f>
        <v>19494.400269860205</v>
      </c>
      <c r="AC95" s="46">
        <f>SUM(AB$95,'Statistics NZ'!AC$95-'Statistics NZ'!AB$95,$R$12/5*(AC$8-AC$9)*1000)</f>
        <v>19964.400269860205</v>
      </c>
      <c r="AD95" s="46">
        <f>SUM(AC$95,'Statistics NZ'!AD$95-'Statistics NZ'!AC$95,$R$12/5*(AD$8-AD$9)*1000)</f>
        <v>20804.400269860205</v>
      </c>
      <c r="AE95" s="46">
        <f>SUM(AD$95,'Statistics NZ'!AE$95-'Statistics NZ'!AD$95,$R$12/5*(AE$8-AE$9)*1000)</f>
        <v>21444.400269860205</v>
      </c>
      <c r="AF95" s="46">
        <f>SUM(AE$95,'Statistics NZ'!AF$95-'Statistics NZ'!AE$95,$R$12/5*(AF$8-AF$9)*1000)</f>
        <v>22234.400269860205</v>
      </c>
      <c r="AG95" s="46">
        <f>SUM(AF$95,'Statistics NZ'!AG$95-'Statistics NZ'!AF$95,$R$12/5*(AG$8-AG$9)*1000)</f>
        <v>22864.400269860205</v>
      </c>
      <c r="AH95" s="46">
        <f>SUM(AG$95,'Statistics NZ'!AH$95-'Statistics NZ'!AG$95,$R$12/5*(AH$8-AH$9)*1000)</f>
        <v>23584.400269860205</v>
      </c>
      <c r="AI95" s="46">
        <f>SUM(AH$95,'Statistics NZ'!AI$95-'Statistics NZ'!AH$95,$R$12/5*(AI$8-AI$9)*1000)</f>
        <v>24464.400269860205</v>
      </c>
      <c r="AJ95" s="46">
        <f>SUM(AI$95,'Statistics NZ'!AJ$95-'Statistics NZ'!AI$95,$R$12/5*(AJ$8-AJ$9)*1000)</f>
        <v>24914.400269860205</v>
      </c>
      <c r="AK95" s="46">
        <f>SUM(AJ$95,'Statistics NZ'!AK$95-'Statistics NZ'!AJ$95,$R$12/5*(AK$8-AK$9)*1000)</f>
        <v>26104.400269860205</v>
      </c>
      <c r="AL95" s="46">
        <f>SUM(AK$95,'Statistics NZ'!AL$95-'Statistics NZ'!AK$95,$R$12/5*(AL$8-AL$9)*1000)</f>
        <v>27054.400269860205</v>
      </c>
      <c r="AM95" s="46">
        <f>SUM(AL$95,'Statistics NZ'!AM$95-'Statistics NZ'!AL$95,$R$12/5*(AM$8-AM$9)*1000)</f>
        <v>27414.400269860205</v>
      </c>
      <c r="AN95" s="46">
        <f>SUM(AM$95,'Statistics NZ'!AN$95-'Statistics NZ'!AM$95,$R$12/5*(AN$8-AN$9)*1000)</f>
        <v>27004.400269860205</v>
      </c>
      <c r="AO95" s="46">
        <f>SUM(AN$95,'Statistics NZ'!AO$95-'Statistics NZ'!AN$95,$R$12/5*(AO$8-AO$9)*1000)</f>
        <v>26394.400269860205</v>
      </c>
      <c r="AP95" s="46">
        <f>SUM(AO$95,'Statistics NZ'!AP$95-'Statistics NZ'!AO$95,$R$12/5*(AP$8-AP$9)*1000)</f>
        <v>26214.400269860205</v>
      </c>
      <c r="AQ95" s="46">
        <f>SUM(AP$95,'Statistics NZ'!AQ$95-'Statistics NZ'!AP$95,$R$12/5*(AQ$8-AQ$9)*1000)</f>
        <v>26994.400269860205</v>
      </c>
      <c r="AR95" s="46">
        <f>SUM(AQ$95,'Statistics NZ'!AR$95-'Statistics NZ'!AQ$95,$R$12/5*(AR$8-AR$9)*1000)</f>
        <v>27474.400269860205</v>
      </c>
      <c r="AS95" s="46">
        <f>SUM(AR$95,'Statistics NZ'!AS$95-'Statistics NZ'!AR$95,$R$12/5*(AS$8-AS$9)*1000)</f>
        <v>28244.400269860205</v>
      </c>
      <c r="AT95" s="46">
        <f>SUM(AS$95,'Statistics NZ'!AT$95-'Statistics NZ'!AS$95,$R$12/5*(AT$8-AT$9)*1000)</f>
        <v>28384.400269860205</v>
      </c>
      <c r="AU95" s="46">
        <f>SUM(AT$95,'Statistics NZ'!AU$95-'Statistics NZ'!AT$95,$R$12/5*(AU$8-AU$9)*1000)</f>
        <v>29734.400269860205</v>
      </c>
      <c r="AV95" s="46">
        <f>SUM(AU$95,'Statistics NZ'!AV$95-'Statistics NZ'!AU$95,$R$12/5*(AV$8-AV$9)*1000)</f>
        <v>29514.400269860205</v>
      </c>
      <c r="AW95" s="46">
        <f>SUM(AV$95,'Statistics NZ'!AW$95-'Statistics NZ'!AV$95,$R$12/5*(AW$8-AW$9)*1000)</f>
        <v>28924.400269860205</v>
      </c>
      <c r="AX95" s="46">
        <f>SUM(AW$95,'Statistics NZ'!AX$95-'Statistics NZ'!AW$95,$R$12/5*(AX$8-AX$9)*1000)</f>
        <v>28314.400269860205</v>
      </c>
      <c r="AY95" s="46">
        <f>SUM(AX$95,'Statistics NZ'!AY$95-'Statistics NZ'!AX$95,$R$12/5*(AY$8-AY$9)*1000)</f>
        <v>27554.400269860205</v>
      </c>
      <c r="AZ95" s="46">
        <f>SUM(AY$95,'Statistics NZ'!AZ$95-'Statistics NZ'!AY$95,$R$12/5*(AZ$8-AZ$9)*1000)</f>
        <v>26714.400269860205</v>
      </c>
      <c r="BA95" s="46">
        <f>SUM(AZ$95,'Statistics NZ'!BA$95-'Statistics NZ'!AZ$95,$R$12/5*(BA$8-BA$9)*1000)</f>
        <v>27174.400269860205</v>
      </c>
      <c r="BB95" s="46">
        <f>SUM(BA$95,'Statistics NZ'!BB$95-'Statistics NZ'!BA$95,$R$12/5*(BB$8-BB$9)*1000)</f>
        <v>27294.400269860205</v>
      </c>
      <c r="BC95" s="46">
        <f>SUM(BB$95,'Statistics NZ'!BC$95-'Statistics NZ'!BB$95,$R$12/5*(BC$8-BC$9)*1000)</f>
        <v>28434.400269860205</v>
      </c>
      <c r="BD95" s="46">
        <f>SUM(BC$95,'Statistics NZ'!BD$95-'Statistics NZ'!BC$95,$R$12/5*(BD$8-BD$9)*1000)</f>
        <v>29134.400269860205</v>
      </c>
      <c r="BE95" s="46">
        <f>SUM(BD$95,'Statistics NZ'!BE$95-'Statistics NZ'!BD$95,$R$12/5*(BE$8-BE$9)*1000)</f>
        <v>29904.400269860205</v>
      </c>
      <c r="BF95" s="46">
        <f>SUM(BE$95,'Statistics NZ'!BF$95-'Statistics NZ'!BE$95,$R$12/5*(BF$8-BF$9)*1000)</f>
        <v>31134.400269860205</v>
      </c>
      <c r="BG95" s="46">
        <f>SUM(BF$95,'Statistics NZ'!BG$95-'Statistics NZ'!BF$95,$R$12/5*(BG$8-BG$9)*1000)</f>
        <v>32214.400269860205</v>
      </c>
      <c r="BH95" s="46">
        <f>SUM(BG$95,'Statistics NZ'!BH$95-'Statistics NZ'!BG$95,$R$12/5*(BH$8-BH$9)*1000)</f>
        <v>32964.400269860205</v>
      </c>
      <c r="BI95" s="46">
        <f>SUM(BH$95,'Statistics NZ'!BI$95-'Statistics NZ'!BH$95,$R$12/5*(BI$8-BI$9)*1000)</f>
        <v>34254.400269860205</v>
      </c>
    </row>
    <row r="96" spans="1:61" x14ac:dyDescent="0.25">
      <c r="A96" s="11">
        <v>81</v>
      </c>
      <c r="B96" s="44">
        <f>'Statistics NZ'!B$96*'Economic Forecasts'!D$9*1000000/SUM('Statistics NZ'!B$30:B$110,'Statistics NZ'!B$130:B$210)</f>
        <v>9402.3671852247353</v>
      </c>
      <c r="C96" s="44">
        <f>'Statistics NZ'!C$96*'Economic Forecasts'!E$9*1000000/SUM('Statistics NZ'!C$30:C$110,'Statistics NZ'!C$130:C$210)</f>
        <v>9279.9739539573166</v>
      </c>
      <c r="D96" s="44">
        <f>'Statistics NZ'!D$96*'Economic Forecasts'!F$9*1000000/SUM('Statistics NZ'!D$30:D$110,'Statistics NZ'!D$130:D$210)</f>
        <v>9213.7148360402334</v>
      </c>
      <c r="E96" s="44">
        <f>'Statistics NZ'!E$96*'Economic Forecasts'!G$9*1000000/SUM('Statistics NZ'!E$30:E$110,'Statistics NZ'!E$130:E$210)</f>
        <v>9355.8998541794081</v>
      </c>
      <c r="F96" s="44">
        <f>'Statistics NZ'!F$96*'Economic Forecasts'!H$9*1000000/SUM('Statistics NZ'!F$30:F$110,'Statistics NZ'!F$130:F$210)</f>
        <v>9328.1986108972815</v>
      </c>
      <c r="G96" s="44">
        <f>'Statistics NZ'!G$96*'Economic Forecasts'!I$9*1000000/SUM('Statistics NZ'!G$30:G$110,'Statistics NZ'!G$130:G$210)</f>
        <v>9645.6677588202419</v>
      </c>
      <c r="H96" s="44">
        <f>'Statistics NZ'!H$96*'Economic Forecasts'!J$9*1000000/SUM('Statistics NZ'!H$30:H$110,'Statistics NZ'!H$130:H$210)</f>
        <v>9785.8365945622991</v>
      </c>
      <c r="I96" s="44">
        <f>'Statistics NZ'!I$96*'Economic Forecasts'!K$9*1000000/SUM('Statistics NZ'!I$30:I$110,'Statistics NZ'!I$130:I$210)</f>
        <v>9332.9846517854367</v>
      </c>
      <c r="J96" s="44">
        <f>'Statistics NZ'!J$96*'Economic Forecasts'!L$9*1000000/SUM('Statistics NZ'!J$30:J$110,'Statistics NZ'!J$130:J$210)</f>
        <v>9420.3182476406073</v>
      </c>
      <c r="K96" s="44">
        <f>'Statistics NZ'!K$96*'Economic Forecasts'!M$9*1000000/SUM('Statistics NZ'!K$30:K$110,'Statistics NZ'!K$130:K$210)</f>
        <v>9337.0343494294957</v>
      </c>
      <c r="L96" s="44">
        <f>'Statistics NZ'!L$96*'Economic Forecasts'!N$9*1000000/SUM('Statistics NZ'!L$30:L$110,'Statistics NZ'!L$130:L$210)</f>
        <v>9376.3602682140936</v>
      </c>
      <c r="M96" s="44">
        <f>'Statistics NZ'!M$96*'Economic Forecasts'!O$9*1000000/SUM('Statistics NZ'!M$30:M$110,'Statistics NZ'!M$130:M$210)</f>
        <v>9740.2651203462719</v>
      </c>
      <c r="N96" s="44">
        <f>'Statistics NZ'!N$96*'Economic Forecasts'!P$9*1000000/SUM('Statistics NZ'!N$30:N$110,'Statistics NZ'!N$130:N$210)</f>
        <v>10235.041247907257</v>
      </c>
      <c r="O96" s="44">
        <f>'Statistics NZ'!O$96*'Economic Forecasts'!Q$9*1000000/SUM('Statistics NZ'!O$30:O$110,'Statistics NZ'!O$130:O$210)</f>
        <v>10707.917114091451</v>
      </c>
      <c r="P96" s="44">
        <f>'Statistics NZ'!P$96*'Economic Forecasts'!R$9*1000000/SUM('Statistics NZ'!P$30:P$110,'Statistics NZ'!P$130:P$210)</f>
        <v>11328.819091743944</v>
      </c>
      <c r="Q96" s="44">
        <f>'Statistics NZ'!Q$96*'Economic Forecasts'!S$9*1000000/SUM('Statistics NZ'!Q$30:Q$110,'Statistics NZ'!Q$130:Q$210)</f>
        <v>12397.927249670211</v>
      </c>
      <c r="R96" s="44">
        <f>'Statistics NZ'!R$96*'Economic Forecasts'!T$9*1000000/SUM('Statistics NZ'!R$30:R$110,'Statistics NZ'!R$130:R$210)</f>
        <v>13323.855777449688</v>
      </c>
      <c r="S96" s="44">
        <f>'Statistics NZ'!S$96*'Economic Forecasts'!U$9*1000000/SUM('Statistics NZ'!S$30:S$110,'Statistics NZ'!S$130:S$210)</f>
        <v>13261.795117892079</v>
      </c>
      <c r="T96" s="44">
        <f>'Statistics NZ'!T$96*'Economic Forecasts'!V$9*1000000/SUM('Statistics NZ'!T$30:T$110,'Statistics NZ'!T$130:T$210)</f>
        <v>12062.358314496032</v>
      </c>
      <c r="U96" s="45">
        <f>SUM('Statistics NZ'!U$96,$R$12/5*(U$8-U$9)*1000)*'Economic Forecasts'!W$9*1000000/SUM('Statistics NZ'!U$30:U$110,'Statistics NZ'!U$130:U$210,SUM($E$12:$T$13)*(U$8-U$9)*1000)</f>
        <v>13313.748580524229</v>
      </c>
      <c r="V96" s="45">
        <f>SUM('Statistics NZ'!V$96,$R$12/5*(V$8-V$9)*1000)*'Economic Forecasts'!X$9*1000000/SUM('Statistics NZ'!V$30:V$110,'Statistics NZ'!V$130:V$210,SUM($E$12:$T$13)*(V$8-V$9)*1000)</f>
        <v>14070.616853767171</v>
      </c>
      <c r="W96" s="45">
        <f>SUM('Statistics NZ'!W$96,$R$12/5*(W$8-W$9)*1000)*'Economic Forecasts'!Y$9*1000000/SUM('Statistics NZ'!W$30:W$110,'Statistics NZ'!W$130:W$210,SUM($E$12:$T$13)*(W$8-W$9)*1000)</f>
        <v>14954.850656759914</v>
      </c>
      <c r="X96" s="45">
        <f>SUM('Statistics NZ'!X$96,$R$12/5*(X$8-X$9)*1000)*'Economic Forecasts'!Z$9*1000000/SUM('Statistics NZ'!X$30:X$110,'Statistics NZ'!X$130:X$210,SUM($E$12:$T$13)*(X$8-X$9)*1000)</f>
        <v>17830.494094107617</v>
      </c>
      <c r="Y96" s="45">
        <f>SUM('Statistics NZ'!Y$96,$R$12/5*(Y$8-Y$9)*1000)*'Economic Forecasts'!AA$9*1000000/SUM('Statistics NZ'!Y$30:Y$110,'Statistics NZ'!Y$130:Y$210,SUM($E$12:$T$13)*(Y$8-Y$9)*1000)</f>
        <v>17876.41559383917</v>
      </c>
      <c r="Z96" s="46">
        <f>SUM(Y$96,'Statistics NZ'!Z$96-'Statistics NZ'!Y$96,$R$12/5*(Z$8-Z$9)*1000)</f>
        <v>17616.894240580943</v>
      </c>
      <c r="AA96" s="46">
        <f>SUM(Z$96,'Statistics NZ'!AA$96-'Statistics NZ'!Z$96,$R$12/5*(AA$8-AA$9)*1000)</f>
        <v>18427.181428626005</v>
      </c>
      <c r="AB96" s="46">
        <f>SUM(AA$96,'Statistics NZ'!AB$96-'Statistics NZ'!AA$96,$R$12/5*(AB$8-AB$9)*1000)</f>
        <v>18257.3154497137</v>
      </c>
      <c r="AC96" s="46">
        <f>SUM(AB$96,'Statistics NZ'!AC$96-'Statistics NZ'!AB$96,$R$12/5*(AC$8-AC$9)*1000)</f>
        <v>18917.3154497137</v>
      </c>
      <c r="AD96" s="46">
        <f>SUM(AC$96,'Statistics NZ'!AD$96-'Statistics NZ'!AC$96,$R$12/5*(AD$8-AD$9)*1000)</f>
        <v>19377.3154497137</v>
      </c>
      <c r="AE96" s="46">
        <f>SUM(AD$96,'Statistics NZ'!AE$96-'Statistics NZ'!AD$96,$R$12/5*(AE$8-AE$9)*1000)</f>
        <v>20207.3154497137</v>
      </c>
      <c r="AF96" s="46">
        <f>SUM(AE$96,'Statistics NZ'!AF$96-'Statistics NZ'!AE$96,$R$12/5*(AF$8-AF$9)*1000)</f>
        <v>20837.3154497137</v>
      </c>
      <c r="AG96" s="46">
        <f>SUM(AF$96,'Statistics NZ'!AG$96-'Statistics NZ'!AF$96,$R$12/5*(AG$8-AG$9)*1000)</f>
        <v>21617.3154497137</v>
      </c>
      <c r="AH96" s="46">
        <f>SUM(AG$96,'Statistics NZ'!AH$96-'Statistics NZ'!AG$96,$R$12/5*(AH$8-AH$9)*1000)</f>
        <v>22237.3154497137</v>
      </c>
      <c r="AI96" s="46">
        <f>SUM(AH$96,'Statistics NZ'!AI$96-'Statistics NZ'!AH$96,$R$12/5*(AI$8-AI$9)*1000)</f>
        <v>22947.3154497137</v>
      </c>
      <c r="AJ96" s="46">
        <f>SUM(AI$96,'Statistics NZ'!AJ$96-'Statistics NZ'!AI$96,$R$12/5*(AJ$8-AJ$9)*1000)</f>
        <v>23817.3154497137</v>
      </c>
      <c r="AK96" s="46">
        <f>SUM(AJ$96,'Statistics NZ'!AK$96-'Statistics NZ'!AJ$96,$R$12/5*(AK$8-AK$9)*1000)</f>
        <v>24267.3154497137</v>
      </c>
      <c r="AL96" s="46">
        <f>SUM(AK$96,'Statistics NZ'!AL$96-'Statistics NZ'!AK$96,$R$12/5*(AL$8-AL$9)*1000)</f>
        <v>25437.3154497137</v>
      </c>
      <c r="AM96" s="46">
        <f>SUM(AL$96,'Statistics NZ'!AM$96-'Statistics NZ'!AL$96,$R$12/5*(AM$8-AM$9)*1000)</f>
        <v>26377.3154497137</v>
      </c>
      <c r="AN96" s="46">
        <f>SUM(AM$96,'Statistics NZ'!AN$96-'Statistics NZ'!AM$96,$R$12/5*(AN$8-AN$9)*1000)</f>
        <v>26737.3154497137</v>
      </c>
      <c r="AO96" s="46">
        <f>SUM(AN$96,'Statistics NZ'!AO$96-'Statistics NZ'!AN$96,$R$12/5*(AO$8-AO$9)*1000)</f>
        <v>26347.3154497137</v>
      </c>
      <c r="AP96" s="46">
        <f>SUM(AO$96,'Statistics NZ'!AP$96-'Statistics NZ'!AO$96,$R$12/5*(AP$8-AP$9)*1000)</f>
        <v>25767.3154497137</v>
      </c>
      <c r="AQ96" s="46">
        <f>SUM(AP$96,'Statistics NZ'!AQ$96-'Statistics NZ'!AP$96,$R$12/5*(AQ$8-AQ$9)*1000)</f>
        <v>25597.3154497137</v>
      </c>
      <c r="AR96" s="46">
        <f>SUM(AQ$96,'Statistics NZ'!AR$96-'Statistics NZ'!AQ$96,$R$12/5*(AR$8-AR$9)*1000)</f>
        <v>26367.3154497137</v>
      </c>
      <c r="AS96" s="46">
        <f>SUM(AR$96,'Statistics NZ'!AS$96-'Statistics NZ'!AR$96,$R$12/5*(AS$8-AS$9)*1000)</f>
        <v>26847.3154497137</v>
      </c>
      <c r="AT96" s="46">
        <f>SUM(AS$96,'Statistics NZ'!AT$96-'Statistics NZ'!AS$96,$R$12/5*(AT$8-AT$9)*1000)</f>
        <v>27607.3154497137</v>
      </c>
      <c r="AU96" s="46">
        <f>SUM(AT$96,'Statistics NZ'!AU$96-'Statistics NZ'!AT$96,$R$12/5*(AU$8-AU$9)*1000)</f>
        <v>27767.3154497137</v>
      </c>
      <c r="AV96" s="46">
        <f>SUM(AU$96,'Statistics NZ'!AV$96-'Statistics NZ'!AU$96,$R$12/5*(AV$8-AV$9)*1000)</f>
        <v>29097.3154497137</v>
      </c>
      <c r="AW96" s="46">
        <f>SUM(AV$96,'Statistics NZ'!AW$96-'Statistics NZ'!AV$96,$R$12/5*(AW$8-AW$9)*1000)</f>
        <v>28887.3154497137</v>
      </c>
      <c r="AX96" s="46">
        <f>SUM(AW$96,'Statistics NZ'!AX$96-'Statistics NZ'!AW$96,$R$12/5*(AX$8-AX$9)*1000)</f>
        <v>28317.3154497137</v>
      </c>
      <c r="AY96" s="46">
        <f>SUM(AX$96,'Statistics NZ'!AY$96-'Statistics NZ'!AX$96,$R$12/5*(AY$8-AY$9)*1000)</f>
        <v>27737.3154497137</v>
      </c>
      <c r="AZ96" s="46">
        <f>SUM(AY$96,'Statistics NZ'!AZ$96-'Statistics NZ'!AY$96,$R$12/5*(AZ$8-AZ$9)*1000)</f>
        <v>26997.3154497137</v>
      </c>
      <c r="BA96" s="46">
        <f>SUM(AZ$96,'Statistics NZ'!BA$96-'Statistics NZ'!AZ$96,$R$12/5*(BA$8-BA$9)*1000)</f>
        <v>26187.3154497137</v>
      </c>
      <c r="BB96" s="46">
        <f>SUM(BA$96,'Statistics NZ'!BB$96-'Statistics NZ'!BA$96,$R$12/5*(BB$8-BB$9)*1000)</f>
        <v>26647.3154497137</v>
      </c>
      <c r="BC96" s="46">
        <f>SUM(BB$96,'Statistics NZ'!BC$96-'Statistics NZ'!BB$96,$R$12/5*(BC$8-BC$9)*1000)</f>
        <v>26767.3154497137</v>
      </c>
      <c r="BD96" s="46">
        <f>SUM(BC$96,'Statistics NZ'!BD$96-'Statistics NZ'!BC$96,$R$12/5*(BD$8-BD$9)*1000)</f>
        <v>27897.3154497137</v>
      </c>
      <c r="BE96" s="46">
        <f>SUM(BD$96,'Statistics NZ'!BE$96-'Statistics NZ'!BD$96,$R$12/5*(BE$8-BE$9)*1000)</f>
        <v>28587.3154497137</v>
      </c>
      <c r="BF96" s="46">
        <f>SUM(BE$96,'Statistics NZ'!BF$96-'Statistics NZ'!BE$96,$R$12/5*(BF$8-BF$9)*1000)</f>
        <v>29357.3154497137</v>
      </c>
      <c r="BG96" s="46">
        <f>SUM(BF$96,'Statistics NZ'!BG$96-'Statistics NZ'!BF$96,$R$12/5*(BG$8-BG$9)*1000)</f>
        <v>30577.3154497137</v>
      </c>
      <c r="BH96" s="46">
        <f>SUM(BG$96,'Statistics NZ'!BH$96-'Statistics NZ'!BG$96,$R$12/5*(BH$8-BH$9)*1000)</f>
        <v>31647.3154497137</v>
      </c>
      <c r="BI96" s="46">
        <f>SUM(BH$96,'Statistics NZ'!BI$96-'Statistics NZ'!BH$96,$R$12/5*(BI$8-BI$9)*1000)</f>
        <v>32397.3154497137</v>
      </c>
    </row>
    <row r="97" spans="1:61" x14ac:dyDescent="0.25">
      <c r="A97" s="11">
        <v>82</v>
      </c>
      <c r="B97" s="44">
        <f>'Statistics NZ'!B$97*'Economic Forecasts'!D$9*1000000/SUM('Statistics NZ'!B$30:B$110,'Statistics NZ'!B$130:B$210)</f>
        <v>8580.5161513445291</v>
      </c>
      <c r="C97" s="44">
        <f>'Statistics NZ'!C$97*'Economic Forecasts'!E$9*1000000/SUM('Statistics NZ'!C$30:C$110,'Statistics NZ'!C$130:C$210)</f>
        <v>8946.0912931800176</v>
      </c>
      <c r="D97" s="44">
        <f>'Statistics NZ'!D$97*'Economic Forecasts'!F$9*1000000/SUM('Statistics NZ'!D$30:D$110,'Statistics NZ'!D$130:D$210)</f>
        <v>8810.983164102443</v>
      </c>
      <c r="E97" s="44">
        <f>'Statistics NZ'!E$97*'Economic Forecasts'!G$9*1000000/SUM('Statistics NZ'!E$30:E$110,'Statistics NZ'!E$130:E$210)</f>
        <v>8757.6714567947711</v>
      </c>
      <c r="F97" s="44">
        <f>'Statistics NZ'!F$97*'Economic Forecasts'!H$9*1000000/SUM('Statistics NZ'!F$30:F$110,'Statistics NZ'!F$130:F$210)</f>
        <v>8906.4188629807904</v>
      </c>
      <c r="G97" s="44">
        <f>'Statistics NZ'!G$97*'Economic Forecasts'!I$9*1000000/SUM('Statistics NZ'!G$30:G$110,'Statistics NZ'!G$130:G$210)</f>
        <v>8879.5149225799396</v>
      </c>
      <c r="H97" s="44">
        <f>'Statistics NZ'!H$97*'Economic Forecasts'!J$9*1000000/SUM('Statistics NZ'!H$30:H$110,'Statistics NZ'!H$130:H$210)</f>
        <v>9176.6780916879397</v>
      </c>
      <c r="I97" s="44">
        <f>'Statistics NZ'!I$97*'Economic Forecasts'!K$9*1000000/SUM('Statistics NZ'!I$30:I$110,'Statistics NZ'!I$130:I$210)</f>
        <v>9342.788207091935</v>
      </c>
      <c r="J97" s="44">
        <f>'Statistics NZ'!J$97*'Economic Forecasts'!L$9*1000000/SUM('Statistics NZ'!J$30:J$110,'Statistics NZ'!J$130:J$210)</f>
        <v>8844.9571952484803</v>
      </c>
      <c r="K97" s="44">
        <f>'Statistics NZ'!K$97*'Economic Forecasts'!M$9*1000000/SUM('Statistics NZ'!K$30:K$110,'Statistics NZ'!K$130:K$210)</f>
        <v>8918.37691770325</v>
      </c>
      <c r="L97" s="44">
        <f>'Statistics NZ'!L$97*'Economic Forecasts'!N$9*1000000/SUM('Statistics NZ'!L$30:L$110,'Statistics NZ'!L$130:L$210)</f>
        <v>8909.0027470570058</v>
      </c>
      <c r="M97" s="44">
        <f>'Statistics NZ'!M$97*'Economic Forecasts'!O$9*1000000/SUM('Statistics NZ'!M$30:M$110,'Statistics NZ'!M$130:M$210)</f>
        <v>8968.4687868383917</v>
      </c>
      <c r="N97" s="44">
        <f>'Statistics NZ'!N$97*'Economic Forecasts'!P$9*1000000/SUM('Statistics NZ'!N$30:N$110,'Statistics NZ'!N$130:N$210)</f>
        <v>9276.1176893079155</v>
      </c>
      <c r="O97" s="44">
        <f>'Statistics NZ'!O$97*'Economic Forecasts'!Q$9*1000000/SUM('Statistics NZ'!O$30:O$110,'Statistics NZ'!O$130:O$210)</f>
        <v>9803.2996903114581</v>
      </c>
      <c r="P97" s="44">
        <f>'Statistics NZ'!P$97*'Economic Forecasts'!R$9*1000000/SUM('Statistics NZ'!P$30:P$110,'Statistics NZ'!P$130:P$210)</f>
        <v>10316.791020235161</v>
      </c>
      <c r="Q97" s="44">
        <f>'Statistics NZ'!Q$97*'Economic Forecasts'!S$9*1000000/SUM('Statistics NZ'!Q$30:Q$110,'Statistics NZ'!Q$130:Q$210)</f>
        <v>10917.725999509265</v>
      </c>
      <c r="R97" s="44">
        <f>'Statistics NZ'!R$97*'Economic Forecasts'!T$9*1000000/SUM('Statistics NZ'!R$30:R$110,'Statistics NZ'!R$130:R$210)</f>
        <v>11810.233895407571</v>
      </c>
      <c r="S97" s="44">
        <f>'Statistics NZ'!S$97*'Economic Forecasts'!U$9*1000000/SUM('Statistics NZ'!S$30:S$110,'Statistics NZ'!S$130:S$210)</f>
        <v>12485.734514696913</v>
      </c>
      <c r="T97" s="44">
        <f>'Statistics NZ'!T$97*'Economic Forecasts'!V$9*1000000/SUM('Statistics NZ'!T$30:T$110,'Statistics NZ'!T$130:T$210)</f>
        <v>12855.282443632992</v>
      </c>
      <c r="U97" s="45">
        <f>SUM('Statistics NZ'!U$97,$R$12/5*(U$8-U$9)*1000)*'Economic Forecasts'!W$9*1000000/SUM('Statistics NZ'!U$30:U$110,'Statistics NZ'!U$130:U$210,SUM($E$12:$T$13)*(U$8-U$9)*1000)</f>
        <v>11570.477690406753</v>
      </c>
      <c r="V97" s="45">
        <f>SUM('Statistics NZ'!V$97,$R$12/5*(V$8-V$9)*1000)*'Economic Forecasts'!X$9*1000000/SUM('Statistics NZ'!V$30:V$110,'Statistics NZ'!V$130:V$210,SUM($E$12:$T$13)*(V$8-V$9)*1000)</f>
        <v>12793.41132399313</v>
      </c>
      <c r="W97" s="45">
        <f>SUM('Statistics NZ'!W$97,$R$12/5*(W$8-W$9)*1000)*'Economic Forecasts'!Y$9*1000000/SUM('Statistics NZ'!W$30:W$110,'Statistics NZ'!W$130:W$210,SUM($E$12:$T$13)*(W$8-W$9)*1000)</f>
        <v>13538.722277388424</v>
      </c>
      <c r="X97" s="45">
        <f>SUM('Statistics NZ'!X$97,$R$12/5*(X$8-X$9)*1000)*'Economic Forecasts'!Z$9*1000000/SUM('Statistics NZ'!X$30:X$110,'Statistics NZ'!X$130:X$210,SUM($E$12:$T$13)*(X$8-X$9)*1000)</f>
        <v>14403.273747360317</v>
      </c>
      <c r="Y97" s="45">
        <f>SUM('Statistics NZ'!Y$97,$R$12/5*(Y$8-Y$9)*1000)*'Economic Forecasts'!AA$9*1000000/SUM('Statistics NZ'!Y$30:Y$110,'Statistics NZ'!Y$130:Y$210,SUM($E$12:$T$13)*(Y$8-Y$9)*1000)</f>
        <v>17172.883649139123</v>
      </c>
      <c r="Z97" s="46">
        <f>SUM(Y$97,'Statistics NZ'!Z$97-'Statistics NZ'!Y$97,$R$12/5*(Z$8-Z$9)*1000)</f>
        <v>17233.362295880896</v>
      </c>
      <c r="AA97" s="46">
        <f>SUM(Z$97,'Statistics NZ'!AA$97-'Statistics NZ'!Z$97,$R$12/5*(AA$8-AA$9)*1000)</f>
        <v>16993.649483925958</v>
      </c>
      <c r="AB97" s="46">
        <f>SUM(AA$97,'Statistics NZ'!AB$97-'Statistics NZ'!AA$97,$R$12/5*(AB$8-AB$9)*1000)</f>
        <v>17783.783505013653</v>
      </c>
      <c r="AC97" s="46">
        <f>SUM(AB$97,'Statistics NZ'!AC$97-'Statistics NZ'!AB$97,$R$12/5*(AC$8-AC$9)*1000)</f>
        <v>17633.783505013653</v>
      </c>
      <c r="AD97" s="46">
        <f>SUM(AC$97,'Statistics NZ'!AD$97-'Statistics NZ'!AC$97,$R$12/5*(AD$8-AD$9)*1000)</f>
        <v>18273.783505013653</v>
      </c>
      <c r="AE97" s="46">
        <f>SUM(AD$97,'Statistics NZ'!AE$97-'Statistics NZ'!AD$97,$R$12/5*(AE$8-AE$9)*1000)</f>
        <v>18733.783505013653</v>
      </c>
      <c r="AF97" s="46">
        <f>SUM(AE$97,'Statistics NZ'!AF$97-'Statistics NZ'!AE$97,$R$12/5*(AF$8-AF$9)*1000)</f>
        <v>19543.783505013653</v>
      </c>
      <c r="AG97" s="46">
        <f>SUM(AF$97,'Statistics NZ'!AG$97-'Statistics NZ'!AF$97,$R$12/5*(AG$8-AG$9)*1000)</f>
        <v>20163.783505013653</v>
      </c>
      <c r="AH97" s="46">
        <f>SUM(AG$97,'Statistics NZ'!AH$97-'Statistics NZ'!AG$97,$R$12/5*(AH$8-AH$9)*1000)</f>
        <v>20923.783505013653</v>
      </c>
      <c r="AI97" s="46">
        <f>SUM(AH$97,'Statistics NZ'!AI$97-'Statistics NZ'!AH$97,$R$12/5*(AI$8-AI$9)*1000)</f>
        <v>21543.783505013653</v>
      </c>
      <c r="AJ97" s="46">
        <f>SUM(AI$97,'Statistics NZ'!AJ$97-'Statistics NZ'!AI$97,$R$12/5*(AJ$8-AJ$9)*1000)</f>
        <v>22243.783505013653</v>
      </c>
      <c r="AK97" s="46">
        <f>SUM(AJ$97,'Statistics NZ'!AK$97-'Statistics NZ'!AJ$97,$R$12/5*(AK$8-AK$9)*1000)</f>
        <v>23093.783505013653</v>
      </c>
      <c r="AL97" s="46">
        <f>SUM(AK$97,'Statistics NZ'!AL$97-'Statistics NZ'!AK$97,$R$12/5*(AL$8-AL$9)*1000)</f>
        <v>23543.783505013653</v>
      </c>
      <c r="AM97" s="46">
        <f>SUM(AL$97,'Statistics NZ'!AM$97-'Statistics NZ'!AL$97,$R$12/5*(AM$8-AM$9)*1000)</f>
        <v>24693.783505013653</v>
      </c>
      <c r="AN97" s="46">
        <f>SUM(AM$97,'Statistics NZ'!AN$97-'Statistics NZ'!AM$97,$R$12/5*(AN$8-AN$9)*1000)</f>
        <v>25613.783505013653</v>
      </c>
      <c r="AO97" s="46">
        <f>SUM(AN$97,'Statistics NZ'!AO$97-'Statistics NZ'!AN$97,$R$12/5*(AO$8-AO$9)*1000)</f>
        <v>25973.783505013653</v>
      </c>
      <c r="AP97" s="46">
        <f>SUM(AO$97,'Statistics NZ'!AP$97-'Statistics NZ'!AO$97,$R$12/5*(AP$8-AP$9)*1000)</f>
        <v>25603.783505013653</v>
      </c>
      <c r="AQ97" s="46">
        <f>SUM(AP$97,'Statistics NZ'!AQ$97-'Statistics NZ'!AP$97,$R$12/5*(AQ$8-AQ$9)*1000)</f>
        <v>25053.783505013653</v>
      </c>
      <c r="AR97" s="46">
        <f>SUM(AQ$97,'Statistics NZ'!AR$97-'Statistics NZ'!AQ$97,$R$12/5*(AR$8-AR$9)*1000)</f>
        <v>24903.783505013653</v>
      </c>
      <c r="AS97" s="46">
        <f>SUM(AR$97,'Statistics NZ'!AS$97-'Statistics NZ'!AR$97,$R$12/5*(AS$8-AS$9)*1000)</f>
        <v>25663.783505013653</v>
      </c>
      <c r="AT97" s="46">
        <f>SUM(AS$97,'Statistics NZ'!AT$97-'Statistics NZ'!AS$97,$R$12/5*(AT$8-AT$9)*1000)</f>
        <v>26143.783505013653</v>
      </c>
      <c r="AU97" s="46">
        <f>SUM(AT$97,'Statistics NZ'!AU$97-'Statistics NZ'!AT$97,$R$12/5*(AU$8-AU$9)*1000)</f>
        <v>26893.783505013653</v>
      </c>
      <c r="AV97" s="46">
        <f>SUM(AU$97,'Statistics NZ'!AV$97-'Statistics NZ'!AU$97,$R$12/5*(AV$8-AV$9)*1000)</f>
        <v>27053.783505013653</v>
      </c>
      <c r="AW97" s="46">
        <f>SUM(AV$97,'Statistics NZ'!AW$97-'Statistics NZ'!AV$97,$R$12/5*(AW$8-AW$9)*1000)</f>
        <v>28363.783505013653</v>
      </c>
      <c r="AX97" s="46">
        <f>SUM(AW$97,'Statistics NZ'!AX$97-'Statistics NZ'!AW$97,$R$12/5*(AX$8-AX$9)*1000)</f>
        <v>28173.783505013653</v>
      </c>
      <c r="AY97" s="46">
        <f>SUM(AX$97,'Statistics NZ'!AY$97-'Statistics NZ'!AX$97,$R$12/5*(AY$8-AY$9)*1000)</f>
        <v>27633.783505013653</v>
      </c>
      <c r="AZ97" s="46">
        <f>SUM(AY$97,'Statistics NZ'!AZ$97-'Statistics NZ'!AY$97,$R$12/5*(AZ$8-AZ$9)*1000)</f>
        <v>27073.783505013653</v>
      </c>
      <c r="BA97" s="46">
        <f>SUM(AZ$97,'Statistics NZ'!BA$97-'Statistics NZ'!AZ$97,$R$12/5*(BA$8-BA$9)*1000)</f>
        <v>26353.783505013653</v>
      </c>
      <c r="BB97" s="46">
        <f>SUM(BA$97,'Statistics NZ'!BB$97-'Statistics NZ'!BA$97,$R$12/5*(BB$8-BB$9)*1000)</f>
        <v>25583.783505013653</v>
      </c>
      <c r="BC97" s="46">
        <f>SUM(BB$97,'Statistics NZ'!BC$97-'Statistics NZ'!BB$97,$R$12/5*(BC$8-BC$9)*1000)</f>
        <v>26033.783505013653</v>
      </c>
      <c r="BD97" s="46">
        <f>SUM(BC$97,'Statistics NZ'!BD$97-'Statistics NZ'!BC$97,$R$12/5*(BD$8-BD$9)*1000)</f>
        <v>26163.783505013653</v>
      </c>
      <c r="BE97" s="46">
        <f>SUM(BD$97,'Statistics NZ'!BE$97-'Statistics NZ'!BD$97,$R$12/5*(BE$8-BE$9)*1000)</f>
        <v>27283.783505013653</v>
      </c>
      <c r="BF97" s="46">
        <f>SUM(BE$97,'Statistics NZ'!BF$97-'Statistics NZ'!BE$97,$R$12/5*(BF$8-BF$9)*1000)</f>
        <v>27973.783505013653</v>
      </c>
      <c r="BG97" s="46">
        <f>SUM(BF$97,'Statistics NZ'!BG$97-'Statistics NZ'!BF$97,$R$12/5*(BG$8-BG$9)*1000)</f>
        <v>28723.783505013653</v>
      </c>
      <c r="BH97" s="46">
        <f>SUM(BG$97,'Statistics NZ'!BH$97-'Statistics NZ'!BG$97,$R$12/5*(BH$8-BH$9)*1000)</f>
        <v>29933.783505013653</v>
      </c>
      <c r="BI97" s="46">
        <f>SUM(BH$97,'Statistics NZ'!BI$97-'Statistics NZ'!BH$97,$R$12/5*(BI$8-BI$9)*1000)</f>
        <v>30983.783505013653</v>
      </c>
    </row>
    <row r="98" spans="1:61" x14ac:dyDescent="0.25">
      <c r="A98" s="11">
        <v>83</v>
      </c>
      <c r="B98" s="44">
        <f>'Statistics NZ'!B$98*'Economic Forecasts'!D$9*1000000/SUM('Statistics NZ'!B$30:B$110,'Statistics NZ'!B$130:B$210)</f>
        <v>7856.5045262595868</v>
      </c>
      <c r="C98" s="44">
        <f>'Statistics NZ'!C$98*'Economic Forecasts'!E$9*1000000/SUM('Statistics NZ'!C$30:C$110,'Statistics NZ'!C$130:C$210)</f>
        <v>8121.2047194949228</v>
      </c>
      <c r="D98" s="44">
        <f>'Statistics NZ'!D$98*'Economic Forecasts'!F$9*1000000/SUM('Statistics NZ'!D$30:D$110,'Statistics NZ'!D$130:D$210)</f>
        <v>8418.0742158704488</v>
      </c>
      <c r="E98" s="44">
        <f>'Statistics NZ'!E$98*'Economic Forecasts'!G$9*1000000/SUM('Statistics NZ'!E$30:E$110,'Statistics NZ'!E$130:E$210)</f>
        <v>8277.1273343054709</v>
      </c>
      <c r="F98" s="44">
        <f>'Statistics NZ'!F$98*'Economic Forecasts'!H$9*1000000/SUM('Statistics NZ'!F$30:F$110,'Statistics NZ'!F$130:F$210)</f>
        <v>8239.4183313919202</v>
      </c>
      <c r="G98" s="44">
        <f>'Statistics NZ'!G$98*'Economic Forecasts'!I$9*1000000/SUM('Statistics NZ'!G$30:G$110,'Statistics NZ'!G$130:G$210)</f>
        <v>8437.5036709028409</v>
      </c>
      <c r="H98" s="44">
        <f>'Statistics NZ'!H$98*'Economic Forecasts'!J$9*1000000/SUM('Statistics NZ'!H$30:H$110,'Statistics NZ'!H$130:H$210)</f>
        <v>8400.4922573802869</v>
      </c>
      <c r="I98" s="44">
        <f>'Statistics NZ'!I$98*'Economic Forecasts'!K$9*1000000/SUM('Statistics NZ'!I$30:I$110,'Statistics NZ'!I$130:I$210)</f>
        <v>8646.735780330624</v>
      </c>
      <c r="J98" s="44">
        <f>'Statistics NZ'!J$98*'Economic Forecasts'!L$9*1000000/SUM('Statistics NZ'!J$30:J$110,'Statistics NZ'!J$130:J$210)</f>
        <v>8796.1977840288073</v>
      </c>
      <c r="K98" s="44">
        <f>'Statistics NZ'!K$98*'Economic Forecasts'!M$9*1000000/SUM('Statistics NZ'!K$30:K$110,'Statistics NZ'!K$130:K$210)</f>
        <v>8324.4675378125321</v>
      </c>
      <c r="L98" s="44">
        <f>'Statistics NZ'!L$98*'Economic Forecasts'!N$9*1000000/SUM('Statistics NZ'!L$30:L$110,'Statistics NZ'!L$130:L$210)</f>
        <v>8461.1184559481298</v>
      </c>
      <c r="M98" s="44">
        <f>'Statistics NZ'!M$98*'Economic Forecasts'!O$9*1000000/SUM('Statistics NZ'!M$30:M$110,'Statistics NZ'!M$130:M$210)</f>
        <v>8479.9900947447968</v>
      </c>
      <c r="N98" s="44">
        <f>'Statistics NZ'!N$98*'Economic Forecasts'!P$9*1000000/SUM('Statistics NZ'!N$30:N$110,'Statistics NZ'!N$130:N$210)</f>
        <v>8512.8928161370113</v>
      </c>
      <c r="O98" s="44">
        <f>'Statistics NZ'!O$98*'Economic Forecasts'!Q$9*1000000/SUM('Statistics NZ'!O$30:O$110,'Statistics NZ'!O$130:O$210)</f>
        <v>8859.3510741932023</v>
      </c>
      <c r="P98" s="44">
        <f>'Statistics NZ'!P$98*'Economic Forecasts'!R$9*1000000/SUM('Statistics NZ'!P$30:P$110,'Statistics NZ'!P$130:P$210)</f>
        <v>9285.1119182116472</v>
      </c>
      <c r="Q98" s="44">
        <f>'Statistics NZ'!Q$98*'Economic Forecasts'!S$9*1000000/SUM('Statistics NZ'!Q$30:Q$110,'Statistics NZ'!Q$130:Q$210)</f>
        <v>9874.631158791819</v>
      </c>
      <c r="R98" s="44">
        <f>'Statistics NZ'!R$98*'Economic Forecasts'!T$9*1000000/SUM('Statistics NZ'!R$30:R$110,'Statistics NZ'!R$130:R$210)</f>
        <v>10326.486129458388</v>
      </c>
      <c r="S98" s="44">
        <f>'Statistics NZ'!S$98*'Economic Forecasts'!U$9*1000000/SUM('Statistics NZ'!S$30:S$110,'Statistics NZ'!S$130:S$210)</f>
        <v>11022.025275759195</v>
      </c>
      <c r="T98" s="44">
        <f>'Statistics NZ'!T$98*'Economic Forecasts'!V$9*1000000/SUM('Statistics NZ'!T$30:T$110,'Statistics NZ'!T$130:T$210)</f>
        <v>11992.977453196545</v>
      </c>
      <c r="U98" s="45">
        <f>SUM('Statistics NZ'!U$98,$R$12/5*(U$8-U$9)*1000)*'Economic Forecasts'!W$9*1000000/SUM('Statistics NZ'!U$30:U$110,'Statistics NZ'!U$130:U$210,SUM($E$12:$T$13)*(U$8-U$9)*1000)</f>
        <v>12263.824067158022</v>
      </c>
      <c r="V98" s="45">
        <f>SUM('Statistics NZ'!V$98,$R$12/5*(V$8-V$9)*1000)*'Economic Forecasts'!X$9*1000000/SUM('Statistics NZ'!V$30:V$110,'Statistics NZ'!V$130:V$210,SUM($E$12:$T$13)*(V$8-V$9)*1000)</f>
        <v>11050.867345386685</v>
      </c>
      <c r="W98" s="45">
        <f>SUM('Statistics NZ'!W$98,$R$12/5*(W$8-W$9)*1000)*'Economic Forecasts'!Y$9*1000000/SUM('Statistics NZ'!W$30:W$110,'Statistics NZ'!W$130:W$210,SUM($E$12:$T$13)*(W$8-W$9)*1000)</f>
        <v>12231.526850276281</v>
      </c>
      <c r="X98" s="45">
        <f>SUM('Statistics NZ'!X$98,$R$12/5*(X$8-X$9)*1000)*'Economic Forecasts'!Z$9*1000000/SUM('Statistics NZ'!X$30:X$110,'Statistics NZ'!X$130:X$210,SUM($E$12:$T$13)*(X$8-X$9)*1000)</f>
        <v>12957.105624166372</v>
      </c>
      <c r="Y98" s="45">
        <f>SUM('Statistics NZ'!Y$98,$R$12/5*(Y$8-Y$9)*1000)*'Economic Forecasts'!AA$9*1000000/SUM('Statistics NZ'!Y$30:Y$110,'Statistics NZ'!Y$130:Y$210,SUM($E$12:$T$13)*(Y$8-Y$9)*1000)</f>
        <v>13793.948534452964</v>
      </c>
      <c r="Z98" s="46">
        <f>SUM(Y$98,'Statistics NZ'!Z$98-'Statistics NZ'!Y$98,$R$12/5*(Z$8-Z$9)*1000)</f>
        <v>16474.427181194736</v>
      </c>
      <c r="AA98" s="46">
        <f>SUM(Z$98,'Statistics NZ'!AA$98-'Statistics NZ'!Z$98,$R$12/5*(AA$8-AA$9)*1000)</f>
        <v>16544.714369239799</v>
      </c>
      <c r="AB98" s="46">
        <f>SUM(AA$98,'Statistics NZ'!AB$98-'Statistics NZ'!AA$98,$R$12/5*(AB$8-AB$9)*1000)</f>
        <v>16324.848390327494</v>
      </c>
      <c r="AC98" s="46">
        <f>SUM(AB$98,'Statistics NZ'!AC$98-'Statistics NZ'!AB$98,$R$12/5*(AC$8-AC$9)*1000)</f>
        <v>17094.848390327494</v>
      </c>
      <c r="AD98" s="46">
        <f>SUM(AC$98,'Statistics NZ'!AD$98-'Statistics NZ'!AC$98,$R$12/5*(AD$8-AD$9)*1000)</f>
        <v>16964.848390327494</v>
      </c>
      <c r="AE98" s="46">
        <f>SUM(AD$98,'Statistics NZ'!AE$98-'Statistics NZ'!AD$98,$R$12/5*(AE$8-AE$9)*1000)</f>
        <v>17584.848390327494</v>
      </c>
      <c r="AF98" s="46">
        <f>SUM(AE$98,'Statistics NZ'!AF$98-'Statistics NZ'!AE$98,$R$12/5*(AF$8-AF$9)*1000)</f>
        <v>18034.848390327494</v>
      </c>
      <c r="AG98" s="46">
        <f>SUM(AF$98,'Statistics NZ'!AG$98-'Statistics NZ'!AF$98,$R$12/5*(AG$8-AG$9)*1000)</f>
        <v>18834.848390327494</v>
      </c>
      <c r="AH98" s="46">
        <f>SUM(AG$98,'Statistics NZ'!AH$98-'Statistics NZ'!AG$98,$R$12/5*(AH$8-AH$9)*1000)</f>
        <v>19434.848390327494</v>
      </c>
      <c r="AI98" s="46">
        <f>SUM(AH$98,'Statistics NZ'!AI$98-'Statistics NZ'!AH$98,$R$12/5*(AI$8-AI$9)*1000)</f>
        <v>20184.848390327494</v>
      </c>
      <c r="AJ98" s="46">
        <f>SUM(AI$98,'Statistics NZ'!AJ$98-'Statistics NZ'!AI$98,$R$12/5*(AJ$8-AJ$9)*1000)</f>
        <v>20784.848390327494</v>
      </c>
      <c r="AK98" s="46">
        <f>SUM(AJ$98,'Statistics NZ'!AK$98-'Statistics NZ'!AJ$98,$R$12/5*(AK$8-AK$9)*1000)</f>
        <v>21474.848390327494</v>
      </c>
      <c r="AL98" s="46">
        <f>SUM(AK$98,'Statistics NZ'!AL$98-'Statistics NZ'!AK$98,$R$12/5*(AL$8-AL$9)*1000)</f>
        <v>22314.848390327494</v>
      </c>
      <c r="AM98" s="46">
        <f>SUM(AL$98,'Statistics NZ'!AM$98-'Statistics NZ'!AL$98,$R$12/5*(AM$8-AM$9)*1000)</f>
        <v>22754.848390327494</v>
      </c>
      <c r="AN98" s="46">
        <f>SUM(AM$98,'Statistics NZ'!AN$98-'Statistics NZ'!AM$98,$R$12/5*(AN$8-AN$9)*1000)</f>
        <v>23874.848390327494</v>
      </c>
      <c r="AO98" s="46">
        <f>SUM(AN$98,'Statistics NZ'!AO$98-'Statistics NZ'!AN$98,$R$12/5*(AO$8-AO$9)*1000)</f>
        <v>24774.848390327494</v>
      </c>
      <c r="AP98" s="46">
        <f>SUM(AO$98,'Statistics NZ'!AP$98-'Statistics NZ'!AO$98,$R$12/5*(AP$8-AP$9)*1000)</f>
        <v>25144.848390327494</v>
      </c>
      <c r="AQ98" s="46">
        <f>SUM(AP$98,'Statistics NZ'!AQ$98-'Statistics NZ'!AP$98,$R$12/5*(AQ$8-AQ$9)*1000)</f>
        <v>24804.848390327494</v>
      </c>
      <c r="AR98" s="46">
        <f>SUM(AQ$98,'Statistics NZ'!AR$98-'Statistics NZ'!AQ$98,$R$12/5*(AR$8-AR$9)*1000)</f>
        <v>24274.848390327494</v>
      </c>
      <c r="AS98" s="46">
        <f>SUM(AR$98,'Statistics NZ'!AS$98-'Statistics NZ'!AR$98,$R$12/5*(AS$8-AS$9)*1000)</f>
        <v>24144.848390327494</v>
      </c>
      <c r="AT98" s="46">
        <f>SUM(AS$98,'Statistics NZ'!AT$98-'Statistics NZ'!AS$98,$R$12/5*(AT$8-AT$9)*1000)</f>
        <v>24894.848390327494</v>
      </c>
      <c r="AU98" s="46">
        <f>SUM(AT$98,'Statistics NZ'!AU$98-'Statistics NZ'!AT$98,$R$12/5*(AU$8-AU$9)*1000)</f>
        <v>25364.848390327494</v>
      </c>
      <c r="AV98" s="46">
        <f>SUM(AU$98,'Statistics NZ'!AV$98-'Statistics NZ'!AU$98,$R$12/5*(AV$8-AV$9)*1000)</f>
        <v>26104.848390327494</v>
      </c>
      <c r="AW98" s="46">
        <f>SUM(AV$98,'Statistics NZ'!AW$98-'Statistics NZ'!AV$98,$R$12/5*(AW$8-AW$9)*1000)</f>
        <v>26274.848390327494</v>
      </c>
      <c r="AX98" s="46">
        <f>SUM(AW$98,'Statistics NZ'!AX$98-'Statistics NZ'!AW$98,$R$12/5*(AX$8-AX$9)*1000)</f>
        <v>27554.848390327494</v>
      </c>
      <c r="AY98" s="46">
        <f>SUM(AX$98,'Statistics NZ'!AY$98-'Statistics NZ'!AX$98,$R$12/5*(AY$8-AY$9)*1000)</f>
        <v>27384.848390327494</v>
      </c>
      <c r="AZ98" s="46">
        <f>SUM(AY$98,'Statistics NZ'!AZ$98-'Statistics NZ'!AY$98,$R$12/5*(AZ$8-AZ$9)*1000)</f>
        <v>26864.848390327494</v>
      </c>
      <c r="BA98" s="46">
        <f>SUM(AZ$98,'Statistics NZ'!BA$98-'Statistics NZ'!AZ$98,$R$12/5*(BA$8-BA$9)*1000)</f>
        <v>26334.848390327494</v>
      </c>
      <c r="BB98" s="46">
        <f>SUM(BA$98,'Statistics NZ'!BB$98-'Statistics NZ'!BA$98,$R$12/5*(BB$8-BB$9)*1000)</f>
        <v>25654.848390327494</v>
      </c>
      <c r="BC98" s="46">
        <f>SUM(BB$98,'Statistics NZ'!BC$98-'Statistics NZ'!BB$98,$R$12/5*(BC$8-BC$9)*1000)</f>
        <v>24914.848390327494</v>
      </c>
      <c r="BD98" s="46">
        <f>SUM(BC$98,'Statistics NZ'!BD$98-'Statistics NZ'!BC$98,$R$12/5*(BD$8-BD$9)*1000)</f>
        <v>25364.848390327494</v>
      </c>
      <c r="BE98" s="46">
        <f>SUM(BD$98,'Statistics NZ'!BE$98-'Statistics NZ'!BD$98,$R$12/5*(BE$8-BE$9)*1000)</f>
        <v>25494.848390327494</v>
      </c>
      <c r="BF98" s="46">
        <f>SUM(BE$98,'Statistics NZ'!BF$98-'Statistics NZ'!BE$98,$R$12/5*(BF$8-BF$9)*1000)</f>
        <v>26594.848390327494</v>
      </c>
      <c r="BG98" s="46">
        <f>SUM(BF$98,'Statistics NZ'!BG$98-'Statistics NZ'!BF$98,$R$12/5*(BG$8-BG$9)*1000)</f>
        <v>27274.848390327494</v>
      </c>
      <c r="BH98" s="46">
        <f>SUM(BG$98,'Statistics NZ'!BH$98-'Statistics NZ'!BG$98,$R$12/5*(BH$8-BH$9)*1000)</f>
        <v>28024.848390327494</v>
      </c>
      <c r="BI98" s="46">
        <f>SUM(BH$98,'Statistics NZ'!BI$98-'Statistics NZ'!BH$98,$R$12/5*(BI$8-BI$9)*1000)</f>
        <v>29214.848390327494</v>
      </c>
    </row>
    <row r="99" spans="1:61" x14ac:dyDescent="0.25">
      <c r="A99" s="11">
        <v>84</v>
      </c>
      <c r="B99" s="44">
        <f>'Statistics NZ'!B$99*'Economic Forecasts'!D$9*1000000/SUM('Statistics NZ'!B$30:B$110,'Statistics NZ'!B$130:B$210)</f>
        <v>7533.6344772352195</v>
      </c>
      <c r="C99" s="44">
        <f>'Statistics NZ'!C$99*'Economic Forecasts'!E$9*1000000/SUM('Statistics NZ'!C$30:C$110,'Statistics NZ'!C$130:C$210)</f>
        <v>7355.2386153587622</v>
      </c>
      <c r="D99" s="44">
        <f>'Statistics NZ'!D$99*'Economic Forecasts'!F$9*1000000/SUM('Statistics NZ'!D$30:D$110,'Statistics NZ'!D$130:D$210)</f>
        <v>7592.9654245832626</v>
      </c>
      <c r="E99" s="44">
        <f>'Statistics NZ'!E$99*'Economic Forecasts'!G$9*1000000/SUM('Statistics NZ'!E$30:E$110,'Statistics NZ'!E$130:E$210)</f>
        <v>7884.8464179876773</v>
      </c>
      <c r="F99" s="44">
        <f>'Statistics NZ'!F$99*'Economic Forecasts'!H$9*1000000/SUM('Statistics NZ'!F$30:F$110,'Statistics NZ'!F$130:F$210)</f>
        <v>7739.1679327002685</v>
      </c>
      <c r="G99" s="44">
        <f>'Statistics NZ'!G$99*'Economic Forecasts'!I$9*1000000/SUM('Statistics NZ'!G$30:G$110,'Statistics NZ'!G$130:G$210)</f>
        <v>7730.2856682194824</v>
      </c>
      <c r="H99" s="44">
        <f>'Statistics NZ'!H$99*'Economic Forecasts'!J$9*1000000/SUM('Statistics NZ'!H$30:H$110,'Statistics NZ'!H$130:H$210)</f>
        <v>7840.4594402216017</v>
      </c>
      <c r="I99" s="44">
        <f>'Statistics NZ'!I$99*'Economic Forecasts'!K$9*1000000/SUM('Statistics NZ'!I$30:I$110,'Statistics NZ'!I$130:I$210)</f>
        <v>7901.6655770368307</v>
      </c>
      <c r="J99" s="44">
        <f>'Statistics NZ'!J$99*'Economic Forecasts'!L$9*1000000/SUM('Statistics NZ'!J$30:J$110,'Statistics NZ'!J$130:J$210)</f>
        <v>8142.8216736852037</v>
      </c>
      <c r="K99" s="44">
        <f>'Statistics NZ'!K$99*'Economic Forecasts'!M$9*1000000/SUM('Statistics NZ'!K$30:K$110,'Statistics NZ'!K$130:K$210)</f>
        <v>8227.1053443878245</v>
      </c>
      <c r="L99" s="44">
        <f>'Statistics NZ'!L$99*'Economic Forecasts'!N$9*1000000/SUM('Statistics NZ'!L$30:L$110,'Statistics NZ'!L$130:L$210)</f>
        <v>7876.9215545017696</v>
      </c>
      <c r="M99" s="44">
        <f>'Statistics NZ'!M$99*'Economic Forecasts'!O$9*1000000/SUM('Statistics NZ'!M$30:M$110,'Statistics NZ'!M$130:M$210)</f>
        <v>7952.4331072837149</v>
      </c>
      <c r="N99" s="44">
        <f>'Statistics NZ'!N$99*'Economic Forecasts'!P$9*1000000/SUM('Statistics NZ'!N$30:N$110,'Statistics NZ'!N$130:N$210)</f>
        <v>7994.2912997516523</v>
      </c>
      <c r="O99" s="44">
        <f>'Statistics NZ'!O$99*'Economic Forecasts'!Q$9*1000000/SUM('Statistics NZ'!O$30:O$110,'Statistics NZ'!O$130:O$210)</f>
        <v>8053.0616312588609</v>
      </c>
      <c r="P99" s="44">
        <f>'Statistics NZ'!P$99*'Economic Forecasts'!R$9*1000000/SUM('Statistics NZ'!P$30:P$110,'Statistics NZ'!P$130:P$210)</f>
        <v>8390.9900297912645</v>
      </c>
      <c r="Q99" s="44">
        <f>'Statistics NZ'!Q$99*'Economic Forecasts'!S$9*1000000/SUM('Statistics NZ'!Q$30:Q$110,'Statistics NZ'!Q$130:Q$210)</f>
        <v>8891.1417375439414</v>
      </c>
      <c r="R99" s="44">
        <f>'Statistics NZ'!R$99*'Economic Forecasts'!T$9*1000000/SUM('Statistics NZ'!R$30:R$110,'Statistics NZ'!R$130:R$210)</f>
        <v>9290.8501049032584</v>
      </c>
      <c r="S99" s="44">
        <f>'Statistics NZ'!S$99*'Economic Forecasts'!U$9*1000000/SUM('Statistics NZ'!S$30:S$110,'Statistics NZ'!S$130:S$210)</f>
        <v>9568.1395887606559</v>
      </c>
      <c r="T99" s="44">
        <f>'Statistics NZ'!T$99*'Economic Forecasts'!V$9*1000000/SUM('Statistics NZ'!T$30:T$110,'Statistics NZ'!T$130:T$210)</f>
        <v>10526.067814293167</v>
      </c>
      <c r="U99" s="45">
        <f>SUM('Statistics NZ'!U$99,$R$12/5*(U$8-U$9)*1000)*'Economic Forecasts'!W$9*1000000/SUM('Statistics NZ'!U$30:U$110,'Statistics NZ'!U$130:U$210,SUM($E$12:$T$13)*(U$8-U$9)*1000)</f>
        <v>11352.568829142068</v>
      </c>
      <c r="V99" s="45">
        <f>SUM('Statistics NZ'!V$99,$R$12/5*(V$8-V$9)*1000)*'Economic Forecasts'!X$9*1000000/SUM('Statistics NZ'!V$30:V$110,'Statistics NZ'!V$130:V$210,SUM($E$12:$T$13)*(V$8-V$9)*1000)</f>
        <v>11615.213974821727</v>
      </c>
      <c r="W99" s="45">
        <f>SUM('Statistics NZ'!W$99,$R$12/5*(W$8-W$9)*1000)*'Economic Forecasts'!Y$9*1000000/SUM('Statistics NZ'!W$30:W$110,'Statistics NZ'!W$130:W$210,SUM($E$12:$T$13)*(W$8-W$9)*1000)</f>
        <v>10488.599614126759</v>
      </c>
      <c r="X99" s="45">
        <f>SUM('Statistics NZ'!X$99,$R$12/5*(X$8-X$9)*1000)*'Economic Forecasts'!Z$9*1000000/SUM('Statistics NZ'!X$30:X$110,'Statistics NZ'!X$130:X$210,SUM($E$12:$T$13)*(X$8-X$9)*1000)</f>
        <v>11619.895373267856</v>
      </c>
      <c r="Y99" s="45">
        <f>SUM('Statistics NZ'!Y$99,$R$12/5*(Y$8-Y$9)*1000)*'Economic Forecasts'!AA$9*1000000/SUM('Statistics NZ'!Y$30:Y$110,'Statistics NZ'!Y$130:Y$210,SUM($E$12:$T$13)*(Y$8-Y$9)*1000)</f>
        <v>12317.522340645815</v>
      </c>
      <c r="Z99" s="46">
        <f>SUM(Y$99,'Statistics NZ'!Z$99-'Statistics NZ'!Y$99,$R$12/5*(Z$8-Z$9)*1000)</f>
        <v>13128.000987387586</v>
      </c>
      <c r="AA99" s="46">
        <f>SUM(Z$99,'Statistics NZ'!AA$99-'Statistics NZ'!Z$99,$R$12/5*(AA$8-AA$9)*1000)</f>
        <v>15698.288175432648</v>
      </c>
      <c r="AB99" s="46">
        <f>SUM(AA$99,'Statistics NZ'!AB$99-'Statistics NZ'!AA$99,$R$12/5*(AB$8-AB$9)*1000)</f>
        <v>15768.422196520343</v>
      </c>
      <c r="AC99" s="46">
        <f>SUM(AB$99,'Statistics NZ'!AC$99-'Statistics NZ'!AB$99,$R$12/5*(AC$8-AC$9)*1000)</f>
        <v>15568.422196520343</v>
      </c>
      <c r="AD99" s="46">
        <f>SUM(AC$99,'Statistics NZ'!AD$99-'Statistics NZ'!AC$99,$R$12/5*(AD$8-AD$9)*1000)</f>
        <v>16318.422196520343</v>
      </c>
      <c r="AE99" s="46">
        <f>SUM(AD$99,'Statistics NZ'!AE$99-'Statistics NZ'!AD$99,$R$12/5*(AE$8-AE$9)*1000)</f>
        <v>16198.422196520343</v>
      </c>
      <c r="AF99" s="46">
        <f>SUM(AE$99,'Statistics NZ'!AF$99-'Statistics NZ'!AE$99,$R$12/5*(AF$8-AF$9)*1000)</f>
        <v>16808.422196520343</v>
      </c>
      <c r="AG99" s="46">
        <f>SUM(AF$99,'Statistics NZ'!AG$99-'Statistics NZ'!AF$99,$R$12/5*(AG$8-AG$9)*1000)</f>
        <v>17248.422196520343</v>
      </c>
      <c r="AH99" s="46">
        <f>SUM(AG$99,'Statistics NZ'!AH$99-'Statistics NZ'!AG$99,$R$12/5*(AH$8-AH$9)*1000)</f>
        <v>18018.422196520343</v>
      </c>
      <c r="AI99" s="46">
        <f>SUM(AH$99,'Statistics NZ'!AI$99-'Statistics NZ'!AH$99,$R$12/5*(AI$8-AI$9)*1000)</f>
        <v>18608.422196520343</v>
      </c>
      <c r="AJ99" s="46">
        <f>SUM(AI$99,'Statistics NZ'!AJ$99-'Statistics NZ'!AI$99,$R$12/5*(AJ$8-AJ$9)*1000)</f>
        <v>19338.422196520343</v>
      </c>
      <c r="AK99" s="46">
        <f>SUM(AJ$99,'Statistics NZ'!AK$99-'Statistics NZ'!AJ$99,$R$12/5*(AK$8-AK$9)*1000)</f>
        <v>19928.422196520343</v>
      </c>
      <c r="AL99" s="46">
        <f>SUM(AK$99,'Statistics NZ'!AL$99-'Statistics NZ'!AK$99,$R$12/5*(AL$8-AL$9)*1000)</f>
        <v>20598.422196520343</v>
      </c>
      <c r="AM99" s="46">
        <f>SUM(AL$99,'Statistics NZ'!AM$99-'Statistics NZ'!AL$99,$R$12/5*(AM$8-AM$9)*1000)</f>
        <v>21408.422196520343</v>
      </c>
      <c r="AN99" s="46">
        <f>SUM(AM$99,'Statistics NZ'!AN$99-'Statistics NZ'!AM$99,$R$12/5*(AN$8-AN$9)*1000)</f>
        <v>21848.422196520343</v>
      </c>
      <c r="AO99" s="46">
        <f>SUM(AN$99,'Statistics NZ'!AO$99-'Statistics NZ'!AN$99,$R$12/5*(AO$8-AO$9)*1000)</f>
        <v>22938.422196520343</v>
      </c>
      <c r="AP99" s="46">
        <f>SUM(AO$99,'Statistics NZ'!AP$99-'Statistics NZ'!AO$99,$R$12/5*(AP$8-AP$9)*1000)</f>
        <v>23818.422196520343</v>
      </c>
      <c r="AQ99" s="46">
        <f>SUM(AP$99,'Statistics NZ'!AQ$99-'Statistics NZ'!AP$99,$R$12/5*(AQ$8-AQ$9)*1000)</f>
        <v>24188.422196520343</v>
      </c>
      <c r="AR99" s="46">
        <f>SUM(AQ$99,'Statistics NZ'!AR$99-'Statistics NZ'!AQ$99,$R$12/5*(AR$8-AR$9)*1000)</f>
        <v>23868.422196520343</v>
      </c>
      <c r="AS99" s="46">
        <f>SUM(AR$99,'Statistics NZ'!AS$99-'Statistics NZ'!AR$99,$R$12/5*(AS$8-AS$9)*1000)</f>
        <v>23378.422196520343</v>
      </c>
      <c r="AT99" s="46">
        <f>SUM(AS$99,'Statistics NZ'!AT$99-'Statistics NZ'!AS$99,$R$12/5*(AT$8-AT$9)*1000)</f>
        <v>23258.422196520343</v>
      </c>
      <c r="AU99" s="46">
        <f>SUM(AT$99,'Statistics NZ'!AU$99-'Statistics NZ'!AT$99,$R$12/5*(AU$8-AU$9)*1000)</f>
        <v>23998.422196520343</v>
      </c>
      <c r="AV99" s="46">
        <f>SUM(AU$99,'Statistics NZ'!AV$99-'Statistics NZ'!AU$99,$R$12/5*(AV$8-AV$9)*1000)</f>
        <v>24468.422196520343</v>
      </c>
      <c r="AW99" s="46">
        <f>SUM(AV$99,'Statistics NZ'!AW$99-'Statistics NZ'!AV$99,$R$12/5*(AW$8-AW$9)*1000)</f>
        <v>25188.422196520343</v>
      </c>
      <c r="AX99" s="46">
        <f>SUM(AW$99,'Statistics NZ'!AX$99-'Statistics NZ'!AW$99,$R$12/5*(AX$8-AX$9)*1000)</f>
        <v>25368.422196520343</v>
      </c>
      <c r="AY99" s="46">
        <f>SUM(AX$99,'Statistics NZ'!AY$99-'Statistics NZ'!AX$99,$R$12/5*(AY$8-AY$9)*1000)</f>
        <v>26618.422196520343</v>
      </c>
      <c r="AZ99" s="46">
        <f>SUM(AY$99,'Statistics NZ'!AZ$99-'Statistics NZ'!AY$99,$R$12/5*(AZ$8-AZ$9)*1000)</f>
        <v>26458.422196520343</v>
      </c>
      <c r="BA99" s="46">
        <f>SUM(AZ$99,'Statistics NZ'!BA$99-'Statistics NZ'!AZ$99,$R$12/5*(BA$8-BA$9)*1000)</f>
        <v>25978.422196520343</v>
      </c>
      <c r="BB99" s="46">
        <f>SUM(BA$99,'Statistics NZ'!BB$99-'Statistics NZ'!BA$99,$R$12/5*(BB$8-BB$9)*1000)</f>
        <v>25468.422196520343</v>
      </c>
      <c r="BC99" s="46">
        <f>SUM(BB$99,'Statistics NZ'!BC$99-'Statistics NZ'!BB$99,$R$12/5*(BC$8-BC$9)*1000)</f>
        <v>24828.422196520343</v>
      </c>
      <c r="BD99" s="46">
        <f>SUM(BC$99,'Statistics NZ'!BD$99-'Statistics NZ'!BC$99,$R$12/5*(BD$8-BD$9)*1000)</f>
        <v>24118.422196520343</v>
      </c>
      <c r="BE99" s="46">
        <f>SUM(BD$99,'Statistics NZ'!BE$99-'Statistics NZ'!BD$99,$R$12/5*(BE$8-BE$9)*1000)</f>
        <v>24568.422196520343</v>
      </c>
      <c r="BF99" s="46">
        <f>SUM(BE$99,'Statistics NZ'!BF$99-'Statistics NZ'!BE$99,$R$12/5*(BF$8-BF$9)*1000)</f>
        <v>24708.422196520343</v>
      </c>
      <c r="BG99" s="46">
        <f>SUM(BF$99,'Statistics NZ'!BG$99-'Statistics NZ'!BF$99,$R$12/5*(BG$8-BG$9)*1000)</f>
        <v>25778.422196520343</v>
      </c>
      <c r="BH99" s="46">
        <f>SUM(BG$99,'Statistics NZ'!BH$99-'Statistics NZ'!BG$99,$R$12/5*(BH$8-BH$9)*1000)</f>
        <v>26448.422196520343</v>
      </c>
      <c r="BI99" s="46">
        <f>SUM(BH$99,'Statistics NZ'!BI$99-'Statistics NZ'!BH$99,$R$12/5*(BI$8-BI$9)*1000)</f>
        <v>27188.422196520343</v>
      </c>
    </row>
    <row r="100" spans="1:61" x14ac:dyDescent="0.25">
      <c r="A100" s="11">
        <v>85</v>
      </c>
      <c r="B100" s="44">
        <f>'Statistics NZ'!B$100*'Economic Forecasts'!D$9*1000000/SUM('Statistics NZ'!B$30:B$110,'Statistics NZ'!B$130:B$210)</f>
        <v>6790.0549703912238</v>
      </c>
      <c r="C100" s="44">
        <f>'Statistics NZ'!C$100*'Economic Forecasts'!E$9*1000000/SUM('Statistics NZ'!C$30:C$110,'Statistics NZ'!C$130:C$210)</f>
        <v>7001.7157980651509</v>
      </c>
      <c r="D100" s="44">
        <f>'Statistics NZ'!D$100*'Economic Forecasts'!F$9*1000000/SUM('Statistics NZ'!D$30:D$110,'Statistics NZ'!D$130:D$210)</f>
        <v>6836.6156992366778</v>
      </c>
      <c r="E100" s="44">
        <f>'Statistics NZ'!E$100*'Economic Forecasts'!G$9*1000000/SUM('Statistics NZ'!E$30:E$110,'Statistics NZ'!E$130:E$210)</f>
        <v>7021.8284020885276</v>
      </c>
      <c r="F100" s="44">
        <f>'Statistics NZ'!F$100*'Economic Forecasts'!H$9*1000000/SUM('Statistics NZ'!F$30:F$110,'Statistics NZ'!F$130:F$210)</f>
        <v>7337.0058474775669</v>
      </c>
      <c r="G100" s="44">
        <f>'Statistics NZ'!G$100*'Economic Forecasts'!I$9*1000000/SUM('Statistics NZ'!G$30:G$110,'Statistics NZ'!G$130:G$210)</f>
        <v>7160.582277169</v>
      </c>
      <c r="H100" s="44">
        <f>'Statistics NZ'!H$100*'Economic Forecasts'!J$9*1000000/SUM('Statistics NZ'!H$30:H$110,'Statistics NZ'!H$130:H$210)</f>
        <v>7221.4758002041053</v>
      </c>
      <c r="I100" s="44">
        <f>'Statistics NZ'!I$100*'Economic Forecasts'!K$9*1000000/SUM('Statistics NZ'!I$30:I$110,'Statistics NZ'!I$130:I$210)</f>
        <v>7235.0238161950138</v>
      </c>
      <c r="J100" s="44">
        <f>'Statistics NZ'!J$100*'Economic Forecasts'!L$9*1000000/SUM('Statistics NZ'!J$30:J$110,'Statistics NZ'!J$130:J$210)</f>
        <v>7323.6635651947172</v>
      </c>
      <c r="K100" s="44">
        <f>'Statistics NZ'!K$100*'Economic Forecasts'!M$9*1000000/SUM('Statistics NZ'!K$30:K$110,'Statistics NZ'!K$130:K$210)</f>
        <v>7545.5699904148687</v>
      </c>
      <c r="L100" s="44">
        <f>'Statistics NZ'!L$100*'Economic Forecasts'!N$9*1000000/SUM('Statistics NZ'!L$30:L$110,'Statistics NZ'!L$130:L$210)</f>
        <v>7643.2427939232239</v>
      </c>
      <c r="M100" s="44">
        <f>'Statistics NZ'!M$100*'Economic Forecasts'!O$9*1000000/SUM('Statistics NZ'!M$30:M$110,'Statistics NZ'!M$130:M$210)</f>
        <v>7356.4891029295304</v>
      </c>
      <c r="N100" s="44">
        <f>'Statistics NZ'!N$100*'Economic Forecasts'!P$9*1000000/SUM('Statistics NZ'!N$30:N$110,'Statistics NZ'!N$130:N$210)</f>
        <v>7436.5500462806076</v>
      </c>
      <c r="O100" s="44">
        <f>'Statistics NZ'!O$100*'Economic Forecasts'!Q$9*1000000/SUM('Statistics NZ'!O$30:O$110,'Statistics NZ'!O$130:O$210)</f>
        <v>7492.5921404386463</v>
      </c>
      <c r="P100" s="44">
        <f>'Statistics NZ'!P$100*'Economic Forecasts'!R$9*1000000/SUM('Statistics NZ'!P$30:P$110,'Statistics NZ'!P$130:P$210)</f>
        <v>7516.5191718856186</v>
      </c>
      <c r="Q100" s="44">
        <f>'Statistics NZ'!Q$100*'Economic Forecasts'!S$9*1000000/SUM('Statistics NZ'!Q$30:Q$110,'Statistics NZ'!Q$130:Q$210)</f>
        <v>7977.1919723438932</v>
      </c>
      <c r="R100" s="44">
        <f>'Statistics NZ'!R$100*'Economic Forecasts'!T$9*1000000/SUM('Statistics NZ'!R$30:R$110,'Statistics NZ'!R$130:R$210)</f>
        <v>8295.0462351387068</v>
      </c>
      <c r="S100" s="44">
        <f>'Statistics NZ'!S$100*'Economic Forecasts'!U$9*1000000/SUM('Statistics NZ'!S$30:S$110,'Statistics NZ'!S$130:S$210)</f>
        <v>8517.0195312684682</v>
      </c>
      <c r="T100" s="44">
        <f>'Statistics NZ'!T$100*'Economic Forecasts'!V$9*1000000/SUM('Statistics NZ'!T$30:T$110,'Statistics NZ'!T$130:T$210)</f>
        <v>9078.9812786182138</v>
      </c>
      <c r="U100" s="45">
        <f>SUM('Statistics NZ'!U$100,$S$12/5*(U$8-U$9)*1000)*'Economic Forecasts'!W$9*1000000/SUM('Statistics NZ'!U$30:U$110,'Statistics NZ'!U$130:U$210,SUM($E$12:$T$13)*(U$8-U$9)*1000)</f>
        <v>9875.7308544756197</v>
      </c>
      <c r="V100" s="45">
        <f>SUM('Statistics NZ'!V$100,$S$12/5*(V$8-V$9)*1000)*'Economic Forecasts'!X$9*1000000/SUM('Statistics NZ'!V$30:V$110,'Statistics NZ'!V$130:V$210,SUM($E$12:$T$13)*(V$8-V$9)*1000)</f>
        <v>10663.697186367144</v>
      </c>
      <c r="W100" s="45">
        <f>SUM('Statistics NZ'!W$100,$S$12/5*(W$8-W$9)*1000)*'Economic Forecasts'!Y$9*1000000/SUM('Statistics NZ'!W$30:W$110,'Statistics NZ'!W$130:W$210,SUM($E$12:$T$13)*(W$8-W$9)*1000)</f>
        <v>10933.347908925181</v>
      </c>
      <c r="X100" s="45">
        <f>SUM('Statistics NZ'!X$100,$S$12/5*(X$8-X$9)*1000)*'Economic Forecasts'!Z$9*1000000/SUM('Statistics NZ'!X$30:X$110,'Statistics NZ'!X$130:X$210,SUM($E$12:$T$13)*(X$8-X$9)*1000)</f>
        <v>9885.7906421462849</v>
      </c>
      <c r="Y100" s="45">
        <f>SUM('Statistics NZ'!Y$100,$S$12/5*(Y$8-Y$9)*1000)*'Economic Forecasts'!AA$9*1000000/SUM('Statistics NZ'!Y$30:Y$110,'Statistics NZ'!Y$130:Y$210,SUM($E$12:$T$13)*(Y$8-Y$9)*1000)</f>
        <v>10949.587174616578</v>
      </c>
      <c r="Z100" s="46">
        <f>SUM(Y$100,'Statistics NZ'!Z$100-'Statistics NZ'!Y$100,$S$12/5*(Z$8-Z$9)*1000)</f>
        <v>11629.746109334787</v>
      </c>
      <c r="AA100" s="46">
        <f>SUM(Z$100,'Statistics NZ'!AA$100-'Statistics NZ'!Z$100,$S$12/5*(AA$8-AA$9)*1000)</f>
        <v>12399.841470165711</v>
      </c>
      <c r="AB100" s="46">
        <f>SUM(AA$100,'Statistics NZ'!AB$100-'Statistics NZ'!AA$100,$S$12/5*(AB$8-AB$9)*1000)</f>
        <v>14829.88597188681</v>
      </c>
      <c r="AC100" s="46">
        <f>SUM(AB$100,'Statistics NZ'!AC$100-'Statistics NZ'!AB$100,$S$12/5*(AC$8-AC$9)*1000)</f>
        <v>14909.88597188681</v>
      </c>
      <c r="AD100" s="46">
        <f>SUM(AC$100,'Statistics NZ'!AD$100-'Statistics NZ'!AC$100,$S$12/5*(AD$8-AD$9)*1000)</f>
        <v>14739.88597188681</v>
      </c>
      <c r="AE100" s="46">
        <f>SUM(AD$100,'Statistics NZ'!AE$100-'Statistics NZ'!AD$100,$S$12/5*(AE$8-AE$9)*1000)</f>
        <v>15449.88597188681</v>
      </c>
      <c r="AF100" s="46">
        <f>SUM(AE$100,'Statistics NZ'!AF$100-'Statistics NZ'!AE$100,$S$12/5*(AF$8-AF$9)*1000)</f>
        <v>15349.88597188681</v>
      </c>
      <c r="AG100" s="46">
        <f>SUM(AF$100,'Statistics NZ'!AG$100-'Statistics NZ'!AF$100,$S$12/5*(AG$8-AG$9)*1000)</f>
        <v>15939.88597188681</v>
      </c>
      <c r="AH100" s="46">
        <f>SUM(AG$100,'Statistics NZ'!AH$100-'Statistics NZ'!AG$100,$S$12/5*(AH$8-AH$9)*1000)</f>
        <v>16369.88597188681</v>
      </c>
      <c r="AI100" s="46">
        <f>SUM(AH$100,'Statistics NZ'!AI$100-'Statistics NZ'!AH$100,$S$12/5*(AI$8-AI$9)*1000)</f>
        <v>17119.885971886812</v>
      </c>
      <c r="AJ100" s="46">
        <f>SUM(AI$100,'Statistics NZ'!AJ$100-'Statistics NZ'!AI$100,$S$12/5*(AJ$8-AJ$9)*1000)</f>
        <v>17689.885971886812</v>
      </c>
      <c r="AK100" s="46">
        <f>SUM(AJ$100,'Statistics NZ'!AK$100-'Statistics NZ'!AJ$100,$S$12/5*(AK$8-AK$9)*1000)</f>
        <v>18389.885971886812</v>
      </c>
      <c r="AL100" s="46">
        <f>SUM(AK$100,'Statistics NZ'!AL$100-'Statistics NZ'!AK$100,$S$12/5*(AL$8-AL$9)*1000)</f>
        <v>18969.885971886812</v>
      </c>
      <c r="AM100" s="46">
        <f>SUM(AL$100,'Statistics NZ'!AM$100-'Statistics NZ'!AL$100,$S$12/5*(AM$8-AM$9)*1000)</f>
        <v>19619.885971886812</v>
      </c>
      <c r="AN100" s="46">
        <f>SUM(AM$100,'Statistics NZ'!AN$100-'Statistics NZ'!AM$100,$S$12/5*(AN$8-AN$9)*1000)</f>
        <v>20399.885971886812</v>
      </c>
      <c r="AO100" s="46">
        <f>SUM(AN$100,'Statistics NZ'!AO$100-'Statistics NZ'!AN$100,$S$12/5*(AO$8-AO$9)*1000)</f>
        <v>20839.885971886812</v>
      </c>
      <c r="AP100" s="46">
        <f>SUM(AO$100,'Statistics NZ'!AP$100-'Statistics NZ'!AO$100,$S$12/5*(AP$8-AP$9)*1000)</f>
        <v>21889.885971886812</v>
      </c>
      <c r="AQ100" s="46">
        <f>SUM(AP$100,'Statistics NZ'!AQ$100-'Statistics NZ'!AP$100,$S$12/5*(AQ$8-AQ$9)*1000)</f>
        <v>22739.885971886812</v>
      </c>
      <c r="AR100" s="46">
        <f>SUM(AQ$100,'Statistics NZ'!AR$100-'Statistics NZ'!AQ$100,$S$12/5*(AR$8-AR$9)*1000)</f>
        <v>23099.885971886812</v>
      </c>
      <c r="AS100" s="46">
        <f>SUM(AR$100,'Statistics NZ'!AS$100-'Statistics NZ'!AR$100,$S$12/5*(AS$8-AS$9)*1000)</f>
        <v>22809.885971886812</v>
      </c>
      <c r="AT100" s="46">
        <f>SUM(AS$100,'Statistics NZ'!AT$100-'Statistics NZ'!AS$100,$S$12/5*(AT$8-AT$9)*1000)</f>
        <v>22359.885971886812</v>
      </c>
      <c r="AU100" s="46">
        <f>SUM(AT$100,'Statistics NZ'!AU$100-'Statistics NZ'!AT$100,$S$12/5*(AU$8-AU$9)*1000)</f>
        <v>22259.885971886812</v>
      </c>
      <c r="AV100" s="46">
        <f>SUM(AU$100,'Statistics NZ'!AV$100-'Statistics NZ'!AU$100,$S$12/5*(AV$8-AV$9)*1000)</f>
        <v>22969.885971886812</v>
      </c>
      <c r="AW100" s="46">
        <f>SUM(AV$100,'Statistics NZ'!AW$100-'Statistics NZ'!AV$100,$S$12/5*(AW$8-AW$9)*1000)</f>
        <v>23439.885971886812</v>
      </c>
      <c r="AX100" s="46">
        <f>SUM(AW$100,'Statistics NZ'!AX$100-'Statistics NZ'!AW$100,$S$12/5*(AX$8-AX$9)*1000)</f>
        <v>24149.885971886812</v>
      </c>
      <c r="AY100" s="46">
        <f>SUM(AX$100,'Statistics NZ'!AY$100-'Statistics NZ'!AX$100,$S$12/5*(AY$8-AY$9)*1000)</f>
        <v>24329.885971886812</v>
      </c>
      <c r="AZ100" s="46">
        <f>SUM(AY$100,'Statistics NZ'!AZ$100-'Statistics NZ'!AY$100,$S$12/5*(AZ$8-AZ$9)*1000)</f>
        <v>25539.885971886812</v>
      </c>
      <c r="BA100" s="46">
        <f>SUM(AZ$100,'Statistics NZ'!BA$100-'Statistics NZ'!AZ$100,$S$12/5*(BA$8-BA$9)*1000)</f>
        <v>25409.885971886812</v>
      </c>
      <c r="BB100" s="46">
        <f>SUM(BA$100,'Statistics NZ'!BB$100-'Statistics NZ'!BA$100,$S$12/5*(BB$8-BB$9)*1000)</f>
        <v>24949.885971886812</v>
      </c>
      <c r="BC100" s="46">
        <f>SUM(BB$100,'Statistics NZ'!BC$100-'Statistics NZ'!BB$100,$S$12/5*(BC$8-BC$9)*1000)</f>
        <v>24479.885971886812</v>
      </c>
      <c r="BD100" s="46">
        <f>SUM(BC$100,'Statistics NZ'!BD$100-'Statistics NZ'!BC$100,$S$12/5*(BD$8-BD$9)*1000)</f>
        <v>23869.885971886812</v>
      </c>
      <c r="BE100" s="46">
        <f>SUM(BD$100,'Statistics NZ'!BE$100-'Statistics NZ'!BD$100,$S$12/5*(BE$8-BE$9)*1000)</f>
        <v>23199.885971886812</v>
      </c>
      <c r="BF100" s="46">
        <f>SUM(BE$100,'Statistics NZ'!BF$100-'Statistics NZ'!BE$100,$S$12/5*(BF$8-BF$9)*1000)</f>
        <v>23649.885971886812</v>
      </c>
      <c r="BG100" s="46">
        <f>SUM(BF$100,'Statistics NZ'!BG$100-'Statistics NZ'!BF$100,$S$12/5*(BG$8-BG$9)*1000)</f>
        <v>23799.885971886812</v>
      </c>
      <c r="BH100" s="46">
        <f>SUM(BG$100,'Statistics NZ'!BH$100-'Statistics NZ'!BG$100,$S$12/5*(BH$8-BH$9)*1000)</f>
        <v>24839.885971886812</v>
      </c>
      <c r="BI100" s="46">
        <f>SUM(BH$100,'Statistics NZ'!BI$100-'Statistics NZ'!BH$100,$S$12/5*(BI$8-BI$9)*1000)</f>
        <v>25499.885971886812</v>
      </c>
    </row>
    <row r="101" spans="1:61" x14ac:dyDescent="0.25">
      <c r="A101" s="11">
        <v>86</v>
      </c>
      <c r="B101" s="44">
        <f>'Statistics NZ'!B$101*'Economic Forecasts'!D$9*1000000/SUM('Statistics NZ'!B$30:B$110,'Statistics NZ'!B$130:B$210)</f>
        <v>6105.1791088243863</v>
      </c>
      <c r="C101" s="44">
        <f>'Statistics NZ'!C$101*'Economic Forecasts'!E$9*1000000/SUM('Statistics NZ'!C$30:C$110,'Statistics NZ'!C$130:C$210)</f>
        <v>6275.0300069616142</v>
      </c>
      <c r="D101" s="44">
        <f>'Statistics NZ'!D$101*'Economic Forecasts'!F$9*1000000/SUM('Statistics NZ'!D$30:D$110,'Statistics NZ'!D$130:D$210)</f>
        <v>6424.0613035930846</v>
      </c>
      <c r="E101" s="44">
        <f>'Statistics NZ'!E$101*'Economic Forecasts'!G$9*1000000/SUM('Statistics NZ'!E$30:E$110,'Statistics NZ'!E$130:E$210)</f>
        <v>6256.8806152688285</v>
      </c>
      <c r="F101" s="44">
        <f>'Statistics NZ'!F$101*'Economic Forecasts'!H$9*1000000/SUM('Statistics NZ'!F$30:F$110,'Statistics NZ'!F$130:F$210)</f>
        <v>6434.5933635632136</v>
      </c>
      <c r="G101" s="44">
        <f>'Statistics NZ'!G$101*'Economic Forecasts'!I$9*1000000/SUM('Statistics NZ'!G$30:G$110,'Statistics NZ'!G$130:G$210)</f>
        <v>6777.5058590488479</v>
      </c>
      <c r="H101" s="44">
        <f>'Statistics NZ'!H$101*'Economic Forecasts'!J$9*1000000/SUM('Statistics NZ'!H$30:H$110,'Statistics NZ'!H$130:H$210)</f>
        <v>6533.7162001846682</v>
      </c>
      <c r="I101" s="44">
        <f>'Statistics NZ'!I$101*'Economic Forecasts'!K$9*1000000/SUM('Statistics NZ'!I$30:I$110,'Statistics NZ'!I$130:I$210)</f>
        <v>6617.399831885682</v>
      </c>
      <c r="J101" s="44">
        <f>'Statistics NZ'!J$101*'Economic Forecasts'!L$9*1000000/SUM('Statistics NZ'!J$30:J$110,'Statistics NZ'!J$130:J$210)</f>
        <v>6680.0393370950478</v>
      </c>
      <c r="K101" s="44">
        <f>'Statistics NZ'!K$101*'Economic Forecasts'!M$9*1000000/SUM('Statistics NZ'!K$30:K$110,'Statistics NZ'!K$130:K$210)</f>
        <v>6756.9362236747338</v>
      </c>
      <c r="L101" s="44">
        <f>'Statistics NZ'!L$101*'Economic Forecasts'!N$9*1000000/SUM('Statistics NZ'!L$30:L$110,'Statistics NZ'!L$130:L$210)</f>
        <v>6971.4163572599082</v>
      </c>
      <c r="M101" s="44">
        <f>'Statistics NZ'!M$101*'Economic Forecasts'!O$9*1000000/SUM('Statistics NZ'!M$30:M$110,'Statistics NZ'!M$130:M$210)</f>
        <v>7034.0931661477589</v>
      </c>
      <c r="N101" s="44">
        <f>'Statistics NZ'!N$101*'Economic Forecasts'!P$9*1000000/SUM('Statistics NZ'!N$30:N$110,'Statistics NZ'!N$130:N$210)</f>
        <v>6780.9594500953435</v>
      </c>
      <c r="O101" s="44">
        <f>'Statistics NZ'!O$101*'Economic Forecasts'!Q$9*1000000/SUM('Statistics NZ'!O$30:O$110,'Statistics NZ'!O$130:O$210)</f>
        <v>6882.9586591956067</v>
      </c>
      <c r="P101" s="44">
        <f>'Statistics NZ'!P$101*'Economic Forecasts'!R$9*1000000/SUM('Statistics NZ'!P$30:P$110,'Statistics NZ'!P$130:P$210)</f>
        <v>6966.2903174730773</v>
      </c>
      <c r="Q101" s="44">
        <f>'Statistics NZ'!Q$101*'Economic Forecasts'!S$9*1000000/SUM('Statistics NZ'!Q$30:Q$110,'Statistics NZ'!Q$130:Q$210)</f>
        <v>7053.3079705655846</v>
      </c>
      <c r="R101" s="44">
        <f>'Statistics NZ'!R$101*'Economic Forecasts'!T$9*1000000/SUM('Statistics NZ'!R$30:R$110,'Statistics NZ'!R$130:R$210)</f>
        <v>7408.7807910482561</v>
      </c>
      <c r="S101" s="44">
        <f>'Statistics NZ'!S$101*'Economic Forecasts'!U$9*1000000/SUM('Statistics NZ'!S$30:S$110,'Statistics NZ'!S$130:S$210)</f>
        <v>7544.487889289715</v>
      </c>
      <c r="T101" s="44">
        <f>'Statistics NZ'!T$101*'Economic Forecasts'!V$9*1000000/SUM('Statistics NZ'!T$30:T$110,'Statistics NZ'!T$130:T$210)</f>
        <v>7988.7106010548905</v>
      </c>
      <c r="U101" s="45">
        <f>SUM('Statistics NZ'!U$101,$S$12/5*(U$8-U$9)*1000)*'Economic Forecasts'!W$9*1000000/SUM('Statistics NZ'!U$30:U$110,'Statistics NZ'!U$130:U$210,SUM($E$12:$T$13)*(U$8-U$9)*1000)</f>
        <v>8439.5133597765634</v>
      </c>
      <c r="V101" s="45">
        <f>SUM('Statistics NZ'!V$101,$S$12/5*(V$8-V$9)*1000)*'Economic Forecasts'!X$9*1000000/SUM('Statistics NZ'!V$30:V$110,'Statistics NZ'!V$130:V$210,SUM($E$12:$T$13)*(V$8-V$9)*1000)</f>
        <v>9188.4752953878215</v>
      </c>
      <c r="W101" s="45">
        <f>SUM('Statistics NZ'!W$101,$S$12/5*(W$8-W$9)*1000)*'Economic Forecasts'!Y$9*1000000/SUM('Statistics NZ'!W$30:W$110,'Statistics NZ'!W$130:W$210,SUM($E$12:$T$13)*(W$8-W$9)*1000)</f>
        <v>9943.0483429311353</v>
      </c>
      <c r="X101" s="45">
        <f>SUM('Statistics NZ'!X$101,$S$12/5*(X$8-X$9)*1000)*'Economic Forecasts'!Z$9*1000000/SUM('Statistics NZ'!X$30:X$110,'Statistics NZ'!X$130:X$210,SUM($E$12:$T$13)*(X$8-X$9)*1000)</f>
        <v>10202.758997914823</v>
      </c>
      <c r="Y101" s="45">
        <f>SUM('Statistics NZ'!Y$101,$S$12/5*(Y$8-Y$9)*1000)*'Economic Forecasts'!AA$9*1000000/SUM('Statistics NZ'!Y$30:Y$110,'Statistics NZ'!Y$130:Y$210,SUM($E$12:$T$13)*(Y$8-Y$9)*1000)</f>
        <v>9225.4384650699722</v>
      </c>
      <c r="Z101" s="46">
        <f>SUM(Y$101,'Statistics NZ'!Z$101-'Statistics NZ'!Y$101,$S$12/5*(Z$8-Z$9)*1000)</f>
        <v>10245.597399788181</v>
      </c>
      <c r="AA101" s="46">
        <f>SUM(Z$101,'Statistics NZ'!AA$101-'Statistics NZ'!Z$101,$S$12/5*(AA$8-AA$9)*1000)</f>
        <v>10875.692760619106</v>
      </c>
      <c r="AB101" s="46">
        <f>SUM(AA$101,'Statistics NZ'!AB$101-'Statistics NZ'!AA$101,$S$12/5*(AB$8-AB$9)*1000)</f>
        <v>11605.737262340204</v>
      </c>
      <c r="AC101" s="46">
        <f>SUM(AB$101,'Statistics NZ'!AC$101-'Statistics NZ'!AB$101,$S$12/5*(AC$8-AC$9)*1000)</f>
        <v>13895.737262340204</v>
      </c>
      <c r="AD101" s="46">
        <f>SUM(AC$101,'Statistics NZ'!AD$101-'Statistics NZ'!AC$101,$S$12/5*(AD$8-AD$9)*1000)</f>
        <v>13985.737262340204</v>
      </c>
      <c r="AE101" s="46">
        <f>SUM(AD$101,'Statistics NZ'!AE$101-'Statistics NZ'!AD$101,$S$12/5*(AE$8-AE$9)*1000)</f>
        <v>13835.737262340204</v>
      </c>
      <c r="AF101" s="46">
        <f>SUM(AE$101,'Statistics NZ'!AF$101-'Statistics NZ'!AE$101,$S$12/5*(AF$8-AF$9)*1000)</f>
        <v>14515.737262340204</v>
      </c>
      <c r="AG101" s="46">
        <f>SUM(AF$101,'Statistics NZ'!AG$101-'Statistics NZ'!AF$101,$S$12/5*(AG$8-AG$9)*1000)</f>
        <v>14435.737262340204</v>
      </c>
      <c r="AH101" s="46">
        <f>SUM(AG$101,'Statistics NZ'!AH$101-'Statistics NZ'!AG$101,$S$12/5*(AH$8-AH$9)*1000)</f>
        <v>14995.737262340204</v>
      </c>
      <c r="AI101" s="46">
        <f>SUM(AH$101,'Statistics NZ'!AI$101-'Statistics NZ'!AH$101,$S$12/5*(AI$8-AI$9)*1000)</f>
        <v>15415.737262340204</v>
      </c>
      <c r="AJ101" s="46">
        <f>SUM(AI$101,'Statistics NZ'!AJ$101-'Statistics NZ'!AI$101,$S$12/5*(AJ$8-AJ$9)*1000)</f>
        <v>16125.737262340204</v>
      </c>
      <c r="AK101" s="46">
        <f>SUM(AJ$101,'Statistics NZ'!AK$101-'Statistics NZ'!AJ$101,$S$12/5*(AK$8-AK$9)*1000)</f>
        <v>16675.737262340204</v>
      </c>
      <c r="AL101" s="46">
        <f>SUM(AK$101,'Statistics NZ'!AL$101-'Statistics NZ'!AK$101,$S$12/5*(AL$8-AL$9)*1000)</f>
        <v>17355.737262340204</v>
      </c>
      <c r="AM101" s="46">
        <f>SUM(AL$101,'Statistics NZ'!AM$101-'Statistics NZ'!AL$101,$S$12/5*(AM$8-AM$9)*1000)</f>
        <v>17905.737262340204</v>
      </c>
      <c r="AN101" s="46">
        <f>SUM(AM$101,'Statistics NZ'!AN$101-'Statistics NZ'!AM$101,$S$12/5*(AN$8-AN$9)*1000)</f>
        <v>18535.737262340204</v>
      </c>
      <c r="AO101" s="46">
        <f>SUM(AN$101,'Statistics NZ'!AO$101-'Statistics NZ'!AN$101,$S$12/5*(AO$8-AO$9)*1000)</f>
        <v>19285.737262340204</v>
      </c>
      <c r="AP101" s="46">
        <f>SUM(AO$101,'Statistics NZ'!AP$101-'Statistics NZ'!AO$101,$S$12/5*(AP$8-AP$9)*1000)</f>
        <v>19705.737262340204</v>
      </c>
      <c r="AQ101" s="46">
        <f>SUM(AP$101,'Statistics NZ'!AQ$101-'Statistics NZ'!AP$101,$S$12/5*(AQ$8-AQ$9)*1000)</f>
        <v>20715.737262340204</v>
      </c>
      <c r="AR101" s="46">
        <f>SUM(AQ$101,'Statistics NZ'!AR$101-'Statistics NZ'!AQ$101,$S$12/5*(AR$8-AR$9)*1000)</f>
        <v>21535.737262340204</v>
      </c>
      <c r="AS101" s="46">
        <f>SUM(AR$101,'Statistics NZ'!AS$101-'Statistics NZ'!AR$101,$S$12/5*(AS$8-AS$9)*1000)</f>
        <v>21895.737262340204</v>
      </c>
      <c r="AT101" s="46">
        <f>SUM(AS$101,'Statistics NZ'!AT$101-'Statistics NZ'!AS$101,$S$12/5*(AT$8-AT$9)*1000)</f>
        <v>21635.737262340204</v>
      </c>
      <c r="AU101" s="46">
        <f>SUM(AT$101,'Statistics NZ'!AU$101-'Statistics NZ'!AT$101,$S$12/5*(AU$8-AU$9)*1000)</f>
        <v>21215.737262340204</v>
      </c>
      <c r="AV101" s="46">
        <f>SUM(AU$101,'Statistics NZ'!AV$101-'Statistics NZ'!AU$101,$S$12/5*(AV$8-AV$9)*1000)</f>
        <v>21135.737262340204</v>
      </c>
      <c r="AW101" s="46">
        <f>SUM(AV$101,'Statistics NZ'!AW$101-'Statistics NZ'!AV$101,$S$12/5*(AW$8-AW$9)*1000)</f>
        <v>21825.737262340204</v>
      </c>
      <c r="AX101" s="46">
        <f>SUM(AW$101,'Statistics NZ'!AX$101-'Statistics NZ'!AW$101,$S$12/5*(AX$8-AX$9)*1000)</f>
        <v>22285.737262340204</v>
      </c>
      <c r="AY101" s="46">
        <f>SUM(AX$101,'Statistics NZ'!AY$101-'Statistics NZ'!AX$101,$S$12/5*(AY$8-AY$9)*1000)</f>
        <v>22975.737262340204</v>
      </c>
      <c r="AZ101" s="46">
        <f>SUM(AY$101,'Statistics NZ'!AZ$101-'Statistics NZ'!AY$101,$S$12/5*(AZ$8-AZ$9)*1000)</f>
        <v>23155.737262340204</v>
      </c>
      <c r="BA101" s="46">
        <f>SUM(AZ$101,'Statistics NZ'!BA$101-'Statistics NZ'!AZ$101,$S$12/5*(BA$8-BA$9)*1000)</f>
        <v>24325.737262340204</v>
      </c>
      <c r="BB101" s="46">
        <f>SUM(BA$101,'Statistics NZ'!BB$101-'Statistics NZ'!BA$101,$S$12/5*(BB$8-BB$9)*1000)</f>
        <v>24215.737262340204</v>
      </c>
      <c r="BC101" s="46">
        <f>SUM(BB$101,'Statistics NZ'!BC$101-'Statistics NZ'!BB$101,$S$12/5*(BC$8-BC$9)*1000)</f>
        <v>23795.737262340204</v>
      </c>
      <c r="BD101" s="46">
        <f>SUM(BC$101,'Statistics NZ'!BD$101-'Statistics NZ'!BC$101,$S$12/5*(BD$8-BD$9)*1000)</f>
        <v>23355.737262340204</v>
      </c>
      <c r="BE101" s="46">
        <f>SUM(BD$101,'Statistics NZ'!BE$101-'Statistics NZ'!BD$101,$S$12/5*(BE$8-BE$9)*1000)</f>
        <v>22785.737262340204</v>
      </c>
      <c r="BF101" s="46">
        <f>SUM(BE$101,'Statistics NZ'!BF$101-'Statistics NZ'!BE$101,$S$12/5*(BF$8-BF$9)*1000)</f>
        <v>22165.737262340204</v>
      </c>
      <c r="BG101" s="46">
        <f>SUM(BF$101,'Statistics NZ'!BG$101-'Statistics NZ'!BF$101,$S$12/5*(BG$8-BG$9)*1000)</f>
        <v>22595.737262340204</v>
      </c>
      <c r="BH101" s="46">
        <f>SUM(BG$101,'Statistics NZ'!BH$101-'Statistics NZ'!BG$101,$S$12/5*(BH$8-BH$9)*1000)</f>
        <v>22755.737262340204</v>
      </c>
      <c r="BI101" s="46">
        <f>SUM(BH$101,'Statistics NZ'!BI$101-'Statistics NZ'!BH$101,$S$12/5*(BI$8-BI$9)*1000)</f>
        <v>23765.737262340204</v>
      </c>
    </row>
    <row r="102" spans="1:61" x14ac:dyDescent="0.25">
      <c r="A102" s="11">
        <v>87</v>
      </c>
      <c r="B102" s="44">
        <f>'Statistics NZ'!B$102*'Economic Forecasts'!D$9*1000000/SUM('Statistics NZ'!B$30:B$110,'Statistics NZ'!B$130:B$210)</f>
        <v>4598.4522133773416</v>
      </c>
      <c r="C102" s="44">
        <f>'Statistics NZ'!C$102*'Economic Forecasts'!E$9*1000000/SUM('Statistics NZ'!C$30:C$110,'Statistics NZ'!C$130:C$210)</f>
        <v>5528.704059341766</v>
      </c>
      <c r="D102" s="44">
        <f>'Statistics NZ'!D$102*'Economic Forecasts'!F$9*1000000/SUM('Statistics NZ'!D$30:D$110,'Statistics NZ'!D$130:D$210)</f>
        <v>5628.4206834232991</v>
      </c>
      <c r="E102" s="44">
        <f>'Statistics NZ'!E$102*'Economic Forecasts'!G$9*1000000/SUM('Statistics NZ'!E$30:E$110,'Statistics NZ'!E$130:E$210)</f>
        <v>5786.1435156874732</v>
      </c>
      <c r="F102" s="44">
        <f>'Statistics NZ'!F$102*'Economic Forecasts'!H$9*1000000/SUM('Statistics NZ'!F$30:F$110,'Statistics NZ'!F$130:F$210)</f>
        <v>5679.3133498522884</v>
      </c>
      <c r="G102" s="44">
        <f>'Statistics NZ'!G$102*'Economic Forecasts'!I$9*1000000/SUM('Statistics NZ'!G$30:G$110,'Statistics NZ'!G$130:G$210)</f>
        <v>5824.7260498782125</v>
      </c>
      <c r="H102" s="44">
        <f>'Statistics NZ'!H$102*'Economic Forecasts'!J$9*1000000/SUM('Statistics NZ'!H$30:H$110,'Statistics NZ'!H$130:H$210)</f>
        <v>6140.7107144592746</v>
      </c>
      <c r="I102" s="44">
        <f>'Statistics NZ'!I$102*'Economic Forecasts'!K$9*1000000/SUM('Statistics NZ'!I$30:I$110,'Statistics NZ'!I$130:I$210)</f>
        <v>5921.3474051243747</v>
      </c>
      <c r="J102" s="44">
        <f>'Statistics NZ'!J$102*'Economic Forecasts'!L$9*1000000/SUM('Statistics NZ'!J$30:J$110,'Statistics NZ'!J$130:J$210)</f>
        <v>6055.9188734832478</v>
      </c>
      <c r="K102" s="44">
        <f>'Statistics NZ'!K$102*'Economic Forecasts'!M$9*1000000/SUM('Statistics NZ'!K$30:K$110,'Statistics NZ'!K$130:K$210)</f>
        <v>6085.1370890442486</v>
      </c>
      <c r="L102" s="44">
        <f>'Statistics NZ'!L$102*'Economic Forecasts'!N$9*1000000/SUM('Statistics NZ'!L$30:L$110,'Statistics NZ'!L$130:L$210)</f>
        <v>6192.4871553314279</v>
      </c>
      <c r="M102" s="44">
        <f>'Statistics NZ'!M$102*'Economic Forecasts'!O$9*1000000/SUM('Statistics NZ'!M$30:M$110,'Statistics NZ'!M$130:M$210)</f>
        <v>6399.0708664260846</v>
      </c>
      <c r="N102" s="44">
        <f>'Statistics NZ'!N$102*'Economic Forecasts'!P$9*1000000/SUM('Statistics NZ'!N$30:N$110,'Statistics NZ'!N$130:N$210)</f>
        <v>6418.9168820527348</v>
      </c>
      <c r="O102" s="44">
        <f>'Statistics NZ'!O$102*'Economic Forecasts'!Q$9*1000000/SUM('Statistics NZ'!O$30:O$110,'Statistics NZ'!O$130:O$210)</f>
        <v>6204.4955913606127</v>
      </c>
      <c r="P102" s="44">
        <f>'Statistics NZ'!P$102*'Economic Forecasts'!R$9*1000000/SUM('Statistics NZ'!P$30:P$110,'Statistics NZ'!P$130:P$210)</f>
        <v>6307.9807952294996</v>
      </c>
      <c r="Q102" s="44">
        <f>'Statistics NZ'!Q$102*'Economic Forecasts'!S$9*1000000/SUM('Statistics NZ'!Q$30:Q$110,'Statistics NZ'!Q$130:Q$210)</f>
        <v>6467.1880124481631</v>
      </c>
      <c r="R102" s="44">
        <f>'Statistics NZ'!R$102*'Economic Forecasts'!T$9*1000000/SUM('Statistics NZ'!R$30:R$110,'Statistics NZ'!R$130:R$210)</f>
        <v>6422.9349599813513</v>
      </c>
      <c r="S102" s="44">
        <f>'Statistics NZ'!S$102*'Economic Forecasts'!U$9*1000000/SUM('Statistics NZ'!S$30:S$110,'Statistics NZ'!S$130:S$210)</f>
        <v>6650.5446628243981</v>
      </c>
      <c r="T102" s="44">
        <f>'Statistics NZ'!T$102*'Economic Forecasts'!V$9*1000000/SUM('Statistics NZ'!T$30:T$110,'Statistics NZ'!T$130:T$210)</f>
        <v>6957.9092331768388</v>
      </c>
      <c r="U102" s="45">
        <f>SUM('Statistics NZ'!U$102,$S$12/5*(U$8-U$9)*1000)*'Economic Forecasts'!W$9*1000000/SUM('Statistics NZ'!U$30:U$110,'Statistics NZ'!U$130:U$210,SUM($E$12:$T$13)*(U$8-U$9)*1000)</f>
        <v>7330.1591569745342</v>
      </c>
      <c r="V102" s="45">
        <f>SUM('Statistics NZ'!V$102,$S$12/5*(V$8-V$9)*1000)*'Economic Forecasts'!X$9*1000000/SUM('Statistics NZ'!V$30:V$110,'Statistics NZ'!V$130:V$210,SUM($E$12:$T$13)*(V$8-V$9)*1000)</f>
        <v>7752.8566766495587</v>
      </c>
      <c r="W102" s="45">
        <f>SUM('Statistics NZ'!W$102,$S$12/5*(W$8-W$9)*1000)*'Economic Forecasts'!Y$9*1000000/SUM('Statistics NZ'!W$30:W$110,'Statistics NZ'!W$130:W$210,SUM($E$12:$T$13)*(W$8-W$9)*1000)</f>
        <v>8457.5989939400624</v>
      </c>
      <c r="X102" s="45">
        <f>SUM('Statistics NZ'!X$102,$S$12/5*(X$8-X$9)*1000)*'Economic Forecasts'!Z$9*1000000/SUM('Statistics NZ'!X$30:X$110,'Statistics NZ'!X$130:X$210,SUM($E$12:$T$13)*(X$8-X$9)*1000)</f>
        <v>9162.7065805493112</v>
      </c>
      <c r="Y102" s="45">
        <f>SUM('Statistics NZ'!Y$102,$S$12/5*(Y$8-Y$9)*1000)*'Economic Forecasts'!AA$9*1000000/SUM('Statistics NZ'!Y$30:Y$110,'Statistics NZ'!Y$130:Y$210,SUM($E$12:$T$13)*(Y$8-Y$9)*1000)</f>
        <v>9413.7075770319589</v>
      </c>
      <c r="Z102" s="46">
        <f>SUM(Y$102,'Statistics NZ'!Z$102-'Statistics NZ'!Y$102,$S$12/5*(Z$8-Z$9)*1000)</f>
        <v>8513.8665117501678</v>
      </c>
      <c r="AA102" s="46">
        <f>SUM(Z$102,'Statistics NZ'!AA$102-'Statistics NZ'!Z$102,$S$12/5*(AA$8-AA$9)*1000)</f>
        <v>9463.9618725810924</v>
      </c>
      <c r="AB102" s="46">
        <f>SUM(AA$102,'Statistics NZ'!AB$102-'Statistics NZ'!AA$102,$S$12/5*(AB$8-AB$9)*1000)</f>
        <v>10054.006374302191</v>
      </c>
      <c r="AC102" s="46">
        <f>SUM(AB$102,'Statistics NZ'!AC$102-'Statistics NZ'!AB$102,$S$12/5*(AC$8-AC$9)*1000)</f>
        <v>10744.006374302191</v>
      </c>
      <c r="AD102" s="46">
        <f>SUM(AC$102,'Statistics NZ'!AD$102-'Statistics NZ'!AC$102,$S$12/5*(AD$8-AD$9)*1000)</f>
        <v>12874.006374302191</v>
      </c>
      <c r="AE102" s="46">
        <f>SUM(AD$102,'Statistics NZ'!AE$102-'Statistics NZ'!AD$102,$S$12/5*(AE$8-AE$9)*1000)</f>
        <v>12964.006374302191</v>
      </c>
      <c r="AF102" s="46">
        <f>SUM(AE$102,'Statistics NZ'!AF$102-'Statistics NZ'!AE$102,$S$12/5*(AF$8-AF$9)*1000)</f>
        <v>12834.006374302191</v>
      </c>
      <c r="AG102" s="46">
        <f>SUM(AF$102,'Statistics NZ'!AG$102-'Statistics NZ'!AF$102,$S$12/5*(AG$8-AG$9)*1000)</f>
        <v>13474.006374302191</v>
      </c>
      <c r="AH102" s="46">
        <f>SUM(AG$102,'Statistics NZ'!AH$102-'Statistics NZ'!AG$102,$S$12/5*(AH$8-AH$9)*1000)</f>
        <v>13414.006374302191</v>
      </c>
      <c r="AI102" s="46">
        <f>SUM(AH$102,'Statistics NZ'!AI$102-'Statistics NZ'!AH$102,$S$12/5*(AI$8-AI$9)*1000)</f>
        <v>13944.006374302191</v>
      </c>
      <c r="AJ102" s="46">
        <f>SUM(AI$102,'Statistics NZ'!AJ$102-'Statistics NZ'!AI$102,$S$12/5*(AJ$8-AJ$9)*1000)</f>
        <v>14344.006374302191</v>
      </c>
      <c r="AK102" s="46">
        <f>SUM(AJ$102,'Statistics NZ'!AK$102-'Statistics NZ'!AJ$102,$S$12/5*(AK$8-AK$9)*1000)</f>
        <v>15024.006374302191</v>
      </c>
      <c r="AL102" s="46">
        <f>SUM(AK$102,'Statistics NZ'!AL$102-'Statistics NZ'!AK$102,$S$12/5*(AL$8-AL$9)*1000)</f>
        <v>15544.006374302191</v>
      </c>
      <c r="AM102" s="46">
        <f>SUM(AL$102,'Statistics NZ'!AM$102-'Statistics NZ'!AL$102,$S$12/5*(AM$8-AM$9)*1000)</f>
        <v>16194.006374302191</v>
      </c>
      <c r="AN102" s="46">
        <f>SUM(AM$102,'Statistics NZ'!AN$102-'Statistics NZ'!AM$102,$S$12/5*(AN$8-AN$9)*1000)</f>
        <v>16714.006374302189</v>
      </c>
      <c r="AO102" s="46">
        <f>SUM(AN$102,'Statistics NZ'!AO$102-'Statistics NZ'!AN$102,$S$12/5*(AO$8-AO$9)*1000)</f>
        <v>17314.006374302189</v>
      </c>
      <c r="AP102" s="46">
        <f>SUM(AO$102,'Statistics NZ'!AP$102-'Statistics NZ'!AO$102,$S$12/5*(AP$8-AP$9)*1000)</f>
        <v>18034.006374302189</v>
      </c>
      <c r="AQ102" s="46">
        <f>SUM(AP$102,'Statistics NZ'!AQ$102-'Statistics NZ'!AP$102,$S$12/5*(AQ$8-AQ$9)*1000)</f>
        <v>18444.006374302189</v>
      </c>
      <c r="AR102" s="46">
        <f>SUM(AQ$102,'Statistics NZ'!AR$102-'Statistics NZ'!AQ$102,$S$12/5*(AR$8-AR$9)*1000)</f>
        <v>19404.006374302189</v>
      </c>
      <c r="AS102" s="46">
        <f>SUM(AR$102,'Statistics NZ'!AS$102-'Statistics NZ'!AR$102,$S$12/5*(AS$8-AS$9)*1000)</f>
        <v>20184.006374302189</v>
      </c>
      <c r="AT102" s="46">
        <f>SUM(AS$102,'Statistics NZ'!AT$102-'Statistics NZ'!AS$102,$S$12/5*(AT$8-AT$9)*1000)</f>
        <v>20534.006374302189</v>
      </c>
      <c r="AU102" s="46">
        <f>SUM(AT$102,'Statistics NZ'!AU$102-'Statistics NZ'!AT$102,$S$12/5*(AU$8-AU$9)*1000)</f>
        <v>20304.006374302189</v>
      </c>
      <c r="AV102" s="46">
        <f>SUM(AU$102,'Statistics NZ'!AV$102-'Statistics NZ'!AU$102,$S$12/5*(AV$8-AV$9)*1000)</f>
        <v>19924.006374302189</v>
      </c>
      <c r="AW102" s="46">
        <f>SUM(AV$102,'Statistics NZ'!AW$102-'Statistics NZ'!AV$102,$S$12/5*(AW$8-AW$9)*1000)</f>
        <v>19864.006374302189</v>
      </c>
      <c r="AX102" s="46">
        <f>SUM(AW$102,'Statistics NZ'!AX$102-'Statistics NZ'!AW$102,$S$12/5*(AX$8-AX$9)*1000)</f>
        <v>20534.006374302189</v>
      </c>
      <c r="AY102" s="46">
        <f>SUM(AX$102,'Statistics NZ'!AY$102-'Statistics NZ'!AX$102,$S$12/5*(AY$8-AY$9)*1000)</f>
        <v>20974.006374302189</v>
      </c>
      <c r="AZ102" s="46">
        <f>SUM(AY$102,'Statistics NZ'!AZ$102-'Statistics NZ'!AY$102,$S$12/5*(AZ$8-AZ$9)*1000)</f>
        <v>21634.006374302189</v>
      </c>
      <c r="BA102" s="46">
        <f>SUM(AZ$102,'Statistics NZ'!BA$102-'Statistics NZ'!AZ$102,$S$12/5*(BA$8-BA$9)*1000)</f>
        <v>21824.006374302189</v>
      </c>
      <c r="BB102" s="46">
        <f>SUM(BA$102,'Statistics NZ'!BB$102-'Statistics NZ'!BA$102,$S$12/5*(BB$8-BB$9)*1000)</f>
        <v>22934.006374302189</v>
      </c>
      <c r="BC102" s="46">
        <f>SUM(BB$102,'Statistics NZ'!BC$102-'Statistics NZ'!BB$102,$S$12/5*(BC$8-BC$9)*1000)</f>
        <v>22844.006374302189</v>
      </c>
      <c r="BD102" s="46">
        <f>SUM(BC$102,'Statistics NZ'!BD$102-'Statistics NZ'!BC$102,$S$12/5*(BD$8-BD$9)*1000)</f>
        <v>22464.006374302189</v>
      </c>
      <c r="BE102" s="46">
        <f>SUM(BD$102,'Statistics NZ'!BE$102-'Statistics NZ'!BD$102,$S$12/5*(BE$8-BE$9)*1000)</f>
        <v>22064.006374302189</v>
      </c>
      <c r="BF102" s="46">
        <f>SUM(BE$102,'Statistics NZ'!BF$102-'Statistics NZ'!BE$102,$S$12/5*(BF$8-BF$9)*1000)</f>
        <v>21544.006374302189</v>
      </c>
      <c r="BG102" s="46">
        <f>SUM(BF$102,'Statistics NZ'!BG$102-'Statistics NZ'!BF$102,$S$12/5*(BG$8-BG$9)*1000)</f>
        <v>20964.006374302189</v>
      </c>
      <c r="BH102" s="46">
        <f>SUM(BG$102,'Statistics NZ'!BH$102-'Statistics NZ'!BG$102,$S$12/5*(BH$8-BH$9)*1000)</f>
        <v>21394.006374302189</v>
      </c>
      <c r="BI102" s="46">
        <f>SUM(BH$102,'Statistics NZ'!BI$102-'Statistics NZ'!BH$102,$S$12/5*(BI$8-BI$9)*1000)</f>
        <v>21554.006374302189</v>
      </c>
    </row>
    <row r="103" spans="1:61" x14ac:dyDescent="0.25">
      <c r="A103" s="11">
        <v>88</v>
      </c>
      <c r="B103" s="44">
        <f>'Statistics NZ'!B$103*'Economic Forecasts'!D$9*1000000/SUM('Statistics NZ'!B$30:B$110,'Statistics NZ'!B$130:B$210)</f>
        <v>4167.9588146781862</v>
      </c>
      <c r="C103" s="44">
        <f>'Statistics NZ'!C$103*'Economic Forecasts'!E$9*1000000/SUM('Statistics NZ'!C$30:C$110,'Statistics NZ'!C$130:C$210)</f>
        <v>4134.2529466836304</v>
      </c>
      <c r="D103" s="44">
        <f>'Statistics NZ'!D$103*'Economic Forecasts'!F$9*1000000/SUM('Statistics NZ'!D$30:D$110,'Statistics NZ'!D$130:D$210)</f>
        <v>4901.5391291941114</v>
      </c>
      <c r="E103" s="44">
        <f>'Statistics NZ'!E$103*'Economic Forecasts'!G$9*1000000/SUM('Statistics NZ'!E$30:E$110,'Statistics NZ'!E$130:E$210)</f>
        <v>5040.8097746836638</v>
      </c>
      <c r="F103" s="44">
        <f>'Statistics NZ'!F$103*'Economic Forecasts'!H$9*1000000/SUM('Statistics NZ'!F$30:F$110,'Statistics NZ'!F$130:F$210)</f>
        <v>5179.0629511606357</v>
      </c>
      <c r="G103" s="44">
        <f>'Statistics NZ'!G$103*'Economic Forecasts'!I$9*1000000/SUM('Statistics NZ'!G$30:G$110,'Statistics NZ'!G$130:G$210)</f>
        <v>5078.2181581568902</v>
      </c>
      <c r="H103" s="44">
        <f>'Statistics NZ'!H$103*'Economic Forecasts'!J$9*1000000/SUM('Statistics NZ'!H$30:H$110,'Statistics NZ'!H$130:H$210)</f>
        <v>5187.6724115751949</v>
      </c>
      <c r="I103" s="44">
        <f>'Statistics NZ'!I$103*'Economic Forecasts'!K$9*1000000/SUM('Statistics NZ'!I$30:I$110,'Statistics NZ'!I$130:I$210)</f>
        <v>5499.7945269449892</v>
      </c>
      <c r="J103" s="44">
        <f>'Statistics NZ'!J$103*'Economic Forecasts'!L$9*1000000/SUM('Statistics NZ'!J$30:J$110,'Statistics NZ'!J$130:J$210)</f>
        <v>5334.2795874321046</v>
      </c>
      <c r="K103" s="44">
        <f>'Statistics NZ'!K$103*'Economic Forecasts'!M$9*1000000/SUM('Statistics NZ'!K$30:K$110,'Statistics NZ'!K$130:K$210)</f>
        <v>5442.546612441176</v>
      </c>
      <c r="L103" s="44">
        <f>'Statistics NZ'!L$103*'Economic Forecasts'!N$9*1000000/SUM('Statistics NZ'!L$30:L$110,'Statistics NZ'!L$130:L$210)</f>
        <v>5471.9776435475815</v>
      </c>
      <c r="M103" s="44">
        <f>'Statistics NZ'!M$103*'Economic Forecasts'!O$9*1000000/SUM('Statistics NZ'!M$30:M$110,'Statistics NZ'!M$130:M$210)</f>
        <v>5617.5049590763347</v>
      </c>
      <c r="N103" s="44">
        <f>'Statistics NZ'!N$103*'Economic Forecasts'!P$9*1000000/SUM('Statistics NZ'!N$30:N$110,'Statistics NZ'!N$130:N$210)</f>
        <v>5763.3262858674707</v>
      </c>
      <c r="O103" s="44">
        <f>'Statistics NZ'!O$103*'Economic Forecasts'!Q$9*1000000/SUM('Statistics NZ'!O$30:O$110,'Statistics NZ'!O$130:O$210)</f>
        <v>5830.8492641471357</v>
      </c>
      <c r="P103" s="44">
        <f>'Statistics NZ'!P$103*'Economic Forecasts'!R$9*1000000/SUM('Statistics NZ'!P$30:P$110,'Statistics NZ'!P$130:P$210)</f>
        <v>5620.1947272138223</v>
      </c>
      <c r="Q103" s="44">
        <f>'Statistics NZ'!Q$103*'Economic Forecasts'!S$9*1000000/SUM('Statistics NZ'!Q$30:Q$110,'Statistics NZ'!Q$130:Q$210)</f>
        <v>5761.8572153916048</v>
      </c>
      <c r="R103" s="44">
        <f>'Statistics NZ'!R$103*'Economic Forecasts'!T$9*1000000/SUM('Statistics NZ'!R$30:R$110,'Statistics NZ'!R$130:R$210)</f>
        <v>5825.4526381226215</v>
      </c>
      <c r="S103" s="44">
        <f>'Statistics NZ'!S$103*'Economic Forecasts'!U$9*1000000/SUM('Statistics NZ'!S$30:S$110,'Statistics NZ'!S$130:S$210)</f>
        <v>5697.6601247240042</v>
      </c>
      <c r="T103" s="44">
        <f>'Statistics NZ'!T$103*'Economic Forecasts'!V$9*1000000/SUM('Statistics NZ'!T$30:T$110,'Statistics NZ'!T$130:T$210)</f>
        <v>6095.6042427403927</v>
      </c>
      <c r="U103" s="45">
        <f>SUM('Statistics NZ'!U$103,$S$12/5*(U$8-U$9)*1000)*'Economic Forecasts'!W$9*1000000/SUM('Statistics NZ'!U$30:U$110,'Statistics NZ'!U$130:U$210,SUM($E$12:$T$13)*(U$8-U$9)*1000)</f>
        <v>6300.0445400869357</v>
      </c>
      <c r="V103" s="45">
        <f>SUM('Statistics NZ'!V$103,$S$12/5*(V$8-V$9)*1000)*'Economic Forecasts'!X$9*1000000/SUM('Statistics NZ'!V$30:V$110,'Statistics NZ'!V$130:V$210,SUM($E$12:$T$13)*(V$8-V$9)*1000)</f>
        <v>6653.8658719602663</v>
      </c>
      <c r="W103" s="45">
        <f>SUM('Statistics NZ'!W$103,$S$12/5*(W$8-W$9)*1000)*'Economic Forecasts'!Y$9*1000000/SUM('Statistics NZ'!W$30:W$110,'Statistics NZ'!W$130:W$210,SUM($E$12:$T$13)*(W$8-W$9)*1000)</f>
        <v>7041.470614568575</v>
      </c>
      <c r="X103" s="45">
        <f>SUM('Statistics NZ'!X$103,$S$12/5*(X$8-X$9)*1000)*'Economic Forecasts'!Z$9*1000000/SUM('Statistics NZ'!X$30:X$110,'Statistics NZ'!X$130:X$210,SUM($E$12:$T$13)*(X$8-X$9)*1000)</f>
        <v>7696.7279351198322</v>
      </c>
      <c r="Y103" s="45">
        <f>SUM('Statistics NZ'!Y$103,$S$12/5*(Y$8-Y$9)*1000)*'Economic Forecasts'!AA$9*1000000/SUM('Statistics NZ'!Y$30:Y$110,'Statistics NZ'!Y$130:Y$210,SUM($E$12:$T$13)*(Y$8-Y$9)*1000)</f>
        <v>8343.546309037516</v>
      </c>
      <c r="Z103" s="46">
        <f>SUM(Y$103,'Statistics NZ'!Z$103-'Statistics NZ'!Y$103,$S$12/5*(Z$8-Z$9)*1000)</f>
        <v>8573.705243755725</v>
      </c>
      <c r="AA103" s="46">
        <f>SUM(Z$103,'Statistics NZ'!AA$103-'Statistics NZ'!Z$103,$S$12/5*(AA$8-AA$9)*1000)</f>
        <v>7763.8006045866496</v>
      </c>
      <c r="AB103" s="46">
        <f>SUM(AA$103,'Statistics NZ'!AB$103-'Statistics NZ'!AA$103,$S$12/5*(AB$8-AB$9)*1000)</f>
        <v>8633.8451063077482</v>
      </c>
      <c r="AC103" s="46">
        <f>SUM(AB$103,'Statistics NZ'!AC$103-'Statistics NZ'!AB$103,$S$12/5*(AC$8-AC$9)*1000)</f>
        <v>9193.8451063077482</v>
      </c>
      <c r="AD103" s="46">
        <f>SUM(AC$103,'Statistics NZ'!AD$103-'Statistics NZ'!AC$103,$S$12/5*(AD$8-AD$9)*1000)</f>
        <v>9823.8451063077482</v>
      </c>
      <c r="AE103" s="46">
        <f>SUM(AD$103,'Statistics NZ'!AE$103-'Statistics NZ'!AD$103,$S$12/5*(AE$8-AE$9)*1000)</f>
        <v>11783.845106307748</v>
      </c>
      <c r="AF103" s="46">
        <f>SUM(AE$103,'Statistics NZ'!AF$103-'Statistics NZ'!AE$103,$S$12/5*(AF$8-AF$9)*1000)</f>
        <v>11883.845106307748</v>
      </c>
      <c r="AG103" s="46">
        <f>SUM(AF$103,'Statistics NZ'!AG$103-'Statistics NZ'!AF$103,$S$12/5*(AG$8-AG$9)*1000)</f>
        <v>11773.845106307748</v>
      </c>
      <c r="AH103" s="46">
        <f>SUM(AG$103,'Statistics NZ'!AH$103-'Statistics NZ'!AG$103,$S$12/5*(AH$8-AH$9)*1000)</f>
        <v>12373.845106307748</v>
      </c>
      <c r="AI103" s="46">
        <f>SUM(AH$103,'Statistics NZ'!AI$103-'Statistics NZ'!AH$103,$S$12/5*(AI$8-AI$9)*1000)</f>
        <v>12323.845106307748</v>
      </c>
      <c r="AJ103" s="46">
        <f>SUM(AI$103,'Statistics NZ'!AJ$103-'Statistics NZ'!AI$103,$S$12/5*(AJ$8-AJ$9)*1000)</f>
        <v>12823.845106307748</v>
      </c>
      <c r="AK103" s="46">
        <f>SUM(AJ$103,'Statistics NZ'!AK$103-'Statistics NZ'!AJ$103,$S$12/5*(AK$8-AK$9)*1000)</f>
        <v>13203.845106307748</v>
      </c>
      <c r="AL103" s="46">
        <f>SUM(AK$103,'Statistics NZ'!AL$103-'Statistics NZ'!AK$103,$S$12/5*(AL$8-AL$9)*1000)</f>
        <v>13833.845106307748</v>
      </c>
      <c r="AM103" s="46">
        <f>SUM(AL$103,'Statistics NZ'!AM$103-'Statistics NZ'!AL$103,$S$12/5*(AM$8-AM$9)*1000)</f>
        <v>14333.845106307748</v>
      </c>
      <c r="AN103" s="46">
        <f>SUM(AM$103,'Statistics NZ'!AN$103-'Statistics NZ'!AM$103,$S$12/5*(AN$8-AN$9)*1000)</f>
        <v>14933.845106307748</v>
      </c>
      <c r="AO103" s="46">
        <f>SUM(AN$103,'Statistics NZ'!AO$103-'Statistics NZ'!AN$103,$S$12/5*(AO$8-AO$9)*1000)</f>
        <v>15433.845106307748</v>
      </c>
      <c r="AP103" s="46">
        <f>SUM(AO$103,'Statistics NZ'!AP$103-'Statistics NZ'!AO$103,$S$12/5*(AP$8-AP$9)*1000)</f>
        <v>16003.845106307748</v>
      </c>
      <c r="AQ103" s="46">
        <f>SUM(AP$103,'Statistics NZ'!AQ$103-'Statistics NZ'!AP$103,$S$12/5*(AQ$8-AQ$9)*1000)</f>
        <v>16683.845106307748</v>
      </c>
      <c r="AR103" s="46">
        <f>SUM(AQ$103,'Statistics NZ'!AR$103-'Statistics NZ'!AQ$103,$S$12/5*(AR$8-AR$9)*1000)</f>
        <v>17073.845106307748</v>
      </c>
      <c r="AS103" s="46">
        <f>SUM(AR$103,'Statistics NZ'!AS$103-'Statistics NZ'!AR$103,$S$12/5*(AS$8-AS$9)*1000)</f>
        <v>17973.845106307748</v>
      </c>
      <c r="AT103" s="46">
        <f>SUM(AS$103,'Statistics NZ'!AT$103-'Statistics NZ'!AS$103,$S$12/5*(AT$8-AT$9)*1000)</f>
        <v>18713.845106307748</v>
      </c>
      <c r="AU103" s="46">
        <f>SUM(AT$103,'Statistics NZ'!AU$103-'Statistics NZ'!AT$103,$S$12/5*(AU$8-AU$9)*1000)</f>
        <v>19053.845106307748</v>
      </c>
      <c r="AV103" s="46">
        <f>SUM(AU$103,'Statistics NZ'!AV$103-'Statistics NZ'!AU$103,$S$12/5*(AV$8-AV$9)*1000)</f>
        <v>18853.845106307748</v>
      </c>
      <c r="AW103" s="46">
        <f>SUM(AV$103,'Statistics NZ'!AW$103-'Statistics NZ'!AV$103,$S$12/5*(AW$8-AW$9)*1000)</f>
        <v>18513.845106307748</v>
      </c>
      <c r="AX103" s="46">
        <f>SUM(AW$103,'Statistics NZ'!AX$103-'Statistics NZ'!AW$103,$S$12/5*(AX$8-AX$9)*1000)</f>
        <v>18463.845106307748</v>
      </c>
      <c r="AY103" s="46">
        <f>SUM(AX$103,'Statistics NZ'!AY$103-'Statistics NZ'!AX$103,$S$12/5*(AY$8-AY$9)*1000)</f>
        <v>19103.845106307748</v>
      </c>
      <c r="AZ103" s="46">
        <f>SUM(AY$103,'Statistics NZ'!AZ$103-'Statistics NZ'!AY$103,$S$12/5*(AZ$8-AZ$9)*1000)</f>
        <v>19523.845106307748</v>
      </c>
      <c r="BA103" s="46">
        <f>SUM(AZ$103,'Statistics NZ'!BA$103-'Statistics NZ'!AZ$103,$S$12/5*(BA$8-BA$9)*1000)</f>
        <v>20153.845106307748</v>
      </c>
      <c r="BB103" s="46">
        <f>SUM(BA$103,'Statistics NZ'!BB$103-'Statistics NZ'!BA$103,$S$12/5*(BB$8-BB$9)*1000)</f>
        <v>20343.845106307748</v>
      </c>
      <c r="BC103" s="46">
        <f>SUM(BB$103,'Statistics NZ'!BC$103-'Statistics NZ'!BB$103,$S$12/5*(BC$8-BC$9)*1000)</f>
        <v>21403.845106307748</v>
      </c>
      <c r="BD103" s="46">
        <f>SUM(BC$103,'Statistics NZ'!BD$103-'Statistics NZ'!BC$103,$S$12/5*(BD$8-BD$9)*1000)</f>
        <v>21333.845106307748</v>
      </c>
      <c r="BE103" s="46">
        <f>SUM(BD$103,'Statistics NZ'!BE$103-'Statistics NZ'!BD$103,$S$12/5*(BE$8-BE$9)*1000)</f>
        <v>20983.845106307748</v>
      </c>
      <c r="BF103" s="46">
        <f>SUM(BE$103,'Statistics NZ'!BF$103-'Statistics NZ'!BE$103,$S$12/5*(BF$8-BF$9)*1000)</f>
        <v>20633.845106307748</v>
      </c>
      <c r="BG103" s="46">
        <f>SUM(BF$103,'Statistics NZ'!BG$103-'Statistics NZ'!BF$103,$S$12/5*(BG$8-BG$9)*1000)</f>
        <v>20153.845106307748</v>
      </c>
      <c r="BH103" s="46">
        <f>SUM(BG$103,'Statistics NZ'!BH$103-'Statistics NZ'!BG$103,$S$12/5*(BH$8-BH$9)*1000)</f>
        <v>19623.845106307748</v>
      </c>
      <c r="BI103" s="46">
        <f>SUM(BH$103,'Statistics NZ'!BI$103-'Statistics NZ'!BH$103,$S$12/5*(BI$8-BI$9)*1000)</f>
        <v>20033.845106307748</v>
      </c>
    </row>
    <row r="104" spans="1:61" x14ac:dyDescent="0.25">
      <c r="A104" s="11">
        <v>89</v>
      </c>
      <c r="B104" s="44">
        <f>'Statistics NZ'!B$104*'Economic Forecasts'!D$9*1000000/SUM('Statistics NZ'!B$30:B$110,'Statistics NZ'!B$130:B$210)</f>
        <v>3688.5457115813992</v>
      </c>
      <c r="C104" s="44">
        <f>'Statistics NZ'!C$104*'Economic Forecasts'!E$9*1000000/SUM('Statistics NZ'!C$30:C$110,'Statistics NZ'!C$130:C$210)</f>
        <v>3682.5293468084592</v>
      </c>
      <c r="D104" s="44">
        <f>'Statistics NZ'!D$104*'Economic Forecasts'!F$9*1000000/SUM('Statistics NZ'!D$30:D$110,'Statistics NZ'!D$130:D$210)</f>
        <v>3654.0532185575344</v>
      </c>
      <c r="E104" s="44">
        <f>'Statistics NZ'!E$104*'Economic Forecasts'!G$9*1000000/SUM('Statistics NZ'!E$30:E$110,'Statistics NZ'!E$130:E$210)</f>
        <v>4315.0900794957433</v>
      </c>
      <c r="F104" s="44">
        <f>'Statistics NZ'!F$104*'Economic Forecasts'!H$9*1000000/SUM('Statistics NZ'!F$30:F$110,'Statistics NZ'!F$130:F$210)</f>
        <v>4433.5917687966048</v>
      </c>
      <c r="G104" s="44">
        <f>'Statistics NZ'!G$104*'Economic Forecasts'!I$9*1000000/SUM('Statistics NZ'!G$30:G$110,'Statistics NZ'!G$130:G$210)</f>
        <v>4577.2720729228449</v>
      </c>
      <c r="H104" s="44">
        <f>'Statistics NZ'!H$104*'Economic Forecasts'!J$9*1000000/SUM('Statistics NZ'!H$30:H$110,'Statistics NZ'!H$130:H$210)</f>
        <v>4460.6122629832171</v>
      </c>
      <c r="I104" s="44">
        <f>'Statistics NZ'!I$104*'Economic Forecasts'!K$9*1000000/SUM('Statistics NZ'!I$30:I$110,'Statistics NZ'!I$130:I$210)</f>
        <v>4568.4567728277452</v>
      </c>
      <c r="J104" s="44">
        <f>'Statistics NZ'!J$104*'Economic Forecasts'!L$9*1000000/SUM('Statistics NZ'!J$30:J$110,'Statistics NZ'!J$130:J$210)</f>
        <v>4885.6930042111235</v>
      </c>
      <c r="K104" s="44">
        <f>'Statistics NZ'!K$104*'Economic Forecasts'!M$9*1000000/SUM('Statistics NZ'!K$30:K$110,'Statistics NZ'!K$130:K$210)</f>
        <v>4761.0112584682201</v>
      </c>
      <c r="L104" s="44">
        <f>'Statistics NZ'!L$104*'Economic Forecasts'!N$9*1000000/SUM('Statistics NZ'!L$30:L$110,'Statistics NZ'!L$130:L$210)</f>
        <v>4858.5708970289033</v>
      </c>
      <c r="M104" s="44">
        <f>'Statistics NZ'!M$104*'Economic Forecasts'!O$9*1000000/SUM('Statistics NZ'!M$30:M$110,'Statistics NZ'!M$130:M$210)</f>
        <v>4835.9390517265838</v>
      </c>
      <c r="N104" s="44">
        <f>'Statistics NZ'!N$104*'Economic Forecasts'!P$9*1000000/SUM('Statistics NZ'!N$30:N$110,'Statistics NZ'!N$130:N$210)</f>
        <v>5000.1014126965665</v>
      </c>
      <c r="O104" s="44">
        <f>'Statistics NZ'!O$104*'Economic Forecasts'!Q$9*1000000/SUM('Statistics NZ'!O$30:O$110,'Statistics NZ'!O$130:O$210)</f>
        <v>5152.3861963121399</v>
      </c>
      <c r="P104" s="44">
        <f>'Statistics NZ'!P$104*'Economic Forecasts'!R$9*1000000/SUM('Statistics NZ'!P$30:P$110,'Statistics NZ'!P$130:P$210)</f>
        <v>5187.8720558896821</v>
      </c>
      <c r="Q104" s="44">
        <f>'Statistics NZ'!Q$104*'Economic Forecasts'!S$9*1000000/SUM('Statistics NZ'!Q$30:Q$110,'Statistics NZ'!Q$130:Q$210)</f>
        <v>5086.3291280698295</v>
      </c>
      <c r="R104" s="44">
        <f>'Statistics NZ'!R$104*'Economic Forecasts'!T$9*1000000/SUM('Statistics NZ'!R$30:R$110,'Statistics NZ'!R$130:R$210)</f>
        <v>5168.2220840780174</v>
      </c>
      <c r="S104" s="44">
        <f>'Statistics NZ'!S$104*'Economic Forecasts'!U$9*1000000/SUM('Statistics NZ'!S$30:S$110,'Statistics NZ'!S$130:S$210)</f>
        <v>5049.305696738169</v>
      </c>
      <c r="T104" s="44">
        <f>'Statistics NZ'!T$104*'Economic Forecasts'!V$9*1000000/SUM('Statistics NZ'!T$30:T$110,'Statistics NZ'!T$130:T$210)</f>
        <v>5104.4490813191906</v>
      </c>
      <c r="U104" s="45">
        <f>SUM('Statistics NZ'!U$104,$S$12/5*(U$8-U$9)*1000)*'Economic Forecasts'!W$9*1000000/SUM('Statistics NZ'!U$30:U$110,'Statistics NZ'!U$130:U$210,SUM($E$12:$T$13)*(U$8-U$9)*1000)</f>
        <v>5428.4090950281989</v>
      </c>
      <c r="V104" s="45">
        <f>SUM('Statistics NZ'!V$104,$S$12/5*(V$8-V$9)*1000)*'Economic Forecasts'!X$9*1000000/SUM('Statistics NZ'!V$30:V$110,'Statistics NZ'!V$130:V$210,SUM($E$12:$T$13)*(V$8-V$9)*1000)</f>
        <v>5624.1807936928208</v>
      </c>
      <c r="W104" s="45">
        <f>SUM('Statistics NZ'!W$104,$S$12/5*(W$8-W$9)*1000)*'Economic Forecasts'!Y$9*1000000/SUM('Statistics NZ'!W$30:W$110,'Statistics NZ'!W$130:W$210,SUM($E$12:$T$13)*(W$8-W$9)*1000)</f>
        <v>5942.2380963151818</v>
      </c>
      <c r="X104" s="45">
        <f>SUM('Statistics NZ'!X$104,$S$12/5*(X$8-X$9)*1000)*'Economic Forecasts'!Z$9*1000000/SUM('Statistics NZ'!X$30:X$110,'Statistics NZ'!X$130:X$210,SUM($E$12:$T$13)*(X$8-X$9)*1000)</f>
        <v>6309.9913786324842</v>
      </c>
      <c r="Y104" s="45">
        <f>SUM('Statistics NZ'!Y$104,$S$12/5*(Y$8-Y$9)*1000)*'Economic Forecasts'!AA$9*1000000/SUM('Statistics NZ'!Y$30:Y$110,'Statistics NZ'!Y$130:Y$210,SUM($E$12:$T$13)*(Y$8-Y$9)*1000)</f>
        <v>6896.8468171191016</v>
      </c>
      <c r="Z104" s="46">
        <f>SUM(Y$104,'Statistics NZ'!Z$104-'Statistics NZ'!Y$104,$S$12/5*(Z$8-Z$9)*1000)</f>
        <v>7487.0057518373096</v>
      </c>
      <c r="AA104" s="46">
        <f>SUM(Z$104,'Statistics NZ'!AA$104-'Statistics NZ'!Z$104,$S$12/5*(AA$8-AA$9)*1000)</f>
        <v>7707.1011126682342</v>
      </c>
      <c r="AB104" s="46">
        <f>SUM(AA$104,'Statistics NZ'!AB$104-'Statistics NZ'!AA$104,$S$12/5*(AB$8-AB$9)*1000)</f>
        <v>6987.1456143893329</v>
      </c>
      <c r="AC104" s="46">
        <f>SUM(AB$104,'Statistics NZ'!AC$104-'Statistics NZ'!AB$104,$S$12/5*(AC$8-AC$9)*1000)</f>
        <v>7777.1456143893329</v>
      </c>
      <c r="AD104" s="46">
        <f>SUM(AC$104,'Statistics NZ'!AD$104-'Statistics NZ'!AC$104,$S$12/5*(AD$8-AD$9)*1000)</f>
        <v>8287.1456143893338</v>
      </c>
      <c r="AE104" s="46">
        <f>SUM(AD$104,'Statistics NZ'!AE$104-'Statistics NZ'!AD$104,$S$12/5*(AE$8-AE$9)*1000)</f>
        <v>8867.1456143893338</v>
      </c>
      <c r="AF104" s="46">
        <f>SUM(AE$104,'Statistics NZ'!AF$104-'Statistics NZ'!AE$104,$S$12/5*(AF$8-AF$9)*1000)</f>
        <v>10637.145614389334</v>
      </c>
      <c r="AG104" s="46">
        <f>SUM(AF$104,'Statistics NZ'!AG$104-'Statistics NZ'!AF$104,$S$12/5*(AG$8-AG$9)*1000)</f>
        <v>10737.145614389334</v>
      </c>
      <c r="AH104" s="46">
        <f>SUM(AG$104,'Statistics NZ'!AH$104-'Statistics NZ'!AG$104,$S$12/5*(AH$8-AH$9)*1000)</f>
        <v>10647.145614389334</v>
      </c>
      <c r="AI104" s="46">
        <f>SUM(AH$104,'Statistics NZ'!AI$104-'Statistics NZ'!AH$104,$S$12/5*(AI$8-AI$9)*1000)</f>
        <v>11207.145614389334</v>
      </c>
      <c r="AJ104" s="46">
        <f>SUM(AI$104,'Statistics NZ'!AJ$104-'Statistics NZ'!AI$104,$S$12/5*(AJ$8-AJ$9)*1000)</f>
        <v>11167.145614389334</v>
      </c>
      <c r="AK104" s="46">
        <f>SUM(AJ$104,'Statistics NZ'!AK$104-'Statistics NZ'!AJ$104,$S$12/5*(AK$8-AK$9)*1000)</f>
        <v>11637.145614389334</v>
      </c>
      <c r="AL104" s="46">
        <f>SUM(AK$104,'Statistics NZ'!AL$104-'Statistics NZ'!AK$104,$S$12/5*(AL$8-AL$9)*1000)</f>
        <v>11987.145614389334</v>
      </c>
      <c r="AM104" s="46">
        <f>SUM(AL$104,'Statistics NZ'!AM$104-'Statistics NZ'!AL$104,$S$12/5*(AM$8-AM$9)*1000)</f>
        <v>12577.145614389334</v>
      </c>
      <c r="AN104" s="46">
        <f>SUM(AM$104,'Statistics NZ'!AN$104-'Statistics NZ'!AM$104,$S$12/5*(AN$8-AN$9)*1000)</f>
        <v>13037.145614389334</v>
      </c>
      <c r="AO104" s="46">
        <f>SUM(AN$104,'Statistics NZ'!AO$104-'Statistics NZ'!AN$104,$S$12/5*(AO$8-AO$9)*1000)</f>
        <v>13597.145614389334</v>
      </c>
      <c r="AP104" s="46">
        <f>SUM(AO$104,'Statistics NZ'!AP$104-'Statistics NZ'!AO$104,$S$12/5*(AP$8-AP$9)*1000)</f>
        <v>14057.145614389334</v>
      </c>
      <c r="AQ104" s="46">
        <f>SUM(AP$104,'Statistics NZ'!AQ$104-'Statistics NZ'!AP$104,$S$12/5*(AQ$8-AQ$9)*1000)</f>
        <v>14587.145614389334</v>
      </c>
      <c r="AR104" s="46">
        <f>SUM(AQ$104,'Statistics NZ'!AR$104-'Statistics NZ'!AQ$104,$S$12/5*(AR$8-AR$9)*1000)</f>
        <v>15217.145614389334</v>
      </c>
      <c r="AS104" s="46">
        <f>SUM(AR$104,'Statistics NZ'!AS$104-'Statistics NZ'!AR$104,$S$12/5*(AS$8-AS$9)*1000)</f>
        <v>15587.145614389334</v>
      </c>
      <c r="AT104" s="46">
        <f>SUM(AS$104,'Statistics NZ'!AT$104-'Statistics NZ'!AS$104,$S$12/5*(AT$8-AT$9)*1000)</f>
        <v>16427.145614389334</v>
      </c>
      <c r="AU104" s="46">
        <f>SUM(AT$104,'Statistics NZ'!AU$104-'Statistics NZ'!AT$104,$S$12/5*(AU$8-AU$9)*1000)</f>
        <v>17117.145614389334</v>
      </c>
      <c r="AV104" s="46">
        <f>SUM(AU$104,'Statistics NZ'!AV$104-'Statistics NZ'!AU$104,$S$12/5*(AV$8-AV$9)*1000)</f>
        <v>17437.145614389334</v>
      </c>
      <c r="AW104" s="46">
        <f>SUM(AV$104,'Statistics NZ'!AW$104-'Statistics NZ'!AV$104,$S$12/5*(AW$8-AW$9)*1000)</f>
        <v>17267.145614389334</v>
      </c>
      <c r="AX104" s="46">
        <f>SUM(AW$104,'Statistics NZ'!AX$104-'Statistics NZ'!AW$104,$S$12/5*(AX$8-AX$9)*1000)</f>
        <v>16967.145614389334</v>
      </c>
      <c r="AY104" s="46">
        <f>SUM(AX$104,'Statistics NZ'!AY$104-'Statistics NZ'!AX$104,$S$12/5*(AY$8-AY$9)*1000)</f>
        <v>16947.145614389334</v>
      </c>
      <c r="AZ104" s="46">
        <f>SUM(AY$104,'Statistics NZ'!AZ$104-'Statistics NZ'!AY$104,$S$12/5*(AZ$8-AZ$9)*1000)</f>
        <v>17537.145614389334</v>
      </c>
      <c r="BA104" s="46">
        <f>SUM(AZ$104,'Statistics NZ'!BA$104-'Statistics NZ'!AZ$104,$S$12/5*(BA$8-BA$9)*1000)</f>
        <v>17937.145614389334</v>
      </c>
      <c r="BB104" s="46">
        <f>SUM(BA$104,'Statistics NZ'!BB$104-'Statistics NZ'!BA$104,$S$12/5*(BB$8-BB$9)*1000)</f>
        <v>18537.145614389334</v>
      </c>
      <c r="BC104" s="46">
        <f>SUM(BB$104,'Statistics NZ'!BC$104-'Statistics NZ'!BB$104,$S$12/5*(BC$8-BC$9)*1000)</f>
        <v>18727.145614389334</v>
      </c>
      <c r="BD104" s="46">
        <f>SUM(BC$104,'Statistics NZ'!BD$104-'Statistics NZ'!BC$104,$S$12/5*(BD$8-BD$9)*1000)</f>
        <v>19707.145614389334</v>
      </c>
      <c r="BE104" s="46">
        <f>SUM(BD$104,'Statistics NZ'!BE$104-'Statistics NZ'!BD$104,$S$12/5*(BE$8-BE$9)*1000)</f>
        <v>19657.145614389334</v>
      </c>
      <c r="BF104" s="46">
        <f>SUM(BE$104,'Statistics NZ'!BF$104-'Statistics NZ'!BE$104,$S$12/5*(BF$8-BF$9)*1000)</f>
        <v>19357.145614389334</v>
      </c>
      <c r="BG104" s="46">
        <f>SUM(BF$104,'Statistics NZ'!BG$104-'Statistics NZ'!BF$104,$S$12/5*(BG$8-BG$9)*1000)</f>
        <v>19047.145614389334</v>
      </c>
      <c r="BH104" s="46">
        <f>SUM(BG$104,'Statistics NZ'!BH$104-'Statistics NZ'!BG$104,$S$12/5*(BH$8-BH$9)*1000)</f>
        <v>18617.145614389334</v>
      </c>
      <c r="BI104" s="46">
        <f>SUM(BH$104,'Statistics NZ'!BI$104-'Statistics NZ'!BH$104,$S$12/5*(BI$8-BI$9)*1000)</f>
        <v>18147.145614389334</v>
      </c>
    </row>
    <row r="105" spans="1:61" x14ac:dyDescent="0.25">
      <c r="A105" s="11">
        <v>90</v>
      </c>
      <c r="B105" s="44">
        <f>'Statistics NZ'!B$105*'Economic Forecasts'!D$9*1000000/SUM('Statistics NZ'!B$30:B$110,'Statistics NZ'!B$130:B$210)</f>
        <v>3179.7807858460337</v>
      </c>
      <c r="C105" s="44">
        <f>'Statistics NZ'!C$105*'Economic Forecasts'!E$9*1000000/SUM('Statistics NZ'!C$30:C$110,'Statistics NZ'!C$130:C$210)</f>
        <v>3191.5254339006642</v>
      </c>
      <c r="D105" s="44">
        <f>'Statistics NZ'!D$105*'Economic Forecasts'!F$9*1000000/SUM('Statistics NZ'!D$30:D$110,'Statistics NZ'!D$130:D$210)</f>
        <v>3182.5624806791425</v>
      </c>
      <c r="E105" s="44">
        <f>'Statistics NZ'!E$105*'Economic Forecasts'!G$9*1000000/SUM('Statistics NZ'!E$30:E$110,'Statistics NZ'!E$130:E$210)</f>
        <v>3128.4403076344142</v>
      </c>
      <c r="F105" s="44">
        <f>'Statistics NZ'!F$105*'Economic Forecasts'!H$9*1000000/SUM('Statistics NZ'!F$30:F$110,'Statistics NZ'!F$130:F$210)</f>
        <v>3727.3559118201547</v>
      </c>
      <c r="G105" s="44">
        <f>'Statistics NZ'!G$105*'Economic Forecasts'!I$9*1000000/SUM('Statistics NZ'!G$30:G$110,'Statistics NZ'!G$130:G$210)</f>
        <v>3860.2315979799955</v>
      </c>
      <c r="H105" s="44">
        <f>'Statistics NZ'!H$105*'Economic Forecasts'!J$9*1000000/SUM('Statistics NZ'!H$30:H$110,'Statistics NZ'!H$130:H$210)</f>
        <v>3939.8799943970698</v>
      </c>
      <c r="I105" s="44">
        <f>'Statistics NZ'!I$105*'Economic Forecasts'!K$9*1000000/SUM('Statistics NZ'!I$30:I$110,'Statistics NZ'!I$130:I$210)</f>
        <v>3852.7972354534418</v>
      </c>
      <c r="J105" s="44">
        <f>'Statistics NZ'!J$105*'Economic Forecasts'!L$9*1000000/SUM('Statistics NZ'!J$30:J$110,'Statistics NZ'!J$130:J$210)</f>
        <v>3969.0160732812906</v>
      </c>
      <c r="K105" s="44">
        <f>'Statistics NZ'!K$105*'Economic Forecasts'!M$9*1000000/SUM('Statistics NZ'!K$30:K$110,'Statistics NZ'!K$130:K$210)</f>
        <v>4293.6727300296225</v>
      </c>
      <c r="L105" s="44">
        <f>'Statistics NZ'!L$105*'Economic Forecasts'!N$9*1000000/SUM('Statistics NZ'!L$30:L$110,'Statistics NZ'!L$130:L$210)</f>
        <v>4128.3247702209519</v>
      </c>
      <c r="M105" s="44">
        <f>'Statistics NZ'!M$105*'Economic Forecasts'!O$9*1000000/SUM('Statistics NZ'!M$30:M$110,'Statistics NZ'!M$130:M$210)</f>
        <v>4239.9950473723984</v>
      </c>
      <c r="N105" s="44">
        <f>'Statistics NZ'!N$105*'Economic Forecasts'!P$9*1000000/SUM('Statistics NZ'!N$30:N$110,'Statistics NZ'!N$130:N$210)</f>
        <v>4227.0916052542398</v>
      </c>
      <c r="O105" s="44">
        <f>'Statistics NZ'!O$105*'Economic Forecasts'!Q$9*1000000/SUM('Statistics NZ'!O$30:O$110,'Statistics NZ'!O$130:O$210)</f>
        <v>4395.2607438006235</v>
      </c>
      <c r="P105" s="44">
        <f>'Statistics NZ'!P$105*'Economic Forecasts'!R$9*1000000/SUM('Statistics NZ'!P$30:P$110,'Statistics NZ'!P$130:P$210)</f>
        <v>4519.7370183887369</v>
      </c>
      <c r="Q105" s="44">
        <f>'Statistics NZ'!Q$105*'Economic Forecasts'!S$9*1000000/SUM('Statistics NZ'!Q$30:Q$110,'Statistics NZ'!Q$130:Q$210)</f>
        <v>4629.3542454698063</v>
      </c>
      <c r="R105" s="44">
        <f>'Statistics NZ'!R$105*'Economic Forecasts'!T$9*1000000/SUM('Statistics NZ'!R$30:R$110,'Statistics NZ'!R$130:R$210)</f>
        <v>4451.2432978475408</v>
      </c>
      <c r="S105" s="44">
        <f>'Statistics NZ'!S$105*'Economic Forecasts'!U$9*1000000/SUM('Statistics NZ'!S$30:S$110,'Statistics NZ'!S$130:S$210)</f>
        <v>4400.9512687523347</v>
      </c>
      <c r="T105" s="44">
        <f>'Statistics NZ'!T$105*'Economic Forecasts'!V$9*1000000/SUM('Statistics NZ'!T$30:T$110,'Statistics NZ'!T$130:T$210)</f>
        <v>4450.2866747811977</v>
      </c>
      <c r="U105" s="45">
        <f>SUM('Statistics NZ'!U$105,$T$12/6*(U$8-U$9)*1000)*'Economic Forecasts'!W$9*1000000/SUM('Statistics NZ'!U$30:U$110,'Statistics NZ'!U$130:U$210,SUM($E$12:$T$13)*(U$8-U$9)*1000)</f>
        <v>4467.5247661886706</v>
      </c>
      <c r="V105" s="45">
        <f>SUM('Statistics NZ'!V$105,$T$12/6*(V$8-V$9)*1000)*'Economic Forecasts'!X$9*1000000/SUM('Statistics NZ'!V$30:V$110,'Statistics NZ'!V$130:V$210,SUM($E$12:$T$13)*(V$8-V$9)*1000)</f>
        <v>4762.7013553429397</v>
      </c>
      <c r="W105" s="45">
        <f>SUM('Statistics NZ'!W$105,$T$12/6*(W$8-W$9)*1000)*'Economic Forecasts'!Y$9*1000000/SUM('Statistics NZ'!W$30:W$110,'Statistics NZ'!W$130:W$210,SUM($E$12:$T$13)*(W$8-W$9)*1000)</f>
        <v>4941.9430911934651</v>
      </c>
      <c r="X105" s="45">
        <f>SUM('Statistics NZ'!X$105,$T$12/6*(X$8-X$9)*1000)*'Economic Forecasts'!Z$9*1000000/SUM('Statistics NZ'!X$30:X$110,'Statistics NZ'!X$130:X$210,SUM($E$12:$T$13)*(X$8-X$9)*1000)</f>
        <v>5230.2465869496273</v>
      </c>
      <c r="Y105" s="45">
        <f>SUM('Statistics NZ'!Y$105,$T$12/6*(Y$8-Y$9)*1000)*'Economic Forecasts'!AA$9*1000000/SUM('Statistics NZ'!Y$30:Y$110,'Statistics NZ'!Y$130:Y$210,SUM($E$12:$T$13)*(Y$8-Y$9)*1000)</f>
        <v>5549.1834751593115</v>
      </c>
      <c r="Z105" s="46">
        <f>SUM(Y$105,'Statistics NZ'!Z$105-'Statistics NZ'!Y$105,$T$12/6*(Z$8-Z$9)*1000)</f>
        <v>6079.3090709512771</v>
      </c>
      <c r="AA105" s="46">
        <f>SUM(Z$105,'Statistics NZ'!AA$105-'Statistics NZ'!Z$105,$T$12/6*(AA$8-AA$9)*1000)</f>
        <v>6609.384428426456</v>
      </c>
      <c r="AB105" s="46">
        <f>SUM(AA$105,'Statistics NZ'!AB$105-'Statistics NZ'!AA$105,$T$12/6*(AB$8-AB$9)*1000)</f>
        <v>6809.419595248206</v>
      </c>
      <c r="AC105" s="46">
        <f>SUM(AB$105,'Statistics NZ'!AC$105-'Statistics NZ'!AB$105,$T$12/6*(AC$8-AC$9)*1000)</f>
        <v>6179.419595248206</v>
      </c>
      <c r="AD105" s="46">
        <f>SUM(AC$105,'Statistics NZ'!AD$105-'Statistics NZ'!AC$105,$T$12/6*(AD$8-AD$9)*1000)</f>
        <v>6889.419595248206</v>
      </c>
      <c r="AE105" s="46">
        <f>SUM(AD$105,'Statistics NZ'!AE$105-'Statistics NZ'!AD$105,$T$12/6*(AE$8-AE$9)*1000)</f>
        <v>7339.419595248206</v>
      </c>
      <c r="AF105" s="46">
        <f>SUM(AE$105,'Statistics NZ'!AF$105-'Statistics NZ'!AE$105,$T$12/6*(AF$8-AF$9)*1000)</f>
        <v>7869.419595248206</v>
      </c>
      <c r="AG105" s="46">
        <f>SUM(AF$105,'Statistics NZ'!AG$105-'Statistics NZ'!AF$105,$T$12/6*(AG$8-AG$9)*1000)</f>
        <v>9449.419595248206</v>
      </c>
      <c r="AH105" s="46">
        <f>SUM(AG$105,'Statistics NZ'!AH$105-'Statistics NZ'!AG$105,$T$12/6*(AH$8-AH$9)*1000)</f>
        <v>9549.419595248206</v>
      </c>
      <c r="AI105" s="46">
        <f>SUM(AH$105,'Statistics NZ'!AI$105-'Statistics NZ'!AH$105,$T$12/6*(AI$8-AI$9)*1000)</f>
        <v>9479.419595248206</v>
      </c>
      <c r="AJ105" s="46">
        <f>SUM(AI$105,'Statistics NZ'!AJ$105-'Statistics NZ'!AI$105,$T$12/6*(AJ$8-AJ$9)*1000)</f>
        <v>9979.419595248206</v>
      </c>
      <c r="AK105" s="46">
        <f>SUM(AJ$105,'Statistics NZ'!AK$105-'Statistics NZ'!AJ$105,$T$12/6*(AK$8-AK$9)*1000)</f>
        <v>9959.419595248206</v>
      </c>
      <c r="AL105" s="46">
        <f>SUM(AK$105,'Statistics NZ'!AL$105-'Statistics NZ'!AK$105,$T$12/6*(AL$8-AL$9)*1000)</f>
        <v>10379.419595248206</v>
      </c>
      <c r="AM105" s="46">
        <f>SUM(AL$105,'Statistics NZ'!AM$105-'Statistics NZ'!AL$105,$T$12/6*(AM$8-AM$9)*1000)</f>
        <v>10709.419595248206</v>
      </c>
      <c r="AN105" s="46">
        <f>SUM(AM$105,'Statistics NZ'!AN$105-'Statistics NZ'!AM$105,$T$12/6*(AN$8-AN$9)*1000)</f>
        <v>11239.419595248206</v>
      </c>
      <c r="AO105" s="46">
        <f>SUM(AN$105,'Statistics NZ'!AO$105-'Statistics NZ'!AN$105,$T$12/6*(AO$8-AO$9)*1000)</f>
        <v>11659.419595248206</v>
      </c>
      <c r="AP105" s="46">
        <f>SUM(AO$105,'Statistics NZ'!AP$105-'Statistics NZ'!AO$105,$T$12/6*(AP$8-AP$9)*1000)</f>
        <v>12179.419595248206</v>
      </c>
      <c r="AQ105" s="46">
        <f>SUM(AP$105,'Statistics NZ'!AQ$105-'Statistics NZ'!AP$105,$T$12/6*(AQ$8-AQ$9)*1000)</f>
        <v>12609.419595248206</v>
      </c>
      <c r="AR105" s="46">
        <f>SUM(AQ$105,'Statistics NZ'!AR$105-'Statistics NZ'!AQ$105,$T$12/6*(AR$8-AR$9)*1000)</f>
        <v>13089.419595248206</v>
      </c>
      <c r="AS105" s="46">
        <f>SUM(AR$105,'Statistics NZ'!AS$105-'Statistics NZ'!AR$105,$T$12/6*(AS$8-AS$9)*1000)</f>
        <v>13669.419595248206</v>
      </c>
      <c r="AT105" s="46">
        <f>SUM(AS$105,'Statistics NZ'!AT$105-'Statistics NZ'!AS$105,$T$12/6*(AT$8-AT$9)*1000)</f>
        <v>14009.419595248206</v>
      </c>
      <c r="AU105" s="46">
        <f>SUM(AT$105,'Statistics NZ'!AU$105-'Statistics NZ'!AT$105,$T$12/6*(AU$8-AU$9)*1000)</f>
        <v>14769.419595248206</v>
      </c>
      <c r="AV105" s="46">
        <f>SUM(AU$105,'Statistics NZ'!AV$105-'Statistics NZ'!AU$105,$T$12/6*(AV$8-AV$9)*1000)</f>
        <v>15409.419595248206</v>
      </c>
      <c r="AW105" s="46">
        <f>SUM(AV$105,'Statistics NZ'!AW$105-'Statistics NZ'!AV$105,$T$12/6*(AW$8-AW$9)*1000)</f>
        <v>15709.419595248206</v>
      </c>
      <c r="AX105" s="46">
        <f>SUM(AW$105,'Statistics NZ'!AX$105-'Statistics NZ'!AW$105,$T$12/6*(AX$8-AX$9)*1000)</f>
        <v>15569.419595248206</v>
      </c>
      <c r="AY105" s="46">
        <f>SUM(AX$105,'Statistics NZ'!AY$105-'Statistics NZ'!AX$105,$T$12/6*(AY$8-AY$9)*1000)</f>
        <v>15319.419595248206</v>
      </c>
      <c r="AZ105" s="46">
        <f>SUM(AY$105,'Statistics NZ'!AZ$105-'Statistics NZ'!AY$105,$T$12/6*(AZ$8-AZ$9)*1000)</f>
        <v>15309.419595248206</v>
      </c>
      <c r="BA105" s="46">
        <f>SUM(AZ$105,'Statistics NZ'!BA$105-'Statistics NZ'!AZ$105,$T$12/6*(BA$8-BA$9)*1000)</f>
        <v>15859.419595248206</v>
      </c>
      <c r="BB105" s="46">
        <f>SUM(BA$105,'Statistics NZ'!BB$105-'Statistics NZ'!BA$105,$T$12/6*(BB$8-BB$9)*1000)</f>
        <v>16229.419595248206</v>
      </c>
      <c r="BC105" s="46">
        <f>SUM(BB$105,'Statistics NZ'!BC$105-'Statistics NZ'!BB$105,$T$12/6*(BC$8-BC$9)*1000)</f>
        <v>16779.419595248204</v>
      </c>
      <c r="BD105" s="46">
        <f>SUM(BC$105,'Statistics NZ'!BD$105-'Statistics NZ'!BC$105,$T$12/6*(BD$8-BD$9)*1000)</f>
        <v>16969.419595248204</v>
      </c>
      <c r="BE105" s="46">
        <f>SUM(BD$105,'Statistics NZ'!BE$105-'Statistics NZ'!BD$105,$T$12/6*(BE$8-BE$9)*1000)</f>
        <v>17869.419595248204</v>
      </c>
      <c r="BF105" s="46">
        <f>SUM(BE$105,'Statistics NZ'!BF$105-'Statistics NZ'!BE$105,$T$12/6*(BF$8-BF$9)*1000)</f>
        <v>17839.419595248204</v>
      </c>
      <c r="BG105" s="46">
        <f>SUM(BF$105,'Statistics NZ'!BG$105-'Statistics NZ'!BF$105,$T$12/6*(BG$8-BG$9)*1000)</f>
        <v>17579.419595248204</v>
      </c>
      <c r="BH105" s="46">
        <f>SUM(BG$105,'Statistics NZ'!BH$105-'Statistics NZ'!BG$105,$T$12/6*(BH$8-BH$9)*1000)</f>
        <v>17309.419595248204</v>
      </c>
      <c r="BI105" s="46">
        <f>SUM(BH$105,'Statistics NZ'!BI$105-'Statistics NZ'!BH$105,$T$12/6*(BI$8-BI$9)*1000)</f>
        <v>16939.419595248204</v>
      </c>
    </row>
    <row r="106" spans="1:61" x14ac:dyDescent="0.25">
      <c r="A106" s="11">
        <v>91</v>
      </c>
      <c r="B106" s="44">
        <f>'Statistics NZ'!B$106*'Economic Forecasts'!D$9*1000000/SUM('Statistics NZ'!B$30:B$110,'Statistics NZ'!B$130:B$210)</f>
        <v>2641.6640374720901</v>
      </c>
      <c r="C106" s="44">
        <f>'Statistics NZ'!C$106*'Economic Forecasts'!E$9*1000000/SUM('Statistics NZ'!C$30:C$110,'Statistics NZ'!C$130:C$210)</f>
        <v>2671.0612862184025</v>
      </c>
      <c r="D106" s="44">
        <f>'Statistics NZ'!D$106*'Economic Forecasts'!F$9*1000000/SUM('Statistics NZ'!D$30:D$110,'Statistics NZ'!D$130:D$210)</f>
        <v>2711.0717428007515</v>
      </c>
      <c r="E106" s="44">
        <f>'Statistics NZ'!E$106*'Economic Forecasts'!G$9*1000000/SUM('Statistics NZ'!E$30:E$110,'Statistics NZ'!E$130:E$210)</f>
        <v>2677.3172538689496</v>
      </c>
      <c r="F106" s="44">
        <f>'Statistics NZ'!F$106*'Economic Forecasts'!H$9*1000000/SUM('Statistics NZ'!F$30:F$110,'Statistics NZ'!F$130:F$210)</f>
        <v>2648.3844636616886</v>
      </c>
      <c r="G106" s="44">
        <f>'Statistics NZ'!G$106*'Economic Forecasts'!I$9*1000000/SUM('Statistics NZ'!G$30:G$110,'Statistics NZ'!G$130:G$210)</f>
        <v>3143.1911230371461</v>
      </c>
      <c r="H106" s="44">
        <f>'Statistics NZ'!H$106*'Economic Forecasts'!J$9*1000000/SUM('Statistics NZ'!H$30:H$110,'Statistics NZ'!H$130:H$210)</f>
        <v>3261.9455315207665</v>
      </c>
      <c r="I106" s="44">
        <f>'Statistics NZ'!I$106*'Economic Forecasts'!K$9*1000000/SUM('Statistics NZ'!I$30:I$110,'Statistics NZ'!I$130:I$210)</f>
        <v>3343.0123595155824</v>
      </c>
      <c r="J106" s="44">
        <f>'Statistics NZ'!J$106*'Economic Forecasts'!L$9*1000000/SUM('Statistics NZ'!J$30:J$110,'Statistics NZ'!J$130:J$210)</f>
        <v>3286.3843162058852</v>
      </c>
      <c r="K106" s="44">
        <f>'Statistics NZ'!K$106*'Economic Forecasts'!M$9*1000000/SUM('Statistics NZ'!K$30:K$110,'Statistics NZ'!K$130:K$210)</f>
        <v>3417.4129892072501</v>
      </c>
      <c r="L106" s="44">
        <f>'Statistics NZ'!L$106*'Economic Forecasts'!N$9*1000000/SUM('Statistics NZ'!L$30:L$110,'Statistics NZ'!L$130:L$210)</f>
        <v>3641.4940190156512</v>
      </c>
      <c r="M106" s="44">
        <f>'Statistics NZ'!M$106*'Economic Forecasts'!O$9*1000000/SUM('Statistics NZ'!M$30:M$110,'Statistics NZ'!M$130:M$210)</f>
        <v>3575.6640261251105</v>
      </c>
      <c r="N106" s="44">
        <f>'Statistics NZ'!N$106*'Economic Forecasts'!P$9*1000000/SUM('Statistics NZ'!N$30:N$110,'Statistics NZ'!N$130:N$210)</f>
        <v>3610.6407461546632</v>
      </c>
      <c r="O106" s="44">
        <f>'Statistics NZ'!O$106*'Economic Forecasts'!Q$9*1000000/SUM('Statistics NZ'!O$30:O$110,'Statistics NZ'!O$130:O$210)</f>
        <v>3618.4696951199767</v>
      </c>
      <c r="P106" s="44">
        <f>'Statistics NZ'!P$106*'Economic Forecasts'!R$9*1000000/SUM('Statistics NZ'!P$30:P$110,'Statistics NZ'!P$130:P$210)</f>
        <v>3782.8233740862261</v>
      </c>
      <c r="Q106" s="44">
        <f>'Statistics NZ'!Q$106*'Economic Forecasts'!S$9*1000000/SUM('Statistics NZ'!Q$30:Q$110,'Statistics NZ'!Q$130:Q$210)</f>
        <v>3963.7603947262933</v>
      </c>
      <c r="R106" s="44">
        <f>'Statistics NZ'!R$106*'Economic Forecasts'!T$9*1000000/SUM('Statistics NZ'!R$30:R$110,'Statistics NZ'!R$130:R$210)</f>
        <v>3913.5092081746839</v>
      </c>
      <c r="S106" s="44">
        <f>'Statistics NZ'!S$106*'Economic Forecasts'!U$9*1000000/SUM('Statistics NZ'!S$30:S$110,'Statistics NZ'!S$130:S$210)</f>
        <v>3742.7732888273204</v>
      </c>
      <c r="T106" s="44">
        <f>'Statistics NZ'!T$106*'Economic Forecasts'!V$9*1000000/SUM('Statistics NZ'!T$30:T$110,'Statistics NZ'!T$130:T$210)</f>
        <v>3806.0358198574168</v>
      </c>
      <c r="U106" s="45">
        <f>SUM('Statistics NZ'!U$106,$T$12/6*(U$8-U$9)*1000)*'Economic Forecasts'!W$9*1000000/SUM('Statistics NZ'!U$30:U$110,'Statistics NZ'!U$130:U$210,SUM($E$12:$T$13)*(U$8-U$9)*1000)</f>
        <v>3813.7981823946175</v>
      </c>
      <c r="V106" s="45">
        <f>SUM('Statistics NZ'!V$106,$T$12/6*(V$8-V$9)*1000)*'Economic Forecasts'!X$9*1000000/SUM('Statistics NZ'!V$30:V$110,'Statistics NZ'!V$130:V$210,SUM($E$12:$T$13)*(V$8-V$9)*1000)</f>
        <v>3841.9252757383974</v>
      </c>
      <c r="W106" s="45">
        <f>SUM('Statistics NZ'!W$106,$T$12/6*(W$8-W$9)*1000)*'Economic Forecasts'!Y$9*1000000/SUM('Statistics NZ'!W$30:W$110,'Statistics NZ'!W$130:W$210,SUM($E$12:$T$13)*(W$8-W$9)*1000)</f>
        <v>4100.188460098524</v>
      </c>
      <c r="X106" s="45">
        <f>SUM('Statistics NZ'!X$106,$T$12/6*(X$8-X$9)*1000)*'Economic Forecasts'!Z$9*1000000/SUM('Statistics NZ'!X$30:X$110,'Statistics NZ'!X$130:X$210,SUM($E$12:$T$13)*(X$8-X$9)*1000)</f>
        <v>4259.5309974084839</v>
      </c>
      <c r="Y106" s="45">
        <f>SUM('Statistics NZ'!Y$106,$T$12/6*(Y$8-Y$9)*1000)*'Economic Forecasts'!AA$9*1000000/SUM('Statistics NZ'!Y$30:Y$110,'Statistics NZ'!Y$130:Y$210,SUM($E$12:$T$13)*(Y$8-Y$9)*1000)</f>
        <v>4508.7489090536028</v>
      </c>
      <c r="Z106" s="46">
        <f>SUM(Y$106,'Statistics NZ'!Z$106-'Statistics NZ'!Y$106,$T$12/6*(Z$8-Z$9)*1000)</f>
        <v>4798.8745048455685</v>
      </c>
      <c r="AA106" s="46">
        <f>SUM(Z$106,'Statistics NZ'!AA$106-'Statistics NZ'!Z$106,$T$12/6*(AA$8-AA$9)*1000)</f>
        <v>5268.9498623207473</v>
      </c>
      <c r="AB106" s="46">
        <f>SUM(AA$106,'Statistics NZ'!AB$106-'Statistics NZ'!AA$106,$T$12/6*(AB$8-AB$9)*1000)</f>
        <v>5728.9850291424973</v>
      </c>
      <c r="AC106" s="46">
        <f>SUM(AB$106,'Statistics NZ'!AC$106-'Statistics NZ'!AB$106,$T$12/6*(AC$8-AC$9)*1000)</f>
        <v>5908.9850291424973</v>
      </c>
      <c r="AD106" s="46">
        <f>SUM(AC$106,'Statistics NZ'!AD$106-'Statistics NZ'!AC$106,$T$12/6*(AD$8-AD$9)*1000)</f>
        <v>5368.9850291424973</v>
      </c>
      <c r="AE106" s="46">
        <f>SUM(AD$106,'Statistics NZ'!AE$106-'Statistics NZ'!AD$106,$T$12/6*(AE$8-AE$9)*1000)</f>
        <v>5988.9850291424973</v>
      </c>
      <c r="AF106" s="46">
        <f>SUM(AE$106,'Statistics NZ'!AF$106-'Statistics NZ'!AE$106,$T$12/6*(AF$8-AF$9)*1000)</f>
        <v>6388.9850291424973</v>
      </c>
      <c r="AG106" s="46">
        <f>SUM(AF$106,'Statistics NZ'!AG$106-'Statistics NZ'!AF$106,$T$12/6*(AG$8-AG$9)*1000)</f>
        <v>6848.9850291424973</v>
      </c>
      <c r="AH106" s="46">
        <f>SUM(AG$106,'Statistics NZ'!AH$106-'Statistics NZ'!AG$106,$T$12/6*(AH$8-AH$9)*1000)</f>
        <v>8238.9850291424973</v>
      </c>
      <c r="AI106" s="46">
        <f>SUM(AH$106,'Statistics NZ'!AI$106-'Statistics NZ'!AH$106,$T$12/6*(AI$8-AI$9)*1000)</f>
        <v>8328.9850291424973</v>
      </c>
      <c r="AJ106" s="46">
        <f>SUM(AI$106,'Statistics NZ'!AJ$106-'Statistics NZ'!AI$106,$T$12/6*(AJ$8-AJ$9)*1000)</f>
        <v>8278.9850291424973</v>
      </c>
      <c r="AK106" s="46">
        <f>SUM(AJ$106,'Statistics NZ'!AK$106-'Statistics NZ'!AJ$106,$T$12/6*(AK$8-AK$9)*1000)</f>
        <v>8728.9850291424973</v>
      </c>
      <c r="AL106" s="46">
        <f>SUM(AK$106,'Statistics NZ'!AL$106-'Statistics NZ'!AK$106,$T$12/6*(AL$8-AL$9)*1000)</f>
        <v>8718.9850291424973</v>
      </c>
      <c r="AM106" s="46">
        <f>SUM(AL$106,'Statistics NZ'!AM$106-'Statistics NZ'!AL$106,$T$12/6*(AM$8-AM$9)*1000)</f>
        <v>9098.9850291424973</v>
      </c>
      <c r="AN106" s="46">
        <f>SUM(AM$106,'Statistics NZ'!AN$106-'Statistics NZ'!AM$106,$T$12/6*(AN$8-AN$9)*1000)</f>
        <v>9388.9850291424973</v>
      </c>
      <c r="AO106" s="46">
        <f>SUM(AN$106,'Statistics NZ'!AO$106-'Statistics NZ'!AN$106,$T$12/6*(AO$8-AO$9)*1000)</f>
        <v>9868.9850291424973</v>
      </c>
      <c r="AP106" s="46">
        <f>SUM(AO$106,'Statistics NZ'!AP$106-'Statistics NZ'!AO$106,$T$12/6*(AP$8-AP$9)*1000)</f>
        <v>10248.985029142497</v>
      </c>
      <c r="AQ106" s="46">
        <f>SUM(AP$106,'Statistics NZ'!AQ$106-'Statistics NZ'!AP$106,$T$12/6*(AQ$8-AQ$9)*1000)</f>
        <v>10708.985029142497</v>
      </c>
      <c r="AR106" s="46">
        <f>SUM(AQ$106,'Statistics NZ'!AR$106-'Statistics NZ'!AQ$106,$T$12/6*(AR$8-AR$9)*1000)</f>
        <v>11098.985029142497</v>
      </c>
      <c r="AS106" s="46">
        <f>SUM(AR$106,'Statistics NZ'!AS$106-'Statistics NZ'!AR$106,$T$12/6*(AS$8-AS$9)*1000)</f>
        <v>11538.985029142497</v>
      </c>
      <c r="AT106" s="46">
        <f>SUM(AS$106,'Statistics NZ'!AT$106-'Statistics NZ'!AS$106,$T$12/6*(AT$8-AT$9)*1000)</f>
        <v>12048.985029142497</v>
      </c>
      <c r="AU106" s="46">
        <f>SUM(AT$106,'Statistics NZ'!AU$106-'Statistics NZ'!AT$106,$T$12/6*(AU$8-AU$9)*1000)</f>
        <v>12368.985029142497</v>
      </c>
      <c r="AV106" s="46">
        <f>SUM(AU$106,'Statistics NZ'!AV$106-'Statistics NZ'!AU$106,$T$12/6*(AV$8-AV$9)*1000)</f>
        <v>13048.985029142497</v>
      </c>
      <c r="AW106" s="46">
        <f>SUM(AV$106,'Statistics NZ'!AW$106-'Statistics NZ'!AV$106,$T$12/6*(AW$8-AW$9)*1000)</f>
        <v>13618.985029142497</v>
      </c>
      <c r="AX106" s="46">
        <f>SUM(AW$106,'Statistics NZ'!AX$106-'Statistics NZ'!AW$106,$T$12/6*(AX$8-AX$9)*1000)</f>
        <v>13908.985029142497</v>
      </c>
      <c r="AY106" s="46">
        <f>SUM(AX$106,'Statistics NZ'!AY$106-'Statistics NZ'!AX$106,$T$12/6*(AY$8-AY$9)*1000)</f>
        <v>13798.985029142497</v>
      </c>
      <c r="AZ106" s="46">
        <f>SUM(AY$106,'Statistics NZ'!AZ$106-'Statistics NZ'!AY$106,$T$12/6*(AZ$8-AZ$9)*1000)</f>
        <v>13578.985029142497</v>
      </c>
      <c r="BA106" s="46">
        <f>SUM(AZ$106,'Statistics NZ'!BA$106-'Statistics NZ'!AZ$106,$T$12/6*(BA$8-BA$9)*1000)</f>
        <v>13578.985029142497</v>
      </c>
      <c r="BB106" s="46">
        <f>SUM(BA$106,'Statistics NZ'!BB$106-'Statistics NZ'!BA$106,$T$12/6*(BB$8-BB$9)*1000)</f>
        <v>14078.985029142497</v>
      </c>
      <c r="BC106" s="46">
        <f>SUM(BB$106,'Statistics NZ'!BC$106-'Statistics NZ'!BB$106,$T$12/6*(BC$8-BC$9)*1000)</f>
        <v>14428.985029142497</v>
      </c>
      <c r="BD106" s="46">
        <f>SUM(BC$106,'Statistics NZ'!BD$106-'Statistics NZ'!BC$106,$T$12/6*(BD$8-BD$9)*1000)</f>
        <v>14928.985029142497</v>
      </c>
      <c r="BE106" s="46">
        <f>SUM(BD$106,'Statistics NZ'!BE$106-'Statistics NZ'!BD$106,$T$12/6*(BE$8-BE$9)*1000)</f>
        <v>15108.985029142497</v>
      </c>
      <c r="BF106" s="46">
        <f>SUM(BE$106,'Statistics NZ'!BF$106-'Statistics NZ'!BE$106,$T$12/6*(BF$8-BF$9)*1000)</f>
        <v>15928.985029142497</v>
      </c>
      <c r="BG106" s="46">
        <f>SUM(BF$106,'Statistics NZ'!BG$106-'Statistics NZ'!BF$106,$T$12/6*(BG$8-BG$9)*1000)</f>
        <v>15908.985029142497</v>
      </c>
      <c r="BH106" s="46">
        <f>SUM(BG$106,'Statistics NZ'!BH$106-'Statistics NZ'!BG$106,$T$12/6*(BH$8-BH$9)*1000)</f>
        <v>15698.985029142497</v>
      </c>
      <c r="BI106" s="46">
        <f>SUM(BH$106,'Statistics NZ'!BI$106-'Statistics NZ'!BH$106,$T$12/6*(BI$8-BI$9)*1000)</f>
        <v>15468.985029142497</v>
      </c>
    </row>
    <row r="107" spans="1:61" x14ac:dyDescent="0.25">
      <c r="A107" s="11">
        <v>92</v>
      </c>
      <c r="B107" s="44">
        <f>'Statistics NZ'!B$107*'Economic Forecasts'!D$9*1000000/SUM('Statistics NZ'!B$30:B$110,'Statistics NZ'!B$130:B$210)</f>
        <v>2035.0597029414621</v>
      </c>
      <c r="C107" s="44">
        <f>'Statistics NZ'!C$107*'Economic Forecasts'!E$9*1000000/SUM('Statistics NZ'!C$30:C$110,'Statistics NZ'!C$130:C$210)</f>
        <v>2199.6975298269199</v>
      </c>
      <c r="D107" s="44">
        <f>'Statistics NZ'!D$107*'Economic Forecasts'!F$9*1000000/SUM('Statistics NZ'!D$30:D$110,'Statistics NZ'!D$130:D$210)</f>
        <v>2249.4037286281596</v>
      </c>
      <c r="E107" s="44">
        <f>'Statistics NZ'!E$107*'Economic Forecasts'!G$9*1000000/SUM('Statistics NZ'!E$30:E$110,'Statistics NZ'!E$130:E$210)</f>
        <v>2245.8082459193756</v>
      </c>
      <c r="F107" s="44">
        <f>'Statistics NZ'!F$107*'Economic Forecasts'!H$9*1000000/SUM('Statistics NZ'!F$30:F$110,'Statistics NZ'!F$130:F$210)</f>
        <v>2256.0312097858828</v>
      </c>
      <c r="G107" s="44">
        <f>'Statistics NZ'!G$107*'Economic Forecasts'!I$9*1000000/SUM('Statistics NZ'!G$30:G$110,'Statistics NZ'!G$130:G$210)</f>
        <v>2200.2337861260025</v>
      </c>
      <c r="H107" s="44">
        <f>'Statistics NZ'!H$107*'Economic Forecasts'!J$9*1000000/SUM('Statistics NZ'!H$30:H$110,'Statistics NZ'!H$130:H$210)</f>
        <v>2603.6613429307322</v>
      </c>
      <c r="I107" s="44">
        <f>'Statistics NZ'!I$107*'Economic Forecasts'!K$9*1000000/SUM('Statistics NZ'!I$30:I$110,'Statistics NZ'!I$130:I$210)</f>
        <v>2686.1741539802629</v>
      </c>
      <c r="J107" s="44">
        <f>'Statistics NZ'!J$107*'Economic Forecasts'!L$9*1000000/SUM('Statistics NZ'!J$30:J$110,'Statistics NZ'!J$130:J$210)</f>
        <v>2818.2939684970343</v>
      </c>
      <c r="K107" s="44">
        <f>'Statistics NZ'!K$107*'Economic Forecasts'!M$9*1000000/SUM('Statistics NZ'!K$30:K$110,'Statistics NZ'!K$130:K$210)</f>
        <v>2765.0862932617065</v>
      </c>
      <c r="L107" s="44">
        <f>'Statistics NZ'!L$107*'Economic Forecasts'!N$9*1000000/SUM('Statistics NZ'!L$30:L$110,'Statistics NZ'!L$130:L$210)</f>
        <v>2891.7746621594874</v>
      </c>
      <c r="M107" s="44">
        <f>'Statistics NZ'!M$107*'Economic Forecasts'!O$9*1000000/SUM('Statistics NZ'!M$30:M$110,'Statistics NZ'!M$130:M$210)</f>
        <v>3096.954907873388</v>
      </c>
      <c r="N107" s="44">
        <f>'Statistics NZ'!N$107*'Economic Forecasts'!P$9*1000000/SUM('Statistics NZ'!N$30:N$110,'Statistics NZ'!N$130:N$210)</f>
        <v>3023.5446898693522</v>
      </c>
      <c r="O107" s="44">
        <f>'Statistics NZ'!O$107*'Economic Forecasts'!Q$9*1000000/SUM('Statistics NZ'!O$30:O$110,'Statistics NZ'!O$130:O$210)</f>
        <v>3008.8362138769367</v>
      </c>
      <c r="P107" s="44">
        <f>'Statistics NZ'!P$107*'Economic Forecasts'!R$9*1000000/SUM('Statistics NZ'!P$30:P$110,'Statistics NZ'!P$130:P$210)</f>
        <v>3045.9097297837147</v>
      </c>
      <c r="Q107" s="44">
        <f>'Statistics NZ'!Q$107*'Economic Forecasts'!S$9*1000000/SUM('Statistics NZ'!Q$30:Q$110,'Statistics NZ'!Q$130:Q$210)</f>
        <v>3258.4295976697349</v>
      </c>
      <c r="R107" s="44">
        <f>'Statistics NZ'!R$107*'Economic Forecasts'!T$9*1000000/SUM('Statistics NZ'!R$30:R$110,'Statistics NZ'!R$130:R$210)</f>
        <v>3296.1108089206623</v>
      </c>
      <c r="S107" s="44">
        <f>'Statistics NZ'!S$107*'Economic Forecasts'!U$9*1000000/SUM('Statistics NZ'!S$30:S$110,'Statistics NZ'!S$130:S$210)</f>
        <v>3212.3014841116369</v>
      </c>
      <c r="T107" s="44">
        <f>'Statistics NZ'!T$107*'Economic Forecasts'!V$9*1000000/SUM('Statistics NZ'!T$30:T$110,'Statistics NZ'!T$130:T$210)</f>
        <v>3132.0503100909987</v>
      </c>
      <c r="U107" s="45">
        <f>SUM('Statistics NZ'!U$107,$T$12/6*(U$8-U$9)*1000)*'Economic Forecasts'!W$9*1000000/SUM('Statistics NZ'!U$30:U$110,'Statistics NZ'!U$130:U$210,SUM($E$12:$T$13)*(U$8-U$9)*1000)</f>
        <v>3189.7864433184768</v>
      </c>
      <c r="V107" s="45">
        <f>SUM('Statistics NZ'!V$107,$T$12/6*(V$8-V$9)*1000)*'Economic Forecasts'!X$9*1000000/SUM('Statistics NZ'!V$30:V$110,'Statistics NZ'!V$130:V$210,SUM($E$12:$T$13)*(V$8-V$9)*1000)</f>
        <v>3198.3721018212445</v>
      </c>
      <c r="W107" s="45">
        <f>SUM('Statistics NZ'!W$107,$T$12/6*(W$8-W$9)*1000)*'Economic Forecasts'!Y$9*1000000/SUM('Statistics NZ'!W$30:W$110,'Statistics NZ'!W$130:W$210,SUM($E$12:$T$13)*(W$8-W$9)*1000)</f>
        <v>3228.7248420237624</v>
      </c>
      <c r="X107" s="45">
        <f>SUM('Statistics NZ'!X$107,$T$12/6*(X$8-X$9)*1000)*'Economic Forecasts'!Z$9*1000000/SUM('Statistics NZ'!X$30:X$110,'Statistics NZ'!X$130:X$210,SUM($E$12:$T$13)*(X$8-X$9)*1000)</f>
        <v>3457.204846869377</v>
      </c>
      <c r="Y107" s="45">
        <f>SUM('Statistics NZ'!Y$107,$T$12/6*(Y$8-Y$9)*1000)*'Economic Forecasts'!AA$9*1000000/SUM('Statistics NZ'!Y$30:Y$110,'Statistics NZ'!Y$130:Y$210,SUM($E$12:$T$13)*(Y$8-Y$9)*1000)</f>
        <v>3597.1300511324107</v>
      </c>
      <c r="Z107" s="46">
        <f>SUM(Y$107,'Statistics NZ'!Z$107-'Statistics NZ'!Y$107,$T$12/6*(Z$8-Z$9)*1000)</f>
        <v>3817.2556469243759</v>
      </c>
      <c r="AA107" s="46">
        <f>SUM(Z$107,'Statistics NZ'!AA$107-'Statistics NZ'!Z$107,$T$12/6*(AA$8-AA$9)*1000)</f>
        <v>4067.3310043995552</v>
      </c>
      <c r="AB107" s="46">
        <f>SUM(AA$107,'Statistics NZ'!AB$107-'Statistics NZ'!AA$107,$T$12/6*(AB$8-AB$9)*1000)</f>
        <v>4467.3661712213052</v>
      </c>
      <c r="AC107" s="46">
        <f>SUM(AB$107,'Statistics NZ'!AC$107-'Statistics NZ'!AB$107,$T$12/6*(AC$8-AC$9)*1000)</f>
        <v>4867.3661712213052</v>
      </c>
      <c r="AD107" s="46">
        <f>SUM(AC$107,'Statistics NZ'!AD$107-'Statistics NZ'!AC$107,$T$12/6*(AD$8-AD$9)*1000)</f>
        <v>5017.3661712213052</v>
      </c>
      <c r="AE107" s="46">
        <f>SUM(AD$107,'Statistics NZ'!AE$107-'Statistics NZ'!AD$107,$T$12/6*(AE$8-AE$9)*1000)</f>
        <v>4567.3661712213052</v>
      </c>
      <c r="AF107" s="46">
        <f>SUM(AE$107,'Statistics NZ'!AF$107-'Statistics NZ'!AE$107,$T$12/6*(AF$8-AF$9)*1000)</f>
        <v>5097.3661712213052</v>
      </c>
      <c r="AG107" s="46">
        <f>SUM(AF$107,'Statistics NZ'!AG$107-'Statistics NZ'!AF$107,$T$12/6*(AG$8-AG$9)*1000)</f>
        <v>5447.3661712213052</v>
      </c>
      <c r="AH107" s="46">
        <f>SUM(AG$107,'Statistics NZ'!AH$107-'Statistics NZ'!AG$107,$T$12/6*(AH$8-AH$9)*1000)</f>
        <v>5847.3661712213052</v>
      </c>
      <c r="AI107" s="46">
        <f>SUM(AH$107,'Statistics NZ'!AI$107-'Statistics NZ'!AH$107,$T$12/6*(AI$8-AI$9)*1000)</f>
        <v>7037.3661712213052</v>
      </c>
      <c r="AJ107" s="46">
        <f>SUM(AI$107,'Statistics NZ'!AJ$107-'Statistics NZ'!AI$107,$T$12/6*(AJ$8-AJ$9)*1000)</f>
        <v>7127.3661712213052</v>
      </c>
      <c r="AK107" s="46">
        <f>SUM(AJ$107,'Statistics NZ'!AK$107-'Statistics NZ'!AJ$107,$T$12/6*(AK$8-AK$9)*1000)</f>
        <v>7087.3661712213052</v>
      </c>
      <c r="AL107" s="46">
        <f>SUM(AK$107,'Statistics NZ'!AL$107-'Statistics NZ'!AK$107,$T$12/6*(AL$8-AL$9)*1000)</f>
        <v>7477.3661712213052</v>
      </c>
      <c r="AM107" s="46">
        <f>SUM(AL$107,'Statistics NZ'!AM$107-'Statistics NZ'!AL$107,$T$12/6*(AM$8-AM$9)*1000)</f>
        <v>7477.3661712213052</v>
      </c>
      <c r="AN107" s="46">
        <f>SUM(AM$107,'Statistics NZ'!AN$107-'Statistics NZ'!AM$107,$T$12/6*(AN$8-AN$9)*1000)</f>
        <v>7817.3661712213052</v>
      </c>
      <c r="AO107" s="46">
        <f>SUM(AN$107,'Statistics NZ'!AO$107-'Statistics NZ'!AN$107,$T$12/6*(AO$8-AO$9)*1000)</f>
        <v>8077.3661712213052</v>
      </c>
      <c r="AP107" s="46">
        <f>SUM(AO$107,'Statistics NZ'!AP$107-'Statistics NZ'!AO$107,$T$12/6*(AP$8-AP$9)*1000)</f>
        <v>8487.3661712213052</v>
      </c>
      <c r="AQ107" s="46">
        <f>SUM(AP$107,'Statistics NZ'!AQ$107-'Statistics NZ'!AP$107,$T$12/6*(AQ$8-AQ$9)*1000)</f>
        <v>8827.3661712213052</v>
      </c>
      <c r="AR107" s="46">
        <f>SUM(AQ$107,'Statistics NZ'!AR$107-'Statistics NZ'!AQ$107,$T$12/6*(AR$8-AR$9)*1000)</f>
        <v>9237.3661712213052</v>
      </c>
      <c r="AS107" s="46">
        <f>SUM(AR$107,'Statistics NZ'!AS$107-'Statistics NZ'!AR$107,$T$12/6*(AS$8-AS$9)*1000)</f>
        <v>9577.3661712213052</v>
      </c>
      <c r="AT107" s="46">
        <f>SUM(AS$107,'Statistics NZ'!AT$107-'Statistics NZ'!AS$107,$T$12/6*(AT$8-AT$9)*1000)</f>
        <v>9967.3661712213052</v>
      </c>
      <c r="AU107" s="46">
        <f>SUM(AT$107,'Statistics NZ'!AU$107-'Statistics NZ'!AT$107,$T$12/6*(AU$8-AU$9)*1000)</f>
        <v>10417.366171221305</v>
      </c>
      <c r="AV107" s="46">
        <f>SUM(AU$107,'Statistics NZ'!AV$107-'Statistics NZ'!AU$107,$T$12/6*(AV$8-AV$9)*1000)</f>
        <v>10707.366171221305</v>
      </c>
      <c r="AW107" s="46">
        <f>SUM(AV$107,'Statistics NZ'!AW$107-'Statistics NZ'!AV$107,$T$12/6*(AW$8-AW$9)*1000)</f>
        <v>11307.366171221305</v>
      </c>
      <c r="AX107" s="46">
        <f>SUM(AW$107,'Statistics NZ'!AX$107-'Statistics NZ'!AW$107,$T$12/6*(AX$8-AX$9)*1000)</f>
        <v>11807.366171221305</v>
      </c>
      <c r="AY107" s="46">
        <f>SUM(AX$107,'Statistics NZ'!AY$107-'Statistics NZ'!AX$107,$T$12/6*(AY$8-AY$9)*1000)</f>
        <v>12067.366171221305</v>
      </c>
      <c r="AZ107" s="46">
        <f>SUM(AY$107,'Statistics NZ'!AZ$107-'Statistics NZ'!AY$107,$T$12/6*(AZ$8-AZ$9)*1000)</f>
        <v>11977.366171221305</v>
      </c>
      <c r="BA107" s="46">
        <f>SUM(AZ$107,'Statistics NZ'!BA$107-'Statistics NZ'!AZ$107,$T$12/6*(BA$8-BA$9)*1000)</f>
        <v>11807.366171221305</v>
      </c>
      <c r="BB107" s="46">
        <f>SUM(BA$107,'Statistics NZ'!BB$107-'Statistics NZ'!BA$107,$T$12/6*(BB$8-BB$9)*1000)</f>
        <v>11817.366171221305</v>
      </c>
      <c r="BC107" s="46">
        <f>SUM(BB$107,'Statistics NZ'!BC$107-'Statistics NZ'!BB$107,$T$12/6*(BC$8-BC$9)*1000)</f>
        <v>12267.366171221305</v>
      </c>
      <c r="BD107" s="46">
        <f>SUM(BC$107,'Statistics NZ'!BD$107-'Statistics NZ'!BC$107,$T$12/6*(BD$8-BD$9)*1000)</f>
        <v>12577.366171221305</v>
      </c>
      <c r="BE107" s="46">
        <f>SUM(BD$107,'Statistics NZ'!BE$107-'Statistics NZ'!BD$107,$T$12/6*(BE$8-BE$9)*1000)</f>
        <v>13027.366171221305</v>
      </c>
      <c r="BF107" s="46">
        <f>SUM(BE$107,'Statistics NZ'!BF$107-'Statistics NZ'!BE$107,$T$12/6*(BF$8-BF$9)*1000)</f>
        <v>13197.366171221305</v>
      </c>
      <c r="BG107" s="46">
        <f>SUM(BF$107,'Statistics NZ'!BG$107-'Statistics NZ'!BF$107,$T$12/6*(BG$8-BG$9)*1000)</f>
        <v>13917.366171221305</v>
      </c>
      <c r="BH107" s="46">
        <f>SUM(BG$107,'Statistics NZ'!BH$107-'Statistics NZ'!BG$107,$T$12/6*(BH$8-BH$9)*1000)</f>
        <v>13917.366171221305</v>
      </c>
      <c r="BI107" s="46">
        <f>SUM(BH$107,'Statistics NZ'!BI$107-'Statistics NZ'!BH$107,$T$12/6*(BI$8-BI$9)*1000)</f>
        <v>13737.366171221305</v>
      </c>
    </row>
    <row r="108" spans="1:61" x14ac:dyDescent="0.25">
      <c r="A108" s="11">
        <v>93</v>
      </c>
      <c r="B108" s="44">
        <f>'Statistics NZ'!B$108*'Economic Forecasts'!D$9*1000000/SUM('Statistics NZ'!B$30:B$110,'Statistics NZ'!B$130:B$210)</f>
        <v>1702.4057130375691</v>
      </c>
      <c r="C108" s="44">
        <f>'Statistics NZ'!C$108*'Economic Forecasts'!E$9*1000000/SUM('Statistics NZ'!C$30:C$110,'Statistics NZ'!C$130:C$210)</f>
        <v>1630.132990853878</v>
      </c>
      <c r="D108" s="44">
        <f>'Statistics NZ'!D$108*'Economic Forecasts'!F$9*1000000/SUM('Statistics NZ'!D$30:D$110,'Statistics NZ'!D$130:D$210)</f>
        <v>1797.5584381613678</v>
      </c>
      <c r="E108" s="44">
        <f>'Statistics NZ'!E$108*'Economic Forecasts'!G$9*1000000/SUM('Statistics NZ'!E$30:E$110,'Statistics NZ'!E$130:E$210)</f>
        <v>1843.7203066936358</v>
      </c>
      <c r="F108" s="44">
        <f>'Statistics NZ'!F$108*'Economic Forecasts'!H$9*1000000/SUM('Statistics NZ'!F$30:F$110,'Statistics NZ'!F$130:F$210)</f>
        <v>1834.2514618693917</v>
      </c>
      <c r="G108" s="44">
        <f>'Statistics NZ'!G$108*'Economic Forecasts'!I$9*1000000/SUM('Statistics NZ'!G$30:G$110,'Statistics NZ'!G$130:G$210)</f>
        <v>1846.6247847843238</v>
      </c>
      <c r="H108" s="44">
        <f>'Statistics NZ'!H$108*'Economic Forecasts'!J$9*1000000/SUM('Statistics NZ'!H$30:H$110,'Statistics NZ'!H$130:H$210)</f>
        <v>1758.6995486211363</v>
      </c>
      <c r="I108" s="44">
        <f>'Statistics NZ'!I$108*'Economic Forecasts'!K$9*1000000/SUM('Statistics NZ'!I$30:I$110,'Statistics NZ'!I$130:I$210)</f>
        <v>2107.7643908969212</v>
      </c>
      <c r="J108" s="44">
        <f>'Statistics NZ'!J$108*'Economic Forecasts'!L$9*1000000/SUM('Statistics NZ'!J$30:J$110,'Statistics NZ'!J$130:J$210)</f>
        <v>2213.6772693731036</v>
      </c>
      <c r="K108" s="44">
        <f>'Statistics NZ'!K$108*'Economic Forecasts'!M$9*1000000/SUM('Statistics NZ'!K$30:K$110,'Statistics NZ'!K$130:K$210)</f>
        <v>2307.4839841655789</v>
      </c>
      <c r="L108" s="44">
        <f>'Statistics NZ'!L$108*'Economic Forecasts'!N$9*1000000/SUM('Statistics NZ'!L$30:L$110,'Statistics NZ'!L$130:L$210)</f>
        <v>2297.8411456890203</v>
      </c>
      <c r="M108" s="44">
        <f>'Statistics NZ'!M$108*'Economic Forecasts'!O$9*1000000/SUM('Statistics NZ'!M$30:M$110,'Statistics NZ'!M$130:M$210)</f>
        <v>2442.3934604679716</v>
      </c>
      <c r="N108" s="44">
        <f>'Statistics NZ'!N$108*'Economic Forecasts'!P$9*1000000/SUM('Statistics NZ'!N$30:N$110,'Statistics NZ'!N$130:N$210)</f>
        <v>2553.8678448411033</v>
      </c>
      <c r="O108" s="44">
        <f>'Statistics NZ'!O$108*'Economic Forecasts'!Q$9*1000000/SUM('Statistics NZ'!O$30:O$110,'Statistics NZ'!O$130:O$210)</f>
        <v>2477.8651173104186</v>
      </c>
      <c r="P108" s="44">
        <f>'Statistics NZ'!P$108*'Economic Forecasts'!R$9*1000000/SUM('Statistics NZ'!P$30:P$110,'Statistics NZ'!P$130:P$210)</f>
        <v>2485.855360113806</v>
      </c>
      <c r="Q108" s="44">
        <f>'Statistics NZ'!Q$108*'Economic Forecasts'!S$9*1000000/SUM('Statistics NZ'!Q$30:Q$110,'Statistics NZ'!Q$130:Q$210)</f>
        <v>2543.1645640349147</v>
      </c>
      <c r="R108" s="44">
        <f>'Statistics NZ'!R$108*'Economic Forecasts'!T$9*1000000/SUM('Statistics NZ'!R$30:R$110,'Statistics NZ'!R$130:R$210)</f>
        <v>2688.6704483642866</v>
      </c>
      <c r="S108" s="44">
        <f>'Statistics NZ'!S$108*'Economic Forecasts'!U$9*1000000/SUM('Statistics NZ'!S$30:S$110,'Statistics NZ'!S$130:S$210)</f>
        <v>2652.3590235784159</v>
      </c>
      <c r="T108" s="44">
        <f>'Statistics NZ'!T$108*'Economic Forecasts'!V$9*1000000/SUM('Statistics NZ'!T$30:T$110,'Statistics NZ'!T$130:T$210)</f>
        <v>2616.6496261519742</v>
      </c>
      <c r="U108" s="45">
        <f>SUM('Statistics NZ'!U$108,$T$12/6*(U$8-U$9)*1000)*'Economic Forecasts'!W$9*1000000/SUM('Statistics NZ'!U$30:U$110,'Statistics NZ'!U$130:U$210,SUM($E$12:$T$13)*(U$8-U$9)*1000)</f>
        <v>2565.7747042423352</v>
      </c>
      <c r="V108" s="45">
        <f>SUM('Statistics NZ'!V$108,$T$12/6*(V$8-V$9)*1000)*'Economic Forecasts'!X$9*1000000/SUM('Statistics NZ'!V$30:V$110,'Statistics NZ'!V$130:V$210,SUM($E$12:$T$13)*(V$8-V$9)*1000)</f>
        <v>2624.124654325939</v>
      </c>
      <c r="W108" s="45">
        <f>SUM('Statistics NZ'!W$108,$T$12/6*(W$8-W$9)*1000)*'Economic Forecasts'!Y$9*1000000/SUM('Statistics NZ'!W$30:W$110,'Statistics NZ'!W$130:W$210,SUM($E$12:$T$13)*(W$8-W$9)*1000)</f>
        <v>2634.5451024273343</v>
      </c>
      <c r="X108" s="45">
        <f>SUM('Statistics NZ'!X$108,$T$12/6*(X$8-X$9)*1000)*'Economic Forecasts'!Z$9*1000000/SUM('Statistics NZ'!X$30:X$110,'Statistics NZ'!X$130:X$210,SUM($E$12:$T$13)*(X$8-X$9)*1000)</f>
        <v>2664.7839574480363</v>
      </c>
      <c r="Y108" s="45">
        <f>SUM('Statistics NZ'!Y$108,$T$12/6*(Y$8-Y$9)*1000)*'Economic Forecasts'!AA$9*1000000/SUM('Statistics NZ'!Y$30:Y$110,'Statistics NZ'!Y$130:Y$210,SUM($E$12:$T$13)*(Y$8-Y$9)*1000)</f>
        <v>2853.9625039140474</v>
      </c>
      <c r="Z108" s="46">
        <f>SUM(Y$108,'Statistics NZ'!Z$108-'Statistics NZ'!Y$108,$T$12/6*(Z$8-Z$9)*1000)</f>
        <v>2974.0880997060126</v>
      </c>
      <c r="AA108" s="46">
        <f>SUM(Z$108,'Statistics NZ'!AA$108-'Statistics NZ'!Z$108,$T$12/6*(AA$8-AA$9)*1000)</f>
        <v>3154.1634571811919</v>
      </c>
      <c r="AB108" s="46">
        <f>SUM(AA$108,'Statistics NZ'!AB$108-'Statistics NZ'!AA$108,$T$12/6*(AB$8-AB$9)*1000)</f>
        <v>3364.1986240029423</v>
      </c>
      <c r="AC108" s="46">
        <f>SUM(AB$108,'Statistics NZ'!AC$108-'Statistics NZ'!AB$108,$T$12/6*(AC$8-AC$9)*1000)</f>
        <v>3704.1986240029423</v>
      </c>
      <c r="AD108" s="46">
        <f>SUM(AC$108,'Statistics NZ'!AD$108-'Statistics NZ'!AC$108,$T$12/6*(AD$8-AD$9)*1000)</f>
        <v>4044.1986240029423</v>
      </c>
      <c r="AE108" s="46">
        <f>SUM(AD$108,'Statistics NZ'!AE$108-'Statistics NZ'!AD$108,$T$12/6*(AE$8-AE$9)*1000)</f>
        <v>4174.1986240029419</v>
      </c>
      <c r="AF108" s="46">
        <f>SUM(AE$108,'Statistics NZ'!AF$108-'Statistics NZ'!AE$108,$T$12/6*(AF$8-AF$9)*1000)</f>
        <v>3804.1986240029419</v>
      </c>
      <c r="AG108" s="46">
        <f>SUM(AF$108,'Statistics NZ'!AG$108-'Statistics NZ'!AF$108,$T$12/6*(AG$8-AG$9)*1000)</f>
        <v>4254.1986240029419</v>
      </c>
      <c r="AH108" s="46">
        <f>SUM(AG$108,'Statistics NZ'!AH$108-'Statistics NZ'!AG$108,$T$12/6*(AH$8-AH$9)*1000)</f>
        <v>4544.1986240029419</v>
      </c>
      <c r="AI108" s="46">
        <f>SUM(AH$108,'Statistics NZ'!AI$108-'Statistics NZ'!AH$108,$T$12/6*(AI$8-AI$9)*1000)</f>
        <v>4884.1986240029419</v>
      </c>
      <c r="AJ108" s="46">
        <f>SUM(AI$108,'Statistics NZ'!AJ$108-'Statistics NZ'!AI$108,$T$12/6*(AJ$8-AJ$9)*1000)</f>
        <v>5884.1986240029419</v>
      </c>
      <c r="AK108" s="46">
        <f>SUM(AJ$108,'Statistics NZ'!AK$108-'Statistics NZ'!AJ$108,$T$12/6*(AK$8-AK$9)*1000)</f>
        <v>5964.1986240029419</v>
      </c>
      <c r="AL108" s="46">
        <f>SUM(AK$108,'Statistics NZ'!AL$108-'Statistics NZ'!AK$108,$T$12/6*(AL$8-AL$9)*1000)</f>
        <v>5944.1986240029419</v>
      </c>
      <c r="AM108" s="46">
        <f>SUM(AL$108,'Statistics NZ'!AM$108-'Statistics NZ'!AL$108,$T$12/6*(AM$8-AM$9)*1000)</f>
        <v>6274.1986240029419</v>
      </c>
      <c r="AN108" s="46">
        <f>SUM(AM$108,'Statistics NZ'!AN$108-'Statistics NZ'!AM$108,$T$12/6*(AN$8-AN$9)*1000)</f>
        <v>6284.1986240029419</v>
      </c>
      <c r="AO108" s="46">
        <f>SUM(AN$108,'Statistics NZ'!AO$108-'Statistics NZ'!AN$108,$T$12/6*(AO$8-AO$9)*1000)</f>
        <v>6564.1986240029419</v>
      </c>
      <c r="AP108" s="46">
        <f>SUM(AO$108,'Statistics NZ'!AP$108-'Statistics NZ'!AO$108,$T$12/6*(AP$8-AP$9)*1000)</f>
        <v>6794.1986240029419</v>
      </c>
      <c r="AQ108" s="46">
        <f>SUM(AP$108,'Statistics NZ'!AQ$108-'Statistics NZ'!AP$108,$T$12/6*(AQ$8-AQ$9)*1000)</f>
        <v>7154.1986240029419</v>
      </c>
      <c r="AR108" s="46">
        <f>SUM(AQ$108,'Statistics NZ'!AR$108-'Statistics NZ'!AQ$108,$T$12/6*(AR$8-AR$9)*1000)</f>
        <v>7444.1986240029419</v>
      </c>
      <c r="AS108" s="46">
        <f>SUM(AR$108,'Statistics NZ'!AS$108-'Statistics NZ'!AR$108,$T$12/6*(AS$8-AS$9)*1000)</f>
        <v>7794.1986240029419</v>
      </c>
      <c r="AT108" s="46">
        <f>SUM(AS$108,'Statistics NZ'!AT$108-'Statistics NZ'!AS$108,$T$12/6*(AT$8-AT$9)*1000)</f>
        <v>8094.1986240029419</v>
      </c>
      <c r="AU108" s="46">
        <f>SUM(AT$108,'Statistics NZ'!AU$108-'Statistics NZ'!AT$108,$T$12/6*(AU$8-AU$9)*1000)</f>
        <v>8424.1986240029419</v>
      </c>
      <c r="AV108" s="46">
        <f>SUM(AU$108,'Statistics NZ'!AV$108-'Statistics NZ'!AU$108,$T$12/6*(AV$8-AV$9)*1000)</f>
        <v>8824.1986240029419</v>
      </c>
      <c r="AW108" s="46">
        <f>SUM(AV$108,'Statistics NZ'!AW$108-'Statistics NZ'!AV$108,$T$12/6*(AW$8-AW$9)*1000)</f>
        <v>9064.1986240029419</v>
      </c>
      <c r="AX108" s="46">
        <f>SUM(AW$108,'Statistics NZ'!AX$108-'Statistics NZ'!AW$108,$T$12/6*(AX$8-AX$9)*1000)</f>
        <v>9584.1986240029419</v>
      </c>
      <c r="AY108" s="46">
        <f>SUM(AX$108,'Statistics NZ'!AY$108-'Statistics NZ'!AX$108,$T$12/6*(AY$8-AY$9)*1000)</f>
        <v>10024.198624002942</v>
      </c>
      <c r="AZ108" s="46">
        <f>SUM(AY$108,'Statistics NZ'!AZ$108-'Statistics NZ'!AY$108,$T$12/6*(AZ$8-AZ$9)*1000)</f>
        <v>10254.198624002942</v>
      </c>
      <c r="BA108" s="46">
        <f>SUM(AZ$108,'Statistics NZ'!BA$108-'Statistics NZ'!AZ$108,$T$12/6*(BA$8-BA$9)*1000)</f>
        <v>10194.198624002942</v>
      </c>
      <c r="BB108" s="46">
        <f>SUM(BA$108,'Statistics NZ'!BB$108-'Statistics NZ'!BA$108,$T$12/6*(BB$8-BB$9)*1000)</f>
        <v>10054.198624002942</v>
      </c>
      <c r="BC108" s="46">
        <f>SUM(BB$108,'Statistics NZ'!BC$108-'Statistics NZ'!BB$108,$T$12/6*(BC$8-BC$9)*1000)</f>
        <v>10074.198624002942</v>
      </c>
      <c r="BD108" s="46">
        <f>SUM(BC$108,'Statistics NZ'!BD$108-'Statistics NZ'!BC$108,$T$12/6*(BD$8-BD$9)*1000)</f>
        <v>10464.198624002942</v>
      </c>
      <c r="BE108" s="46">
        <f>SUM(BD$108,'Statistics NZ'!BE$108-'Statistics NZ'!BD$108,$T$12/6*(BE$8-BE$9)*1000)</f>
        <v>10734.198624002942</v>
      </c>
      <c r="BF108" s="46">
        <f>SUM(BE$108,'Statistics NZ'!BF$108-'Statistics NZ'!BE$108,$T$12/6*(BF$8-BF$9)*1000)</f>
        <v>11124.198624002942</v>
      </c>
      <c r="BG108" s="46">
        <f>SUM(BF$108,'Statistics NZ'!BG$108-'Statistics NZ'!BF$108,$T$12/6*(BG$8-BG$9)*1000)</f>
        <v>11284.198624002942</v>
      </c>
      <c r="BH108" s="46">
        <f>SUM(BG$108,'Statistics NZ'!BH$108-'Statistics NZ'!BG$108,$T$12/6*(BH$8-BH$9)*1000)</f>
        <v>11914.198624002942</v>
      </c>
      <c r="BI108" s="46">
        <f>SUM(BH$108,'Statistics NZ'!BI$108-'Statistics NZ'!BH$108,$T$12/6*(BI$8-BI$9)*1000)</f>
        <v>11924.198624002942</v>
      </c>
    </row>
    <row r="109" spans="1:61" x14ac:dyDescent="0.25">
      <c r="A109" s="11">
        <v>94</v>
      </c>
      <c r="B109" s="44">
        <f>'Statistics NZ'!B$109*'Economic Forecasts'!D$9*1000000/SUM('Statistics NZ'!B$30:B$110,'Statistics NZ'!B$130:B$210)</f>
        <v>1281.6962552179398</v>
      </c>
      <c r="C109" s="44">
        <f>'Statistics NZ'!C$109*'Economic Forecasts'!E$9*1000000/SUM('Statistics NZ'!C$30:C$110,'Statistics NZ'!C$130:C$210)</f>
        <v>1345.3507213673572</v>
      </c>
      <c r="D109" s="44">
        <f>'Statistics NZ'!D$109*'Economic Forecasts'!F$9*1000000/SUM('Statistics NZ'!D$30:D$110,'Statistics NZ'!D$130:D$210)</f>
        <v>1306.4222528713763</v>
      </c>
      <c r="E109" s="44">
        <f>'Statistics NZ'!E$109*'Economic Forecasts'!G$9*1000000/SUM('Statistics NZ'!E$30:E$110,'Statistics NZ'!E$130:E$210)</f>
        <v>1422.0183216520065</v>
      </c>
      <c r="F109" s="44">
        <f>'Statistics NZ'!F$109*'Economic Forecasts'!H$9*1000000/SUM('Statistics NZ'!F$30:F$110,'Statistics NZ'!F$130:F$210)</f>
        <v>1451.7070393404813</v>
      </c>
      <c r="G109" s="44">
        <f>'Statistics NZ'!G$109*'Economic Forecasts'!I$9*1000000/SUM('Statistics NZ'!G$30:G$110,'Statistics NZ'!G$130:G$210)</f>
        <v>1453.7258944046803</v>
      </c>
      <c r="H109" s="44">
        <f>'Statistics NZ'!H$109*'Economic Forecasts'!J$9*1000000/SUM('Statistics NZ'!H$30:H$110,'Statistics NZ'!H$130:H$210)</f>
        <v>1454.1202971839559</v>
      </c>
      <c r="I109" s="44">
        <f>'Statistics NZ'!I$109*'Economic Forecasts'!K$9*1000000/SUM('Statistics NZ'!I$30:I$110,'Statistics NZ'!I$130:I$210)</f>
        <v>1372.497742909623</v>
      </c>
      <c r="J109" s="44">
        <f>'Statistics NZ'!J$109*'Economic Forecasts'!L$9*1000000/SUM('Statistics NZ'!J$30:J$110,'Statistics NZ'!J$130:J$210)</f>
        <v>1696.8275104445813</v>
      </c>
      <c r="K109" s="44">
        <f>'Statistics NZ'!K$109*'Economic Forecasts'!M$9*1000000/SUM('Statistics NZ'!K$30:K$110,'Statistics NZ'!K$130:K$210)</f>
        <v>1781.728139672156</v>
      </c>
      <c r="L109" s="44">
        <f>'Statistics NZ'!L$109*'Economic Forecasts'!N$9*1000000/SUM('Statistics NZ'!L$30:L$110,'Statistics NZ'!L$130:L$210)</f>
        <v>1869.4300846283554</v>
      </c>
      <c r="M109" s="44">
        <f>'Statistics NZ'!M$109*'Economic Forecasts'!O$9*1000000/SUM('Statistics NZ'!M$30:M$110,'Statistics NZ'!M$130:M$210)</f>
        <v>1895.297325323146</v>
      </c>
      <c r="N109" s="44">
        <f>'Statistics NZ'!N$109*'Economic Forecasts'!P$9*1000000/SUM('Statistics NZ'!N$30:N$110,'Statistics NZ'!N$130:N$210)</f>
        <v>1956.9868542843703</v>
      </c>
      <c r="O109" s="44">
        <f>'Statistics NZ'!O$109*'Economic Forecasts'!Q$9*1000000/SUM('Statistics NZ'!O$30:O$110,'Statistics NZ'!O$130:O$210)</f>
        <v>2035.3892035049867</v>
      </c>
      <c r="P109" s="44">
        <f>'Statistics NZ'!P$109*'Economic Forecasts'!R$9*1000000/SUM('Statistics NZ'!P$30:P$110,'Statistics NZ'!P$130:P$210)</f>
        <v>2014.2306277601983</v>
      </c>
      <c r="Q109" s="44">
        <f>'Statistics NZ'!Q$109*'Economic Forecasts'!S$9*1000000/SUM('Statistics NZ'!Q$30:Q$110,'Statistics NZ'!Q$130:Q$210)</f>
        <v>2056.3869717001071</v>
      </c>
      <c r="R109" s="44">
        <f>'Statistics NZ'!R$109*'Economic Forecasts'!T$9*1000000/SUM('Statistics NZ'!R$30:R$110,'Statistics NZ'!R$130:R$210)</f>
        <v>1981.6497008314557</v>
      </c>
      <c r="S109" s="44">
        <f>'Statistics NZ'!S$109*'Economic Forecasts'!U$9*1000000/SUM('Statistics NZ'!S$30:S$110,'Statistics NZ'!S$130:S$210)</f>
        <v>2082.5930111060152</v>
      </c>
      <c r="T109" s="44">
        <f>'Statistics NZ'!T$109*'Economic Forecasts'!V$9*1000000/SUM('Statistics NZ'!T$30:T$110,'Statistics NZ'!T$130:T$210)</f>
        <v>2170.6298035124332</v>
      </c>
      <c r="U109" s="45">
        <f>SUM('Statistics NZ'!U$109,$T$12/6*(U$8-U$9)*1000)*'Economic Forecasts'!W$9*1000000/SUM('Statistics NZ'!U$30:U$110,'Statistics NZ'!U$130:U$210,SUM($E$12:$T$13)*(U$8-U$9)*1000)</f>
        <v>2090.3371887557514</v>
      </c>
      <c r="V109" s="45">
        <f>SUM('Statistics NZ'!V$109,$T$12/6*(V$8-V$9)*1000)*'Economic Forecasts'!X$9*1000000/SUM('Statistics NZ'!V$30:V$110,'Statistics NZ'!V$130:V$210,SUM($E$12:$T$13)*(V$8-V$9)*1000)</f>
        <v>2059.7780248908962</v>
      </c>
      <c r="W109" s="45">
        <f>SUM('Statistics NZ'!W$109,$T$12/6*(W$8-W$9)*1000)*'Economic Forecasts'!Y$9*1000000/SUM('Statistics NZ'!W$30:W$110,'Statistics NZ'!W$130:W$210,SUM($E$12:$T$13)*(W$8-W$9)*1000)</f>
        <v>2109.6863324504889</v>
      </c>
      <c r="X109" s="45">
        <f>SUM('Statistics NZ'!X$109,$T$12/6*(X$8-X$9)*1000)*'Economic Forecasts'!Z$9*1000000/SUM('Statistics NZ'!X$30:X$110,'Statistics NZ'!X$130:X$210,SUM($E$12:$T$13)*(X$8-X$9)*1000)</f>
        <v>2119.9945959708643</v>
      </c>
      <c r="Y109" s="45">
        <f>SUM('Statistics NZ'!Y$109,$T$12/6*(Y$8-Y$9)*1000)*'Economic Forecasts'!AA$9*1000000/SUM('Statistics NZ'!Y$30:Y$110,'Statistics NZ'!Y$130:Y$210,SUM($E$12:$T$13)*(Y$8-Y$9)*1000)</f>
        <v>2150.4305592139972</v>
      </c>
      <c r="Z109" s="46">
        <f>SUM(Y$109,'Statistics NZ'!Z$109-'Statistics NZ'!Y$109,$T$12/6*(Z$8-Z$9)*1000)</f>
        <v>2300.5561550059624</v>
      </c>
      <c r="AA109" s="46">
        <f>SUM(Z$109,'Statistics NZ'!AA$109-'Statistics NZ'!Z$109,$T$12/6*(AA$8-AA$9)*1000)</f>
        <v>2400.6315124811417</v>
      </c>
      <c r="AB109" s="46">
        <f>SUM(AA$109,'Statistics NZ'!AB$109-'Statistics NZ'!AA$109,$T$12/6*(AB$8-AB$9)*1000)</f>
        <v>2560.6666793028921</v>
      </c>
      <c r="AC109" s="46">
        <f>SUM(AB$109,'Statistics NZ'!AC$109-'Statistics NZ'!AB$109,$T$12/6*(AC$8-AC$9)*1000)</f>
        <v>2730.6666793028921</v>
      </c>
      <c r="AD109" s="46">
        <f>SUM(AC$109,'Statistics NZ'!AD$109-'Statistics NZ'!AC$109,$T$12/6*(AD$8-AD$9)*1000)</f>
        <v>3000.6666793028921</v>
      </c>
      <c r="AE109" s="46">
        <f>SUM(AD$109,'Statistics NZ'!AE$109-'Statistics NZ'!AD$109,$T$12/6*(AE$8-AE$9)*1000)</f>
        <v>3280.6666793028921</v>
      </c>
      <c r="AF109" s="46">
        <f>SUM(AE$109,'Statistics NZ'!AF$109-'Statistics NZ'!AE$109,$T$12/6*(AF$8-AF$9)*1000)</f>
        <v>3390.6666793028921</v>
      </c>
      <c r="AG109" s="46">
        <f>SUM(AF$109,'Statistics NZ'!AG$109-'Statistics NZ'!AF$109,$T$12/6*(AG$8-AG$9)*1000)</f>
        <v>3100.6666793028921</v>
      </c>
      <c r="AH109" s="46">
        <f>SUM(AG$109,'Statistics NZ'!AH$109-'Statistics NZ'!AG$109,$T$12/6*(AH$8-AH$9)*1000)</f>
        <v>3460.6666793028921</v>
      </c>
      <c r="AI109" s="46">
        <f>SUM(AH$109,'Statistics NZ'!AI$109-'Statistics NZ'!AH$109,$T$12/6*(AI$8-AI$9)*1000)</f>
        <v>3710.6666793028921</v>
      </c>
      <c r="AJ109" s="46">
        <f>SUM(AI$109,'Statistics NZ'!AJ$109-'Statistics NZ'!AI$109,$T$12/6*(AJ$8-AJ$9)*1000)</f>
        <v>3990.6666793028921</v>
      </c>
      <c r="AK109" s="46">
        <f>SUM(AJ$109,'Statistics NZ'!AK$109-'Statistics NZ'!AJ$109,$T$12/6*(AK$8-AK$9)*1000)</f>
        <v>4810.6666793028926</v>
      </c>
      <c r="AL109" s="46">
        <f>SUM(AK$109,'Statistics NZ'!AL$109-'Statistics NZ'!AK$109,$T$12/6*(AL$8-AL$9)*1000)</f>
        <v>4880.6666793028926</v>
      </c>
      <c r="AM109" s="46">
        <f>SUM(AL$109,'Statistics NZ'!AM$109-'Statistics NZ'!AL$109,$T$12/6*(AM$8-AM$9)*1000)</f>
        <v>4870.6666793028926</v>
      </c>
      <c r="AN109" s="46">
        <f>SUM(AM$109,'Statistics NZ'!AN$109-'Statistics NZ'!AM$109,$T$12/6*(AN$8-AN$9)*1000)</f>
        <v>5150.6666793028926</v>
      </c>
      <c r="AO109" s="46">
        <f>SUM(AN$109,'Statistics NZ'!AO$109-'Statistics NZ'!AN$109,$T$12/6*(AO$8-AO$9)*1000)</f>
        <v>5150.6666793028926</v>
      </c>
      <c r="AP109" s="46">
        <f>SUM(AO$109,'Statistics NZ'!AP$109-'Statistics NZ'!AO$109,$T$12/6*(AP$8-AP$9)*1000)</f>
        <v>5400.6666793028926</v>
      </c>
      <c r="AQ109" s="46">
        <f>SUM(AP$109,'Statistics NZ'!AQ$109-'Statistics NZ'!AP$109,$T$12/6*(AQ$8-AQ$9)*1000)</f>
        <v>5590.6666793028926</v>
      </c>
      <c r="AR109" s="46">
        <f>SUM(AQ$109,'Statistics NZ'!AR$109-'Statistics NZ'!AQ$109,$T$12/6*(AR$8-AR$9)*1000)</f>
        <v>5890.6666793028926</v>
      </c>
      <c r="AS109" s="46">
        <f>SUM(AR$109,'Statistics NZ'!AS$109-'Statistics NZ'!AR$109,$T$12/6*(AS$8-AS$9)*1000)</f>
        <v>6130.6666793028926</v>
      </c>
      <c r="AT109" s="46">
        <f>SUM(AS$109,'Statistics NZ'!AT$109-'Statistics NZ'!AS$109,$T$12/6*(AT$8-AT$9)*1000)</f>
        <v>6430.6666793028926</v>
      </c>
      <c r="AU109" s="46">
        <f>SUM(AT$109,'Statistics NZ'!AU$109-'Statistics NZ'!AT$109,$T$12/6*(AU$8-AU$9)*1000)</f>
        <v>6680.6666793028926</v>
      </c>
      <c r="AV109" s="46">
        <f>SUM(AU$109,'Statistics NZ'!AV$109-'Statistics NZ'!AU$109,$T$12/6*(AV$8-AV$9)*1000)</f>
        <v>6970.6666793028926</v>
      </c>
      <c r="AW109" s="46">
        <f>SUM(AV$109,'Statistics NZ'!AW$109-'Statistics NZ'!AV$109,$T$12/6*(AW$8-AW$9)*1000)</f>
        <v>7300.6666793028926</v>
      </c>
      <c r="AX109" s="46">
        <f>SUM(AW$109,'Statistics NZ'!AX$109-'Statistics NZ'!AW$109,$T$12/6*(AX$8-AX$9)*1000)</f>
        <v>7510.6666793028926</v>
      </c>
      <c r="AY109" s="46">
        <f>SUM(AX$109,'Statistics NZ'!AY$109-'Statistics NZ'!AX$109,$T$12/6*(AY$8-AY$9)*1000)</f>
        <v>7950.6666793028926</v>
      </c>
      <c r="AZ109" s="46">
        <f>SUM(AY$109,'Statistics NZ'!AZ$109-'Statistics NZ'!AY$109,$T$12/6*(AZ$8-AZ$9)*1000)</f>
        <v>8320.6666793028926</v>
      </c>
      <c r="BA109" s="46">
        <f>SUM(AZ$109,'Statistics NZ'!BA$109-'Statistics NZ'!AZ$109,$T$12/6*(BA$8-BA$9)*1000)</f>
        <v>8520.6666793028926</v>
      </c>
      <c r="BB109" s="46">
        <f>SUM(BA$109,'Statistics NZ'!BB$109-'Statistics NZ'!BA$109,$T$12/6*(BB$8-BB$9)*1000)</f>
        <v>8470.6666793028926</v>
      </c>
      <c r="BC109" s="46">
        <f>SUM(BB$109,'Statistics NZ'!BC$109-'Statistics NZ'!BB$109,$T$12/6*(BC$8-BC$9)*1000)</f>
        <v>8370.6666793028926</v>
      </c>
      <c r="BD109" s="46">
        <f>SUM(BC$109,'Statistics NZ'!BD$109-'Statistics NZ'!BC$109,$T$12/6*(BD$8-BD$9)*1000)</f>
        <v>8390.6666793028926</v>
      </c>
      <c r="BE109" s="46">
        <f>SUM(BD$109,'Statistics NZ'!BE$109-'Statistics NZ'!BD$109,$T$12/6*(BE$8-BE$9)*1000)</f>
        <v>8720.6666793028926</v>
      </c>
      <c r="BF109" s="46">
        <f>SUM(BE$109,'Statistics NZ'!BF$109-'Statistics NZ'!BE$109,$T$12/6*(BF$8-BF$9)*1000)</f>
        <v>8960.6666793028926</v>
      </c>
      <c r="BG109" s="46">
        <f>SUM(BF$109,'Statistics NZ'!BG$109-'Statistics NZ'!BF$109,$T$12/6*(BG$8-BG$9)*1000)</f>
        <v>9300.6666793028926</v>
      </c>
      <c r="BH109" s="46">
        <f>SUM(BG$109,'Statistics NZ'!BH$109-'Statistics NZ'!BG$109,$T$12/6*(BH$8-BH$9)*1000)</f>
        <v>9440.6666793028926</v>
      </c>
      <c r="BI109" s="46">
        <f>SUM(BH$109,'Statistics NZ'!BI$109-'Statistics NZ'!BH$109,$T$12/6*(BI$8-BI$9)*1000)</f>
        <v>9970.6666793028926</v>
      </c>
    </row>
    <row r="110" spans="1:61" x14ac:dyDescent="0.25">
      <c r="A110" s="11" t="s">
        <v>8</v>
      </c>
      <c r="B110" s="44">
        <f>'Statistics NZ'!B$110*'Economic Forecasts'!D$9*1000000/SUM('Statistics NZ'!B$30:B$110,'Statistics NZ'!B$130:B$210)</f>
        <v>2896.046500339773</v>
      </c>
      <c r="C110" s="44">
        <f>'Statistics NZ'!C$110*'Economic Forecasts'!E$9*1000000/SUM('Statistics NZ'!C$30:C$110,'Statistics NZ'!C$130:C$210)</f>
        <v>3034.40418177017</v>
      </c>
      <c r="D110" s="44">
        <f>'Statistics NZ'!D$110*'Economic Forecasts'!F$9*1000000/SUM('Statistics NZ'!D$30:D$110,'Statistics NZ'!D$130:D$210)</f>
        <v>3202.2079280907428</v>
      </c>
      <c r="E110" s="44">
        <f>'Statistics NZ'!E$110*'Economic Forecasts'!G$9*1000000/SUM('Statistics NZ'!E$30:E$110,'Statistics NZ'!E$130:E$210)</f>
        <v>3246.1245825297528</v>
      </c>
      <c r="F110" s="44">
        <f>'Statistics NZ'!F$110*'Economic Forecasts'!H$9*1000000/SUM('Statistics NZ'!F$30:F$110,'Statistics NZ'!F$130:F$210)</f>
        <v>3521.3704535353572</v>
      </c>
      <c r="G110" s="44">
        <f>'Statistics NZ'!G$110*'Economic Forecasts'!I$9*1000000/SUM('Statistics NZ'!G$30:G$110,'Statistics NZ'!G$130:G$210)</f>
        <v>3644.1372082711919</v>
      </c>
      <c r="H110" s="44">
        <f>'Statistics NZ'!H$110*'Economic Forecasts'!J$9*1000000/SUM('Statistics NZ'!H$30:H$110,'Statistics NZ'!H$130:H$210)</f>
        <v>3713.9018401049684</v>
      </c>
      <c r="I110" s="44">
        <f>'Statistics NZ'!I$110*'Economic Forecasts'!K$9*1000000/SUM('Statistics NZ'!I$30:I$110,'Statistics NZ'!I$130:I$210)</f>
        <v>3735.1545717754739</v>
      </c>
      <c r="J110" s="44">
        <f>'Statistics NZ'!J$110*'Economic Forecasts'!L$9*1000000/SUM('Statistics NZ'!J$30:J$110,'Statistics NZ'!J$130:J$210)</f>
        <v>3764.226546158669</v>
      </c>
      <c r="K110" s="44">
        <f>'Statistics NZ'!K$110*'Economic Forecasts'!M$9*1000000/SUM('Statistics NZ'!K$30:K$110,'Statistics NZ'!K$130:K$210)</f>
        <v>4011.3223690979689</v>
      </c>
      <c r="L110" s="44">
        <f>'Statistics NZ'!L$110*'Economic Forecasts'!N$9*1000000/SUM('Statistics NZ'!L$30:L$110,'Statistics NZ'!L$130:L$210)</f>
        <v>4274.3739955825422</v>
      </c>
      <c r="M110" s="44">
        <f>'Statistics NZ'!M$110*'Economic Forecasts'!O$9*1000000/SUM('Statistics NZ'!M$30:M$110,'Statistics NZ'!M$130:M$210)</f>
        <v>4601.4692795216588</v>
      </c>
      <c r="N110" s="44">
        <f>'Statistics NZ'!N$110*'Economic Forecasts'!P$9*1000000/SUM('Statistics NZ'!N$30:N$110,'Statistics NZ'!N$130:N$210)</f>
        <v>4872.8972671680822</v>
      </c>
      <c r="O110" s="44">
        <f>'Statistics NZ'!O$110*'Economic Forecasts'!Q$9*1000000/SUM('Statistics NZ'!O$30:O$110,'Statistics NZ'!O$130:O$210)</f>
        <v>5093.3894078047488</v>
      </c>
      <c r="P110" s="44">
        <f>'Statistics NZ'!P$110*'Economic Forecasts'!R$9*1000000/SUM('Statistics NZ'!P$30:P$110,'Statistics NZ'!P$130:P$210)</f>
        <v>5236.9996321765166</v>
      </c>
      <c r="Q110" s="44">
        <f>'Statistics NZ'!Q$110*'Economic Forecasts'!S$9*1000000/SUM('Statistics NZ'!Q$30:Q$110,'Statistics NZ'!Q$130:Q$210)</f>
        <v>5473.7643546220243</v>
      </c>
      <c r="R110" s="44">
        <f>'Statistics NZ'!R$110*'Economic Forecasts'!T$9*1000000/SUM('Statistics NZ'!R$30:R$110,'Statistics NZ'!R$130:R$210)</f>
        <v>5357.4248193332824</v>
      </c>
      <c r="S110" s="44">
        <f>'Statistics NZ'!S$110*'Economic Forecasts'!U$9*1000000/SUM('Statistics NZ'!S$30:S$110,'Statistics NZ'!S$130:S$210)</f>
        <v>5049.305696738169</v>
      </c>
      <c r="T110" s="44">
        <f>'Statistics NZ'!T$110*'Economic Forecasts'!V$9*1000000/SUM('Statistics NZ'!T$30:T$110,'Statistics NZ'!T$130:T$210)</f>
        <v>5233.2992523039484</v>
      </c>
      <c r="U110" s="45">
        <f>SUM('Statistics NZ'!U$110,$T$12/6*(U$8-U$9)*1000)*'Economic Forecasts'!W$9*1000000/SUM('Statistics NZ'!U$30:U$110,'Statistics NZ'!U$130:U$210,SUM($E$12:$T$13)*(U$8-U$9)*1000)</f>
        <v>5547.1641242727892</v>
      </c>
      <c r="V110" s="45">
        <f>SUM('Statistics NZ'!V$110,$T$12/6*(V$8-V$9)*1000)*'Economic Forecasts'!X$9*1000000/SUM('Statistics NZ'!V$30:V$110,'Statistics NZ'!V$130:V$210,SUM($E$12:$T$13)*(V$8-V$9)*1000)</f>
        <v>5742.8823433090656</v>
      </c>
      <c r="W110" s="45">
        <f>SUM('Statistics NZ'!W$110,$T$12/6*(W$8-W$9)*1000)*'Economic Forecasts'!Y$9*1000000/SUM('Statistics NZ'!W$30:W$110,'Statistics NZ'!W$130:W$210,SUM($E$12:$T$13)*(W$8-W$9)*1000)</f>
        <v>5862.9216875679294</v>
      </c>
      <c r="X110" s="45">
        <f>SUM('Statistics NZ'!X$110,$T$12/6*(X$8-X$9)*1000)*'Economic Forecasts'!Z$9*1000000/SUM('Statistics NZ'!X$30:X$110,'Statistics NZ'!X$130:X$210,SUM($E$12:$T$13)*(X$8-X$9)*1000)</f>
        <v>5983.0464318999011</v>
      </c>
      <c r="Y110" s="45">
        <f>SUM('Statistics NZ'!Y$110,$T$12/6*(Y$8-Y$9)*1000)*'Economic Forecasts'!AA$9*1000000/SUM('Statistics NZ'!Y$30:Y$110,'Statistics NZ'!Y$130:Y$210,SUM($E$12:$T$13)*(Y$8-Y$9)*1000)</f>
        <v>6084.2641091565338</v>
      </c>
      <c r="Z110" s="46">
        <f>SUM(Y$110,'Statistics NZ'!Z$110-'Statistics NZ'!Y$110,$T$12/6*(Z$8-Z$9)*1000)</f>
        <v>6174.3897049484995</v>
      </c>
      <c r="AA110" s="46">
        <f>SUM(Z$110,'Statistics NZ'!AA$110-'Statistics NZ'!Z$110,$T$12/6*(AA$8-AA$9)*1000)</f>
        <v>6374.4650624236783</v>
      </c>
      <c r="AB110" s="46">
        <f>SUM(AA$110,'Statistics NZ'!AB$110-'Statistics NZ'!AA$110,$T$12/6*(AB$8-AB$9)*1000)</f>
        <v>6604.5002292454283</v>
      </c>
      <c r="AC110" s="46">
        <f>SUM(AB$110,'Statistics NZ'!AC$110-'Statistics NZ'!AB$110,$T$12/6*(AC$8-AC$9)*1000)</f>
        <v>6894.5002292454283</v>
      </c>
      <c r="AD110" s="46">
        <f>SUM(AC$110,'Statistics NZ'!AD$110-'Statistics NZ'!AC$110,$T$12/6*(AD$8-AD$9)*1000)</f>
        <v>7264.5002292454283</v>
      </c>
      <c r="AE110" s="46">
        <f>SUM(AD$110,'Statistics NZ'!AE$110-'Statistics NZ'!AD$110,$T$12/6*(AE$8-AE$9)*1000)</f>
        <v>7754.5002292454283</v>
      </c>
      <c r="AF110" s="46">
        <f>SUM(AE$110,'Statistics NZ'!AF$110-'Statistics NZ'!AE$110,$T$12/6*(AF$8-AF$9)*1000)</f>
        <v>8354.5002292454283</v>
      </c>
      <c r="AG110" s="46">
        <f>SUM(AF$110,'Statistics NZ'!AG$110-'Statistics NZ'!AF$110,$T$12/6*(AG$8-AG$9)*1000)</f>
        <v>8904.5002292454283</v>
      </c>
      <c r="AH110" s="46">
        <f>SUM(AG$110,'Statistics NZ'!AH$110-'Statistics NZ'!AG$110,$T$12/6*(AH$8-AH$9)*1000)</f>
        <v>9084.5002292454283</v>
      </c>
      <c r="AI110" s="46">
        <f>SUM(AH$110,'Statistics NZ'!AI$110-'Statistics NZ'!AH$110,$T$12/6*(AI$8-AI$9)*1000)</f>
        <v>9504.5002292454283</v>
      </c>
      <c r="AJ110" s="46">
        <f>SUM(AI$110,'Statistics NZ'!AJ$110-'Statistics NZ'!AI$110,$T$12/6*(AJ$8-AJ$9)*1000)</f>
        <v>10024.500229245428</v>
      </c>
      <c r="AK110" s="46">
        <f>SUM(AJ$110,'Statistics NZ'!AK$110-'Statistics NZ'!AJ$110,$T$12/6*(AK$8-AK$9)*1000)</f>
        <v>10634.500229245428</v>
      </c>
      <c r="AL110" s="46">
        <f>SUM(AK$110,'Statistics NZ'!AL$110-'Statistics NZ'!AK$110,$T$12/6*(AL$8-AL$9)*1000)</f>
        <v>11774.500229245428</v>
      </c>
      <c r="AM110" s="46">
        <f>SUM(AL$110,'Statistics NZ'!AM$110-'Statistics NZ'!AL$110,$T$12/6*(AM$8-AM$9)*1000)</f>
        <v>12704.500229245428</v>
      </c>
      <c r="AN110" s="46">
        <f>SUM(AM$110,'Statistics NZ'!AN$110-'Statistics NZ'!AM$110,$T$12/6*(AN$8-AN$9)*1000)</f>
        <v>13404.500229245428</v>
      </c>
      <c r="AO110" s="46">
        <f>SUM(AN$110,'Statistics NZ'!AO$110-'Statistics NZ'!AN$110,$T$12/6*(AO$8-AO$9)*1000)</f>
        <v>14154.500229245428</v>
      </c>
      <c r="AP110" s="46">
        <f>SUM(AO$110,'Statistics NZ'!AP$110-'Statistics NZ'!AO$110,$T$12/6*(AP$8-AP$9)*1000)</f>
        <v>14724.500229245428</v>
      </c>
      <c r="AQ110" s="46">
        <f>SUM(AP$110,'Statistics NZ'!AQ$110-'Statistics NZ'!AP$110,$T$12/6*(AQ$8-AQ$9)*1000)</f>
        <v>15364.500229245428</v>
      </c>
      <c r="AR110" s="46">
        <f>SUM(AQ$110,'Statistics NZ'!AR$110-'Statistics NZ'!AQ$110,$T$12/6*(AR$8-AR$9)*1000)</f>
        <v>15994.500229245428</v>
      </c>
      <c r="AS110" s="46">
        <f>SUM(AR$110,'Statistics NZ'!AS$110-'Statistics NZ'!AR$110,$T$12/6*(AS$8-AS$9)*1000)</f>
        <v>16724.50022924543</v>
      </c>
      <c r="AT110" s="46">
        <f>SUM(AS$110,'Statistics NZ'!AT$110-'Statistics NZ'!AS$110,$T$12/6*(AT$8-AT$9)*1000)</f>
        <v>17494.50022924543</v>
      </c>
      <c r="AU110" s="46">
        <f>SUM(AT$110,'Statistics NZ'!AU$110-'Statistics NZ'!AT$110,$T$12/6*(AU$8-AU$9)*1000)</f>
        <v>18314.50022924543</v>
      </c>
      <c r="AV110" s="46">
        <f>SUM(AU$110,'Statistics NZ'!AV$110-'Statistics NZ'!AU$110,$T$12/6*(AV$8-AV$9)*1000)</f>
        <v>19164.50022924543</v>
      </c>
      <c r="AW110" s="46">
        <f>SUM(AV$110,'Statistics NZ'!AW$110-'Statistics NZ'!AV$110,$T$12/6*(AW$8-AW$9)*1000)</f>
        <v>20054.50022924543</v>
      </c>
      <c r="AX110" s="46">
        <f>SUM(AW$110,'Statistics NZ'!AX$110-'Statistics NZ'!AW$110,$T$12/6*(AX$8-AX$9)*1000)</f>
        <v>21014.50022924543</v>
      </c>
      <c r="AY110" s="46">
        <f>SUM(AX$110,'Statistics NZ'!AY$110-'Statistics NZ'!AX$110,$T$12/6*(AY$8-AY$9)*1000)</f>
        <v>21934.50022924543</v>
      </c>
      <c r="AZ110" s="46">
        <f>SUM(AY$110,'Statistics NZ'!AZ$110-'Statistics NZ'!AY$110,$T$12/6*(AZ$8-AZ$9)*1000)</f>
        <v>23004.50022924543</v>
      </c>
      <c r="BA110" s="46">
        <f>SUM(AZ$110,'Statistics NZ'!BA$110-'Statistics NZ'!AZ$110,$T$12/6*(BA$8-BA$9)*1000)</f>
        <v>24144.50022924543</v>
      </c>
      <c r="BB110" s="46">
        <f>SUM(BA$110,'Statistics NZ'!BB$110-'Statistics NZ'!BA$110,$T$12/6*(BB$8-BB$9)*1000)</f>
        <v>25184.50022924543</v>
      </c>
      <c r="BC110" s="46">
        <f>SUM(BB$110,'Statistics NZ'!BC$110-'Statistics NZ'!BB$110,$T$12/6*(BC$8-BC$9)*1000)</f>
        <v>25974.50022924543</v>
      </c>
      <c r="BD110" s="46">
        <f>SUM(BC$110,'Statistics NZ'!BD$110-'Statistics NZ'!BC$110,$T$12/6*(BD$8-BD$9)*1000)</f>
        <v>26484.50022924543</v>
      </c>
      <c r="BE110" s="46">
        <f>SUM(BD$110,'Statistics NZ'!BE$110-'Statistics NZ'!BD$110,$T$12/6*(BE$8-BE$9)*1000)</f>
        <v>26914.50022924543</v>
      </c>
      <c r="BF110" s="46">
        <f>SUM(BE$110,'Statistics NZ'!BF$110-'Statistics NZ'!BE$110,$T$12/6*(BF$8-BF$9)*1000)</f>
        <v>27514.50022924543</v>
      </c>
      <c r="BG110" s="46">
        <f>SUM(BF$110,'Statistics NZ'!BG$110-'Statistics NZ'!BF$110,$T$12/6*(BG$8-BG$9)*1000)</f>
        <v>28194.50022924543</v>
      </c>
      <c r="BH110" s="46">
        <f>SUM(BG$110,'Statistics NZ'!BH$110-'Statistics NZ'!BG$110,$T$12/6*(BH$8-BH$9)*1000)</f>
        <v>29014.50022924543</v>
      </c>
      <c r="BI110" s="46">
        <f>SUM(BH$110,'Statistics NZ'!BI$110-'Statistics NZ'!BH$110,$T$12/6*(BI$8-BI$9)*1000)</f>
        <v>29784.50022924543</v>
      </c>
    </row>
    <row r="111" spans="1:61" x14ac:dyDescent="0.25">
      <c r="A111" s="9" t="s">
        <v>9</v>
      </c>
      <c r="B111" s="78">
        <f>SUM(B$15:B$110)</f>
        <v>2125552.4824854992</v>
      </c>
      <c r="C111" s="78">
        <f t="shared" ref="C111:T111" si="33">SUM(C$15:C$110)</f>
        <v>2149855.1061395211</v>
      </c>
      <c r="D111" s="78">
        <f t="shared" si="33"/>
        <v>2169283.8974531163</v>
      </c>
      <c r="E111" s="78">
        <f t="shared" si="33"/>
        <v>2188135.0921934526</v>
      </c>
      <c r="F111" s="78">
        <f t="shared" si="33"/>
        <v>2214036.8562875898</v>
      </c>
      <c r="G111" s="78">
        <f t="shared" si="33"/>
        <v>2234605.1028517643</v>
      </c>
      <c r="H111" s="78">
        <f t="shared" si="33"/>
        <v>2247993.4262347226</v>
      </c>
      <c r="I111" s="78">
        <f t="shared" si="33"/>
        <v>2261926.8334990437</v>
      </c>
      <c r="J111" s="78">
        <f t="shared" si="33"/>
        <v>2284470.1288427054</v>
      </c>
      <c r="K111" s="78">
        <f t="shared" si="33"/>
        <v>2320793.228366816</v>
      </c>
      <c r="L111" s="78">
        <f t="shared" si="33"/>
        <v>2365201.9317701384</v>
      </c>
      <c r="M111" s="78">
        <f t="shared" si="33"/>
        <v>2412422.04835035</v>
      </c>
      <c r="N111" s="78">
        <f t="shared" si="33"/>
        <v>2454000.6068800301</v>
      </c>
      <c r="O111" s="78">
        <f t="shared" si="33"/>
        <v>2492808.9857794442</v>
      </c>
      <c r="P111" s="78">
        <f t="shared" si="33"/>
        <v>2543534.3117212206</v>
      </c>
      <c r="Q111" s="78">
        <f t="shared" si="33"/>
        <v>2569397.2501316154</v>
      </c>
      <c r="R111" s="78">
        <f t="shared" si="33"/>
        <v>2574880.1136359749</v>
      </c>
      <c r="S111" s="78">
        <f t="shared" si="33"/>
        <v>2601835.6776852515</v>
      </c>
      <c r="T111" s="78">
        <f t="shared" si="33"/>
        <v>2666198.7588545368</v>
      </c>
      <c r="U111" s="79">
        <f t="shared" ref="U111:BI111" si="34">SUM(U$15:U$110)</f>
        <v>2692648.8973304736</v>
      </c>
      <c r="V111" s="79">
        <f t="shared" si="34"/>
        <v>2722573.4480172126</v>
      </c>
      <c r="W111" s="79">
        <f t="shared" si="34"/>
        <v>2754742.8779469384</v>
      </c>
      <c r="X111" s="79">
        <f t="shared" si="34"/>
        <v>2787255.9985707826</v>
      </c>
      <c r="Y111" s="79">
        <f t="shared" si="34"/>
        <v>2819925.6293962412</v>
      </c>
      <c r="Z111" s="80">
        <f t="shared" si="34"/>
        <v>2848546.7956429892</v>
      </c>
      <c r="AA111" s="80">
        <f t="shared" si="34"/>
        <v>2876495.4953910392</v>
      </c>
      <c r="AB111" s="80">
        <f t="shared" si="34"/>
        <v>2903694.2219401281</v>
      </c>
      <c r="AC111" s="80">
        <f t="shared" si="34"/>
        <v>2930294.2219401281</v>
      </c>
      <c r="AD111" s="80">
        <f t="shared" si="34"/>
        <v>2956594.2219401281</v>
      </c>
      <c r="AE111" s="80">
        <f t="shared" si="34"/>
        <v>2982614.2219401281</v>
      </c>
      <c r="AF111" s="80">
        <f t="shared" si="34"/>
        <v>3008524.2219401281</v>
      </c>
      <c r="AG111" s="80">
        <f t="shared" si="34"/>
        <v>3034144.2219401281</v>
      </c>
      <c r="AH111" s="80">
        <f t="shared" si="34"/>
        <v>3059574.2219401281</v>
      </c>
      <c r="AI111" s="80">
        <f t="shared" si="34"/>
        <v>3084844.2219401281</v>
      </c>
      <c r="AJ111" s="80">
        <f t="shared" si="34"/>
        <v>3109914.2219401281</v>
      </c>
      <c r="AK111" s="80">
        <f t="shared" si="34"/>
        <v>3134804.2219401281</v>
      </c>
      <c r="AL111" s="80">
        <f t="shared" si="34"/>
        <v>3159564.2219401281</v>
      </c>
      <c r="AM111" s="80">
        <f t="shared" si="34"/>
        <v>3184044.2219401281</v>
      </c>
      <c r="AN111" s="80">
        <f t="shared" si="34"/>
        <v>3208324.2219401281</v>
      </c>
      <c r="AO111" s="80">
        <f t="shared" si="34"/>
        <v>3232344.2219401281</v>
      </c>
      <c r="AP111" s="80">
        <f t="shared" si="34"/>
        <v>3256054.2219401281</v>
      </c>
      <c r="AQ111" s="80">
        <f t="shared" si="34"/>
        <v>3279524.2219401281</v>
      </c>
      <c r="AR111" s="80">
        <f t="shared" si="34"/>
        <v>3302634.2219401281</v>
      </c>
      <c r="AS111" s="80">
        <f t="shared" si="34"/>
        <v>3325334.2219401281</v>
      </c>
      <c r="AT111" s="80">
        <f t="shared" si="34"/>
        <v>3347774.2219401281</v>
      </c>
      <c r="AU111" s="80">
        <f t="shared" si="34"/>
        <v>3369764.2219401277</v>
      </c>
      <c r="AV111" s="80">
        <f t="shared" si="34"/>
        <v>3391514.2219401277</v>
      </c>
      <c r="AW111" s="80">
        <f t="shared" si="34"/>
        <v>3412924.2219401277</v>
      </c>
      <c r="AX111" s="80">
        <f t="shared" si="34"/>
        <v>3434034.2219401277</v>
      </c>
      <c r="AY111" s="80">
        <f t="shared" si="34"/>
        <v>3454944.2219401277</v>
      </c>
      <c r="AZ111" s="80">
        <f t="shared" si="34"/>
        <v>3475574.2219401277</v>
      </c>
      <c r="BA111" s="80">
        <f t="shared" si="34"/>
        <v>3496124.2219401277</v>
      </c>
      <c r="BB111" s="80">
        <f t="shared" si="34"/>
        <v>3516464.2219401277</v>
      </c>
      <c r="BC111" s="80">
        <f t="shared" si="34"/>
        <v>3536824.2219401277</v>
      </c>
      <c r="BD111" s="80">
        <f t="shared" si="34"/>
        <v>3556964.2219401277</v>
      </c>
      <c r="BE111" s="80">
        <f t="shared" si="34"/>
        <v>3577184.2219401277</v>
      </c>
      <c r="BF111" s="80">
        <f t="shared" si="34"/>
        <v>3597434.2219401277</v>
      </c>
      <c r="BG111" s="80">
        <f t="shared" si="34"/>
        <v>3617694.2219401277</v>
      </c>
      <c r="BH111" s="80">
        <f t="shared" si="34"/>
        <v>3638034.2219401277</v>
      </c>
      <c r="BI111" s="80">
        <f t="shared" si="34"/>
        <v>3658374.2219401277</v>
      </c>
    </row>
    <row r="112" spans="1:61" x14ac:dyDescent="0.25">
      <c r="A112" s="9"/>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row>
    <row r="113" spans="1:61" x14ac:dyDescent="0.25">
      <c r="A113" s="9"/>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row>
    <row r="114" spans="1:61" x14ac:dyDescent="0.25">
      <c r="A114" s="9" t="s">
        <v>10</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row>
    <row r="115" spans="1:61" x14ac:dyDescent="0.25">
      <c r="A115" s="11">
        <f>$A$15</f>
        <v>0</v>
      </c>
      <c r="B115" s="44">
        <f>'Statistics NZ'!B$115*('Economic Forecasts'!D$10-'Economic Forecasts'!D$9)*1000000/SUM('Statistics NZ'!B$15:B$29,'Statistics NZ'!B$115:B$129)</f>
        <v>31965.496279451996</v>
      </c>
      <c r="C115" s="44">
        <f>'Statistics NZ'!C$115*('Economic Forecasts'!E$10-'Economic Forecasts'!E$9)*1000000/SUM('Statistics NZ'!C$15:C$29,'Statistics NZ'!C$115:C$129)</f>
        <v>33621.519129361608</v>
      </c>
      <c r="D115" s="44">
        <f>'Statistics NZ'!D$115*('Economic Forecasts'!F$10-'Economic Forecasts'!F$9)*1000000/SUM('Statistics NZ'!D$15:D$29,'Statistics NZ'!D$115:D$129)</f>
        <v>34850.660517470496</v>
      </c>
      <c r="E115" s="44">
        <f>'Statistics NZ'!E$115*('Economic Forecasts'!G$10-'Economic Forecasts'!G$9)*1000000/SUM('Statistics NZ'!E$15:E$29,'Statistics NZ'!E$115:E$129)</f>
        <v>34877.426872031596</v>
      </c>
      <c r="F115" s="44">
        <f>'Statistics NZ'!F$115*('Economic Forecasts'!H$10-'Economic Forecasts'!H$9)*1000000/SUM('Statistics NZ'!F$15:F$29,'Statistics NZ'!F$115:F$129)</f>
        <v>34898.359283810867</v>
      </c>
      <c r="G115" s="44">
        <f>'Statistics NZ'!G$115*('Economic Forecasts'!I$10-'Economic Forecasts'!I$9)*1000000/SUM('Statistics NZ'!G$15:G$29,'Statistics NZ'!G$115:G$129)</f>
        <v>34017.136080640383</v>
      </c>
      <c r="H115" s="44">
        <f>'Statistics NZ'!H$115*('Economic Forecasts'!J$10-'Economic Forecasts'!J$9)*1000000/SUM('Statistics NZ'!H$15:H$29,'Statistics NZ'!H$115:H$129)</f>
        <v>33202.69067167872</v>
      </c>
      <c r="I115" s="44">
        <f>'Statistics NZ'!I$115*('Economic Forecasts'!K$10-'Economic Forecasts'!K$9)*1000000/SUM('Statistics NZ'!I$15:I$29,'Statistics NZ'!I$115:I$129)</f>
        <v>32834.582246723658</v>
      </c>
      <c r="J115" s="44">
        <f>'Statistics NZ'!J$115*('Economic Forecasts'!L$10-'Economic Forecasts'!L$9)*1000000/SUM('Statistics NZ'!J$15:J$29,'Statistics NZ'!J$115:J$129)</f>
        <v>32162.865384826306</v>
      </c>
      <c r="K115" s="44">
        <f>'Statistics NZ'!K$115*('Economic Forecasts'!M$10-'Economic Forecasts'!M$9)*1000000/SUM('Statistics NZ'!K$15:K$29,'Statistics NZ'!K$115:K$129)</f>
        <v>32488.39709654533</v>
      </c>
      <c r="L115" s="44">
        <f>'Statistics NZ'!L$115*('Economic Forecasts'!N$10-'Economic Forecasts'!N$9)*1000000/SUM('Statistics NZ'!L$15:L$29,'Statistics NZ'!L$115:L$129)</f>
        <v>32691.673336073207</v>
      </c>
      <c r="M115" s="44">
        <f>'Statistics NZ'!M$115*('Economic Forecasts'!O$10-'Economic Forecasts'!O$9)*1000000/SUM('Statistics NZ'!M$15:M$29,'Statistics NZ'!M$115:M$129)</f>
        <v>32507.164586958152</v>
      </c>
      <c r="N115" s="44">
        <f>'Statistics NZ'!N$115*('Economic Forecasts'!P$10-'Economic Forecasts'!P$9)*1000000/SUM('Statistics NZ'!N$15:N$29,'Statistics NZ'!N$115:N$129)</f>
        <v>32305.086267921874</v>
      </c>
      <c r="O115" s="44">
        <f>'Statistics NZ'!O$115*('Economic Forecasts'!Q$10-'Economic Forecasts'!Q$9)*1000000/SUM('Statistics NZ'!O$15:O$29,'Statistics NZ'!O$115:O$129)</f>
        <v>32296.842105263146</v>
      </c>
      <c r="P115" s="44">
        <f>'Statistics NZ'!P$115*('Economic Forecasts'!R$10-'Economic Forecasts'!R$9)*1000000/SUM('Statistics NZ'!P$15:P$29,'Statistics NZ'!P$115:P$129)</f>
        <v>31968.409788778281</v>
      </c>
      <c r="Q115" s="44">
        <f>'Statistics NZ'!Q$115*('Economic Forecasts'!S$10-'Economic Forecasts'!S$9)*1000000/SUM('Statistics NZ'!Q$15:Q$29,'Statistics NZ'!Q$115:Q$129)</f>
        <v>32858.168787177783</v>
      </c>
      <c r="R115" s="44">
        <f>'Statistics NZ'!R$115*('Economic Forecasts'!T$10-'Economic Forecasts'!T$9)*1000000/SUM('Statistics NZ'!R$15:R$29,'Statistics NZ'!R$115:R$129)</f>
        <v>32150.820352632272</v>
      </c>
      <c r="S115" s="44">
        <f>'Statistics NZ'!S$115*('Economic Forecasts'!U$10-'Economic Forecasts'!U$9)*1000000/SUM('Statistics NZ'!S$15:S$29,'Statistics NZ'!S$115:S$129)</f>
        <v>31110.207532191736</v>
      </c>
      <c r="T115" s="44">
        <f>'Statistics NZ'!T$115*('Economic Forecasts'!V$10-'Economic Forecasts'!V$9)*1000000/SUM('Statistics NZ'!T$15:T$29,'Statistics NZ'!T$115:T$129)</f>
        <v>31094.561890234541</v>
      </c>
      <c r="U115" s="45">
        <f>SUM('Statistics NZ'!U$115,$B$13/5*(U$8-U$9)*1000)*('Economic Forecasts'!W$10-'Economic Forecasts'!W$9)*1000000/SUM('Statistics NZ'!U$15:U$29,'Statistics NZ'!U$115:U$129,SUM($B$12:$D$13)*(U$8-U$9)*1000)</f>
        <v>31811.757374043176</v>
      </c>
      <c r="V115" s="45">
        <f>SUM('Statistics NZ'!V$115,$B$13/5*(V$8-V$9)*1000)*('Economic Forecasts'!X$10-'Economic Forecasts'!X$9)*1000000/SUM('Statistics NZ'!V$15:V$29,'Statistics NZ'!V$115:V$129,SUM($B$12:$D$13)*(V$8-V$9)*1000)</f>
        <v>32186.904233385438</v>
      </c>
      <c r="W115" s="45">
        <f>SUM('Statistics NZ'!W$115,$B$13/5*(W$8-W$9)*1000)*('Economic Forecasts'!Y$10-'Economic Forecasts'!Y$9)*1000000/SUM('Statistics NZ'!W$15:W$29,'Statistics NZ'!W$115:W$129,SUM($B$12:$D$13)*(W$8-W$9)*1000)</f>
        <v>32598.83959573508</v>
      </c>
      <c r="X115" s="45">
        <f>SUM('Statistics NZ'!X$115,$B$13/5*(X$8-X$9)*1000)*('Economic Forecasts'!Z$10-'Economic Forecasts'!Z$9)*1000000/SUM('Statistics NZ'!X$15:X$29,'Statistics NZ'!X$115:X$129,SUM($B$12:$D$13)*(X$8-X$9)*1000)</f>
        <v>32981.545788481235</v>
      </c>
      <c r="Y115" s="45">
        <f>SUM('Statistics NZ'!Y$115,$B$13/5*(Y$8-Y$9)*1000)*('Economic Forecasts'!AA$10-'Economic Forecasts'!AA$9)*1000000/SUM('Statistics NZ'!Y$15:Y$29,'Statistics NZ'!Y$115:Y$129,SUM($B$12:$D$13)*(Y$8-Y$9)*1000)</f>
        <v>33336.350606911976</v>
      </c>
      <c r="Z115" s="46">
        <f>SUM(Y$115,'Statistics NZ'!Z$115-'Statistics NZ'!Y$115,$B$13/5*(Z$8-Z$9)*1000)</f>
        <v>33341.36926148006</v>
      </c>
      <c r="AA115" s="46">
        <f>SUM(Z$115,'Statistics NZ'!AA$115-'Statistics NZ'!Z$115,$B$13/5*(AA$8-AA$9)*1000)</f>
        <v>33350.380454220911</v>
      </c>
      <c r="AB115" s="46">
        <f>SUM(AA$115,'Statistics NZ'!AB$115-'Statistics NZ'!AA$115,$B$13/5*(AB$8-AB$9)*1000)</f>
        <v>33374.585677499977</v>
      </c>
      <c r="AC115" s="46">
        <f>SUM(AB$115,'Statistics NZ'!AC$115-'Statistics NZ'!AB$115,$B$13/5*(AC$8-AC$9)*1000)</f>
        <v>33434.585677499977</v>
      </c>
      <c r="AD115" s="46">
        <f>SUM(AC$115,'Statistics NZ'!AD$115-'Statistics NZ'!AC$115,$B$13/5*(AD$8-AD$9)*1000)</f>
        <v>33524.585677499977</v>
      </c>
      <c r="AE115" s="46">
        <f>SUM(AD$115,'Statistics NZ'!AE$115-'Statistics NZ'!AD$115,$B$13/5*(AE$8-AE$9)*1000)</f>
        <v>33644.585677499977</v>
      </c>
      <c r="AF115" s="46">
        <f>SUM(AE$115,'Statistics NZ'!AF$115-'Statistics NZ'!AE$115,$B$13/5*(AF$8-AF$9)*1000)</f>
        <v>33814.585677499977</v>
      </c>
      <c r="AG115" s="46">
        <f>SUM(AF$115,'Statistics NZ'!AG$115-'Statistics NZ'!AF$115,$B$13/5*(AG$8-AG$9)*1000)</f>
        <v>34004.585677499977</v>
      </c>
      <c r="AH115" s="46">
        <f>SUM(AG$115,'Statistics NZ'!AH$115-'Statistics NZ'!AG$115,$B$13/5*(AH$8-AH$9)*1000)</f>
        <v>34224.585677499977</v>
      </c>
      <c r="AI115" s="46">
        <f>SUM(AH$115,'Statistics NZ'!AI$115-'Statistics NZ'!AH$115,$B$13/5*(AI$8-AI$9)*1000)</f>
        <v>34454.585677499977</v>
      </c>
      <c r="AJ115" s="46">
        <f>SUM(AI$115,'Statistics NZ'!AJ$115-'Statistics NZ'!AI$115,$B$13/5*(AJ$8-AJ$9)*1000)</f>
        <v>34694.585677499977</v>
      </c>
      <c r="AK115" s="46">
        <f>SUM(AJ$115,'Statistics NZ'!AK$115-'Statistics NZ'!AJ$115,$B$13/5*(AK$8-AK$9)*1000)</f>
        <v>34924.585677499977</v>
      </c>
      <c r="AL115" s="46">
        <f>SUM(AK$115,'Statistics NZ'!AL$115-'Statistics NZ'!AK$115,$B$13/5*(AL$8-AL$9)*1000)</f>
        <v>35124.585677499977</v>
      </c>
      <c r="AM115" s="46">
        <f>SUM(AL$115,'Statistics NZ'!AM$115-'Statistics NZ'!AL$115,$B$13/5*(AM$8-AM$9)*1000)</f>
        <v>35294.585677499977</v>
      </c>
      <c r="AN115" s="46">
        <f>SUM(AM$115,'Statistics NZ'!AN$115-'Statistics NZ'!AM$115,$B$13/5*(AN$8-AN$9)*1000)</f>
        <v>35424.585677499977</v>
      </c>
      <c r="AO115" s="46">
        <f>SUM(AN$115,'Statistics NZ'!AO$115-'Statistics NZ'!AN$115,$B$13/5*(AO$8-AO$9)*1000)</f>
        <v>35524.585677499977</v>
      </c>
      <c r="AP115" s="46">
        <f>SUM(AO$115,'Statistics NZ'!AP$115-'Statistics NZ'!AO$115,$B$13/5*(AP$8-AP$9)*1000)</f>
        <v>35594.585677499977</v>
      </c>
      <c r="AQ115" s="46">
        <f>SUM(AP$115,'Statistics NZ'!AQ$115-'Statistics NZ'!AP$115,$B$13/5*(AQ$8-AQ$9)*1000)</f>
        <v>35624.585677499977</v>
      </c>
      <c r="AR115" s="46">
        <f>SUM(AQ$115,'Statistics NZ'!AR$115-'Statistics NZ'!AQ$115,$B$13/5*(AR$8-AR$9)*1000)</f>
        <v>35624.585677499977</v>
      </c>
      <c r="AS115" s="46">
        <f>SUM(AR$115,'Statistics NZ'!AS$115-'Statistics NZ'!AR$115,$B$13/5*(AS$8-AS$9)*1000)</f>
        <v>35594.585677499977</v>
      </c>
      <c r="AT115" s="46">
        <f>SUM(AS$115,'Statistics NZ'!AT$115-'Statistics NZ'!AS$115,$B$13/5*(AT$8-AT$9)*1000)</f>
        <v>35554.585677499977</v>
      </c>
      <c r="AU115" s="46">
        <f>SUM(AT$115,'Statistics NZ'!AU$115-'Statistics NZ'!AT$115,$B$13/5*(AU$8-AU$9)*1000)</f>
        <v>35494.585677499977</v>
      </c>
      <c r="AV115" s="46">
        <f>SUM(AU$115,'Statistics NZ'!AV$115-'Statistics NZ'!AU$115,$B$13/5*(AV$8-AV$9)*1000)</f>
        <v>35424.585677499977</v>
      </c>
      <c r="AW115" s="46">
        <f>SUM(AV$115,'Statistics NZ'!AW$115-'Statistics NZ'!AV$115,$B$13/5*(AW$8-AW$9)*1000)</f>
        <v>35354.585677499977</v>
      </c>
      <c r="AX115" s="46">
        <f>SUM(AW$115,'Statistics NZ'!AX$115-'Statistics NZ'!AW$115,$B$13/5*(AX$8-AX$9)*1000)</f>
        <v>35294.585677499977</v>
      </c>
      <c r="AY115" s="46">
        <f>SUM(AX$115,'Statistics NZ'!AY$115-'Statistics NZ'!AX$115,$B$13/5*(AY$8-AY$9)*1000)</f>
        <v>35234.585677499977</v>
      </c>
      <c r="AZ115" s="46">
        <f>SUM(AY$115,'Statistics NZ'!AZ$115-'Statistics NZ'!AY$115,$B$13/5*(AZ$8-AZ$9)*1000)</f>
        <v>35184.585677499977</v>
      </c>
      <c r="BA115" s="46">
        <f>SUM(AZ$115,'Statistics NZ'!BA$115-'Statistics NZ'!AZ$115,$B$13/5*(BA$8-BA$9)*1000)</f>
        <v>35154.585677499977</v>
      </c>
      <c r="BB115" s="46">
        <f>SUM(BA$115,'Statistics NZ'!BB$115-'Statistics NZ'!BA$115,$B$13/5*(BB$8-BB$9)*1000)</f>
        <v>35144.585677499977</v>
      </c>
      <c r="BC115" s="46">
        <f>SUM(BB$115,'Statistics NZ'!BC$115-'Statistics NZ'!BB$115,$B$13/5*(BC$8-BC$9)*1000)</f>
        <v>35154.585677499977</v>
      </c>
      <c r="BD115" s="46">
        <f>SUM(BC$115,'Statistics NZ'!BD$115-'Statistics NZ'!BC$115,$B$13/5*(BD$8-BD$9)*1000)</f>
        <v>35184.585677499977</v>
      </c>
      <c r="BE115" s="46">
        <f>SUM(BD$115,'Statistics NZ'!BE$115-'Statistics NZ'!BD$115,$B$13/5*(BE$8-BE$9)*1000)</f>
        <v>35234.585677499977</v>
      </c>
      <c r="BF115" s="46">
        <f>SUM(BE$115,'Statistics NZ'!BF$115-'Statistics NZ'!BE$115,$B$13/5*(BF$8-BF$9)*1000)</f>
        <v>35294.585677499977</v>
      </c>
      <c r="BG115" s="46">
        <f>SUM(BF$115,'Statistics NZ'!BG$115-'Statistics NZ'!BF$115,$B$13/5*(BG$8-BG$9)*1000)</f>
        <v>35384.585677499977</v>
      </c>
      <c r="BH115" s="46">
        <f>SUM(BG$115,'Statistics NZ'!BH$115-'Statistics NZ'!BG$115,$B$13/5*(BH$8-BH$9)*1000)</f>
        <v>35484.585677499977</v>
      </c>
      <c r="BI115" s="46">
        <f>SUM(BH$115,'Statistics NZ'!BI$115-'Statistics NZ'!BH$115,$B$13/5*(BI$8-BI$9)*1000)</f>
        <v>35594.585677499977</v>
      </c>
    </row>
    <row r="116" spans="1:61" x14ac:dyDescent="0.25">
      <c r="A116" s="11">
        <f>$A$16</f>
        <v>1</v>
      </c>
      <c r="B116" s="44">
        <f>'Statistics NZ'!B$116*('Economic Forecasts'!D$10-'Economic Forecasts'!D$9)*1000000/SUM('Statistics NZ'!B$15:B$29,'Statistics NZ'!B$115:B$129)</f>
        <v>31149.130371154224</v>
      </c>
      <c r="C116" s="44">
        <f>'Statistics NZ'!C$116*('Economic Forecasts'!E$10-'Economic Forecasts'!E$9)*1000000/SUM('Statistics NZ'!C$15:C$29,'Statistics NZ'!C$115:C$129)</f>
        <v>31798.157747110963</v>
      </c>
      <c r="D116" s="44">
        <f>'Statistics NZ'!D$116*('Economic Forecasts'!F$10-'Economic Forecasts'!F$9)*1000000/SUM('Statistics NZ'!D$15:D$29,'Statistics NZ'!D$115:D$129)</f>
        <v>33511.467208629721</v>
      </c>
      <c r="E116" s="44">
        <f>'Statistics NZ'!E$116*('Economic Forecasts'!G$10-'Economic Forecasts'!G$9)*1000000/SUM('Statistics NZ'!E$15:E$29,'Statistics NZ'!E$115:E$129)</f>
        <v>34793.028984863951</v>
      </c>
      <c r="F116" s="44">
        <f>'Statistics NZ'!F$116*('Economic Forecasts'!H$10-'Economic Forecasts'!H$9)*1000000/SUM('Statistics NZ'!F$15:F$29,'Statistics NZ'!F$115:F$129)</f>
        <v>35014.616689056755</v>
      </c>
      <c r="G116" s="44">
        <f>'Statistics NZ'!G$116*('Economic Forecasts'!I$10-'Economic Forecasts'!I$9)*1000000/SUM('Statistics NZ'!G$15:G$29,'Statistics NZ'!G$115:G$129)</f>
        <v>35001.759067101491</v>
      </c>
      <c r="H116" s="44">
        <f>'Statistics NZ'!H$116*('Economic Forecasts'!J$10-'Economic Forecasts'!J$9)*1000000/SUM('Statistics NZ'!H$15:H$29,'Statistics NZ'!H$115:H$129)</f>
        <v>33976.572031523086</v>
      </c>
      <c r="I116" s="44">
        <f>'Statistics NZ'!I$116*('Economic Forecasts'!K$10-'Economic Forecasts'!K$9)*1000000/SUM('Statistics NZ'!I$15:I$29,'Statistics NZ'!I$115:I$129)</f>
        <v>33387.31720199385</v>
      </c>
      <c r="J116" s="44">
        <f>'Statistics NZ'!J$116*('Economic Forecasts'!L$10-'Economic Forecasts'!L$9)*1000000/SUM('Statistics NZ'!J$15:J$29,'Statistics NZ'!J$115:J$129)</f>
        <v>33091.255991488506</v>
      </c>
      <c r="K116" s="44">
        <f>'Statistics NZ'!K$116*('Economic Forecasts'!M$10-'Economic Forecasts'!M$9)*1000000/SUM('Statistics NZ'!K$15:K$29,'Statistics NZ'!K$115:K$129)</f>
        <v>32488.39709654533</v>
      </c>
      <c r="L116" s="44">
        <f>'Statistics NZ'!L$116*('Economic Forecasts'!N$10-'Economic Forecasts'!N$9)*1000000/SUM('Statistics NZ'!L$15:L$29,'Statistics NZ'!L$115:L$129)</f>
        <v>32734.393588717536</v>
      </c>
      <c r="M116" s="44">
        <f>'Statistics NZ'!M$116*('Economic Forecasts'!O$10-'Economic Forecasts'!O$9)*1000000/SUM('Statistics NZ'!M$15:M$29,'Statistics NZ'!M$115:M$129)</f>
        <v>32761.375062711493</v>
      </c>
      <c r="N116" s="44">
        <f>'Statistics NZ'!N$116*('Economic Forecasts'!P$10-'Economic Forecasts'!P$9)*1000000/SUM('Statistics NZ'!N$15:N$29,'Statistics NZ'!N$115:N$129)</f>
        <v>32696.598941329376</v>
      </c>
      <c r="O116" s="44">
        <f>'Statistics NZ'!O$116*('Economic Forecasts'!Q$10-'Economic Forecasts'!Q$9)*1000000/SUM('Statistics NZ'!O$15:O$29,'Statistics NZ'!O$115:O$129)</f>
        <v>32191.777557100286</v>
      </c>
      <c r="P116" s="44">
        <f>'Statistics NZ'!P$116*('Economic Forecasts'!R$10-'Economic Forecasts'!R$9)*1000000/SUM('Statistics NZ'!P$15:P$29,'Statistics NZ'!P$115:P$129)</f>
        <v>32739.369126267811</v>
      </c>
      <c r="Q116" s="44">
        <f>'Statistics NZ'!Q$116*('Economic Forecasts'!S$10-'Economic Forecasts'!S$9)*1000000/SUM('Statistics NZ'!Q$15:Q$29,'Statistics NZ'!Q$115:Q$129)</f>
        <v>31871.68911103766</v>
      </c>
      <c r="R116" s="44">
        <f>'Statistics NZ'!R$116*('Economic Forecasts'!T$10-'Economic Forecasts'!T$9)*1000000/SUM('Statistics NZ'!R$15:R$29,'Statistics NZ'!R$115:R$129)</f>
        <v>32909.293178775632</v>
      </c>
      <c r="S116" s="44">
        <f>'Statistics NZ'!S$116*('Economic Forecasts'!U$10-'Economic Forecasts'!U$9)*1000000/SUM('Statistics NZ'!S$15:S$29,'Statistics NZ'!S$115:S$129)</f>
        <v>32672.09295132841</v>
      </c>
      <c r="T116" s="44">
        <f>'Statistics NZ'!T$116*('Economic Forecasts'!V$10-'Economic Forecasts'!V$9)*1000000/SUM('Statistics NZ'!T$15:T$29,'Statistics NZ'!T$115:T$129)</f>
        <v>31328.275713803094</v>
      </c>
      <c r="U116" s="45">
        <f>SUM('Statistics NZ'!U$116,$B$13/5*(U$8-U$9)*1000)*('Economic Forecasts'!W$10-'Economic Forecasts'!W$9)*1000000/SUM('Statistics NZ'!U$15:U$29,'Statistics NZ'!U$115:U$129,SUM($B$12:$D$13)*(U$8-U$9)*1000)</f>
        <v>31173.126486842066</v>
      </c>
      <c r="V116" s="45">
        <f>SUM('Statistics NZ'!V$116,$B$13/5*(V$8-V$9)*1000)*('Economic Forecasts'!X$10-'Economic Forecasts'!X$9)*1000000/SUM('Statistics NZ'!V$15:V$29,'Statistics NZ'!V$115:V$129,SUM($B$12:$D$13)*(V$8-V$9)*1000)</f>
        <v>32176.139116470978</v>
      </c>
      <c r="W116" s="45">
        <f>SUM('Statistics NZ'!W$116,$B$13/5*(W$8-W$9)*1000)*('Economic Forecasts'!Y$10-'Economic Forecasts'!Y$9)*1000000/SUM('Statistics NZ'!W$15:W$29,'Statistics NZ'!W$115:W$129,SUM($B$12:$D$13)*(W$8-W$9)*1000)</f>
        <v>32609.745116487506</v>
      </c>
      <c r="X116" s="45">
        <f>SUM('Statistics NZ'!X$116,$B$13/5*(X$8-X$9)*1000)*('Economic Forecasts'!Z$10-'Economic Forecasts'!Z$9)*1000000/SUM('Statistics NZ'!X$15:X$29,'Statistics NZ'!X$115:X$129,SUM($B$12:$D$13)*(X$8-X$9)*1000)</f>
        <v>33025.723753127015</v>
      </c>
      <c r="Y116" s="45">
        <f>SUM('Statistics NZ'!Y$116,$B$13/5*(Y$8-Y$9)*1000)*('Economic Forecasts'!AA$10-'Economic Forecasts'!AA$9)*1000000/SUM('Statistics NZ'!Y$15:Y$29,'Statistics NZ'!Y$115:Y$129,SUM($B$12:$D$13)*(Y$8-Y$9)*1000)</f>
        <v>33381.031369902055</v>
      </c>
      <c r="Z116" s="46">
        <f>SUM(Y$116,'Statistics NZ'!Z$116-'Statistics NZ'!Y$116,$B$13/5*(Z$8-Z$9)*1000)</f>
        <v>33386.05002447014</v>
      </c>
      <c r="AA116" s="46">
        <f>SUM(Z$116,'Statistics NZ'!AA$116-'Statistics NZ'!Z$116,$B$13/5*(AA$8-AA$9)*1000)</f>
        <v>33385.06121721099</v>
      </c>
      <c r="AB116" s="46">
        <f>SUM(AA$116,'Statistics NZ'!AB$116-'Statistics NZ'!AA$116,$B$13/5*(AB$8-AB$9)*1000)</f>
        <v>33399.266440490057</v>
      </c>
      <c r="AC116" s="46">
        <f>SUM(AB$116,'Statistics NZ'!AC$116-'Statistics NZ'!AB$116,$B$13/5*(AC$8-AC$9)*1000)</f>
        <v>33429.266440490057</v>
      </c>
      <c r="AD116" s="46">
        <f>SUM(AC$116,'Statistics NZ'!AD$116-'Statistics NZ'!AC$116,$B$13/5*(AD$8-AD$9)*1000)</f>
        <v>33479.266440490057</v>
      </c>
      <c r="AE116" s="46">
        <f>SUM(AD$116,'Statistics NZ'!AE$116-'Statistics NZ'!AD$116,$B$13/5*(AE$8-AE$9)*1000)</f>
        <v>33569.266440490057</v>
      </c>
      <c r="AF116" s="46">
        <f>SUM(AE$116,'Statistics NZ'!AF$116-'Statistics NZ'!AE$116,$B$13/5*(AF$8-AF$9)*1000)</f>
        <v>33699.266440490057</v>
      </c>
      <c r="AG116" s="46">
        <f>SUM(AF$116,'Statistics NZ'!AG$116-'Statistics NZ'!AF$116,$B$13/5*(AG$8-AG$9)*1000)</f>
        <v>33859.266440490057</v>
      </c>
      <c r="AH116" s="46">
        <f>SUM(AG$116,'Statistics NZ'!AH$116-'Statistics NZ'!AG$116,$B$13/5*(AH$8-AH$9)*1000)</f>
        <v>34059.266440490057</v>
      </c>
      <c r="AI116" s="46">
        <f>SUM(AH$116,'Statistics NZ'!AI$116-'Statistics NZ'!AH$116,$B$13/5*(AI$8-AI$9)*1000)</f>
        <v>34279.266440490057</v>
      </c>
      <c r="AJ116" s="46">
        <f>SUM(AI$116,'Statistics NZ'!AJ$116-'Statistics NZ'!AI$116,$B$13/5*(AJ$8-AJ$9)*1000)</f>
        <v>34519.266440490057</v>
      </c>
      <c r="AK116" s="46">
        <f>SUM(AJ$116,'Statistics NZ'!AK$116-'Statistics NZ'!AJ$116,$B$13/5*(AK$8-AK$9)*1000)</f>
        <v>34749.266440490057</v>
      </c>
      <c r="AL116" s="46">
        <f>SUM(AK$116,'Statistics NZ'!AL$116-'Statistics NZ'!AK$116,$B$13/5*(AL$8-AL$9)*1000)</f>
        <v>34979.266440490057</v>
      </c>
      <c r="AM116" s="46">
        <f>SUM(AL$116,'Statistics NZ'!AM$116-'Statistics NZ'!AL$116,$B$13/5*(AM$8-AM$9)*1000)</f>
        <v>35179.266440490057</v>
      </c>
      <c r="AN116" s="46">
        <f>SUM(AM$116,'Statistics NZ'!AN$116-'Statistics NZ'!AM$116,$B$13/5*(AN$8-AN$9)*1000)</f>
        <v>35359.266440490057</v>
      </c>
      <c r="AO116" s="46">
        <f>SUM(AN$116,'Statistics NZ'!AO$116-'Statistics NZ'!AN$116,$B$13/5*(AO$8-AO$9)*1000)</f>
        <v>35489.266440490057</v>
      </c>
      <c r="AP116" s="46">
        <f>SUM(AO$116,'Statistics NZ'!AP$116-'Statistics NZ'!AO$116,$B$13/5*(AP$8-AP$9)*1000)</f>
        <v>35589.266440490057</v>
      </c>
      <c r="AQ116" s="46">
        <f>SUM(AP$116,'Statistics NZ'!AQ$116-'Statistics NZ'!AP$116,$B$13/5*(AQ$8-AQ$9)*1000)</f>
        <v>35659.266440490057</v>
      </c>
      <c r="AR116" s="46">
        <f>SUM(AQ$116,'Statistics NZ'!AR$116-'Statistics NZ'!AQ$116,$B$13/5*(AR$8-AR$9)*1000)</f>
        <v>35689.266440490057</v>
      </c>
      <c r="AS116" s="46">
        <f>SUM(AR$116,'Statistics NZ'!AS$116-'Statistics NZ'!AR$116,$B$13/5*(AS$8-AS$9)*1000)</f>
        <v>35689.266440490057</v>
      </c>
      <c r="AT116" s="46">
        <f>SUM(AS$116,'Statistics NZ'!AT$116-'Statistics NZ'!AS$116,$B$13/5*(AT$8-AT$9)*1000)</f>
        <v>35669.266440490057</v>
      </c>
      <c r="AU116" s="46">
        <f>SUM(AT$116,'Statistics NZ'!AU$116-'Statistics NZ'!AT$116,$B$13/5*(AU$8-AU$9)*1000)</f>
        <v>35629.266440490057</v>
      </c>
      <c r="AV116" s="46">
        <f>SUM(AU$116,'Statistics NZ'!AV$116-'Statistics NZ'!AU$116,$B$13/5*(AV$8-AV$9)*1000)</f>
        <v>35569.266440490057</v>
      </c>
      <c r="AW116" s="46">
        <f>SUM(AV$116,'Statistics NZ'!AW$116-'Statistics NZ'!AV$116,$B$13/5*(AW$8-AW$9)*1000)</f>
        <v>35509.266440490057</v>
      </c>
      <c r="AX116" s="46">
        <f>SUM(AW$116,'Statistics NZ'!AX$116-'Statistics NZ'!AW$116,$B$13/5*(AX$8-AX$9)*1000)</f>
        <v>35439.266440490057</v>
      </c>
      <c r="AY116" s="46">
        <f>SUM(AX$116,'Statistics NZ'!AY$116-'Statistics NZ'!AX$116,$B$13/5*(AY$8-AY$9)*1000)</f>
        <v>35379.266440490057</v>
      </c>
      <c r="AZ116" s="46">
        <f>SUM(AY$116,'Statistics NZ'!AZ$116-'Statistics NZ'!AY$116,$B$13/5*(AZ$8-AZ$9)*1000)</f>
        <v>35319.266440490057</v>
      </c>
      <c r="BA116" s="46">
        <f>SUM(AZ$116,'Statistics NZ'!BA$116-'Statistics NZ'!AZ$116,$B$13/5*(BA$8-BA$9)*1000)</f>
        <v>35269.266440490057</v>
      </c>
      <c r="BB116" s="46">
        <f>SUM(BA$116,'Statistics NZ'!BB$116-'Statistics NZ'!BA$116,$B$13/5*(BB$8-BB$9)*1000)</f>
        <v>35239.266440490057</v>
      </c>
      <c r="BC116" s="46">
        <f>SUM(BB$116,'Statistics NZ'!BC$116-'Statistics NZ'!BB$116,$B$13/5*(BC$8-BC$9)*1000)</f>
        <v>35229.266440490057</v>
      </c>
      <c r="BD116" s="46">
        <f>SUM(BC$116,'Statistics NZ'!BD$116-'Statistics NZ'!BC$116,$B$13/5*(BD$8-BD$9)*1000)</f>
        <v>35239.266440490057</v>
      </c>
      <c r="BE116" s="46">
        <f>SUM(BD$116,'Statistics NZ'!BE$116-'Statistics NZ'!BD$116,$B$13/5*(BE$8-BE$9)*1000)</f>
        <v>35269.266440490057</v>
      </c>
      <c r="BF116" s="46">
        <f>SUM(BE$116,'Statistics NZ'!BF$116-'Statistics NZ'!BE$116,$B$13/5*(BF$8-BF$9)*1000)</f>
        <v>35319.266440490057</v>
      </c>
      <c r="BG116" s="46">
        <f>SUM(BF$116,'Statistics NZ'!BG$116-'Statistics NZ'!BF$116,$B$13/5*(BG$8-BG$9)*1000)</f>
        <v>35389.266440490057</v>
      </c>
      <c r="BH116" s="46">
        <f>SUM(BG$116,'Statistics NZ'!BH$116-'Statistics NZ'!BG$116,$B$13/5*(BH$8-BH$9)*1000)</f>
        <v>35479.266440490057</v>
      </c>
      <c r="BI116" s="46">
        <f>SUM(BH$116,'Statistics NZ'!BI$116-'Statistics NZ'!BH$116,$B$13/5*(BI$8-BI$9)*1000)</f>
        <v>35579.266440490057</v>
      </c>
    </row>
    <row r="117" spans="1:61" x14ac:dyDescent="0.25">
      <c r="A117" s="11">
        <f>$A$17</f>
        <v>2</v>
      </c>
      <c r="B117" s="44">
        <f>'Statistics NZ'!B$117*('Economic Forecasts'!D$10-'Economic Forecasts'!D$9)*1000000/SUM('Statistics NZ'!B$15:B$29,'Statistics NZ'!B$115:B$129)</f>
        <v>31286.958381646054</v>
      </c>
      <c r="C117" s="44">
        <f>'Statistics NZ'!C$117*('Economic Forecasts'!E$10-'Economic Forecasts'!E$9)*1000000/SUM('Statistics NZ'!C$15:C$29,'Statistics NZ'!C$115:C$129)</f>
        <v>31081.4607876136</v>
      </c>
      <c r="D117" s="44">
        <f>'Statistics NZ'!D$117*('Economic Forecasts'!F$10-'Economic Forecasts'!F$9)*1000000/SUM('Statistics NZ'!D$15:D$29,'Statistics NZ'!D$115:D$129)</f>
        <v>31813.749706870949</v>
      </c>
      <c r="E117" s="44">
        <f>'Statistics NZ'!E$117*('Economic Forecasts'!G$10-'Economic Forecasts'!G$9)*1000000/SUM('Statistics NZ'!E$15:E$29,'Statistics NZ'!E$115:E$129)</f>
        <v>33548.160149141106</v>
      </c>
      <c r="F117" s="44">
        <f>'Statistics NZ'!F$117*('Economic Forecasts'!H$10-'Economic Forecasts'!H$9)*1000000/SUM('Statistics NZ'!F$15:F$29,'Statistics NZ'!F$115:F$129)</f>
        <v>34951.203558922636</v>
      </c>
      <c r="G117" s="44">
        <f>'Statistics NZ'!G$117*('Economic Forecasts'!I$10-'Economic Forecasts'!I$9)*1000000/SUM('Statistics NZ'!G$15:G$29,'Statistics NZ'!G$115:G$129)</f>
        <v>35012.34641104193</v>
      </c>
      <c r="H117" s="44">
        <f>'Statistics NZ'!H$117*('Economic Forecasts'!J$10-'Economic Forecasts'!J$9)*1000000/SUM('Statistics NZ'!H$15:H$29,'Statistics NZ'!H$115:H$129)</f>
        <v>34909.470109143687</v>
      </c>
      <c r="I117" s="44">
        <f>'Statistics NZ'!I$117*('Economic Forecasts'!K$10-'Economic Forecasts'!K$9)*1000000/SUM('Statistics NZ'!I$15:I$29,'Statistics NZ'!I$115:I$129)</f>
        <v>33982.570230746365</v>
      </c>
      <c r="J117" s="44">
        <f>'Statistics NZ'!J$117*('Economic Forecasts'!L$10-'Economic Forecasts'!L$9)*1000000/SUM('Statistics NZ'!J$15:J$29,'Statistics NZ'!J$115:J$129)</f>
        <v>33795.552313783977</v>
      </c>
      <c r="K117" s="44">
        <f>'Statistics NZ'!K$117*('Economic Forecasts'!M$10-'Economic Forecasts'!M$9)*1000000/SUM('Statistics NZ'!K$15:K$29,'Statistics NZ'!K$115:K$129)</f>
        <v>33612.377885717411</v>
      </c>
      <c r="L117" s="44">
        <f>'Statistics NZ'!L$117*('Economic Forecasts'!N$10-'Economic Forecasts'!N$9)*1000000/SUM('Statistics NZ'!L$15:L$29,'Statistics NZ'!L$115:L$129)</f>
        <v>33022.755294066759</v>
      </c>
      <c r="M117" s="44">
        <f>'Statistics NZ'!M$117*('Economic Forecasts'!O$10-'Economic Forecasts'!O$9)*1000000/SUM('Statistics NZ'!M$15:M$29,'Statistics NZ'!M$115:M$129)</f>
        <v>33142.6907763415</v>
      </c>
      <c r="N117" s="44">
        <f>'Statistics NZ'!N$117*('Economic Forecasts'!P$10-'Economic Forecasts'!P$9)*1000000/SUM('Statistics NZ'!N$15:N$29,'Statistics NZ'!N$115:N$129)</f>
        <v>33246.832968821007</v>
      </c>
      <c r="O117" s="44">
        <f>'Statistics NZ'!O$117*('Economic Forecasts'!Q$10-'Economic Forecasts'!Q$9)*1000000/SUM('Statistics NZ'!O$15:O$29,'Statistics NZ'!O$115:O$129)</f>
        <v>32895.710029791451</v>
      </c>
      <c r="P117" s="44">
        <f>'Statistics NZ'!P$117*('Economic Forecasts'!R$10-'Economic Forecasts'!R$9)*1000000/SUM('Statistics NZ'!P$15:P$29,'Statistics NZ'!P$115:P$129)</f>
        <v>32813.296733972289</v>
      </c>
      <c r="Q117" s="44">
        <f>'Statistics NZ'!Q$117*('Economic Forecasts'!S$10-'Economic Forecasts'!S$9)*1000000/SUM('Statistics NZ'!Q$15:Q$29,'Statistics NZ'!Q$115:Q$129)</f>
        <v>32700.751817580953</v>
      </c>
      <c r="R117" s="44">
        <f>'Statistics NZ'!R$117*('Economic Forecasts'!T$10-'Economic Forecasts'!T$9)*1000000/SUM('Statistics NZ'!R$15:R$29,'Statistics NZ'!R$115:R$129)</f>
        <v>32066.545594171897</v>
      </c>
      <c r="S117" s="44">
        <f>'Statistics NZ'!S$117*('Economic Forecasts'!U$10-'Economic Forecasts'!U$9)*1000000/SUM('Statistics NZ'!S$15:S$29,'Statistics NZ'!S$115:S$129)</f>
        <v>33638.974401270163</v>
      </c>
      <c r="T117" s="44">
        <f>'Statistics NZ'!T$117*('Economic Forecasts'!V$10-'Economic Forecasts'!V$9)*1000000/SUM('Statistics NZ'!T$15:T$29,'Statistics NZ'!T$115:T$129)</f>
        <v>33219.233013585035</v>
      </c>
      <c r="U117" s="45">
        <f>SUM('Statistics NZ'!U$117,$B$13/5*(U$8-U$9)*1000)*('Economic Forecasts'!W$10-'Economic Forecasts'!W$9)*1000000/SUM('Statistics NZ'!U$15:U$29,'Statistics NZ'!U$115:U$129,SUM($B$12:$D$13)*(U$8-U$9)*1000)</f>
        <v>31545.661171042713</v>
      </c>
      <c r="V117" s="45">
        <f>SUM('Statistics NZ'!V$117,$B$13/5*(V$8-V$9)*1000)*('Economic Forecasts'!X$10-'Economic Forecasts'!X$9)*1000000/SUM('Statistics NZ'!V$15:V$29,'Statistics NZ'!V$115:V$129,SUM($B$12:$D$13)*(V$8-V$9)*1000)</f>
        <v>31670.178621491355</v>
      </c>
      <c r="W117" s="45">
        <f>SUM('Statistics NZ'!W$117,$B$13/5*(W$8-W$9)*1000)*('Economic Forecasts'!Y$10-'Economic Forecasts'!Y$9)*1000000/SUM('Statistics NZ'!W$15:W$29,'Statistics NZ'!W$115:W$129,SUM($B$12:$D$13)*(W$8-W$9)*1000)</f>
        <v>32740.611365516637</v>
      </c>
      <c r="X117" s="45">
        <f>SUM('Statistics NZ'!X$117,$B$13/5*(X$8-X$9)*1000)*('Economic Forecasts'!Z$10-'Economic Forecasts'!Z$9)*1000000/SUM('Statistics NZ'!X$15:X$29,'Statistics NZ'!X$115:X$129,SUM($B$12:$D$13)*(X$8-X$9)*1000)</f>
        <v>33191.391120548702</v>
      </c>
      <c r="Y117" s="45">
        <f>SUM('Statistics NZ'!Y$117,$B$13/5*(Y$8-Y$9)*1000)*('Economic Forecasts'!AA$10-'Economic Forecasts'!AA$9)*1000000/SUM('Statistics NZ'!Y$15:Y$29,'Statistics NZ'!Y$115:Y$129,SUM($B$12:$D$13)*(Y$8-Y$9)*1000)</f>
        <v>33570.924612609895</v>
      </c>
      <c r="Z117" s="46">
        <f>SUM(Y$117,'Statistics NZ'!Z$117-'Statistics NZ'!Y$117,$B$13/5*(Z$8-Z$9)*1000)</f>
        <v>33585.94326717798</v>
      </c>
      <c r="AA117" s="46">
        <f>SUM(Z$117,'Statistics NZ'!AA$117-'Statistics NZ'!Z$117,$B$13/5*(AA$8-AA$9)*1000)</f>
        <v>33594.95445991883</v>
      </c>
      <c r="AB117" s="46">
        <f>SUM(AA$117,'Statistics NZ'!AB$117-'Statistics NZ'!AA$117,$B$13/5*(AB$8-AB$9)*1000)</f>
        <v>33589.159683197897</v>
      </c>
      <c r="AC117" s="46">
        <f>SUM(AB$117,'Statistics NZ'!AC$117-'Statistics NZ'!AB$117,$B$13/5*(AC$8-AC$9)*1000)</f>
        <v>33599.159683197897</v>
      </c>
      <c r="AD117" s="46">
        <f>SUM(AC$117,'Statistics NZ'!AD$117-'Statistics NZ'!AC$117,$B$13/5*(AD$8-AD$9)*1000)</f>
        <v>33629.159683197897</v>
      </c>
      <c r="AE117" s="46">
        <f>SUM(AD$117,'Statistics NZ'!AE$117-'Statistics NZ'!AD$117,$B$13/5*(AE$8-AE$9)*1000)</f>
        <v>33679.159683197897</v>
      </c>
      <c r="AF117" s="46">
        <f>SUM(AE$117,'Statistics NZ'!AF$117-'Statistics NZ'!AE$117,$B$13/5*(AF$8-AF$9)*1000)</f>
        <v>33769.159683197897</v>
      </c>
      <c r="AG117" s="46">
        <f>SUM(AF$117,'Statistics NZ'!AG$117-'Statistics NZ'!AF$117,$B$13/5*(AG$8-AG$9)*1000)</f>
        <v>33909.159683197897</v>
      </c>
      <c r="AH117" s="46">
        <f>SUM(AG$117,'Statistics NZ'!AH$117-'Statistics NZ'!AG$117,$B$13/5*(AH$8-AH$9)*1000)</f>
        <v>34069.159683197897</v>
      </c>
      <c r="AI117" s="46">
        <f>SUM(AH$117,'Statistics NZ'!AI$117-'Statistics NZ'!AH$117,$B$13/5*(AI$8-AI$9)*1000)</f>
        <v>34269.159683197897</v>
      </c>
      <c r="AJ117" s="46">
        <f>SUM(AI$117,'Statistics NZ'!AJ$117-'Statistics NZ'!AI$117,$B$13/5*(AJ$8-AJ$9)*1000)</f>
        <v>34489.159683197897</v>
      </c>
      <c r="AK117" s="46">
        <f>SUM(AJ$117,'Statistics NZ'!AK$117-'Statistics NZ'!AJ$117,$B$13/5*(AK$8-AK$9)*1000)</f>
        <v>34729.159683197897</v>
      </c>
      <c r="AL117" s="46">
        <f>SUM(AK$117,'Statistics NZ'!AL$117-'Statistics NZ'!AK$117,$B$13/5*(AL$8-AL$9)*1000)</f>
        <v>34969.159683197897</v>
      </c>
      <c r="AM117" s="46">
        <f>SUM(AL$117,'Statistics NZ'!AM$117-'Statistics NZ'!AL$117,$B$13/5*(AM$8-AM$9)*1000)</f>
        <v>35199.159683197897</v>
      </c>
      <c r="AN117" s="46">
        <f>SUM(AM$117,'Statistics NZ'!AN$117-'Statistics NZ'!AM$117,$B$13/5*(AN$8-AN$9)*1000)</f>
        <v>35399.159683197897</v>
      </c>
      <c r="AO117" s="46">
        <f>SUM(AN$117,'Statistics NZ'!AO$117-'Statistics NZ'!AN$117,$B$13/5*(AO$8-AO$9)*1000)</f>
        <v>35579.159683197897</v>
      </c>
      <c r="AP117" s="46">
        <f>SUM(AO$117,'Statistics NZ'!AP$117-'Statistics NZ'!AO$117,$B$13/5*(AP$8-AP$9)*1000)</f>
        <v>35719.159683197897</v>
      </c>
      <c r="AQ117" s="46">
        <f>SUM(AP$117,'Statistics NZ'!AQ$117-'Statistics NZ'!AP$117,$B$13/5*(AQ$8-AQ$9)*1000)</f>
        <v>35819.159683197897</v>
      </c>
      <c r="AR117" s="46">
        <f>SUM(AQ$117,'Statistics NZ'!AR$117-'Statistics NZ'!AQ$117,$B$13/5*(AR$8-AR$9)*1000)</f>
        <v>35879.159683197897</v>
      </c>
      <c r="AS117" s="46">
        <f>SUM(AR$117,'Statistics NZ'!AS$117-'Statistics NZ'!AR$117,$B$13/5*(AS$8-AS$9)*1000)</f>
        <v>35919.159683197897</v>
      </c>
      <c r="AT117" s="46">
        <f>SUM(AS$117,'Statistics NZ'!AT$117-'Statistics NZ'!AS$117,$B$13/5*(AT$8-AT$9)*1000)</f>
        <v>35919.159683197897</v>
      </c>
      <c r="AU117" s="46">
        <f>SUM(AT$117,'Statistics NZ'!AU$117-'Statistics NZ'!AT$117,$B$13/5*(AU$8-AU$9)*1000)</f>
        <v>35899.159683197897</v>
      </c>
      <c r="AV117" s="46">
        <f>SUM(AU$117,'Statistics NZ'!AV$117-'Statistics NZ'!AU$117,$B$13/5*(AV$8-AV$9)*1000)</f>
        <v>35859.159683197897</v>
      </c>
      <c r="AW117" s="46">
        <f>SUM(AV$117,'Statistics NZ'!AW$117-'Statistics NZ'!AV$117,$B$13/5*(AW$8-AW$9)*1000)</f>
        <v>35809.159683197897</v>
      </c>
      <c r="AX117" s="46">
        <f>SUM(AW$117,'Statistics NZ'!AX$117-'Statistics NZ'!AW$117,$B$13/5*(AX$8-AX$9)*1000)</f>
        <v>35739.159683197897</v>
      </c>
      <c r="AY117" s="46">
        <f>SUM(AX$117,'Statistics NZ'!AY$117-'Statistics NZ'!AX$117,$B$13/5*(AY$8-AY$9)*1000)</f>
        <v>35679.159683197897</v>
      </c>
      <c r="AZ117" s="46">
        <f>SUM(AY$117,'Statistics NZ'!AZ$117-'Statistics NZ'!AY$117,$B$13/5*(AZ$8-AZ$9)*1000)</f>
        <v>35609.159683197897</v>
      </c>
      <c r="BA117" s="46">
        <f>SUM(AZ$117,'Statistics NZ'!BA$117-'Statistics NZ'!AZ$117,$B$13/5*(BA$8-BA$9)*1000)</f>
        <v>35559.159683197897</v>
      </c>
      <c r="BB117" s="46">
        <f>SUM(BA$117,'Statistics NZ'!BB$117-'Statistics NZ'!BA$117,$B$13/5*(BB$8-BB$9)*1000)</f>
        <v>35509.159683197897</v>
      </c>
      <c r="BC117" s="46">
        <f>SUM(BB$117,'Statistics NZ'!BC$117-'Statistics NZ'!BB$117,$B$13/5*(BC$8-BC$9)*1000)</f>
        <v>35489.159683197897</v>
      </c>
      <c r="BD117" s="46">
        <f>SUM(BC$117,'Statistics NZ'!BD$117-'Statistics NZ'!BC$117,$B$13/5*(BD$8-BD$9)*1000)</f>
        <v>35479.159683197897</v>
      </c>
      <c r="BE117" s="46">
        <f>SUM(BD$117,'Statistics NZ'!BE$117-'Statistics NZ'!BD$117,$B$13/5*(BE$8-BE$9)*1000)</f>
        <v>35489.159683197897</v>
      </c>
      <c r="BF117" s="46">
        <f>SUM(BE$117,'Statistics NZ'!BF$117-'Statistics NZ'!BE$117,$B$13/5*(BF$8-BF$9)*1000)</f>
        <v>35519.159683197897</v>
      </c>
      <c r="BG117" s="46">
        <f>SUM(BF$117,'Statistics NZ'!BG$117-'Statistics NZ'!BF$117,$B$13/5*(BG$8-BG$9)*1000)</f>
        <v>35569.159683197897</v>
      </c>
      <c r="BH117" s="46">
        <f>SUM(BG$117,'Statistics NZ'!BH$117-'Statistics NZ'!BG$117,$B$13/5*(BH$8-BH$9)*1000)</f>
        <v>35639.159683197897</v>
      </c>
      <c r="BI117" s="46">
        <f>SUM(BH$117,'Statistics NZ'!BI$117-'Statistics NZ'!BH$117,$B$13/5*(BI$8-BI$9)*1000)</f>
        <v>35729.159683197897</v>
      </c>
    </row>
    <row r="118" spans="1:61" x14ac:dyDescent="0.25">
      <c r="A118" s="11">
        <f>$A$18</f>
        <v>3</v>
      </c>
      <c r="B118" s="44">
        <f>'Statistics NZ'!B$118*('Economic Forecasts'!D$10-'Economic Forecasts'!D$9)*1000000/SUM('Statistics NZ'!B$15:B$29,'Statistics NZ'!B$115:B$129)</f>
        <v>30534.20540126758</v>
      </c>
      <c r="C118" s="44">
        <f>'Statistics NZ'!C$118*('Economic Forecasts'!E$10-'Economic Forecasts'!E$9)*1000000/SUM('Statistics NZ'!C$15:C$29,'Statistics NZ'!C$115:C$129)</f>
        <v>31281.714349826096</v>
      </c>
      <c r="D118" s="44">
        <f>'Statistics NZ'!D$118*('Economic Forecasts'!F$10-'Economic Forecasts'!F$9)*1000000/SUM('Statistics NZ'!D$15:D$29,'Statistics NZ'!D$115:D$129)</f>
        <v>31159.970296255768</v>
      </c>
      <c r="E118" s="44">
        <f>'Statistics NZ'!E$118*('Economic Forecasts'!G$10-'Economic Forecasts'!G$9)*1000000/SUM('Statistics NZ'!E$15:E$29,'Statistics NZ'!E$115:E$129)</f>
        <v>31944.600292955743</v>
      </c>
      <c r="F118" s="44">
        <f>'Statistics NZ'!F$118*('Economic Forecasts'!H$10-'Economic Forecasts'!H$9)*1000000/SUM('Statistics NZ'!F$15:F$29,'Statistics NZ'!F$115:F$129)</f>
        <v>33672.372101217872</v>
      </c>
      <c r="G118" s="44">
        <f>'Statistics NZ'!G$118*('Economic Forecasts'!I$10-'Economic Forecasts'!I$9)*1000000/SUM('Statistics NZ'!G$15:G$29,'Statistics NZ'!G$115:G$129)</f>
        <v>34885.298283756631</v>
      </c>
      <c r="H118" s="44">
        <f>'Statistics NZ'!H$118*('Economic Forecasts'!J$10-'Economic Forecasts'!J$9)*1000000/SUM('Statistics NZ'!H$15:H$29,'Statistics NZ'!H$115:H$129)</f>
        <v>34951.874567217354</v>
      </c>
      <c r="I118" s="44">
        <f>'Statistics NZ'!I$118*('Economic Forecasts'!K$10-'Economic Forecasts'!K$9)*1000000/SUM('Statistics NZ'!I$15:I$29,'Statistics NZ'!I$115:I$129)</f>
        <v>35034.892549433855</v>
      </c>
      <c r="J118" s="44">
        <f>'Statistics NZ'!J$118*('Economic Forecasts'!L$10-'Economic Forecasts'!L$9)*1000000/SUM('Statistics NZ'!J$15:J$29,'Statistics NZ'!J$115:J$129)</f>
        <v>34382.465915696863</v>
      </c>
      <c r="K118" s="44">
        <f>'Statistics NZ'!K$118*('Economic Forecasts'!M$10-'Economic Forecasts'!M$9)*1000000/SUM('Statistics NZ'!K$15:K$29,'Statistics NZ'!K$115:K$129)</f>
        <v>34276.061780276163</v>
      </c>
      <c r="L118" s="44">
        <f>'Statistics NZ'!L$118*('Economic Forecasts'!N$10-'Economic Forecasts'!N$9)*1000000/SUM('Statistics NZ'!L$15:L$29,'Statistics NZ'!L$115:L$129)</f>
        <v>34144.161925980414</v>
      </c>
      <c r="M118" s="44">
        <f>'Statistics NZ'!M$118*('Economic Forecasts'!O$10-'Economic Forecasts'!O$9)*1000000/SUM('Statistics NZ'!M$15:M$29,'Statistics NZ'!M$115:M$129)</f>
        <v>33439.269664720392</v>
      </c>
      <c r="N118" s="44">
        <f>'Statistics NZ'!N$118*('Economic Forecasts'!P$10-'Economic Forecasts'!P$9)*1000000/SUM('Statistics NZ'!N$15:N$29,'Statistics NZ'!N$115:N$129)</f>
        <v>33701.834183862156</v>
      </c>
      <c r="O118" s="44">
        <f>'Statistics NZ'!O$118*('Economic Forecasts'!Q$10-'Economic Forecasts'!Q$9)*1000000/SUM('Statistics NZ'!O$15:O$29,'Statistics NZ'!O$115:O$129)</f>
        <v>33473.56504468718</v>
      </c>
      <c r="P118" s="44">
        <f>'Statistics NZ'!P$118*('Economic Forecasts'!R$10-'Economic Forecasts'!R$9)*1000000/SUM('Statistics NZ'!P$15:P$29,'Statistics NZ'!P$115:P$129)</f>
        <v>33710.989113240918</v>
      </c>
      <c r="Q118" s="44">
        <f>'Statistics NZ'!Q$118*('Economic Forecasts'!S$10-'Economic Forecasts'!S$9)*1000000/SUM('Statistics NZ'!Q$15:Q$29,'Statistics NZ'!Q$115:Q$129)</f>
        <v>32784.707534699257</v>
      </c>
      <c r="R118" s="44">
        <f>'Statistics NZ'!R$118*('Economic Forecasts'!T$10-'Economic Forecasts'!T$9)*1000000/SUM('Statistics NZ'!R$15:R$29,'Statistics NZ'!R$115:R$129)</f>
        <v>33067.30835088883</v>
      </c>
      <c r="S118" s="44">
        <f>'Statistics NZ'!S$118*('Economic Forecasts'!U$10-'Economic Forecasts'!U$9)*1000000/SUM('Statistics NZ'!S$15:S$29,'Statistics NZ'!S$115:S$129)</f>
        <v>33033.345361196763</v>
      </c>
      <c r="T118" s="44">
        <f>'Statistics NZ'!T$118*('Economic Forecasts'!V$10-'Economic Forecasts'!V$9)*1000000/SUM('Statistics NZ'!T$15:T$29,'Statistics NZ'!T$115:T$129)</f>
        <v>34207.205085943024</v>
      </c>
      <c r="U118" s="45">
        <f>SUM('Statistics NZ'!U$118,$B$13/5*(U$8-U$9)*1000)*('Economic Forecasts'!W$10-'Economic Forecasts'!W$9)*1000000/SUM('Statistics NZ'!U$15:U$29,'Statistics NZ'!U$115:U$129,SUM($B$12:$D$13)*(U$8-U$9)*1000)</f>
        <v>33482.841528886078</v>
      </c>
      <c r="V118" s="45">
        <f>SUM('Statistics NZ'!V$118,$B$13/5*(V$8-V$9)*1000)*('Economic Forecasts'!X$10-'Economic Forecasts'!X$9)*1000000/SUM('Statistics NZ'!V$15:V$29,'Statistics NZ'!V$115:V$129,SUM($B$12:$D$13)*(V$8-V$9)*1000)</f>
        <v>32100.783298069757</v>
      </c>
      <c r="W118" s="45">
        <f>SUM('Statistics NZ'!W$118,$B$13/5*(W$8-W$9)*1000)*('Economic Forecasts'!Y$10-'Economic Forecasts'!Y$9)*1000000/SUM('Statistics NZ'!W$15:W$29,'Statistics NZ'!W$115:W$129,SUM($B$12:$D$13)*(W$8-W$9)*1000)</f>
        <v>32282.579493914676</v>
      </c>
      <c r="X118" s="45">
        <f>SUM('Statistics NZ'!X$118,$B$13/5*(X$8-X$9)*1000)*('Economic Forecasts'!Z$10-'Economic Forecasts'!Z$9)*1000000/SUM('Statistics NZ'!X$15:X$29,'Statistics NZ'!X$115:X$129,SUM($B$12:$D$13)*(X$8-X$9)*1000)</f>
        <v>33379.147470293276</v>
      </c>
      <c r="Y118" s="45">
        <f>SUM('Statistics NZ'!Y$118,$B$13/5*(Y$8-Y$9)*1000)*('Economic Forecasts'!AA$10-'Economic Forecasts'!AA$9)*1000000/SUM('Statistics NZ'!Y$15:Y$29,'Statistics NZ'!Y$115:Y$129,SUM($B$12:$D$13)*(Y$8-Y$9)*1000)</f>
        <v>33805.498618307814</v>
      </c>
      <c r="Z118" s="46">
        <f>SUM(Y$118,'Statistics NZ'!Z$118-'Statistics NZ'!Y$118,$B$13/5*(Z$8-Z$9)*1000)</f>
        <v>33840.517272875899</v>
      </c>
      <c r="AA118" s="46">
        <f>SUM(Z$118,'Statistics NZ'!AA$118-'Statistics NZ'!Z$118,$B$13/5*(AA$8-AA$9)*1000)</f>
        <v>33849.52846561675</v>
      </c>
      <c r="AB118" s="46">
        <f>SUM(AA$118,'Statistics NZ'!AB$118-'Statistics NZ'!AA$118,$B$13/5*(AB$8-AB$9)*1000)</f>
        <v>33853.733688895816</v>
      </c>
      <c r="AC118" s="46">
        <f>SUM(AB$118,'Statistics NZ'!AC$118-'Statistics NZ'!AB$118,$B$13/5*(AC$8-AC$9)*1000)</f>
        <v>33843.733688895816</v>
      </c>
      <c r="AD118" s="46">
        <f>SUM(AC$118,'Statistics NZ'!AD$118-'Statistics NZ'!AC$118,$B$13/5*(AD$8-AD$9)*1000)</f>
        <v>33853.733688895816</v>
      </c>
      <c r="AE118" s="46">
        <f>SUM(AD$118,'Statistics NZ'!AE$118-'Statistics NZ'!AD$118,$B$13/5*(AE$8-AE$9)*1000)</f>
        <v>33883.733688895816</v>
      </c>
      <c r="AF118" s="46">
        <f>SUM(AE$118,'Statistics NZ'!AF$118-'Statistics NZ'!AE$118,$B$13/5*(AF$8-AF$9)*1000)</f>
        <v>33943.733688895816</v>
      </c>
      <c r="AG118" s="46">
        <f>SUM(AF$118,'Statistics NZ'!AG$118-'Statistics NZ'!AF$118,$B$13/5*(AG$8-AG$9)*1000)</f>
        <v>34043.733688895816</v>
      </c>
      <c r="AH118" s="46">
        <f>SUM(AG$118,'Statistics NZ'!AH$118-'Statistics NZ'!AG$118,$B$13/5*(AH$8-AH$9)*1000)</f>
        <v>34173.733688895816</v>
      </c>
      <c r="AI118" s="46">
        <f>SUM(AH$118,'Statistics NZ'!AI$118-'Statistics NZ'!AH$118,$B$13/5*(AI$8-AI$9)*1000)</f>
        <v>34343.733688895816</v>
      </c>
      <c r="AJ118" s="46">
        <f>SUM(AI$118,'Statistics NZ'!AJ$118-'Statistics NZ'!AI$118,$B$13/5*(AJ$8-AJ$9)*1000)</f>
        <v>34543.733688895816</v>
      </c>
      <c r="AK118" s="46">
        <f>SUM(AJ$118,'Statistics NZ'!AK$118-'Statistics NZ'!AJ$118,$B$13/5*(AK$8-AK$9)*1000)</f>
        <v>34763.733688895816</v>
      </c>
      <c r="AL118" s="46">
        <f>SUM(AK$118,'Statistics NZ'!AL$118-'Statistics NZ'!AK$118,$B$13/5*(AL$8-AL$9)*1000)</f>
        <v>35003.733688895816</v>
      </c>
      <c r="AM118" s="46">
        <f>SUM(AL$118,'Statistics NZ'!AM$118-'Statistics NZ'!AL$118,$B$13/5*(AM$8-AM$9)*1000)</f>
        <v>35243.733688895816</v>
      </c>
      <c r="AN118" s="46">
        <f>SUM(AM$118,'Statistics NZ'!AN$118-'Statistics NZ'!AM$118,$B$13/5*(AN$8-AN$9)*1000)</f>
        <v>35473.733688895816</v>
      </c>
      <c r="AO118" s="46">
        <f>SUM(AN$118,'Statistics NZ'!AO$118-'Statistics NZ'!AN$118,$B$13/5*(AO$8-AO$9)*1000)</f>
        <v>35683.733688895816</v>
      </c>
      <c r="AP118" s="46">
        <f>SUM(AO$118,'Statistics NZ'!AP$118-'Statistics NZ'!AO$118,$B$13/5*(AP$8-AP$9)*1000)</f>
        <v>35853.733688895816</v>
      </c>
      <c r="AQ118" s="46">
        <f>SUM(AP$118,'Statistics NZ'!AQ$118-'Statistics NZ'!AP$118,$B$13/5*(AQ$8-AQ$9)*1000)</f>
        <v>35993.733688895816</v>
      </c>
      <c r="AR118" s="46">
        <f>SUM(AQ$118,'Statistics NZ'!AR$118-'Statistics NZ'!AQ$118,$B$13/5*(AR$8-AR$9)*1000)</f>
        <v>36103.733688895816</v>
      </c>
      <c r="AS118" s="46">
        <f>SUM(AR$118,'Statistics NZ'!AS$118-'Statistics NZ'!AR$118,$B$13/5*(AS$8-AS$9)*1000)</f>
        <v>36173.733688895816</v>
      </c>
      <c r="AT118" s="46">
        <f>SUM(AS$118,'Statistics NZ'!AT$118-'Statistics NZ'!AS$118,$B$13/5*(AT$8-AT$9)*1000)</f>
        <v>36203.733688895816</v>
      </c>
      <c r="AU118" s="46">
        <f>SUM(AT$118,'Statistics NZ'!AU$118-'Statistics NZ'!AT$118,$B$13/5*(AU$8-AU$9)*1000)</f>
        <v>36213.733688895816</v>
      </c>
      <c r="AV118" s="46">
        <f>SUM(AU$118,'Statistics NZ'!AV$118-'Statistics NZ'!AU$118,$B$13/5*(AV$8-AV$9)*1000)</f>
        <v>36193.733688895816</v>
      </c>
      <c r="AW118" s="46">
        <f>SUM(AV$118,'Statistics NZ'!AW$118-'Statistics NZ'!AV$118,$B$13/5*(AW$8-AW$9)*1000)</f>
        <v>36153.733688895816</v>
      </c>
      <c r="AX118" s="46">
        <f>SUM(AW$118,'Statistics NZ'!AX$118-'Statistics NZ'!AW$118,$B$13/5*(AX$8-AX$9)*1000)</f>
        <v>36103.733688895816</v>
      </c>
      <c r="AY118" s="46">
        <f>SUM(AX$118,'Statistics NZ'!AY$118-'Statistics NZ'!AX$118,$B$13/5*(AY$8-AY$9)*1000)</f>
        <v>36033.733688895816</v>
      </c>
      <c r="AZ118" s="46">
        <f>SUM(AY$118,'Statistics NZ'!AZ$118-'Statistics NZ'!AY$118,$B$13/5*(AZ$8-AZ$9)*1000)</f>
        <v>35973.733688895816</v>
      </c>
      <c r="BA118" s="46">
        <f>SUM(AZ$118,'Statistics NZ'!BA$118-'Statistics NZ'!AZ$118,$B$13/5*(BA$8-BA$9)*1000)</f>
        <v>35913.733688895816</v>
      </c>
      <c r="BB118" s="46">
        <f>SUM(BA$118,'Statistics NZ'!BB$118-'Statistics NZ'!BA$118,$B$13/5*(BB$8-BB$9)*1000)</f>
        <v>35863.733688895816</v>
      </c>
      <c r="BC118" s="46">
        <f>SUM(BB$118,'Statistics NZ'!BC$118-'Statistics NZ'!BB$118,$B$13/5*(BC$8-BC$9)*1000)</f>
        <v>35823.733688895816</v>
      </c>
      <c r="BD118" s="46">
        <f>SUM(BC$118,'Statistics NZ'!BD$118-'Statistics NZ'!BC$118,$B$13/5*(BD$8-BD$9)*1000)</f>
        <v>35793.733688895816</v>
      </c>
      <c r="BE118" s="46">
        <f>SUM(BD$118,'Statistics NZ'!BE$118-'Statistics NZ'!BD$118,$B$13/5*(BE$8-BE$9)*1000)</f>
        <v>35783.733688895816</v>
      </c>
      <c r="BF118" s="46">
        <f>SUM(BE$118,'Statistics NZ'!BF$118-'Statistics NZ'!BE$118,$B$13/5*(BF$8-BF$9)*1000)</f>
        <v>35793.733688895816</v>
      </c>
      <c r="BG118" s="46">
        <f>SUM(BF$118,'Statistics NZ'!BG$118-'Statistics NZ'!BF$118,$B$13/5*(BG$8-BG$9)*1000)</f>
        <v>35833.733688895816</v>
      </c>
      <c r="BH118" s="46">
        <f>SUM(BG$118,'Statistics NZ'!BH$118-'Statistics NZ'!BG$118,$B$13/5*(BH$8-BH$9)*1000)</f>
        <v>35883.733688895816</v>
      </c>
      <c r="BI118" s="46">
        <f>SUM(BH$118,'Statistics NZ'!BI$118-'Statistics NZ'!BH$118,$B$13/5*(BI$8-BI$9)*1000)</f>
        <v>35953.733688895816</v>
      </c>
    </row>
    <row r="119" spans="1:61" x14ac:dyDescent="0.25">
      <c r="A119" s="11">
        <f>$A$19</f>
        <v>4</v>
      </c>
      <c r="B119" s="44">
        <f>'Statistics NZ'!B$119*('Economic Forecasts'!D$10-'Economic Forecasts'!D$9)*1000000/SUM('Statistics NZ'!B$15:B$29,'Statistics NZ'!B$115:B$129)</f>
        <v>30078.312751179208</v>
      </c>
      <c r="C119" s="44">
        <f>'Statistics NZ'!C$119*('Economic Forecasts'!E$10-'Economic Forecasts'!E$9)*1000000/SUM('Statistics NZ'!C$15:C$29,'Statistics NZ'!C$115:C$129)</f>
        <v>30533.398406821496</v>
      </c>
      <c r="D119" s="44">
        <f>'Statistics NZ'!D$119*('Economic Forecasts'!F$10-'Economic Forecasts'!F$9)*1000000/SUM('Statistics NZ'!D$15:D$29,'Statistics NZ'!D$115:D$129)</f>
        <v>31360.322051121711</v>
      </c>
      <c r="E119" s="44">
        <f>'Statistics NZ'!E$119*('Economic Forecasts'!G$10-'Economic Forecasts'!G$9)*1000000/SUM('Statistics NZ'!E$15:E$29,'Statistics NZ'!E$115:E$129)</f>
        <v>31301.066403302408</v>
      </c>
      <c r="F119" s="44">
        <f>'Statistics NZ'!F$119*('Economic Forecasts'!H$10-'Economic Forecasts'!H$9)*1000000/SUM('Statistics NZ'!F$15:F$29,'Statistics NZ'!F$115:F$129)</f>
        <v>32013.061862708393</v>
      </c>
      <c r="G119" s="44">
        <f>'Statistics NZ'!G$119*('Economic Forecasts'!I$10-'Economic Forecasts'!I$9)*1000000/SUM('Statistics NZ'!G$15:G$29,'Statistics NZ'!G$115:G$129)</f>
        <v>33678.341074546232</v>
      </c>
      <c r="H119" s="44">
        <f>'Statistics NZ'!H$119*('Economic Forecasts'!J$10-'Economic Forecasts'!J$9)*1000000/SUM('Statistics NZ'!H$15:H$29,'Statistics NZ'!H$115:H$129)</f>
        <v>34792.857849441112</v>
      </c>
      <c r="I119" s="44">
        <f>'Statistics NZ'!I$119*('Economic Forecasts'!K$10-'Economic Forecasts'!K$9)*1000000/SUM('Statistics NZ'!I$15:I$29,'Statistics NZ'!I$115:I$129)</f>
        <v>35003.003994322105</v>
      </c>
      <c r="J119" s="44">
        <f>'Statistics NZ'!J$119*('Economic Forecasts'!L$10-'Economic Forecasts'!L$9)*1000000/SUM('Statistics NZ'!J$15:J$29,'Statistics NZ'!J$115:J$129)</f>
        <v>35332.198835155905</v>
      </c>
      <c r="K119" s="44">
        <f>'Statistics NZ'!K$119*('Economic Forecasts'!M$10-'Economic Forecasts'!M$9)*1000000/SUM('Statistics NZ'!K$15:K$29,'Statistics NZ'!K$115:K$129)</f>
        <v>34832.699885389949</v>
      </c>
      <c r="L119" s="44">
        <f>'Statistics NZ'!L$119*('Economic Forecasts'!N$10-'Economic Forecasts'!N$9)*1000000/SUM('Statistics NZ'!L$15:L$29,'Statistics NZ'!L$115:L$129)</f>
        <v>34667.48502087345</v>
      </c>
      <c r="M119" s="44">
        <f>'Statistics NZ'!M$119*('Economic Forecasts'!O$10-'Economic Forecasts'!O$9)*1000000/SUM('Statistics NZ'!M$15:M$29,'Statistics NZ'!M$115:M$129)</f>
        <v>34403.151051951805</v>
      </c>
      <c r="N119" s="44">
        <f>'Statistics NZ'!N$119*('Economic Forecasts'!P$10-'Economic Forecasts'!P$9)*1000000/SUM('Statistics NZ'!N$15:N$29,'Statistics NZ'!N$115:N$129)</f>
        <v>33987.532621213577</v>
      </c>
      <c r="O119" s="44">
        <f>'Statistics NZ'!O$119*('Economic Forecasts'!Q$10-'Economic Forecasts'!Q$9)*1000000/SUM('Statistics NZ'!O$15:O$29,'Statistics NZ'!O$115:O$129)</f>
        <v>33998.88778550148</v>
      </c>
      <c r="P119" s="44">
        <f>'Statistics NZ'!P$119*('Economic Forecasts'!R$10-'Economic Forecasts'!R$9)*1000000/SUM('Statistics NZ'!P$15:P$29,'Statistics NZ'!P$115:P$129)</f>
        <v>34175.676933097631</v>
      </c>
      <c r="Q119" s="44">
        <f>'Statistics NZ'!Q$119*('Economic Forecasts'!S$10-'Economic Forecasts'!S$9)*1000000/SUM('Statistics NZ'!Q$15:Q$29,'Statistics NZ'!Q$115:Q$129)</f>
        <v>33603.275776602757</v>
      </c>
      <c r="R119" s="44">
        <f>'Statistics NZ'!R$119*('Economic Forecasts'!T$10-'Economic Forecasts'!T$9)*1000000/SUM('Statistics NZ'!R$15:R$29,'Statistics NZ'!R$115:R$129)</f>
        <v>33035.705316466185</v>
      </c>
      <c r="S119" s="44">
        <f>'Statistics NZ'!S$119*('Economic Forecasts'!U$10-'Economic Forecasts'!U$9)*1000000/SUM('Statistics NZ'!S$15:S$29,'Statistics NZ'!S$115:S$129)</f>
        <v>34148.977803437243</v>
      </c>
      <c r="T119" s="44">
        <f>'Statistics NZ'!T$119*('Economic Forecasts'!V$10-'Economic Forecasts'!V$9)*1000000/SUM('Statistics NZ'!T$15:T$29,'Statistics NZ'!T$115:T$129)</f>
        <v>33824.764283739933</v>
      </c>
      <c r="U119" s="45">
        <f>SUM('Statistics NZ'!U$119,$B$13/5*(U$8-U$9)*1000)*('Economic Forecasts'!W$10-'Economic Forecasts'!W$9)*1000000/SUM('Statistics NZ'!U$15:U$29,'Statistics NZ'!U$115:U$129,SUM($B$12:$D$13)*(U$8-U$9)*1000)</f>
        <v>34515.29479652788</v>
      </c>
      <c r="V119" s="45">
        <f>SUM('Statistics NZ'!V$119,$B$13/5*(V$8-V$9)*1000)*('Economic Forecasts'!X$10-'Economic Forecasts'!X$9)*1000000/SUM('Statistics NZ'!V$15:V$29,'Statistics NZ'!V$115:V$129,SUM($B$12:$D$13)*(V$8-V$9)*1000)</f>
        <v>34103.09504415933</v>
      </c>
      <c r="W119" s="45">
        <f>SUM('Statistics NZ'!W$119,$B$13/5*(W$8-W$9)*1000)*('Economic Forecasts'!Y$10-'Economic Forecasts'!Y$9)*1000000/SUM('Statistics NZ'!W$15:W$29,'Statistics NZ'!W$115:W$129,SUM($B$12:$D$13)*(W$8-W$9)*1000)</f>
        <v>32773.32792777392</v>
      </c>
      <c r="X119" s="45">
        <f>SUM('Statistics NZ'!X$119,$B$13/5*(X$8-X$9)*1000)*('Economic Forecasts'!Z$10-'Economic Forecasts'!Z$9)*1000000/SUM('Statistics NZ'!X$15:X$29,'Statistics NZ'!X$115:X$129,SUM($B$12:$D$13)*(X$8-X$9)*1000)</f>
        <v>32970.501297319781</v>
      </c>
      <c r="Y119" s="45">
        <f>SUM('Statistics NZ'!Y$119,$B$13/5*(Y$8-Y$9)*1000)*('Economic Forecasts'!AA$10-'Economic Forecasts'!AA$9)*1000000/SUM('Statistics NZ'!Y$15:Y$29,'Statistics NZ'!Y$115:Y$129,SUM($B$12:$D$13)*(Y$8-Y$9)*1000)</f>
        <v>34051.242814753256</v>
      </c>
      <c r="Z119" s="46">
        <f>SUM(Y$119,'Statistics NZ'!Z$119-'Statistics NZ'!Y$119,$B$13/5*(Z$8-Z$9)*1000)</f>
        <v>34116.26146932134</v>
      </c>
      <c r="AA119" s="46">
        <f>SUM(Z$119,'Statistics NZ'!AA$119-'Statistics NZ'!Z$119,$B$13/5*(AA$8-AA$9)*1000)</f>
        <v>34155.272662062191</v>
      </c>
      <c r="AB119" s="46">
        <f>SUM(AA$119,'Statistics NZ'!AB$119-'Statistics NZ'!AA$119,$B$13/5*(AB$8-AB$9)*1000)</f>
        <v>34169.477885341257</v>
      </c>
      <c r="AC119" s="46">
        <f>SUM(AB$119,'Statistics NZ'!AC$119-'Statistics NZ'!AB$119,$B$13/5*(AC$8-AC$9)*1000)</f>
        <v>34159.477885341257</v>
      </c>
      <c r="AD119" s="46">
        <f>SUM(AC$119,'Statistics NZ'!AD$119-'Statistics NZ'!AC$119,$B$13/5*(AD$8-AD$9)*1000)</f>
        <v>34159.477885341257</v>
      </c>
      <c r="AE119" s="46">
        <f>SUM(AD$119,'Statistics NZ'!AE$119-'Statistics NZ'!AD$119,$B$13/5*(AE$8-AE$9)*1000)</f>
        <v>34169.477885341257</v>
      </c>
      <c r="AF119" s="46">
        <f>SUM(AE$119,'Statistics NZ'!AF$119-'Statistics NZ'!AE$119,$B$13/5*(AF$8-AF$9)*1000)</f>
        <v>34199.477885341257</v>
      </c>
      <c r="AG119" s="46">
        <f>SUM(AF$119,'Statistics NZ'!AG$119-'Statistics NZ'!AF$119,$B$13/5*(AG$8-AG$9)*1000)</f>
        <v>34259.477885341257</v>
      </c>
      <c r="AH119" s="46">
        <f>SUM(AG$119,'Statistics NZ'!AH$119-'Statistics NZ'!AG$119,$B$13/5*(AH$8-AH$9)*1000)</f>
        <v>34359.477885341257</v>
      </c>
      <c r="AI119" s="46">
        <f>SUM(AH$119,'Statistics NZ'!AI$119-'Statistics NZ'!AH$119,$B$13/5*(AI$8-AI$9)*1000)</f>
        <v>34489.477885341257</v>
      </c>
      <c r="AJ119" s="46">
        <f>SUM(AI$119,'Statistics NZ'!AJ$119-'Statistics NZ'!AI$119,$B$13/5*(AJ$8-AJ$9)*1000)</f>
        <v>34669.477885341257</v>
      </c>
      <c r="AK119" s="46">
        <f>SUM(AJ$119,'Statistics NZ'!AK$119-'Statistics NZ'!AJ$119,$B$13/5*(AK$8-AK$9)*1000)</f>
        <v>34869.477885341257</v>
      </c>
      <c r="AL119" s="46">
        <f>SUM(AK$119,'Statistics NZ'!AL$119-'Statistics NZ'!AK$119,$B$13/5*(AL$8-AL$9)*1000)</f>
        <v>35089.477885341257</v>
      </c>
      <c r="AM119" s="46">
        <f>SUM(AL$119,'Statistics NZ'!AM$119-'Statistics NZ'!AL$119,$B$13/5*(AM$8-AM$9)*1000)</f>
        <v>35329.477885341257</v>
      </c>
      <c r="AN119" s="46">
        <f>SUM(AM$119,'Statistics NZ'!AN$119-'Statistics NZ'!AM$119,$B$13/5*(AN$8-AN$9)*1000)</f>
        <v>35579.477885341257</v>
      </c>
      <c r="AO119" s="46">
        <f>SUM(AN$119,'Statistics NZ'!AO$119-'Statistics NZ'!AN$119,$B$13/5*(AO$8-AO$9)*1000)</f>
        <v>35809.477885341257</v>
      </c>
      <c r="AP119" s="46">
        <f>SUM(AO$119,'Statistics NZ'!AP$119-'Statistics NZ'!AO$119,$B$13/5*(AP$8-AP$9)*1000)</f>
        <v>36019.477885341257</v>
      </c>
      <c r="AQ119" s="46">
        <f>SUM(AP$119,'Statistics NZ'!AQ$119-'Statistics NZ'!AP$119,$B$13/5*(AQ$8-AQ$9)*1000)</f>
        <v>36189.477885341257</v>
      </c>
      <c r="AR119" s="46">
        <f>SUM(AQ$119,'Statistics NZ'!AR$119-'Statistics NZ'!AQ$119,$B$13/5*(AR$8-AR$9)*1000)</f>
        <v>36339.477885341257</v>
      </c>
      <c r="AS119" s="46">
        <f>SUM(AR$119,'Statistics NZ'!AS$119-'Statistics NZ'!AR$119,$B$13/5*(AS$8-AS$9)*1000)</f>
        <v>36439.477885341257</v>
      </c>
      <c r="AT119" s="46">
        <f>SUM(AS$119,'Statistics NZ'!AT$119-'Statistics NZ'!AS$119,$B$13/5*(AT$8-AT$9)*1000)</f>
        <v>36509.477885341257</v>
      </c>
      <c r="AU119" s="46">
        <f>SUM(AT$119,'Statistics NZ'!AU$119-'Statistics NZ'!AT$119,$B$13/5*(AU$8-AU$9)*1000)</f>
        <v>36549.477885341257</v>
      </c>
      <c r="AV119" s="46">
        <f>SUM(AU$119,'Statistics NZ'!AV$119-'Statistics NZ'!AU$119,$B$13/5*(AV$8-AV$9)*1000)</f>
        <v>36559.477885341257</v>
      </c>
      <c r="AW119" s="46">
        <f>SUM(AV$119,'Statistics NZ'!AW$119-'Statistics NZ'!AV$119,$B$13/5*(AW$8-AW$9)*1000)</f>
        <v>36539.477885341257</v>
      </c>
      <c r="AX119" s="46">
        <f>SUM(AW$119,'Statistics NZ'!AX$119-'Statistics NZ'!AW$119,$B$13/5*(AX$8-AX$9)*1000)</f>
        <v>36509.477885341257</v>
      </c>
      <c r="AY119" s="46">
        <f>SUM(AX$119,'Statistics NZ'!AY$119-'Statistics NZ'!AX$119,$B$13/5*(AY$8-AY$9)*1000)</f>
        <v>36449.477885341257</v>
      </c>
      <c r="AZ119" s="46">
        <f>SUM(AY$119,'Statistics NZ'!AZ$119-'Statistics NZ'!AY$119,$B$13/5*(AZ$8-AZ$9)*1000)</f>
        <v>36389.477885341257</v>
      </c>
      <c r="BA119" s="46">
        <f>SUM(AZ$119,'Statistics NZ'!BA$119-'Statistics NZ'!AZ$119,$B$13/5*(BA$8-BA$9)*1000)</f>
        <v>36329.477885341257</v>
      </c>
      <c r="BB119" s="46">
        <f>SUM(BA$119,'Statistics NZ'!BB$119-'Statistics NZ'!BA$119,$B$13/5*(BB$8-BB$9)*1000)</f>
        <v>36269.477885341257</v>
      </c>
      <c r="BC119" s="46">
        <f>SUM(BB$119,'Statistics NZ'!BC$119-'Statistics NZ'!BB$119,$B$13/5*(BC$8-BC$9)*1000)</f>
        <v>36219.477885341257</v>
      </c>
      <c r="BD119" s="46">
        <f>SUM(BC$119,'Statistics NZ'!BD$119-'Statistics NZ'!BC$119,$B$13/5*(BD$8-BD$9)*1000)</f>
        <v>36179.477885341257</v>
      </c>
      <c r="BE119" s="46">
        <f>SUM(BD$119,'Statistics NZ'!BE$119-'Statistics NZ'!BD$119,$B$13/5*(BE$8-BE$9)*1000)</f>
        <v>36159.477885341257</v>
      </c>
      <c r="BF119" s="46">
        <f>SUM(BE$119,'Statistics NZ'!BF$119-'Statistics NZ'!BE$119,$B$13/5*(BF$8-BF$9)*1000)</f>
        <v>36149.477885341257</v>
      </c>
      <c r="BG119" s="46">
        <f>SUM(BF$119,'Statistics NZ'!BG$119-'Statistics NZ'!BF$119,$B$13/5*(BG$8-BG$9)*1000)</f>
        <v>36169.477885341257</v>
      </c>
      <c r="BH119" s="46">
        <f>SUM(BG$119,'Statistics NZ'!BH$119-'Statistics NZ'!BG$119,$B$13/5*(BH$8-BH$9)*1000)</f>
        <v>36199.477885341257</v>
      </c>
      <c r="BI119" s="46">
        <f>SUM(BH$119,'Statistics NZ'!BI$119-'Statistics NZ'!BH$119,$B$13/5*(BI$8-BI$9)*1000)</f>
        <v>36259.477885341257</v>
      </c>
    </row>
    <row r="120" spans="1:61" x14ac:dyDescent="0.25">
      <c r="A120" s="11">
        <f>$A$20</f>
        <v>5</v>
      </c>
      <c r="B120" s="44">
        <f>'Statistics NZ'!B$120*('Economic Forecasts'!D$10-'Economic Forecasts'!D$9)*1000000/SUM('Statistics NZ'!B$15:B$29,'Statistics NZ'!B$115:B$129)</f>
        <v>31456.592856097537</v>
      </c>
      <c r="C120" s="44">
        <f>'Statistics NZ'!C$120*('Economic Forecasts'!E$10-'Economic Forecasts'!E$9)*1000000/SUM('Statistics NZ'!C$15:C$29,'Statistics NZ'!C$115:C$129)</f>
        <v>30132.8912823965</v>
      </c>
      <c r="D120" s="44">
        <f>'Statistics NZ'!D$120*('Economic Forecasts'!F$10-'Economic Forecasts'!F$9)*1000000/SUM('Statistics NZ'!D$15:D$29,'Statistics NZ'!D$115:D$129)</f>
        <v>30685.452982099589</v>
      </c>
      <c r="E120" s="44">
        <f>'Statistics NZ'!E$120*('Economic Forecasts'!G$10-'Economic Forecasts'!G$9)*1000000/SUM('Statistics NZ'!E$15:E$29,'Statistics NZ'!E$115:E$129)</f>
        <v>31512.061121221534</v>
      </c>
      <c r="F120" s="44">
        <f>'Statistics NZ'!F$120*('Economic Forecasts'!H$10-'Economic Forecasts'!H$9)*1000000/SUM('Statistics NZ'!F$15:F$29,'Statistics NZ'!F$115:F$129)</f>
        <v>31452.912546523665</v>
      </c>
      <c r="G120" s="44">
        <f>'Statistics NZ'!G$120*('Economic Forecasts'!I$10-'Economic Forecasts'!I$9)*1000000/SUM('Statistics NZ'!G$15:G$29,'Statistics NZ'!G$115:G$129)</f>
        <v>32016.128075896828</v>
      </c>
      <c r="H120" s="44">
        <f>'Statistics NZ'!H$120*('Economic Forecasts'!J$10-'Economic Forecasts'!J$9)*1000000/SUM('Statistics NZ'!H$15:H$29,'Statistics NZ'!H$115:H$129)</f>
        <v>33573.729679823278</v>
      </c>
      <c r="I120" s="44">
        <f>'Statistics NZ'!I$120*('Economic Forecasts'!K$10-'Economic Forecasts'!K$9)*1000000/SUM('Statistics NZ'!I$15:I$29,'Statistics NZ'!I$115:I$129)</f>
        <v>34790.4136269105</v>
      </c>
      <c r="J120" s="44">
        <f>'Statistics NZ'!J$120*('Economic Forecasts'!L$10-'Economic Forecasts'!L$9)*1000000/SUM('Statistics NZ'!J$15:J$29,'Statistics NZ'!J$115:J$129)</f>
        <v>35268.171896765409</v>
      </c>
      <c r="K120" s="44">
        <f>'Statistics NZ'!K$120*('Economic Forecasts'!M$10-'Economic Forecasts'!M$9)*1000000/SUM('Statistics NZ'!K$15:K$29,'Statistics NZ'!K$115:K$129)</f>
        <v>35710.475358838623</v>
      </c>
      <c r="L120" s="44">
        <f>'Statistics NZ'!L$120*('Economic Forecasts'!N$10-'Economic Forecasts'!N$9)*1000000/SUM('Statistics NZ'!L$15:L$29,'Statistics NZ'!L$115:L$129)</f>
        <v>35233.528368410814</v>
      </c>
      <c r="M120" s="44">
        <f>'Statistics NZ'!M$120*('Economic Forecasts'!O$10-'Economic Forecasts'!O$9)*1000000/SUM('Statistics NZ'!M$15:M$29,'Statistics NZ'!M$115:M$129)</f>
        <v>34900.979900302089</v>
      </c>
      <c r="N120" s="44">
        <f>'Statistics NZ'!N$120*('Economic Forecasts'!P$10-'Economic Forecasts'!P$9)*1000000/SUM('Statistics NZ'!N$15:N$29,'Statistics NZ'!N$115:N$129)</f>
        <v>34876.37220408467</v>
      </c>
      <c r="O120" s="44">
        <f>'Statistics NZ'!O$120*('Economic Forecasts'!Q$10-'Economic Forecasts'!Q$9)*1000000/SUM('Statistics NZ'!O$15:O$29,'Statistics NZ'!O$115:O$129)</f>
        <v>34335.094339622636</v>
      </c>
      <c r="P120" s="44">
        <f>'Statistics NZ'!P$120*('Economic Forecasts'!R$10-'Economic Forecasts'!R$9)*1000000/SUM('Statistics NZ'!P$15:P$29,'Statistics NZ'!P$115:P$129)</f>
        <v>34756.536707918502</v>
      </c>
      <c r="Q120" s="44">
        <f>'Statistics NZ'!Q$120*('Economic Forecasts'!S$10-'Economic Forecasts'!S$9)*1000000/SUM('Statistics NZ'!Q$15:Q$29,'Statistics NZ'!Q$115:Q$129)</f>
        <v>34107.010079312611</v>
      </c>
      <c r="R120" s="44">
        <f>'Statistics NZ'!R$120*('Economic Forecasts'!T$10-'Economic Forecasts'!T$9)*1000000/SUM('Statistics NZ'!R$15:R$29,'Statistics NZ'!R$115:R$129)</f>
        <v>33762.575108186909</v>
      </c>
      <c r="S120" s="44">
        <f>'Statistics NZ'!S$120*('Economic Forecasts'!U$10-'Economic Forecasts'!U$9)*1000000/SUM('Statistics NZ'!S$15:S$29,'Statistics NZ'!S$115:S$129)</f>
        <v>34127.727661680277</v>
      </c>
      <c r="T120" s="44">
        <f>'Statistics NZ'!T$120*('Economic Forecasts'!V$10-'Economic Forecasts'!V$9)*1000000/SUM('Statistics NZ'!T$15:T$29,'Statistics NZ'!T$115:T$129)</f>
        <v>34972.086690349199</v>
      </c>
      <c r="U120" s="45">
        <f>SUM('Statistics NZ'!U$120,$C$13/5*(U$8-U$9)*1000)*('Economic Forecasts'!W$10-'Economic Forecasts'!W$9)*1000000/SUM('Statistics NZ'!U$15:U$29,'Statistics NZ'!U$115:U$129,SUM($B$12:$D$13)*(U$8-U$9)*1000)</f>
        <v>34166.716092218609</v>
      </c>
      <c r="V120" s="45">
        <f>SUM('Statistics NZ'!V$120,$C$13/5*(V$8-V$9)*1000)*('Economic Forecasts'!X$10-'Economic Forecasts'!X$9)*1000000/SUM('Statistics NZ'!V$15:V$29,'Statistics NZ'!V$115:V$129,SUM($B$12:$D$13)*(V$8-V$9)*1000)</f>
        <v>35183.225505370225</v>
      </c>
      <c r="W120" s="45">
        <f>SUM('Statistics NZ'!W$120,$C$13/5*(W$8-W$9)*1000)*('Economic Forecasts'!Y$10-'Economic Forecasts'!Y$9)*1000000/SUM('Statistics NZ'!W$15:W$29,'Statistics NZ'!W$115:W$129,SUM($B$12:$D$13)*(W$8-W$9)*1000)</f>
        <v>34834.408974703707</v>
      </c>
      <c r="X120" s="45">
        <f>SUM('Statistics NZ'!X$120,$C$13/5*(X$8-X$9)*1000)*('Economic Forecasts'!Z$10-'Economic Forecasts'!Z$9)*1000000/SUM('Statistics NZ'!X$15:X$29,'Statistics NZ'!X$115:X$129,SUM($B$12:$D$13)*(X$8-X$9)*1000)</f>
        <v>33495.539231576942</v>
      </c>
      <c r="Y120" s="45">
        <f>SUM('Statistics NZ'!Y$120,$C$13/5*(Y$8-Y$9)*1000)*('Economic Forecasts'!AA$10-'Economic Forecasts'!AA$9)*1000000/SUM('Statistics NZ'!Y$15:Y$29,'Statistics NZ'!Y$115:Y$129,SUM($B$12:$D$13)*(Y$8-Y$9)*1000)</f>
        <v>33661.845372075659</v>
      </c>
      <c r="Z120" s="46">
        <f>SUM(Y$120,'Statistics NZ'!Z$120-'Statistics NZ'!Y$120,$C$13/5*(Z$8-Z$9)*1000)</f>
        <v>34333.986456623257</v>
      </c>
      <c r="AA120" s="46">
        <f>SUM(Z$120,'Statistics NZ'!AA$120-'Statistics NZ'!Z$120,$C$13/5*(AA$8-AA$9)*1000)</f>
        <v>34397.271107351815</v>
      </c>
      <c r="AB120" s="46">
        <f>SUM(AA$120,'Statistics NZ'!AB$120-'Statistics NZ'!AA$120,$C$13/5*(AB$8-AB$9)*1000)</f>
        <v>34433.470611025143</v>
      </c>
      <c r="AC120" s="46">
        <f>SUM(AB$120,'Statistics NZ'!AC$120-'Statistics NZ'!AB$120,$C$13/5*(AC$8-AC$9)*1000)</f>
        <v>34443.470611025143</v>
      </c>
      <c r="AD120" s="46">
        <f>SUM(AC$120,'Statistics NZ'!AD$120-'Statistics NZ'!AC$120,$C$13/5*(AD$8-AD$9)*1000)</f>
        <v>34443.470611025143</v>
      </c>
      <c r="AE120" s="46">
        <f>SUM(AD$120,'Statistics NZ'!AE$120-'Statistics NZ'!AD$120,$C$13/5*(AE$8-AE$9)*1000)</f>
        <v>34443.470611025143</v>
      </c>
      <c r="AF120" s="46">
        <f>SUM(AE$120,'Statistics NZ'!AF$120-'Statistics NZ'!AE$120,$C$13/5*(AF$8-AF$9)*1000)</f>
        <v>34453.470611025143</v>
      </c>
      <c r="AG120" s="46">
        <f>SUM(AF$120,'Statistics NZ'!AG$120-'Statistics NZ'!AF$120,$C$13/5*(AG$8-AG$9)*1000)</f>
        <v>34493.470611025143</v>
      </c>
      <c r="AH120" s="46">
        <f>SUM(AG$120,'Statistics NZ'!AH$120-'Statistics NZ'!AG$120,$C$13/5*(AH$8-AH$9)*1000)</f>
        <v>34553.470611025143</v>
      </c>
      <c r="AI120" s="46">
        <f>SUM(AH$120,'Statistics NZ'!AI$120-'Statistics NZ'!AH$120,$C$13/5*(AI$8-AI$9)*1000)</f>
        <v>34653.470611025143</v>
      </c>
      <c r="AJ120" s="46">
        <f>SUM(AI$120,'Statistics NZ'!AJ$120-'Statistics NZ'!AI$120,$C$13/5*(AJ$8-AJ$9)*1000)</f>
        <v>34783.470611025143</v>
      </c>
      <c r="AK120" s="46">
        <f>SUM(AJ$120,'Statistics NZ'!AK$120-'Statistics NZ'!AJ$120,$C$13/5*(AK$8-AK$9)*1000)</f>
        <v>34963.470611025143</v>
      </c>
      <c r="AL120" s="46">
        <f>SUM(AK$120,'Statistics NZ'!AL$120-'Statistics NZ'!AK$120,$C$13/5*(AL$8-AL$9)*1000)</f>
        <v>35163.470611025143</v>
      </c>
      <c r="AM120" s="46">
        <f>SUM(AL$120,'Statistics NZ'!AM$120-'Statistics NZ'!AL$120,$C$13/5*(AM$8-AM$9)*1000)</f>
        <v>35393.470611025143</v>
      </c>
      <c r="AN120" s="46">
        <f>SUM(AM$120,'Statistics NZ'!AN$120-'Statistics NZ'!AM$120,$C$13/5*(AN$8-AN$9)*1000)</f>
        <v>35633.470611025143</v>
      </c>
      <c r="AO120" s="46">
        <f>SUM(AN$120,'Statistics NZ'!AO$120-'Statistics NZ'!AN$120,$C$13/5*(AO$8-AO$9)*1000)</f>
        <v>35883.470611025143</v>
      </c>
      <c r="AP120" s="46">
        <f>SUM(AO$120,'Statistics NZ'!AP$120-'Statistics NZ'!AO$120,$C$13/5*(AP$8-AP$9)*1000)</f>
        <v>36113.470611025143</v>
      </c>
      <c r="AQ120" s="46">
        <f>SUM(AP$120,'Statistics NZ'!AQ$120-'Statistics NZ'!AP$120,$C$13/5*(AQ$8-AQ$9)*1000)</f>
        <v>36323.470611025143</v>
      </c>
      <c r="AR120" s="46">
        <f>SUM(AQ$120,'Statistics NZ'!AR$120-'Statistics NZ'!AQ$120,$C$13/5*(AR$8-AR$9)*1000)</f>
        <v>36503.470611025143</v>
      </c>
      <c r="AS120" s="46">
        <f>SUM(AR$120,'Statistics NZ'!AS$120-'Statistics NZ'!AR$120,$C$13/5*(AS$8-AS$9)*1000)</f>
        <v>36653.470611025143</v>
      </c>
      <c r="AT120" s="46">
        <f>SUM(AS$120,'Statistics NZ'!AT$120-'Statistics NZ'!AS$120,$C$13/5*(AT$8-AT$9)*1000)</f>
        <v>36753.470611025143</v>
      </c>
      <c r="AU120" s="46">
        <f>SUM(AT$120,'Statistics NZ'!AU$120-'Statistics NZ'!AT$120,$C$13/5*(AU$8-AU$9)*1000)</f>
        <v>36833.470611025143</v>
      </c>
      <c r="AV120" s="46">
        <f>SUM(AU$120,'Statistics NZ'!AV$120-'Statistics NZ'!AU$120,$C$13/5*(AV$8-AV$9)*1000)</f>
        <v>36873.470611025143</v>
      </c>
      <c r="AW120" s="46">
        <f>SUM(AV$120,'Statistics NZ'!AW$120-'Statistics NZ'!AV$120,$C$13/5*(AW$8-AW$9)*1000)</f>
        <v>36883.470611025143</v>
      </c>
      <c r="AX120" s="46">
        <f>SUM(AW$120,'Statistics NZ'!AX$120-'Statistics NZ'!AW$120,$C$13/5*(AX$8-AX$9)*1000)</f>
        <v>36863.470611025143</v>
      </c>
      <c r="AY120" s="46">
        <f>SUM(AX$120,'Statistics NZ'!AY$120-'Statistics NZ'!AX$120,$C$13/5*(AY$8-AY$9)*1000)</f>
        <v>36833.470611025143</v>
      </c>
      <c r="AZ120" s="46">
        <f>SUM(AY$120,'Statistics NZ'!AZ$120-'Statistics NZ'!AY$120,$C$13/5*(AZ$8-AZ$9)*1000)</f>
        <v>36783.470611025143</v>
      </c>
      <c r="BA120" s="46">
        <f>SUM(AZ$120,'Statistics NZ'!BA$120-'Statistics NZ'!AZ$120,$C$13/5*(BA$8-BA$9)*1000)</f>
        <v>36723.470611025143</v>
      </c>
      <c r="BB120" s="46">
        <f>SUM(BA$120,'Statistics NZ'!BB$120-'Statistics NZ'!BA$120,$C$13/5*(BB$8-BB$9)*1000)</f>
        <v>36663.470611025143</v>
      </c>
      <c r="BC120" s="46">
        <f>SUM(BB$120,'Statistics NZ'!BC$120-'Statistics NZ'!BB$120,$C$13/5*(BC$8-BC$9)*1000)</f>
        <v>36603.470611025143</v>
      </c>
      <c r="BD120" s="46">
        <f>SUM(BC$120,'Statistics NZ'!BD$120-'Statistics NZ'!BC$120,$C$13/5*(BD$8-BD$9)*1000)</f>
        <v>36553.470611025143</v>
      </c>
      <c r="BE120" s="46">
        <f>SUM(BD$120,'Statistics NZ'!BE$120-'Statistics NZ'!BD$120,$C$13/5*(BE$8-BE$9)*1000)</f>
        <v>36523.470611025143</v>
      </c>
      <c r="BF120" s="46">
        <f>SUM(BE$120,'Statistics NZ'!BF$120-'Statistics NZ'!BE$120,$C$13/5*(BF$8-BF$9)*1000)</f>
        <v>36493.470611025143</v>
      </c>
      <c r="BG120" s="46">
        <f>SUM(BF$120,'Statistics NZ'!BG$120-'Statistics NZ'!BF$120,$C$13/5*(BG$8-BG$9)*1000)</f>
        <v>36493.470611025143</v>
      </c>
      <c r="BH120" s="46">
        <f>SUM(BG$120,'Statistics NZ'!BH$120-'Statistics NZ'!BG$120,$C$13/5*(BH$8-BH$9)*1000)</f>
        <v>36513.470611025143</v>
      </c>
      <c r="BI120" s="46">
        <f>SUM(BH$120,'Statistics NZ'!BI$120-'Statistics NZ'!BH$120,$C$13/5*(BI$8-BI$9)*1000)</f>
        <v>36543.470611025143</v>
      </c>
    </row>
    <row r="121" spans="1:61" x14ac:dyDescent="0.25">
      <c r="A121" s="11">
        <f>$A$21</f>
        <v>6</v>
      </c>
      <c r="B121" s="44">
        <f>'Statistics NZ'!B$121*('Economic Forecasts'!D$10-'Economic Forecasts'!D$9)*1000000/SUM('Statistics NZ'!B$15:B$29,'Statistics NZ'!B$115:B$129)</f>
        <v>32103.32428994383</v>
      </c>
      <c r="C121" s="44">
        <f>'Statistics NZ'!C$121*('Economic Forecasts'!E$10-'Economic Forecasts'!E$9)*1000000/SUM('Statistics NZ'!C$15:C$29,'Statistics NZ'!C$115:C$129)</f>
        <v>31597.904184898463</v>
      </c>
      <c r="D121" s="44">
        <f>'Statistics NZ'!D$121*('Economic Forecasts'!F$10-'Economic Forecasts'!F$9)*1000000/SUM('Statistics NZ'!D$15:D$29,'Statistics NZ'!D$115:D$129)</f>
        <v>30326.928789181587</v>
      </c>
      <c r="E121" s="44">
        <f>'Statistics NZ'!E$121*('Economic Forecasts'!G$10-'Economic Forecasts'!G$9)*1000000/SUM('Statistics NZ'!E$15:E$29,'Statistics NZ'!E$115:E$129)</f>
        <v>30815.778552088414</v>
      </c>
      <c r="F121" s="44">
        <f>'Statistics NZ'!F$121*('Economic Forecasts'!H$10-'Economic Forecasts'!H$9)*1000000/SUM('Statistics NZ'!F$15:F$29,'Statistics NZ'!F$115:F$129)</f>
        <v>31653.720791948377</v>
      </c>
      <c r="G121" s="44">
        <f>'Statistics NZ'!G$121*('Economic Forecasts'!I$10-'Economic Forecasts'!I$9)*1000000/SUM('Statistics NZ'!G$15:G$29,'Statistics NZ'!G$115:G$129)</f>
        <v>31476.173534934278</v>
      </c>
      <c r="H121" s="44">
        <f>'Statistics NZ'!H$121*('Economic Forecasts'!J$10-'Economic Forecasts'!J$9)*1000000/SUM('Statistics NZ'!H$15:H$29,'Statistics NZ'!H$115:H$129)</f>
        <v>31888.152471395148</v>
      </c>
      <c r="I121" s="44">
        <f>'Statistics NZ'!I$121*('Economic Forecasts'!K$10-'Economic Forecasts'!K$9)*1000000/SUM('Statistics NZ'!I$15:I$29,'Statistics NZ'!I$115:I$129)</f>
        <v>33504.241904070237</v>
      </c>
      <c r="J121" s="44">
        <f>'Statistics NZ'!J$121*('Economic Forecasts'!L$10-'Economic Forecasts'!L$9)*1000000/SUM('Statistics NZ'!J$15:J$29,'Statistics NZ'!J$115:J$129)</f>
        <v>35076.091081593913</v>
      </c>
      <c r="K121" s="44">
        <f>'Statistics NZ'!K$121*('Economic Forecasts'!M$10-'Economic Forecasts'!M$9)*1000000/SUM('Statistics NZ'!K$15:K$29,'Statistics NZ'!K$115:K$129)</f>
        <v>35624.838727282651</v>
      </c>
      <c r="L121" s="44">
        <f>'Statistics NZ'!L$121*('Economic Forecasts'!N$10-'Economic Forecasts'!N$9)*1000000/SUM('Statistics NZ'!L$15:L$29,'Statistics NZ'!L$115:L$129)</f>
        <v>35917.052410720091</v>
      </c>
      <c r="M121" s="44">
        <f>'Statistics NZ'!M$121*('Economic Forecasts'!O$10-'Economic Forecasts'!O$9)*1000000/SUM('Statistics NZ'!M$15:M$29,'Statistics NZ'!M$115:M$129)</f>
        <v>35430.585058121542</v>
      </c>
      <c r="N121" s="44">
        <f>'Statistics NZ'!N$121*('Economic Forecasts'!P$10-'Economic Forecasts'!P$9)*1000000/SUM('Statistics NZ'!N$15:N$29,'Statistics NZ'!N$115:N$129)</f>
        <v>35278.466301097782</v>
      </c>
      <c r="O121" s="44">
        <f>'Statistics NZ'!O$121*('Economic Forecasts'!Q$10-'Economic Forecasts'!Q$9)*1000000/SUM('Statistics NZ'!O$15:O$29,'Statistics NZ'!O$115:O$129)</f>
        <v>35018.013902681218</v>
      </c>
      <c r="P121" s="44">
        <f>'Statistics NZ'!P$121*('Economic Forecasts'!R$10-'Economic Forecasts'!R$9)*1000000/SUM('Statistics NZ'!P$15:P$29,'Statistics NZ'!P$115:P$129)</f>
        <v>35041.68605192149</v>
      </c>
      <c r="Q121" s="44">
        <f>'Statistics NZ'!Q$121*('Economic Forecasts'!S$10-'Economic Forecasts'!S$9)*1000000/SUM('Statistics NZ'!Q$15:Q$29,'Statistics NZ'!Q$115:Q$129)</f>
        <v>34610.744382022458</v>
      </c>
      <c r="R121" s="44">
        <f>'Statistics NZ'!R$121*('Economic Forecasts'!T$10-'Economic Forecasts'!T$9)*1000000/SUM('Statistics NZ'!R$15:R$29,'Statistics NZ'!R$115:R$129)</f>
        <v>34268.223658949137</v>
      </c>
      <c r="S121" s="44">
        <f>'Statistics NZ'!S$121*('Economic Forecasts'!U$10-'Economic Forecasts'!U$9)*1000000/SUM('Statistics NZ'!S$15:S$29,'Statistics NZ'!S$115:S$129)</f>
        <v>34807.732197903046</v>
      </c>
      <c r="T121" s="44">
        <f>'Statistics NZ'!T$121*('Economic Forecasts'!V$10-'Economic Forecasts'!V$9)*1000000/SUM('Statistics NZ'!T$15:T$29,'Statistics NZ'!T$115:T$129)</f>
        <v>34961.463334732449</v>
      </c>
      <c r="U121" s="45">
        <f>SUM('Statistics NZ'!U$121,$C$13/5*(U$8-U$9)*1000)*('Economic Forecasts'!W$10-'Economic Forecasts'!W$9)*1000000/SUM('Statistics NZ'!U$15:U$29,'Statistics NZ'!U$115:U$129,SUM($B$12:$D$13)*(U$8-U$9)*1000)</f>
        <v>35337.539385420641</v>
      </c>
      <c r="V121" s="45">
        <f>SUM('Statistics NZ'!V$121,$C$13/5*(V$8-V$9)*1000)*('Economic Forecasts'!X$10-'Economic Forecasts'!X$9)*1000000/SUM('Statistics NZ'!V$15:V$29,'Statistics NZ'!V$115:V$129,SUM($B$12:$D$13)*(V$8-V$9)*1000)</f>
        <v>34827.976647193042</v>
      </c>
      <c r="W121" s="45">
        <f>SUM('Statistics NZ'!W$121,$C$13/5*(W$8-W$9)*1000)*('Economic Forecasts'!Y$10-'Economic Forecasts'!Y$9)*1000000/SUM('Statistics NZ'!W$15:W$29,'Statistics NZ'!W$115:W$129,SUM($B$12:$D$13)*(W$8-W$9)*1000)</f>
        <v>35924.961049946476</v>
      </c>
      <c r="X121" s="45">
        <f>SUM('Statistics NZ'!X$121,$C$13/5*(X$8-X$9)*1000)*('Economic Forecasts'!Z$10-'Economic Forecasts'!Z$9)*1000000/SUM('Statistics NZ'!X$15:X$29,'Statistics NZ'!X$115:X$129,SUM($B$12:$D$13)*(X$8-X$9)*1000)</f>
        <v>35582.948061090166</v>
      </c>
      <c r="Y121" s="45">
        <f>SUM('Statistics NZ'!Y$121,$C$13/5*(Y$8-Y$9)*1000)*('Economic Forecasts'!AA$10-'Economic Forecasts'!AA$9)*1000000/SUM('Statistics NZ'!Y$15:Y$29,'Statistics NZ'!Y$115:Y$129,SUM($B$12:$D$13)*(Y$8-Y$9)*1000)</f>
        <v>34198.014527956613</v>
      </c>
      <c r="Z121" s="46">
        <f>SUM(Y$121,'Statistics NZ'!Z$121-'Statistics NZ'!Y$121,$C$13/5*(Z$8-Z$9)*1000)</f>
        <v>34050.155612504212</v>
      </c>
      <c r="AA121" s="46">
        <f>SUM(Z$121,'Statistics NZ'!AA$121-'Statistics NZ'!Z$121,$C$13/5*(AA$8-AA$9)*1000)</f>
        <v>34713.440263232769</v>
      </c>
      <c r="AB121" s="46">
        <f>SUM(AA$121,'Statistics NZ'!AB$121-'Statistics NZ'!AA$121,$C$13/5*(AB$8-AB$9)*1000)</f>
        <v>34779.639766906097</v>
      </c>
      <c r="AC121" s="46">
        <f>SUM(AB$121,'Statistics NZ'!AC$121-'Statistics NZ'!AB$121,$C$13/5*(AC$8-AC$9)*1000)</f>
        <v>34809.639766906097</v>
      </c>
      <c r="AD121" s="46">
        <f>SUM(AC$121,'Statistics NZ'!AD$121-'Statistics NZ'!AC$121,$C$13/5*(AD$8-AD$9)*1000)</f>
        <v>34819.639766906097</v>
      </c>
      <c r="AE121" s="46">
        <f>SUM(AD$121,'Statistics NZ'!AE$121-'Statistics NZ'!AD$121,$C$13/5*(AE$8-AE$9)*1000)</f>
        <v>34819.639766906097</v>
      </c>
      <c r="AF121" s="46">
        <f>SUM(AE$121,'Statistics NZ'!AF$121-'Statistics NZ'!AE$121,$C$13/5*(AF$8-AF$9)*1000)</f>
        <v>34819.639766906097</v>
      </c>
      <c r="AG121" s="46">
        <f>SUM(AF$121,'Statistics NZ'!AG$121-'Statistics NZ'!AF$121,$C$13/5*(AG$8-AG$9)*1000)</f>
        <v>34839.639766906097</v>
      </c>
      <c r="AH121" s="46">
        <f>SUM(AG$121,'Statistics NZ'!AH$121-'Statistics NZ'!AG$121,$C$13/5*(AH$8-AH$9)*1000)</f>
        <v>34869.639766906097</v>
      </c>
      <c r="AI121" s="46">
        <f>SUM(AH$121,'Statistics NZ'!AI$121-'Statistics NZ'!AH$121,$C$13/5*(AI$8-AI$9)*1000)</f>
        <v>34939.639766906097</v>
      </c>
      <c r="AJ121" s="46">
        <f>SUM(AI$121,'Statistics NZ'!AJ$121-'Statistics NZ'!AI$121,$C$13/5*(AJ$8-AJ$9)*1000)</f>
        <v>35039.639766906097</v>
      </c>
      <c r="AK121" s="46">
        <f>SUM(AJ$121,'Statistics NZ'!AK$121-'Statistics NZ'!AJ$121,$C$13/5*(AK$8-AK$9)*1000)</f>
        <v>35179.639766906097</v>
      </c>
      <c r="AL121" s="46">
        <f>SUM(AK$121,'Statistics NZ'!AL$121-'Statistics NZ'!AK$121,$C$13/5*(AL$8-AL$9)*1000)</f>
        <v>35349.639766906097</v>
      </c>
      <c r="AM121" s="46">
        <f>SUM(AL$121,'Statistics NZ'!AM$121-'Statistics NZ'!AL$121,$C$13/5*(AM$8-AM$9)*1000)</f>
        <v>35559.639766906097</v>
      </c>
      <c r="AN121" s="46">
        <f>SUM(AM$121,'Statistics NZ'!AN$121-'Statistics NZ'!AM$121,$C$13/5*(AN$8-AN$9)*1000)</f>
        <v>35789.639766906097</v>
      </c>
      <c r="AO121" s="46">
        <f>SUM(AN$121,'Statistics NZ'!AO$121-'Statistics NZ'!AN$121,$C$13/5*(AO$8-AO$9)*1000)</f>
        <v>36029.639766906097</v>
      </c>
      <c r="AP121" s="46">
        <f>SUM(AO$121,'Statistics NZ'!AP$121-'Statistics NZ'!AO$121,$C$13/5*(AP$8-AP$9)*1000)</f>
        <v>36279.639766906097</v>
      </c>
      <c r="AQ121" s="46">
        <f>SUM(AP$121,'Statistics NZ'!AQ$121-'Statistics NZ'!AP$121,$C$13/5*(AQ$8-AQ$9)*1000)</f>
        <v>36519.639766906097</v>
      </c>
      <c r="AR121" s="46">
        <f>SUM(AQ$121,'Statistics NZ'!AR$121-'Statistics NZ'!AQ$121,$C$13/5*(AR$8-AR$9)*1000)</f>
        <v>36729.639766906097</v>
      </c>
      <c r="AS121" s="46">
        <f>SUM(AR$121,'Statistics NZ'!AS$121-'Statistics NZ'!AR$121,$C$13/5*(AS$8-AS$9)*1000)</f>
        <v>36909.639766906097</v>
      </c>
      <c r="AT121" s="46">
        <f>SUM(AS$121,'Statistics NZ'!AT$121-'Statistics NZ'!AS$121,$C$13/5*(AT$8-AT$9)*1000)</f>
        <v>37059.639766906097</v>
      </c>
      <c r="AU121" s="46">
        <f>SUM(AT$121,'Statistics NZ'!AU$121-'Statistics NZ'!AT$121,$C$13/5*(AU$8-AU$9)*1000)</f>
        <v>37169.639766906097</v>
      </c>
      <c r="AV121" s="46">
        <f>SUM(AU$121,'Statistics NZ'!AV$121-'Statistics NZ'!AU$121,$C$13/5*(AV$8-AV$9)*1000)</f>
        <v>37239.639766906097</v>
      </c>
      <c r="AW121" s="46">
        <f>SUM(AV$121,'Statistics NZ'!AW$121-'Statistics NZ'!AV$121,$C$13/5*(AW$8-AW$9)*1000)</f>
        <v>37279.639766906097</v>
      </c>
      <c r="AX121" s="46">
        <f>SUM(AW$121,'Statistics NZ'!AX$121-'Statistics NZ'!AW$121,$C$13/5*(AX$8-AX$9)*1000)</f>
        <v>37299.639766906097</v>
      </c>
      <c r="AY121" s="46">
        <f>SUM(AX$121,'Statistics NZ'!AY$121-'Statistics NZ'!AX$121,$C$13/5*(AY$8-AY$9)*1000)</f>
        <v>37279.639766906097</v>
      </c>
      <c r="AZ121" s="46">
        <f>SUM(AY$121,'Statistics NZ'!AZ$121-'Statistics NZ'!AY$121,$C$13/5*(AZ$8-AZ$9)*1000)</f>
        <v>37249.639766906097</v>
      </c>
      <c r="BA121" s="46">
        <f>SUM(AZ$121,'Statistics NZ'!BA$121-'Statistics NZ'!AZ$121,$C$13/5*(BA$8-BA$9)*1000)</f>
        <v>37199.639766906097</v>
      </c>
      <c r="BB121" s="46">
        <f>SUM(BA$121,'Statistics NZ'!BB$121-'Statistics NZ'!BA$121,$C$13/5*(BB$8-BB$9)*1000)</f>
        <v>37149.639766906097</v>
      </c>
      <c r="BC121" s="46">
        <f>SUM(BB$121,'Statistics NZ'!BC$121-'Statistics NZ'!BB$121,$C$13/5*(BC$8-BC$9)*1000)</f>
        <v>37089.639766906097</v>
      </c>
      <c r="BD121" s="46">
        <f>SUM(BC$121,'Statistics NZ'!BD$121-'Statistics NZ'!BC$121,$C$13/5*(BD$8-BD$9)*1000)</f>
        <v>37039.639766906097</v>
      </c>
      <c r="BE121" s="46">
        <f>SUM(BD$121,'Statistics NZ'!BE$121-'Statistics NZ'!BD$121,$C$13/5*(BE$8-BE$9)*1000)</f>
        <v>36989.639766906097</v>
      </c>
      <c r="BF121" s="46">
        <f>SUM(BE$121,'Statistics NZ'!BF$121-'Statistics NZ'!BE$121,$C$13/5*(BF$8-BF$9)*1000)</f>
        <v>36949.639766906097</v>
      </c>
      <c r="BG121" s="46">
        <f>SUM(BF$121,'Statistics NZ'!BG$121-'Statistics NZ'!BF$121,$C$13/5*(BG$8-BG$9)*1000)</f>
        <v>36929.639766906097</v>
      </c>
      <c r="BH121" s="46">
        <f>SUM(BG$121,'Statistics NZ'!BH$121-'Statistics NZ'!BG$121,$C$13/5*(BH$8-BH$9)*1000)</f>
        <v>36929.639766906097</v>
      </c>
      <c r="BI121" s="46">
        <f>SUM(BH$121,'Statistics NZ'!BI$121-'Statistics NZ'!BH$121,$C$13/5*(BI$8-BI$9)*1000)</f>
        <v>36949.639766906097</v>
      </c>
    </row>
    <row r="122" spans="1:61" x14ac:dyDescent="0.25">
      <c r="A122" s="11">
        <f>$A$22</f>
        <v>7</v>
      </c>
      <c r="B122" s="44">
        <f>'Statistics NZ'!B$122*('Economic Forecasts'!D$10-'Economic Forecasts'!D$9)*1000000/SUM('Statistics NZ'!B$15:B$29,'Statistics NZ'!B$115:B$129)</f>
        <v>31276.356226992837</v>
      </c>
      <c r="C122" s="44">
        <f>'Statistics NZ'!C$122*('Economic Forecasts'!E$10-'Economic Forecasts'!E$9)*1000000/SUM('Statistics NZ'!C$15:C$29,'Statistics NZ'!C$115:C$129)</f>
        <v>32219.744193874118</v>
      </c>
      <c r="D122" s="44">
        <f>'Statistics NZ'!D$122*('Economic Forecasts'!F$10-'Economic Forecasts'!F$9)*1000000/SUM('Statistics NZ'!D$15:D$29,'Statistics NZ'!D$115:D$129)</f>
        <v>31824.29453607442</v>
      </c>
      <c r="E122" s="44">
        <f>'Statistics NZ'!E$122*('Economic Forecasts'!G$10-'Economic Forecasts'!G$9)*1000000/SUM('Statistics NZ'!E$15:E$29,'Statistics NZ'!E$115:E$129)</f>
        <v>30478.187003417817</v>
      </c>
      <c r="F122" s="44">
        <f>'Statistics NZ'!F$122*('Economic Forecasts'!H$10-'Economic Forecasts'!H$9)*1000000/SUM('Statistics NZ'!F$15:F$29,'Statistics NZ'!F$115:F$129)</f>
        <v>31009.02063558482</v>
      </c>
      <c r="G122" s="44">
        <f>'Statistics NZ'!G$122*('Economic Forecasts'!I$10-'Economic Forecasts'!I$9)*1000000/SUM('Statistics NZ'!G$15:G$29,'Statistics NZ'!G$115:G$129)</f>
        <v>31666.745725862234</v>
      </c>
      <c r="H122" s="44">
        <f>'Statistics NZ'!H$122*('Economic Forecasts'!J$10-'Economic Forecasts'!J$9)*1000000/SUM('Statistics NZ'!H$15:H$29,'Statistics NZ'!H$115:H$129)</f>
        <v>31389.900089029594</v>
      </c>
      <c r="I122" s="44">
        <f>'Statistics NZ'!I$122*('Economic Forecasts'!K$10-'Economic Forecasts'!K$9)*1000000/SUM('Statistics NZ'!I$15:I$29,'Statistics NZ'!I$115:I$129)</f>
        <v>31846.037038259656</v>
      </c>
      <c r="J122" s="44">
        <f>'Statistics NZ'!J$122*('Economic Forecasts'!L$10-'Economic Forecasts'!L$9)*1000000/SUM('Statistics NZ'!J$15:J$29,'Statistics NZ'!J$115:J$129)</f>
        <v>33795.552313783977</v>
      </c>
      <c r="K122" s="44">
        <f>'Statistics NZ'!K$122*('Economic Forecasts'!M$10-'Economic Forecasts'!M$9)*1000000/SUM('Statistics NZ'!K$15:K$29,'Statistics NZ'!K$115:K$129)</f>
        <v>35389.337990503744</v>
      </c>
      <c r="L122" s="44">
        <f>'Statistics NZ'!L$122*('Economic Forecasts'!N$10-'Economic Forecasts'!N$9)*1000000/SUM('Statistics NZ'!L$15:L$29,'Statistics NZ'!L$115:L$129)</f>
        <v>35788.891652787097</v>
      </c>
      <c r="M122" s="44">
        <f>'Statistics NZ'!M$122*('Economic Forecasts'!O$10-'Economic Forecasts'!O$9)*1000000/SUM('Statistics NZ'!M$15:M$29,'Statistics NZ'!M$115:M$129)</f>
        <v>35981.374422253772</v>
      </c>
      <c r="N122" s="44">
        <f>'Statistics NZ'!N$122*('Economic Forecasts'!P$10-'Economic Forecasts'!P$9)*1000000/SUM('Statistics NZ'!N$15:N$29,'Statistics NZ'!N$115:N$129)</f>
        <v>35744.048939744542</v>
      </c>
      <c r="O122" s="44">
        <f>'Statistics NZ'!O$122*('Economic Forecasts'!Q$10-'Economic Forecasts'!Q$9)*1000000/SUM('Statistics NZ'!O$15:O$29,'Statistics NZ'!O$115:O$129)</f>
        <v>35459.285004965226</v>
      </c>
      <c r="P122" s="44">
        <f>'Statistics NZ'!P$122*('Economic Forecasts'!R$10-'Economic Forecasts'!R$9)*1000000/SUM('Statistics NZ'!P$15:P$29,'Statistics NZ'!P$115:P$129)</f>
        <v>35633.106913557291</v>
      </c>
      <c r="Q122" s="44">
        <f>'Statistics NZ'!Q$122*('Economic Forecasts'!S$10-'Economic Forecasts'!S$9)*1000000/SUM('Statistics NZ'!Q$15:Q$29,'Statistics NZ'!Q$115:Q$129)</f>
        <v>34999.03957369463</v>
      </c>
      <c r="R122" s="44">
        <f>'Statistics NZ'!R$122*('Economic Forecasts'!T$10-'Economic Forecasts'!T$9)*1000000/SUM('Statistics NZ'!R$15:R$29,'Statistics NZ'!R$115:R$129)</f>
        <v>34773.872209711379</v>
      </c>
      <c r="S122" s="44">
        <f>'Statistics NZ'!S$122*('Economic Forecasts'!U$10-'Economic Forecasts'!U$9)*1000000/SUM('Statistics NZ'!S$15:S$29,'Statistics NZ'!S$115:S$129)</f>
        <v>35328.360670948605</v>
      </c>
      <c r="T122" s="44">
        <f>'Statistics NZ'!T$122*('Economic Forecasts'!V$10-'Economic Forecasts'!V$9)*1000000/SUM('Statistics NZ'!T$15:T$29,'Statistics NZ'!T$115:T$129)</f>
        <v>35556.371249270582</v>
      </c>
      <c r="U122" s="45">
        <f>SUM('Statistics NZ'!U$122,$C$13/5*(U$8-U$9)*1000)*('Economic Forecasts'!W$10-'Economic Forecasts'!W$9)*1000000/SUM('Statistics NZ'!U$15:U$29,'Statistics NZ'!U$115:U$129,SUM($B$12:$D$13)*(U$8-U$9)*1000)</f>
        <v>35337.539385420641</v>
      </c>
      <c r="V122" s="45">
        <f>SUM('Statistics NZ'!V$122,$C$13/5*(V$8-V$9)*1000)*('Economic Forecasts'!X$10-'Economic Forecasts'!X$9)*1000000/SUM('Statistics NZ'!V$15:V$29,'Statistics NZ'!V$115:V$129,SUM($B$12:$D$13)*(V$8-V$9)*1000)</f>
        <v>36022.904624698109</v>
      </c>
      <c r="W122" s="45">
        <f>SUM('Statistics NZ'!W$122,$C$13/5*(W$8-W$9)*1000)*('Economic Forecasts'!Y$10-'Economic Forecasts'!Y$9)*1000000/SUM('Statistics NZ'!W$15:W$29,'Statistics NZ'!W$115:W$129,SUM($B$12:$D$13)*(W$8-W$9)*1000)</f>
        <v>35575.984385868789</v>
      </c>
      <c r="X122" s="45">
        <f>SUM('Statistics NZ'!X$122,$C$13/5*(X$8-X$9)*1000)*('Economic Forecasts'!Z$10-'Economic Forecasts'!Z$9)*1000000/SUM('Statistics NZ'!X$15:X$29,'Statistics NZ'!X$115:X$129,SUM($B$12:$D$13)*(X$8-X$9)*1000)</f>
        <v>36698.441668396168</v>
      </c>
      <c r="Y122" s="45">
        <f>SUM('Statistics NZ'!Y$122,$C$13/5*(Y$8-Y$9)*1000)*('Economic Forecasts'!AA$10-'Economic Forecasts'!AA$9)*1000000/SUM('Statistics NZ'!Y$15:Y$29,'Statistics NZ'!Y$115:Y$129,SUM($B$12:$D$13)*(Y$8-Y$9)*1000)</f>
        <v>36320.350769985409</v>
      </c>
      <c r="Z122" s="46">
        <f>SUM(Y$122,'Statistics NZ'!Z$122-'Statistics NZ'!Y$122,$C$13/5*(Z$8-Z$9)*1000)</f>
        <v>34762.491854533007</v>
      </c>
      <c r="AA122" s="46">
        <f>SUM(Z$122,'Statistics NZ'!AA$122-'Statistics NZ'!Z$122,$C$13/5*(AA$8-AA$9)*1000)</f>
        <v>34605.776505261565</v>
      </c>
      <c r="AB122" s="46">
        <f>SUM(AA$122,'Statistics NZ'!AB$122-'Statistics NZ'!AA$122,$C$13/5*(AB$8-AB$9)*1000)</f>
        <v>35271.976008934893</v>
      </c>
      <c r="AC122" s="46">
        <f>SUM(AB$122,'Statistics NZ'!AC$122-'Statistics NZ'!AB$122,$C$13/5*(AC$8-AC$9)*1000)</f>
        <v>35331.976008934893</v>
      </c>
      <c r="AD122" s="46">
        <f>SUM(AC$122,'Statistics NZ'!AD$122-'Statistics NZ'!AC$122,$C$13/5*(AD$8-AD$9)*1000)</f>
        <v>35361.976008934893</v>
      </c>
      <c r="AE122" s="46">
        <f>SUM(AD$122,'Statistics NZ'!AE$122-'Statistics NZ'!AD$122,$C$13/5*(AE$8-AE$9)*1000)</f>
        <v>35371.976008934893</v>
      </c>
      <c r="AF122" s="46">
        <f>SUM(AE$122,'Statistics NZ'!AF$122-'Statistics NZ'!AE$122,$C$13/5*(AF$8-AF$9)*1000)</f>
        <v>35381.976008934893</v>
      </c>
      <c r="AG122" s="46">
        <f>SUM(AF$122,'Statistics NZ'!AG$122-'Statistics NZ'!AF$122,$C$13/5*(AG$8-AG$9)*1000)</f>
        <v>35381.976008934893</v>
      </c>
      <c r="AH122" s="46">
        <f>SUM(AG$122,'Statistics NZ'!AH$122-'Statistics NZ'!AG$122,$C$13/5*(AH$8-AH$9)*1000)</f>
        <v>35401.976008934893</v>
      </c>
      <c r="AI122" s="46">
        <f>SUM(AH$122,'Statistics NZ'!AI$122-'Statistics NZ'!AH$122,$C$13/5*(AI$8-AI$9)*1000)</f>
        <v>35441.976008934893</v>
      </c>
      <c r="AJ122" s="46">
        <f>SUM(AI$122,'Statistics NZ'!AJ$122-'Statistics NZ'!AI$122,$C$13/5*(AJ$8-AJ$9)*1000)</f>
        <v>35501.976008934893</v>
      </c>
      <c r="AK122" s="46">
        <f>SUM(AJ$122,'Statistics NZ'!AK$122-'Statistics NZ'!AJ$122,$C$13/5*(AK$8-AK$9)*1000)</f>
        <v>35601.976008934893</v>
      </c>
      <c r="AL122" s="46">
        <f>SUM(AK$122,'Statistics NZ'!AL$122-'Statistics NZ'!AK$122,$C$13/5*(AL$8-AL$9)*1000)</f>
        <v>35751.976008934893</v>
      </c>
      <c r="AM122" s="46">
        <f>SUM(AL$122,'Statistics NZ'!AM$122-'Statistics NZ'!AL$122,$C$13/5*(AM$8-AM$9)*1000)</f>
        <v>35921.976008934893</v>
      </c>
      <c r="AN122" s="46">
        <f>SUM(AM$122,'Statistics NZ'!AN$122-'Statistics NZ'!AM$122,$C$13/5*(AN$8-AN$9)*1000)</f>
        <v>36131.976008934893</v>
      </c>
      <c r="AO122" s="46">
        <f>SUM(AN$122,'Statistics NZ'!AO$122-'Statistics NZ'!AN$122,$C$13/5*(AO$8-AO$9)*1000)</f>
        <v>36361.976008934893</v>
      </c>
      <c r="AP122" s="46">
        <f>SUM(AO$122,'Statistics NZ'!AP$122-'Statistics NZ'!AO$122,$C$13/5*(AP$8-AP$9)*1000)</f>
        <v>36611.976008934893</v>
      </c>
      <c r="AQ122" s="46">
        <f>SUM(AP$122,'Statistics NZ'!AQ$122-'Statistics NZ'!AP$122,$C$13/5*(AQ$8-AQ$9)*1000)</f>
        <v>36861.976008934893</v>
      </c>
      <c r="AR122" s="46">
        <f>SUM(AQ$122,'Statistics NZ'!AR$122-'Statistics NZ'!AQ$122,$C$13/5*(AR$8-AR$9)*1000)</f>
        <v>37101.976008934893</v>
      </c>
      <c r="AS122" s="46">
        <f>SUM(AR$122,'Statistics NZ'!AS$122-'Statistics NZ'!AR$122,$C$13/5*(AS$8-AS$9)*1000)</f>
        <v>37311.976008934893</v>
      </c>
      <c r="AT122" s="46">
        <f>SUM(AS$122,'Statistics NZ'!AT$122-'Statistics NZ'!AS$122,$C$13/5*(AT$8-AT$9)*1000)</f>
        <v>37501.976008934893</v>
      </c>
      <c r="AU122" s="46">
        <f>SUM(AT$122,'Statistics NZ'!AU$122-'Statistics NZ'!AT$122,$C$13/5*(AU$8-AU$9)*1000)</f>
        <v>37651.976008934893</v>
      </c>
      <c r="AV122" s="46">
        <f>SUM(AU$122,'Statistics NZ'!AV$122-'Statistics NZ'!AU$122,$C$13/5*(AV$8-AV$9)*1000)</f>
        <v>37761.976008934893</v>
      </c>
      <c r="AW122" s="46">
        <f>SUM(AV$122,'Statistics NZ'!AW$122-'Statistics NZ'!AV$122,$C$13/5*(AW$8-AW$9)*1000)</f>
        <v>37841.976008934893</v>
      </c>
      <c r="AX122" s="46">
        <f>SUM(AW$122,'Statistics NZ'!AX$122-'Statistics NZ'!AW$122,$C$13/5*(AX$8-AX$9)*1000)</f>
        <v>37881.976008934893</v>
      </c>
      <c r="AY122" s="46">
        <f>SUM(AX$122,'Statistics NZ'!AY$122-'Statistics NZ'!AX$122,$C$13/5*(AY$8-AY$9)*1000)</f>
        <v>37891.976008934893</v>
      </c>
      <c r="AZ122" s="46">
        <f>SUM(AY$122,'Statistics NZ'!AZ$122-'Statistics NZ'!AY$122,$C$13/5*(AZ$8-AZ$9)*1000)</f>
        <v>37881.976008934893</v>
      </c>
      <c r="BA122" s="46">
        <f>SUM(AZ$122,'Statistics NZ'!BA$122-'Statistics NZ'!AZ$122,$C$13/5*(BA$8-BA$9)*1000)</f>
        <v>37851.976008934893</v>
      </c>
      <c r="BB122" s="46">
        <f>SUM(BA$122,'Statistics NZ'!BB$122-'Statistics NZ'!BA$122,$C$13/5*(BB$8-BB$9)*1000)</f>
        <v>37811.976008934893</v>
      </c>
      <c r="BC122" s="46">
        <f>SUM(BB$122,'Statistics NZ'!BC$122-'Statistics NZ'!BB$122,$C$13/5*(BC$8-BC$9)*1000)</f>
        <v>37751.976008934893</v>
      </c>
      <c r="BD122" s="46">
        <f>SUM(BC$122,'Statistics NZ'!BD$122-'Statistics NZ'!BC$122,$C$13/5*(BD$8-BD$9)*1000)</f>
        <v>37701.976008934893</v>
      </c>
      <c r="BE122" s="46">
        <f>SUM(BD$122,'Statistics NZ'!BE$122-'Statistics NZ'!BD$122,$C$13/5*(BE$8-BE$9)*1000)</f>
        <v>37651.976008934893</v>
      </c>
      <c r="BF122" s="46">
        <f>SUM(BE$122,'Statistics NZ'!BF$122-'Statistics NZ'!BE$122,$C$13/5*(BF$8-BF$9)*1000)</f>
        <v>37601.976008934893</v>
      </c>
      <c r="BG122" s="46">
        <f>SUM(BF$122,'Statistics NZ'!BG$122-'Statistics NZ'!BF$122,$C$13/5*(BG$8-BG$9)*1000)</f>
        <v>37571.976008934893</v>
      </c>
      <c r="BH122" s="46">
        <f>SUM(BG$122,'Statistics NZ'!BH$122-'Statistics NZ'!BG$122,$C$13/5*(BH$8-BH$9)*1000)</f>
        <v>37551.976008934893</v>
      </c>
      <c r="BI122" s="46">
        <f>SUM(BH$122,'Statistics NZ'!BI$122-'Statistics NZ'!BH$122,$C$13/5*(BI$8-BI$9)*1000)</f>
        <v>37551.976008934893</v>
      </c>
    </row>
    <row r="123" spans="1:61" x14ac:dyDescent="0.25">
      <c r="A123" s="11">
        <f>$A$23</f>
        <v>8</v>
      </c>
      <c r="B123" s="44">
        <f>'Statistics NZ'!B$123*('Economic Forecasts'!D$10-'Economic Forecasts'!D$9)*1000000/SUM('Statistics NZ'!B$15:B$29,'Statistics NZ'!B$115:B$129)</f>
        <v>31764.055341040857</v>
      </c>
      <c r="C123" s="44">
        <f>'Statistics NZ'!C$123*('Economic Forecasts'!E$10-'Economic Forecasts'!E$9)*1000000/SUM('Statistics NZ'!C$15:C$29,'Statistics NZ'!C$115:C$129)</f>
        <v>31418.729945024123</v>
      </c>
      <c r="D123" s="44">
        <f>'Statistics NZ'!D$123*('Economic Forecasts'!F$10-'Economic Forecasts'!F$9)*1000000/SUM('Statistics NZ'!D$15:D$29,'Statistics NZ'!D$115:D$129)</f>
        <v>32541.342921910426</v>
      </c>
      <c r="E123" s="44">
        <f>'Statistics NZ'!E$123*('Economic Forecasts'!G$10-'Economic Forecasts'!G$9)*1000000/SUM('Statistics NZ'!E$15:E$29,'Statistics NZ'!E$115:E$129)</f>
        <v>32039.54791601935</v>
      </c>
      <c r="F123" s="44">
        <f>'Statistics NZ'!F$123*('Economic Forecasts'!H$10-'Economic Forecasts'!H$9)*1000000/SUM('Statistics NZ'!F$15:F$29,'Statistics NZ'!F$115:F$129)</f>
        <v>30776.505825093049</v>
      </c>
      <c r="G123" s="44">
        <f>'Statistics NZ'!G$123*('Economic Forecasts'!I$10-'Economic Forecasts'!I$9)*1000000/SUM('Statistics NZ'!G$15:G$29,'Statistics NZ'!G$115:G$129)</f>
        <v>31137.378528840134</v>
      </c>
      <c r="H123" s="44">
        <f>'Statistics NZ'!H$123*('Economic Forecasts'!J$10-'Economic Forecasts'!J$9)*1000000/SUM('Statistics NZ'!H$15:H$29,'Statistics NZ'!H$115:H$129)</f>
        <v>31633.725722953164</v>
      </c>
      <c r="I123" s="44">
        <f>'Statistics NZ'!I$123*('Economic Forecasts'!K$10-'Economic Forecasts'!K$9)*1000000/SUM('Statistics NZ'!I$15:I$29,'Statistics NZ'!I$115:I$129)</f>
        <v>31410.22678506585</v>
      </c>
      <c r="J123" s="44">
        <f>'Statistics NZ'!J$123*('Economic Forecasts'!L$10-'Economic Forecasts'!L$9)*1000000/SUM('Statistics NZ'!J$15:J$29,'Statistics NZ'!J$115:J$129)</f>
        <v>32130.851915631054</v>
      </c>
      <c r="K123" s="44">
        <f>'Statistics NZ'!K$123*('Economic Forecasts'!M$10-'Economic Forecasts'!M$9)*1000000/SUM('Statistics NZ'!K$15:K$29,'Statistics NZ'!K$115:K$129)</f>
        <v>34126.197675053219</v>
      </c>
      <c r="L123" s="44">
        <f>'Statistics NZ'!L$123*('Economic Forecasts'!N$10-'Economic Forecasts'!N$9)*1000000/SUM('Statistics NZ'!L$15:L$29,'Statistics NZ'!L$115:L$129)</f>
        <v>35628.690705370864</v>
      </c>
      <c r="M123" s="44">
        <f>'Statistics NZ'!M$123*('Economic Forecasts'!O$10-'Economic Forecasts'!O$9)*1000000/SUM('Statistics NZ'!M$15:M$29,'Statistics NZ'!M$115:M$129)</f>
        <v>35864.861287533495</v>
      </c>
      <c r="N123" s="44">
        <f>'Statistics NZ'!N$123*('Economic Forecasts'!P$10-'Economic Forecasts'!P$9)*1000000/SUM('Statistics NZ'!N$15:N$29,'Statistics NZ'!N$115:N$129)</f>
        <v>36188.468731180088</v>
      </c>
      <c r="O123" s="44">
        <f>'Statistics NZ'!O$123*('Economic Forecasts'!Q$10-'Economic Forecasts'!Q$9)*1000000/SUM('Statistics NZ'!O$15:O$29,'Statistics NZ'!O$115:O$129)</f>
        <v>35900.556107249242</v>
      </c>
      <c r="P123" s="44">
        <f>'Statistics NZ'!P$123*('Economic Forecasts'!R$10-'Economic Forecasts'!R$9)*1000000/SUM('Statistics NZ'!P$15:P$29,'Statistics NZ'!P$115:P$129)</f>
        <v>36129.477993858774</v>
      </c>
      <c r="Q123" s="44">
        <f>'Statistics NZ'!Q$123*('Economic Forecasts'!S$10-'Economic Forecasts'!S$9)*1000000/SUM('Statistics NZ'!Q$15:Q$29,'Statistics NZ'!Q$115:Q$129)</f>
        <v>35544.751734963633</v>
      </c>
      <c r="R123" s="44">
        <f>'Statistics NZ'!R$123*('Economic Forecasts'!T$10-'Economic Forecasts'!T$9)*1000000/SUM('Statistics NZ'!R$15:R$29,'Statistics NZ'!R$115:R$129)</f>
        <v>35132.039933167966</v>
      </c>
      <c r="S123" s="44">
        <f>'Statistics NZ'!S$123*('Economic Forecasts'!U$10-'Economic Forecasts'!U$9)*1000000/SUM('Statistics NZ'!S$15:S$29,'Statistics NZ'!S$115:S$129)</f>
        <v>35848.989143994157</v>
      </c>
      <c r="T123" s="44">
        <f>'Statistics NZ'!T$123*('Economic Forecasts'!V$10-'Economic Forecasts'!V$9)*1000000/SUM('Statistics NZ'!T$15:T$29,'Statistics NZ'!T$115:T$129)</f>
        <v>36172.525875042236</v>
      </c>
      <c r="U123" s="45">
        <f>SUM('Statistics NZ'!U$123,$C$13/5*(U$8-U$9)*1000)*('Economic Forecasts'!W$10-'Economic Forecasts'!W$9)*1000000/SUM('Statistics NZ'!U$15:U$29,'Statistics NZ'!U$115:U$129,SUM($B$12:$D$13)*(U$8-U$9)*1000)</f>
        <v>35944.238728261691</v>
      </c>
      <c r="V123" s="45">
        <f>SUM('Statistics NZ'!V$123,$C$13/5*(V$8-V$9)*1000)*('Economic Forecasts'!X$10-'Economic Forecasts'!X$9)*1000000/SUM('Statistics NZ'!V$15:V$29,'Statistics NZ'!V$115:V$129,SUM($B$12:$D$13)*(V$8-V$9)*1000)</f>
        <v>36033.669741612568</v>
      </c>
      <c r="W123" s="45">
        <f>SUM('Statistics NZ'!W$123,$C$13/5*(W$8-W$9)*1000)*('Economic Forecasts'!Y$10-'Economic Forecasts'!Y$9)*1000000/SUM('Statistics NZ'!W$15:W$29,'Statistics NZ'!W$115:W$129,SUM($B$12:$D$13)*(W$8-W$9)*1000)</f>
        <v>36797.40271014069</v>
      </c>
      <c r="X123" s="45">
        <f>SUM('Statistics NZ'!X$123,$C$13/5*(X$8-X$9)*1000)*('Economic Forecasts'!Z$10-'Economic Forecasts'!Z$9)*1000000/SUM('Statistics NZ'!X$15:X$29,'Statistics NZ'!X$115:X$129,SUM($B$12:$D$13)*(X$8-X$9)*1000)</f>
        <v>36356.062442391354</v>
      </c>
      <c r="Y123" s="45">
        <f>SUM('Statistics NZ'!Y$123,$C$13/5*(Y$8-Y$9)*1000)*('Economic Forecasts'!AA$10-'Economic Forecasts'!AA$9)*1000000/SUM('Statistics NZ'!Y$15:Y$29,'Statistics NZ'!Y$115:Y$129,SUM($B$12:$D$13)*(Y$8-Y$9)*1000)</f>
        <v>37459.710226232448</v>
      </c>
      <c r="Z123" s="46">
        <f>SUM(Y$123,'Statistics NZ'!Z$123-'Statistics NZ'!Y$123,$C$13/5*(Z$8-Z$9)*1000)</f>
        <v>36791.851310780046</v>
      </c>
      <c r="AA123" s="46">
        <f>SUM(Z$123,'Statistics NZ'!AA$123-'Statistics NZ'!Z$123,$C$13/5*(AA$8-AA$9)*1000)</f>
        <v>35225.135961508604</v>
      </c>
      <c r="AB123" s="46">
        <f>SUM(AA$123,'Statistics NZ'!AB$123-'Statistics NZ'!AA$123,$C$13/5*(AB$8-AB$9)*1000)</f>
        <v>35061.335465181932</v>
      </c>
      <c r="AC123" s="46">
        <f>SUM(AB$123,'Statistics NZ'!AC$123-'Statistics NZ'!AB$123,$C$13/5*(AC$8-AC$9)*1000)</f>
        <v>35721.335465181932</v>
      </c>
      <c r="AD123" s="46">
        <f>SUM(AC$123,'Statistics NZ'!AD$123-'Statistics NZ'!AC$123,$C$13/5*(AD$8-AD$9)*1000)</f>
        <v>35791.335465181932</v>
      </c>
      <c r="AE123" s="46">
        <f>SUM(AD$123,'Statistics NZ'!AE$123-'Statistics NZ'!AD$123,$C$13/5*(AE$8-AE$9)*1000)</f>
        <v>35821.335465181932</v>
      </c>
      <c r="AF123" s="46">
        <f>SUM(AE$123,'Statistics NZ'!AF$123-'Statistics NZ'!AE$123,$C$13/5*(AF$8-AF$9)*1000)</f>
        <v>35841.335465181932</v>
      </c>
      <c r="AG123" s="46">
        <f>SUM(AF$123,'Statistics NZ'!AG$123-'Statistics NZ'!AF$123,$C$13/5*(AG$8-AG$9)*1000)</f>
        <v>35841.335465181932</v>
      </c>
      <c r="AH123" s="46">
        <f>SUM(AG$123,'Statistics NZ'!AH$123-'Statistics NZ'!AG$123,$C$13/5*(AH$8-AH$9)*1000)</f>
        <v>35851.335465181932</v>
      </c>
      <c r="AI123" s="46">
        <f>SUM(AH$123,'Statistics NZ'!AI$123-'Statistics NZ'!AH$123,$C$13/5*(AI$8-AI$9)*1000)</f>
        <v>35871.335465181932</v>
      </c>
      <c r="AJ123" s="46">
        <f>SUM(AI$123,'Statistics NZ'!AJ$123-'Statistics NZ'!AI$123,$C$13/5*(AJ$8-AJ$9)*1000)</f>
        <v>35911.335465181932</v>
      </c>
      <c r="AK123" s="46">
        <f>SUM(AJ$123,'Statistics NZ'!AK$123-'Statistics NZ'!AJ$123,$C$13/5*(AK$8-AK$9)*1000)</f>
        <v>35981.335465181932</v>
      </c>
      <c r="AL123" s="46">
        <f>SUM(AK$123,'Statistics NZ'!AL$123-'Statistics NZ'!AK$123,$C$13/5*(AL$8-AL$9)*1000)</f>
        <v>36081.335465181932</v>
      </c>
      <c r="AM123" s="46">
        <f>SUM(AL$123,'Statistics NZ'!AM$123-'Statistics NZ'!AL$123,$C$13/5*(AM$8-AM$9)*1000)</f>
        <v>36221.335465181932</v>
      </c>
      <c r="AN123" s="46">
        <f>SUM(AM$123,'Statistics NZ'!AN$123-'Statistics NZ'!AM$123,$C$13/5*(AN$8-AN$9)*1000)</f>
        <v>36401.335465181932</v>
      </c>
      <c r="AO123" s="46">
        <f>SUM(AN$123,'Statistics NZ'!AO$123-'Statistics NZ'!AN$123,$C$13/5*(AO$8-AO$9)*1000)</f>
        <v>36611.335465181932</v>
      </c>
      <c r="AP123" s="46">
        <f>SUM(AO$123,'Statistics NZ'!AP$123-'Statistics NZ'!AO$123,$C$13/5*(AP$8-AP$9)*1000)</f>
        <v>36851.335465181932</v>
      </c>
      <c r="AQ123" s="46">
        <f>SUM(AP$123,'Statistics NZ'!AQ$123-'Statistics NZ'!AP$123,$C$13/5*(AQ$8-AQ$9)*1000)</f>
        <v>37101.335465181932</v>
      </c>
      <c r="AR123" s="46">
        <f>SUM(AQ$123,'Statistics NZ'!AR$123-'Statistics NZ'!AQ$123,$C$13/5*(AR$8-AR$9)*1000)</f>
        <v>37351.335465181932</v>
      </c>
      <c r="AS123" s="46">
        <f>SUM(AR$123,'Statistics NZ'!AS$123-'Statistics NZ'!AR$123,$C$13/5*(AS$8-AS$9)*1000)</f>
        <v>37591.335465181932</v>
      </c>
      <c r="AT123" s="46">
        <f>SUM(AS$123,'Statistics NZ'!AT$123-'Statistics NZ'!AS$123,$C$13/5*(AT$8-AT$9)*1000)</f>
        <v>37811.335465181932</v>
      </c>
      <c r="AU123" s="46">
        <f>SUM(AT$123,'Statistics NZ'!AU$123-'Statistics NZ'!AT$123,$C$13/5*(AU$8-AU$9)*1000)</f>
        <v>37991.335465181932</v>
      </c>
      <c r="AV123" s="46">
        <f>SUM(AU$123,'Statistics NZ'!AV$123-'Statistics NZ'!AU$123,$C$13/5*(AV$8-AV$9)*1000)</f>
        <v>38141.335465181932</v>
      </c>
      <c r="AW123" s="46">
        <f>SUM(AV$123,'Statistics NZ'!AW$123-'Statistics NZ'!AV$123,$C$13/5*(AW$8-AW$9)*1000)</f>
        <v>38261.335465181932</v>
      </c>
      <c r="AX123" s="46">
        <f>SUM(AW$123,'Statistics NZ'!AX$123-'Statistics NZ'!AW$123,$C$13/5*(AX$8-AX$9)*1000)</f>
        <v>38341.335465181932</v>
      </c>
      <c r="AY123" s="46">
        <f>SUM(AX$123,'Statistics NZ'!AY$123-'Statistics NZ'!AX$123,$C$13/5*(AY$8-AY$9)*1000)</f>
        <v>38381.335465181932</v>
      </c>
      <c r="AZ123" s="46">
        <f>SUM(AY$123,'Statistics NZ'!AZ$123-'Statistics NZ'!AY$123,$C$13/5*(AZ$8-AZ$9)*1000)</f>
        <v>38401.335465181932</v>
      </c>
      <c r="BA123" s="46">
        <f>SUM(AZ$123,'Statistics NZ'!BA$123-'Statistics NZ'!AZ$123,$C$13/5*(BA$8-BA$9)*1000)</f>
        <v>38391.335465181932</v>
      </c>
      <c r="BB123" s="46">
        <f>SUM(BA$123,'Statistics NZ'!BB$123-'Statistics NZ'!BA$123,$C$13/5*(BB$8-BB$9)*1000)</f>
        <v>38361.335465181932</v>
      </c>
      <c r="BC123" s="46">
        <f>SUM(BB$123,'Statistics NZ'!BC$123-'Statistics NZ'!BB$123,$C$13/5*(BC$8-BC$9)*1000)</f>
        <v>38321.335465181932</v>
      </c>
      <c r="BD123" s="46">
        <f>SUM(BC$123,'Statistics NZ'!BD$123-'Statistics NZ'!BC$123,$C$13/5*(BD$8-BD$9)*1000)</f>
        <v>38271.335465181932</v>
      </c>
      <c r="BE123" s="46">
        <f>SUM(BD$123,'Statistics NZ'!BE$123-'Statistics NZ'!BD$123,$C$13/5*(BE$8-BE$9)*1000)</f>
        <v>38221.335465181932</v>
      </c>
      <c r="BF123" s="46">
        <f>SUM(BE$123,'Statistics NZ'!BF$123-'Statistics NZ'!BE$123,$C$13/5*(BF$8-BF$9)*1000)</f>
        <v>38161.335465181932</v>
      </c>
      <c r="BG123" s="46">
        <f>SUM(BF$123,'Statistics NZ'!BG$123-'Statistics NZ'!BF$123,$C$13/5*(BG$8-BG$9)*1000)</f>
        <v>38121.335465181932</v>
      </c>
      <c r="BH123" s="46">
        <f>SUM(BG$123,'Statistics NZ'!BH$123-'Statistics NZ'!BG$123,$C$13/5*(BH$8-BH$9)*1000)</f>
        <v>38091.335465181932</v>
      </c>
      <c r="BI123" s="46">
        <f>SUM(BH$123,'Statistics NZ'!BI$123-'Statistics NZ'!BH$123,$C$13/5*(BI$8-BI$9)*1000)</f>
        <v>38081.335465181932</v>
      </c>
    </row>
    <row r="124" spans="1:61" x14ac:dyDescent="0.25">
      <c r="A124" s="11">
        <f>$A$24</f>
        <v>9</v>
      </c>
      <c r="B124" s="44">
        <f>'Statistics NZ'!B$124*('Economic Forecasts'!D$10-'Economic Forecasts'!D$9)*1000000/SUM('Statistics NZ'!B$15:B$29,'Statistics NZ'!B$115:B$129)</f>
        <v>31615.62517589581</v>
      </c>
      <c r="C124" s="44">
        <f>'Statistics NZ'!C$124*('Economic Forecasts'!E$10-'Economic Forecasts'!E$9)*1000000/SUM('Statistics NZ'!C$15:C$29,'Statistics NZ'!C$115:C$129)</f>
        <v>31903.55435880175</v>
      </c>
      <c r="D124" s="44">
        <f>'Statistics NZ'!D$124*('Economic Forecasts'!F$10-'Economic Forecasts'!F$9)*1000000/SUM('Statistics NZ'!D$15:D$29,'Statistics NZ'!D$115:D$129)</f>
        <v>31729.391073243183</v>
      </c>
      <c r="E124" s="44">
        <f>'Statistics NZ'!E$124*('Economic Forecasts'!G$10-'Economic Forecasts'!G$9)*1000000/SUM('Statistics NZ'!E$15:E$29,'Statistics NZ'!E$115:E$129)</f>
        <v>32788.579164632247</v>
      </c>
      <c r="F124" s="44">
        <f>'Statistics NZ'!F$124*('Economic Forecasts'!H$10-'Economic Forecasts'!H$9)*1000000/SUM('Statistics NZ'!F$15:F$29,'Statistics NZ'!F$115:F$129)</f>
        <v>32351.265223423703</v>
      </c>
      <c r="G124" s="44">
        <f>'Statistics NZ'!G$124*('Economic Forecasts'!I$10-'Economic Forecasts'!I$9)*1000000/SUM('Statistics NZ'!G$15:G$29,'Statistics NZ'!G$115:G$129)</f>
        <v>30936.218993971735</v>
      </c>
      <c r="H124" s="44">
        <f>'Statistics NZ'!H$124*('Economic Forecasts'!J$10-'Economic Forecasts'!J$9)*1000000/SUM('Statistics NZ'!H$15:H$29,'Statistics NZ'!H$115:H$129)</f>
        <v>31093.068882513951</v>
      </c>
      <c r="I124" s="44">
        <f>'Statistics NZ'!I$124*('Economic Forecasts'!K$10-'Economic Forecasts'!K$9)*1000000/SUM('Statistics NZ'!I$15:I$29,'Statistics NZ'!I$115:I$129)</f>
        <v>31686.594262700946</v>
      </c>
      <c r="J124" s="44">
        <f>'Statistics NZ'!J$124*('Economic Forecasts'!L$10-'Economic Forecasts'!L$9)*1000000/SUM('Statistics NZ'!J$15:J$29,'Statistics NZ'!J$115:J$129)</f>
        <v>31693.334503295991</v>
      </c>
      <c r="K124" s="44">
        <f>'Statistics NZ'!K$124*('Economic Forecasts'!M$10-'Economic Forecasts'!M$9)*1000000/SUM('Statistics NZ'!K$15:K$29,'Statistics NZ'!K$115:K$129)</f>
        <v>32477.692517600834</v>
      </c>
      <c r="L124" s="44">
        <f>'Statistics NZ'!L$124*('Economic Forecasts'!N$10-'Economic Forecasts'!N$9)*1000000/SUM('Statistics NZ'!L$15:L$29,'Statistics NZ'!L$115:L$129)</f>
        <v>34432.523631329634</v>
      </c>
      <c r="M124" s="44">
        <f>'Statistics NZ'!M$124*('Economic Forecasts'!O$10-'Economic Forecasts'!O$9)*1000000/SUM('Statistics NZ'!M$15:M$29,'Statistics NZ'!M$115:M$129)</f>
        <v>35621.242914936549</v>
      </c>
      <c r="N124" s="44">
        <f>'Statistics NZ'!N$124*('Economic Forecasts'!P$10-'Economic Forecasts'!P$9)*1000000/SUM('Statistics NZ'!N$15:N$29,'Statistics NZ'!N$115:N$129)</f>
        <v>36135.561613152051</v>
      </c>
      <c r="O124" s="44">
        <f>'Statistics NZ'!O$124*('Economic Forecasts'!Q$10-'Economic Forecasts'!Q$9)*1000000/SUM('Statistics NZ'!O$15:O$29,'Statistics NZ'!O$115:O$129)</f>
        <v>36362.840119165834</v>
      </c>
      <c r="P124" s="44">
        <f>'Statistics NZ'!P$124*('Economic Forecasts'!R$10-'Economic Forecasts'!R$9)*1000000/SUM('Statistics NZ'!P$15:P$29,'Statistics NZ'!P$115:P$129)</f>
        <v>36530.799292825926</v>
      </c>
      <c r="Q124" s="44">
        <f>'Statistics NZ'!Q$124*('Economic Forecasts'!S$10-'Economic Forecasts'!S$9)*1000000/SUM('Statistics NZ'!Q$15:Q$29,'Statistics NZ'!Q$115:Q$129)</f>
        <v>36006.508179114324</v>
      </c>
      <c r="R124" s="44">
        <f>'Statistics NZ'!R$124*('Economic Forecasts'!T$10-'Economic Forecasts'!T$9)*1000000/SUM('Statistics NZ'!R$15:R$29,'Statistics NZ'!R$115:R$129)</f>
        <v>35732.497587198115</v>
      </c>
      <c r="S124" s="44">
        <f>'Statistics NZ'!S$124*('Economic Forecasts'!U$10-'Economic Forecasts'!U$9)*1000000/SUM('Statistics NZ'!S$15:S$29,'Statistics NZ'!S$115:S$129)</f>
        <v>36157.116199470111</v>
      </c>
      <c r="T124" s="44">
        <f>'Statistics NZ'!T$124*('Economic Forecasts'!V$10-'Economic Forecasts'!V$9)*1000000/SUM('Statistics NZ'!T$15:T$29,'Statistics NZ'!T$115:T$129)</f>
        <v>36756.810433963627</v>
      </c>
      <c r="U124" s="45">
        <f>SUM('Statistics NZ'!U$124,$C$13/5*(U$8-U$9)*1000)*('Economic Forecasts'!W$10-'Economic Forecasts'!W$9)*1000000/SUM('Statistics NZ'!U$15:U$29,'Statistics NZ'!U$115:U$129,SUM($B$12:$D$13)*(U$8-U$9)*1000)</f>
        <v>36572.225767342781</v>
      </c>
      <c r="V124" s="45">
        <f>SUM('Statistics NZ'!V$124,$C$13/5*(V$8-V$9)*1000)*('Economic Forecasts'!X$10-'Economic Forecasts'!X$9)*1000000/SUM('Statistics NZ'!V$15:V$29,'Statistics NZ'!V$115:V$129,SUM($B$12:$D$13)*(V$8-V$9)*1000)</f>
        <v>36647.281405736794</v>
      </c>
      <c r="W124" s="45">
        <f>SUM('Statistics NZ'!W$124,$C$13/5*(W$8-W$9)*1000)*('Economic Forecasts'!Y$10-'Economic Forecasts'!Y$9)*1000000/SUM('Statistics NZ'!W$15:W$29,'Statistics NZ'!W$115:W$129,SUM($B$12:$D$13)*(W$8-W$9)*1000)</f>
        <v>36808.308230893119</v>
      </c>
      <c r="X124" s="45">
        <f>SUM('Statistics NZ'!X$124,$C$13/5*(X$8-X$9)*1000)*('Economic Forecasts'!Z$10-'Economic Forecasts'!Z$9)*1000000/SUM('Statistics NZ'!X$15:X$29,'Statistics NZ'!X$115:X$129,SUM($B$12:$D$13)*(X$8-X$9)*1000)</f>
        <v>37593.045452473263</v>
      </c>
      <c r="Y124" s="45">
        <f>SUM('Statistics NZ'!Y$124,$C$13/5*(Y$8-Y$9)*1000)*('Economic Forecasts'!AA$10-'Economic Forecasts'!AA$9)*1000000/SUM('Statistics NZ'!Y$15:Y$29,'Statistics NZ'!Y$115:Y$129,SUM($B$12:$D$13)*(Y$8-Y$9)*1000)</f>
        <v>37113.434313059326</v>
      </c>
      <c r="Z124" s="46">
        <f>SUM(Y$124,'Statistics NZ'!Z$124-'Statistics NZ'!Y$124,$C$13/5*(Z$8-Z$9)*1000)</f>
        <v>37775.575397606925</v>
      </c>
      <c r="AA124" s="46">
        <f>SUM(Z$124,'Statistics NZ'!AA$124-'Statistics NZ'!Z$124,$C$13/5*(AA$8-AA$9)*1000)</f>
        <v>37098.860048335482</v>
      </c>
      <c r="AB124" s="46">
        <f>SUM(AA$124,'Statistics NZ'!AB$124-'Statistics NZ'!AA$124,$C$13/5*(AB$8-AB$9)*1000)</f>
        <v>35535.05955200881</v>
      </c>
      <c r="AC124" s="46">
        <f>SUM(AB$124,'Statistics NZ'!AC$124-'Statistics NZ'!AB$124,$C$13/5*(AC$8-AC$9)*1000)</f>
        <v>35365.05955200881</v>
      </c>
      <c r="AD124" s="46">
        <f>SUM(AC$124,'Statistics NZ'!AD$124-'Statistics NZ'!AC$124,$C$13/5*(AD$8-AD$9)*1000)</f>
        <v>36025.05955200881</v>
      </c>
      <c r="AE124" s="46">
        <f>SUM(AD$124,'Statistics NZ'!AE$124-'Statistics NZ'!AD$124,$C$13/5*(AE$8-AE$9)*1000)</f>
        <v>36095.05955200881</v>
      </c>
      <c r="AF124" s="46">
        <f>SUM(AE$124,'Statistics NZ'!AF$124-'Statistics NZ'!AE$124,$C$13/5*(AF$8-AF$9)*1000)</f>
        <v>36135.05955200881</v>
      </c>
      <c r="AG124" s="46">
        <f>SUM(AF$124,'Statistics NZ'!AG$124-'Statistics NZ'!AF$124,$C$13/5*(AG$8-AG$9)*1000)</f>
        <v>36145.05955200881</v>
      </c>
      <c r="AH124" s="46">
        <f>SUM(AG$124,'Statistics NZ'!AH$124-'Statistics NZ'!AG$124,$C$13/5*(AH$8-AH$9)*1000)</f>
        <v>36155.05955200881</v>
      </c>
      <c r="AI124" s="46">
        <f>SUM(AH$124,'Statistics NZ'!AI$124-'Statistics NZ'!AH$124,$C$13/5*(AI$8-AI$9)*1000)</f>
        <v>36165.05955200881</v>
      </c>
      <c r="AJ124" s="46">
        <f>SUM(AI$124,'Statistics NZ'!AJ$124-'Statistics NZ'!AI$124,$C$13/5*(AJ$8-AJ$9)*1000)</f>
        <v>36185.05955200881</v>
      </c>
      <c r="AK124" s="46">
        <f>SUM(AJ$124,'Statistics NZ'!AK$124-'Statistics NZ'!AJ$124,$C$13/5*(AK$8-AK$9)*1000)</f>
        <v>36225.05955200881</v>
      </c>
      <c r="AL124" s="46">
        <f>SUM(AK$124,'Statistics NZ'!AL$124-'Statistics NZ'!AK$124,$C$13/5*(AL$8-AL$9)*1000)</f>
        <v>36305.05955200881</v>
      </c>
      <c r="AM124" s="46">
        <f>SUM(AL$124,'Statistics NZ'!AM$124-'Statistics NZ'!AL$124,$C$13/5*(AM$8-AM$9)*1000)</f>
        <v>36405.05955200881</v>
      </c>
      <c r="AN124" s="46">
        <f>SUM(AM$124,'Statistics NZ'!AN$124-'Statistics NZ'!AM$124,$C$13/5*(AN$8-AN$9)*1000)</f>
        <v>36555.05955200881</v>
      </c>
      <c r="AO124" s="46">
        <f>SUM(AN$124,'Statistics NZ'!AO$124-'Statistics NZ'!AN$124,$C$13/5*(AO$8-AO$9)*1000)</f>
        <v>36735.05955200881</v>
      </c>
      <c r="AP124" s="46">
        <f>SUM(AO$124,'Statistics NZ'!AP$124-'Statistics NZ'!AO$124,$C$13/5*(AP$8-AP$9)*1000)</f>
        <v>36945.05955200881</v>
      </c>
      <c r="AQ124" s="46">
        <f>SUM(AP$124,'Statistics NZ'!AQ$124-'Statistics NZ'!AP$124,$C$13/5*(AQ$8-AQ$9)*1000)</f>
        <v>37185.05955200881</v>
      </c>
      <c r="AR124" s="46">
        <f>SUM(AQ$124,'Statistics NZ'!AR$124-'Statistics NZ'!AQ$124,$C$13/5*(AR$8-AR$9)*1000)</f>
        <v>37435.05955200881</v>
      </c>
      <c r="AS124" s="46">
        <f>SUM(AR$124,'Statistics NZ'!AS$124-'Statistics NZ'!AR$124,$C$13/5*(AS$8-AS$9)*1000)</f>
        <v>37685.05955200881</v>
      </c>
      <c r="AT124" s="46">
        <f>SUM(AS$124,'Statistics NZ'!AT$124-'Statistics NZ'!AS$124,$C$13/5*(AT$8-AT$9)*1000)</f>
        <v>37935.05955200881</v>
      </c>
      <c r="AU124" s="46">
        <f>SUM(AT$124,'Statistics NZ'!AU$124-'Statistics NZ'!AT$124,$C$13/5*(AU$8-AU$9)*1000)</f>
        <v>38145.05955200881</v>
      </c>
      <c r="AV124" s="46">
        <f>SUM(AU$124,'Statistics NZ'!AV$124-'Statistics NZ'!AU$124,$C$13/5*(AV$8-AV$9)*1000)</f>
        <v>38335.05955200881</v>
      </c>
      <c r="AW124" s="46">
        <f>SUM(AV$124,'Statistics NZ'!AW$124-'Statistics NZ'!AV$124,$C$13/5*(AW$8-AW$9)*1000)</f>
        <v>38495.05955200881</v>
      </c>
      <c r="AX124" s="46">
        <f>SUM(AW$124,'Statistics NZ'!AX$124-'Statistics NZ'!AW$124,$C$13/5*(AX$8-AX$9)*1000)</f>
        <v>38605.05955200881</v>
      </c>
      <c r="AY124" s="46">
        <f>SUM(AX$124,'Statistics NZ'!AY$124-'Statistics NZ'!AX$124,$C$13/5*(AY$8-AY$9)*1000)</f>
        <v>38685.05955200881</v>
      </c>
      <c r="AZ124" s="46">
        <f>SUM(AY$124,'Statistics NZ'!AZ$124-'Statistics NZ'!AY$124,$C$13/5*(AZ$8-AZ$9)*1000)</f>
        <v>38735.05955200881</v>
      </c>
      <c r="BA124" s="46">
        <f>SUM(AZ$124,'Statistics NZ'!BA$124-'Statistics NZ'!AZ$124,$C$13/5*(BA$8-BA$9)*1000)</f>
        <v>38755.05955200881</v>
      </c>
      <c r="BB124" s="46">
        <f>SUM(BA$124,'Statistics NZ'!BB$124-'Statistics NZ'!BA$124,$C$13/5*(BB$8-BB$9)*1000)</f>
        <v>38745.05955200881</v>
      </c>
      <c r="BC124" s="46">
        <f>SUM(BB$124,'Statistics NZ'!BC$124-'Statistics NZ'!BB$124,$C$13/5*(BC$8-BC$9)*1000)</f>
        <v>38725.05955200881</v>
      </c>
      <c r="BD124" s="46">
        <f>SUM(BC$124,'Statistics NZ'!BD$124-'Statistics NZ'!BC$124,$C$13/5*(BD$8-BD$9)*1000)</f>
        <v>38685.05955200881</v>
      </c>
      <c r="BE124" s="46">
        <f>SUM(BD$124,'Statistics NZ'!BE$124-'Statistics NZ'!BD$124,$C$13/5*(BE$8-BE$9)*1000)</f>
        <v>38635.05955200881</v>
      </c>
      <c r="BF124" s="46">
        <f>SUM(BE$124,'Statistics NZ'!BF$124-'Statistics NZ'!BE$124,$C$13/5*(BF$8-BF$9)*1000)</f>
        <v>38585.05955200881</v>
      </c>
      <c r="BG124" s="46">
        <f>SUM(BF$124,'Statistics NZ'!BG$124-'Statistics NZ'!BF$124,$C$13/5*(BG$8-BG$9)*1000)</f>
        <v>38535.05955200881</v>
      </c>
      <c r="BH124" s="46">
        <f>SUM(BG$124,'Statistics NZ'!BH$124-'Statistics NZ'!BG$124,$C$13/5*(BH$8-BH$9)*1000)</f>
        <v>38495.05955200881</v>
      </c>
      <c r="BI124" s="46">
        <f>SUM(BH$124,'Statistics NZ'!BI$124-'Statistics NZ'!BH$124,$C$13/5*(BI$8-BI$9)*1000)</f>
        <v>38465.05955200881</v>
      </c>
    </row>
    <row r="125" spans="1:61" x14ac:dyDescent="0.25">
      <c r="A125" s="11">
        <f>$A$25</f>
        <v>10</v>
      </c>
      <c r="B125" s="44">
        <f>'Statistics NZ'!B$125*('Economic Forecasts'!D$10-'Economic Forecasts'!D$9)*1000000/SUM('Statistics NZ'!B$15:B$29,'Statistics NZ'!B$115:B$129)</f>
        <v>32972.7009715077</v>
      </c>
      <c r="C125" s="44">
        <f>'Statistics NZ'!C$125*('Economic Forecasts'!E$10-'Economic Forecasts'!E$9)*1000000/SUM('Statistics NZ'!C$15:C$29,'Statistics NZ'!C$115:C$129)</f>
        <v>31819.237069449118</v>
      </c>
      <c r="D125" s="44">
        <f>'Statistics NZ'!D$125*('Economic Forecasts'!F$10-'Economic Forecasts'!F$9)*1000000/SUM('Statistics NZ'!D$15:D$29,'Statistics NZ'!D$115:D$129)</f>
        <v>32140.639412178538</v>
      </c>
      <c r="E125" s="44">
        <f>'Statistics NZ'!E$125*('Economic Forecasts'!G$10-'Economic Forecasts'!G$9)*1000000/SUM('Statistics NZ'!E$15:E$29,'Statistics NZ'!E$115:E$129)</f>
        <v>31986.799236539566</v>
      </c>
      <c r="F125" s="44">
        <f>'Statistics NZ'!F$125*('Economic Forecasts'!H$10-'Economic Forecasts'!H$9)*1000000/SUM('Statistics NZ'!F$15:F$29,'Statistics NZ'!F$115:F$129)</f>
        <v>33143.929350100203</v>
      </c>
      <c r="G125" s="44">
        <f>'Statistics NZ'!G$125*('Economic Forecasts'!I$10-'Economic Forecasts'!I$9)*1000000/SUM('Statistics NZ'!G$15:G$29,'Statistics NZ'!G$115:G$129)</f>
        <v>32524.320585038047</v>
      </c>
      <c r="H125" s="44">
        <f>'Statistics NZ'!H$125*('Economic Forecasts'!J$10-'Economic Forecasts'!J$9)*1000000/SUM('Statistics NZ'!H$15:H$29,'Statistics NZ'!H$115:H$129)</f>
        <v>30976.456622811373</v>
      </c>
      <c r="I125" s="44">
        <f>'Statistics NZ'!I$125*('Economic Forecasts'!K$10-'Economic Forecasts'!K$9)*1000000/SUM('Statistics NZ'!I$15:I$29,'Statistics NZ'!I$115:I$129)</f>
        <v>31176.377380913073</v>
      </c>
      <c r="J125" s="44">
        <f>'Statistics NZ'!J$125*('Economic Forecasts'!L$10-'Economic Forecasts'!L$9)*1000000/SUM('Statistics NZ'!J$15:J$29,'Statistics NZ'!J$115:J$129)</f>
        <v>31970.78456965481</v>
      </c>
      <c r="K125" s="44">
        <f>'Statistics NZ'!K$125*('Economic Forecasts'!M$10-'Economic Forecasts'!M$9)*1000000/SUM('Statistics NZ'!K$15:K$29,'Statistics NZ'!K$115:K$129)</f>
        <v>32092.327675598979</v>
      </c>
      <c r="L125" s="44">
        <f>'Statistics NZ'!L$125*('Economic Forecasts'!N$10-'Economic Forecasts'!N$9)*1000000/SUM('Statistics NZ'!L$15:L$29,'Statistics NZ'!L$115:L$129)</f>
        <v>32798.473967684033</v>
      </c>
      <c r="M125" s="44">
        <f>'Statistics NZ'!M$125*('Economic Forecasts'!O$10-'Economic Forecasts'!O$9)*1000000/SUM('Statistics NZ'!M$15:M$29,'Statistics NZ'!M$115:M$129)</f>
        <v>34614.993115079582</v>
      </c>
      <c r="N125" s="44">
        <f>'Statistics NZ'!N$125*('Economic Forecasts'!P$10-'Economic Forecasts'!P$9)*1000000/SUM('Statistics NZ'!N$15:N$29,'Statistics NZ'!N$115:N$129)</f>
        <v>35902.770293828667</v>
      </c>
      <c r="O125" s="44">
        <f>'Statistics NZ'!O$125*('Economic Forecasts'!Q$10-'Economic Forecasts'!Q$9)*1000000/SUM('Statistics NZ'!O$15:O$29,'Statistics NZ'!O$115:O$129)</f>
        <v>36278.788480635536</v>
      </c>
      <c r="P125" s="44">
        <f>'Statistics NZ'!P$125*('Economic Forecasts'!R$10-'Economic Forecasts'!R$9)*1000000/SUM('Statistics NZ'!P$15:P$29,'Statistics NZ'!P$115:P$129)</f>
        <v>37069.414720387103</v>
      </c>
      <c r="Q125" s="44">
        <f>'Statistics NZ'!Q$125*('Economic Forecasts'!S$10-'Economic Forecasts'!S$9)*1000000/SUM('Statistics NZ'!Q$15:Q$29,'Statistics NZ'!Q$115:Q$129)</f>
        <v>36415.792300066081</v>
      </c>
      <c r="R125" s="44">
        <f>'Statistics NZ'!R$125*('Economic Forecasts'!T$10-'Economic Forecasts'!T$9)*1000000/SUM('Statistics NZ'!R$15:R$29,'Statistics NZ'!R$115:R$129)</f>
        <v>36196.008758730175</v>
      </c>
      <c r="S125" s="44">
        <f>'Statistics NZ'!S$125*('Economic Forecasts'!U$10-'Economic Forecasts'!U$9)*1000000/SUM('Statistics NZ'!S$15:S$29,'Statistics NZ'!S$115:S$129)</f>
        <v>36868.995948328324</v>
      </c>
      <c r="T125" s="44">
        <f>'Statistics NZ'!T$125*('Economic Forecasts'!V$10-'Economic Forecasts'!V$9)*1000000/SUM('Statistics NZ'!T$15:T$29,'Statistics NZ'!T$115:T$129)</f>
        <v>37001.147613148925</v>
      </c>
      <c r="U125" s="45">
        <f>SUM('Statistics NZ'!U$125,$D$13/5*(U$8-U$9)*1000)*('Economic Forecasts'!W$10-'Economic Forecasts'!W$9)*1000000/SUM('Statistics NZ'!U$15:U$29,'Statistics NZ'!U$115:U$129,SUM($B$12:$D$13)*(U$8-U$9)*1000)</f>
        <v>37143.791030169588</v>
      </c>
      <c r="V125" s="45">
        <f>SUM('Statistics NZ'!V$125,$D$13/5*(V$8-V$9)*1000)*('Economic Forecasts'!X$10-'Economic Forecasts'!X$9)*1000000/SUM('Statistics NZ'!V$15:V$29,'Statistics NZ'!V$115:V$129,SUM($B$12:$D$13)*(V$8-V$9)*1000)</f>
        <v>37279.061279634072</v>
      </c>
      <c r="W125" s="45">
        <f>SUM('Statistics NZ'!W$125,$D$13/5*(W$8-W$9)*1000)*('Economic Forecasts'!Y$10-'Economic Forecasts'!Y$9)*1000000/SUM('Statistics NZ'!W$15:W$29,'Statistics NZ'!W$115:W$129,SUM($B$12:$D$13)*(W$8-W$9)*1000)</f>
        <v>37437.920981808747</v>
      </c>
      <c r="X125" s="45">
        <f>SUM('Statistics NZ'!X$125,$D$13/5*(X$8-X$9)*1000)*('Economic Forecasts'!Z$10-'Economic Forecasts'!Z$9)*1000000/SUM('Statistics NZ'!X$15:X$29,'Statistics NZ'!X$115:X$129,SUM($B$12:$D$13)*(X$8-X$9)*1000)</f>
        <v>37601.818470079059</v>
      </c>
      <c r="Y125" s="45">
        <f>SUM('Statistics NZ'!Y$125,$D$13/5*(Y$8-Y$9)*1000)*('Economic Forecasts'!AA$10-'Economic Forecasts'!AA$9)*1000000/SUM('Statistics NZ'!Y$15:Y$29,'Statistics NZ'!Y$115:Y$129,SUM($B$12:$D$13)*(Y$8-Y$9)*1000)</f>
        <v>38362.793954073961</v>
      </c>
      <c r="Z125" s="46">
        <f>SUM(Y$125,'Statistics NZ'!Z$125-'Statistics NZ'!Y$125,$D$13/5*(Z$8-Z$9)*1000)</f>
        <v>37603.982882372584</v>
      </c>
      <c r="AA125" s="46">
        <f>SUM(Z$125,'Statistics NZ'!AA$125-'Statistics NZ'!Z$125,$D$13/5*(AA$8-AA$9)*1000)</f>
        <v>38256.696239351761</v>
      </c>
      <c r="AB125" s="46">
        <f>SUM(AA$125,'Statistics NZ'!AB$125-'Statistics NZ'!AA$125,$D$13/5*(AB$8-AB$9)*1000)</f>
        <v>37572.629139275377</v>
      </c>
      <c r="AC125" s="46">
        <f>SUM(AB$125,'Statistics NZ'!AC$125-'Statistics NZ'!AB$125,$D$13/5*(AC$8-AC$9)*1000)</f>
        <v>36002.629139275377</v>
      </c>
      <c r="AD125" s="46">
        <f>SUM(AC$125,'Statistics NZ'!AD$125-'Statistics NZ'!AC$125,$D$13/5*(AD$8-AD$9)*1000)</f>
        <v>35842.629139275377</v>
      </c>
      <c r="AE125" s="46">
        <f>SUM(AD$125,'Statistics NZ'!AE$125-'Statistics NZ'!AD$125,$D$13/5*(AE$8-AE$9)*1000)</f>
        <v>36502.629139275377</v>
      </c>
      <c r="AF125" s="46">
        <f>SUM(AE$125,'Statistics NZ'!AF$125-'Statistics NZ'!AE$125,$D$13/5*(AF$8-AF$9)*1000)</f>
        <v>36572.629139275377</v>
      </c>
      <c r="AG125" s="46">
        <f>SUM(AF$125,'Statistics NZ'!AG$125-'Statistics NZ'!AF$125,$D$13/5*(AG$8-AG$9)*1000)</f>
        <v>36612.629139275377</v>
      </c>
      <c r="AH125" s="46">
        <f>SUM(AG$125,'Statistics NZ'!AH$125-'Statistics NZ'!AG$125,$D$13/5*(AH$8-AH$9)*1000)</f>
        <v>36632.629139275377</v>
      </c>
      <c r="AI125" s="46">
        <f>SUM(AH$125,'Statistics NZ'!AI$125-'Statistics NZ'!AH$125,$D$13/5*(AI$8-AI$9)*1000)</f>
        <v>36642.629139275377</v>
      </c>
      <c r="AJ125" s="46">
        <f>SUM(AI$125,'Statistics NZ'!AJ$125-'Statistics NZ'!AI$125,$D$13/5*(AJ$8-AJ$9)*1000)</f>
        <v>36652.629139275377</v>
      </c>
      <c r="AK125" s="46">
        <f>SUM(AJ$125,'Statistics NZ'!AK$125-'Statistics NZ'!AJ$125,$D$13/5*(AK$8-AK$9)*1000)</f>
        <v>36672.629139275377</v>
      </c>
      <c r="AL125" s="46">
        <f>SUM(AK$125,'Statistics NZ'!AL$125-'Statistics NZ'!AK$125,$D$13/5*(AL$8-AL$9)*1000)</f>
        <v>36722.629139275377</v>
      </c>
      <c r="AM125" s="46">
        <f>SUM(AL$125,'Statistics NZ'!AM$125-'Statistics NZ'!AL$125,$D$13/5*(AM$8-AM$9)*1000)</f>
        <v>36792.629139275377</v>
      </c>
      <c r="AN125" s="46">
        <f>SUM(AM$125,'Statistics NZ'!AN$125-'Statistics NZ'!AM$125,$D$13/5*(AN$8-AN$9)*1000)</f>
        <v>36902.629139275377</v>
      </c>
      <c r="AO125" s="46">
        <f>SUM(AN$125,'Statistics NZ'!AO$125-'Statistics NZ'!AN$125,$D$13/5*(AO$8-AO$9)*1000)</f>
        <v>37052.629139275377</v>
      </c>
      <c r="AP125" s="46">
        <f>SUM(AO$125,'Statistics NZ'!AP$125-'Statistics NZ'!AO$125,$D$13/5*(AP$8-AP$9)*1000)</f>
        <v>37232.629139275377</v>
      </c>
      <c r="AQ125" s="46">
        <f>SUM(AP$125,'Statistics NZ'!AQ$125-'Statistics NZ'!AP$125,$D$13/5*(AQ$8-AQ$9)*1000)</f>
        <v>37442.629139275377</v>
      </c>
      <c r="AR125" s="46">
        <f>SUM(AQ$125,'Statistics NZ'!AR$125-'Statistics NZ'!AQ$125,$D$13/5*(AR$8-AR$9)*1000)</f>
        <v>37682.629139275377</v>
      </c>
      <c r="AS125" s="46">
        <f>SUM(AR$125,'Statistics NZ'!AS$125-'Statistics NZ'!AR$125,$D$13/5*(AS$8-AS$9)*1000)</f>
        <v>37942.629139275377</v>
      </c>
      <c r="AT125" s="46">
        <f>SUM(AS$125,'Statistics NZ'!AT$125-'Statistics NZ'!AS$125,$D$13/5*(AT$8-AT$9)*1000)</f>
        <v>38192.629139275377</v>
      </c>
      <c r="AU125" s="46">
        <f>SUM(AT$125,'Statistics NZ'!AU$125-'Statistics NZ'!AT$125,$D$13/5*(AU$8-AU$9)*1000)</f>
        <v>38442.629139275377</v>
      </c>
      <c r="AV125" s="46">
        <f>SUM(AU$125,'Statistics NZ'!AV$125-'Statistics NZ'!AU$125,$D$13/5*(AV$8-AV$9)*1000)</f>
        <v>38662.629139275377</v>
      </c>
      <c r="AW125" s="46">
        <f>SUM(AV$125,'Statistics NZ'!AW$125-'Statistics NZ'!AV$125,$D$13/5*(AW$8-AW$9)*1000)</f>
        <v>38852.629139275377</v>
      </c>
      <c r="AX125" s="46">
        <f>SUM(AW$125,'Statistics NZ'!AX$125-'Statistics NZ'!AW$125,$D$13/5*(AX$8-AX$9)*1000)</f>
        <v>39002.629139275377</v>
      </c>
      <c r="AY125" s="46">
        <f>SUM(AX$125,'Statistics NZ'!AY$125-'Statistics NZ'!AX$125,$D$13/5*(AY$8-AY$9)*1000)</f>
        <v>39122.629139275377</v>
      </c>
      <c r="AZ125" s="46">
        <f>SUM(AY$125,'Statistics NZ'!AZ$125-'Statistics NZ'!AY$125,$D$13/5*(AZ$8-AZ$9)*1000)</f>
        <v>39212.629139275377</v>
      </c>
      <c r="BA125" s="46">
        <f>SUM(AZ$125,'Statistics NZ'!BA$125-'Statistics NZ'!AZ$125,$D$13/5*(BA$8-BA$9)*1000)</f>
        <v>39262.629139275377</v>
      </c>
      <c r="BB125" s="46">
        <f>SUM(BA$125,'Statistics NZ'!BB$125-'Statistics NZ'!BA$125,$D$13/5*(BB$8-BB$9)*1000)</f>
        <v>39282.629139275377</v>
      </c>
      <c r="BC125" s="46">
        <f>SUM(BB$125,'Statistics NZ'!BC$125-'Statistics NZ'!BB$125,$D$13/5*(BC$8-BC$9)*1000)</f>
        <v>39272.629139275377</v>
      </c>
      <c r="BD125" s="46">
        <f>SUM(BC$125,'Statistics NZ'!BD$125-'Statistics NZ'!BC$125,$D$13/5*(BD$8-BD$9)*1000)</f>
        <v>39252.629139275377</v>
      </c>
      <c r="BE125" s="46">
        <f>SUM(BD$125,'Statistics NZ'!BE$125-'Statistics NZ'!BD$125,$D$13/5*(BE$8-BE$9)*1000)</f>
        <v>39212.629139275377</v>
      </c>
      <c r="BF125" s="46">
        <f>SUM(BE$125,'Statistics NZ'!BF$125-'Statistics NZ'!BE$125,$D$13/5*(BF$8-BF$9)*1000)</f>
        <v>39162.629139275377</v>
      </c>
      <c r="BG125" s="46">
        <f>SUM(BF$125,'Statistics NZ'!BG$125-'Statistics NZ'!BF$125,$D$13/5*(BG$8-BG$9)*1000)</f>
        <v>39112.629139275377</v>
      </c>
      <c r="BH125" s="46">
        <f>SUM(BG$125,'Statistics NZ'!BH$125-'Statistics NZ'!BG$125,$D$13/5*(BH$8-BH$9)*1000)</f>
        <v>39072.629139275377</v>
      </c>
      <c r="BI125" s="46">
        <f>SUM(BH$125,'Statistics NZ'!BI$125-'Statistics NZ'!BH$125,$D$13/5*(BI$8-BI$9)*1000)</f>
        <v>39032.629139275377</v>
      </c>
    </row>
    <row r="126" spans="1:61" x14ac:dyDescent="0.25">
      <c r="A126" s="11">
        <f>$A$26</f>
        <v>11</v>
      </c>
      <c r="B126" s="44">
        <f>'Statistics NZ'!B$126*('Economic Forecasts'!D$10-'Economic Forecasts'!D$9)*1000000/SUM('Statistics NZ'!B$15:B$29,'Statistics NZ'!B$115:B$129)</f>
        <v>33471.002240208945</v>
      </c>
      <c r="C126" s="44">
        <f>'Statistics NZ'!C$126*('Economic Forecasts'!E$10-'Economic Forecasts'!E$9)*1000000/SUM('Statistics NZ'!C$15:C$29,'Statistics NZ'!C$115:C$129)</f>
        <v>32999.679120385954</v>
      </c>
      <c r="D126" s="44">
        <f>'Statistics NZ'!D$126*('Economic Forecasts'!F$10-'Economic Forecasts'!F$9)*1000000/SUM('Statistics NZ'!D$15:D$29,'Statistics NZ'!D$115:D$129)</f>
        <v>32077.370436957717</v>
      </c>
      <c r="E126" s="44">
        <f>'Statistics NZ'!E$126*('Economic Forecasts'!G$10-'Economic Forecasts'!G$9)*1000000/SUM('Statistics NZ'!E$15:E$29,'Statistics NZ'!E$115:E$129)</f>
        <v>32377.13946468995</v>
      </c>
      <c r="F126" s="44">
        <f>'Statistics NZ'!F$126*('Economic Forecasts'!H$10-'Economic Forecasts'!H$9)*1000000/SUM('Statistics NZ'!F$15:F$29,'Statistics NZ'!F$115:F$129)</f>
        <v>32361.834078446056</v>
      </c>
      <c r="G126" s="44">
        <f>'Statistics NZ'!G$126*('Economic Forecasts'!I$10-'Economic Forecasts'!I$9)*1000000/SUM('Statistics NZ'!G$15:G$29,'Statistics NZ'!G$115:G$129)</f>
        <v>33350.133412392526</v>
      </c>
      <c r="H126" s="44">
        <f>'Statistics NZ'!H$126*('Economic Forecasts'!J$10-'Economic Forecasts'!J$9)*1000000/SUM('Statistics NZ'!H$15:H$29,'Statistics NZ'!H$115:H$129)</f>
        <v>32640.831602202674</v>
      </c>
      <c r="I126" s="44">
        <f>'Statistics NZ'!I$126*('Economic Forecasts'!K$10-'Economic Forecasts'!K$9)*1000000/SUM('Statistics NZ'!I$15:I$29,'Statistics NZ'!I$115:I$129)</f>
        <v>31080.711715577847</v>
      </c>
      <c r="J126" s="44">
        <f>'Statistics NZ'!J$126*('Economic Forecasts'!L$10-'Economic Forecasts'!L$9)*1000000/SUM('Statistics NZ'!J$15:J$29,'Statistics NZ'!J$115:J$129)</f>
        <v>31586.62293931183</v>
      </c>
      <c r="K126" s="44">
        <f>'Statistics NZ'!K$126*('Economic Forecasts'!M$10-'Economic Forecasts'!M$9)*1000000/SUM('Statistics NZ'!K$15:K$29,'Statistics NZ'!K$115:K$129)</f>
        <v>32285.010096599905</v>
      </c>
      <c r="L126" s="44">
        <f>'Statistics NZ'!L$126*('Economic Forecasts'!N$10-'Economic Forecasts'!N$9)*1000000/SUM('Statistics NZ'!L$15:L$29,'Statistics NZ'!L$115:L$129)</f>
        <v>32360.591378079651</v>
      </c>
      <c r="M126" s="44">
        <f>'Statistics NZ'!M$126*('Economic Forecasts'!O$10-'Economic Forecasts'!O$9)*1000000/SUM('Statistics NZ'!M$15:M$29,'Statistics NZ'!M$115:M$129)</f>
        <v>32994.401332152047</v>
      </c>
      <c r="N126" s="44">
        <f>'Statistics NZ'!N$126*('Economic Forecasts'!P$10-'Economic Forecasts'!P$9)*1000000/SUM('Statistics NZ'!N$15:N$29,'Statistics NZ'!N$115:N$129)</f>
        <v>34929.279322112707</v>
      </c>
      <c r="O126" s="44">
        <f>'Statistics NZ'!O$126*('Economic Forecasts'!Q$10-'Economic Forecasts'!Q$9)*1000000/SUM('Statistics NZ'!O$15:O$29,'Statistics NZ'!O$115:O$129)</f>
        <v>36079.165839126108</v>
      </c>
      <c r="P126" s="44">
        <f>'Statistics NZ'!P$126*('Economic Forecasts'!R$10-'Economic Forecasts'!R$9)*1000000/SUM('Statistics NZ'!P$15:P$29,'Statistics NZ'!P$115:P$129)</f>
        <v>36826.509723643823</v>
      </c>
      <c r="Q126" s="44">
        <f>'Statistics NZ'!Q$126*('Economic Forecasts'!S$10-'Economic Forecasts'!S$9)*1000000/SUM('Statistics NZ'!Q$15:Q$29,'Statistics NZ'!Q$115:Q$129)</f>
        <v>36951.009996695291</v>
      </c>
      <c r="R126" s="44">
        <f>'Statistics NZ'!R$126*('Economic Forecasts'!T$10-'Economic Forecasts'!T$9)*1000000/SUM('Statistics NZ'!R$15:R$29,'Statistics NZ'!R$115:R$129)</f>
        <v>36617.382551032038</v>
      </c>
      <c r="S126" s="44">
        <f>'Statistics NZ'!S$126*('Economic Forecasts'!U$10-'Economic Forecasts'!U$9)*1000000/SUM('Statistics NZ'!S$15:S$29,'Statistics NZ'!S$115:S$129)</f>
        <v>37230.248358196666</v>
      </c>
      <c r="T126" s="44">
        <f>'Statistics NZ'!T$126*('Economic Forecasts'!V$10-'Economic Forecasts'!V$9)*1000000/SUM('Statistics NZ'!T$15:T$29,'Statistics NZ'!T$115:T$129)</f>
        <v>37670.419017004337</v>
      </c>
      <c r="U126" s="45">
        <f>SUM('Statistics NZ'!U$126,$D$13/5*(U$8-U$9)*1000)*('Economic Forecasts'!W$10-'Economic Forecasts'!W$9)*1000000/SUM('Statistics NZ'!U$15:U$29,'Statistics NZ'!U$115:U$129,SUM($B$12:$D$13)*(U$8-U$9)*1000)</f>
        <v>37399.243385050031</v>
      </c>
      <c r="V126" s="45">
        <f>SUM('Statistics NZ'!V$126,$D$13/5*(V$8-V$9)*1000)*('Economic Forecasts'!X$10-'Economic Forecasts'!X$9)*1000000/SUM('Statistics NZ'!V$15:V$29,'Statistics NZ'!V$115:V$129,SUM($B$12:$D$13)*(V$8-V$9)*1000)</f>
        <v>37871.142709929372</v>
      </c>
      <c r="W126" s="45">
        <f>SUM('Statistics NZ'!W$126,$D$13/5*(W$8-W$9)*1000)*('Economic Forecasts'!Y$10-'Economic Forecasts'!Y$9)*1000000/SUM('Statistics NZ'!W$15:W$29,'Statistics NZ'!W$115:W$129,SUM($B$12:$D$13)*(W$8-W$9)*1000)</f>
        <v>38081.346706201977</v>
      </c>
      <c r="X126" s="45">
        <f>SUM('Statistics NZ'!X$126,$D$13/5*(X$8-X$9)*1000)*('Economic Forecasts'!Z$10-'Economic Forecasts'!Z$9)*1000000/SUM('Statistics NZ'!X$15:X$29,'Statistics NZ'!X$115:X$129,SUM($B$12:$D$13)*(X$8-X$9)*1000)</f>
        <v>38253.443448604354</v>
      </c>
      <c r="Y126" s="45">
        <f>SUM('Statistics NZ'!Y$126,$D$13/5*(Y$8-Y$9)*1000)*('Economic Forecasts'!AA$10-'Economic Forecasts'!AA$9)*1000000/SUM('Statistics NZ'!Y$15:Y$29,'Statistics NZ'!Y$115:Y$129,SUM($B$12:$D$13)*(Y$8-Y$9)*1000)</f>
        <v>38385.134335568997</v>
      </c>
      <c r="Z126" s="46">
        <f>SUM(Y$126,'Statistics NZ'!Z$126-'Statistics NZ'!Y$126,$D$13/5*(Z$8-Z$9)*1000)</f>
        <v>38726.32326386762</v>
      </c>
      <c r="AA126" s="46">
        <f>SUM(Z$126,'Statistics NZ'!AA$126-'Statistics NZ'!Z$126,$D$13/5*(AA$8-AA$9)*1000)</f>
        <v>37959.036620846797</v>
      </c>
      <c r="AB126" s="46">
        <f>SUM(AA$126,'Statistics NZ'!AB$126-'Statistics NZ'!AA$126,$D$13/5*(AB$8-AB$9)*1000)</f>
        <v>38614.969520770414</v>
      </c>
      <c r="AC126" s="46">
        <f>SUM(AB$126,'Statistics NZ'!AC$126-'Statistics NZ'!AB$126,$D$13/5*(AC$8-AC$9)*1000)</f>
        <v>37924.969520770414</v>
      </c>
      <c r="AD126" s="46">
        <f>SUM(AC$126,'Statistics NZ'!AD$126-'Statistics NZ'!AC$126,$D$13/5*(AD$8-AD$9)*1000)</f>
        <v>36354.969520770414</v>
      </c>
      <c r="AE126" s="46">
        <f>SUM(AD$126,'Statistics NZ'!AE$126-'Statistics NZ'!AD$126,$D$13/5*(AE$8-AE$9)*1000)</f>
        <v>36194.969520770414</v>
      </c>
      <c r="AF126" s="46">
        <f>SUM(AE$126,'Statistics NZ'!AF$126-'Statistics NZ'!AE$126,$D$13/5*(AF$8-AF$9)*1000)</f>
        <v>36864.969520770414</v>
      </c>
      <c r="AG126" s="46">
        <f>SUM(AF$126,'Statistics NZ'!AG$126-'Statistics NZ'!AF$126,$D$13/5*(AG$8-AG$9)*1000)</f>
        <v>36934.969520770414</v>
      </c>
      <c r="AH126" s="46">
        <f>SUM(AG$126,'Statistics NZ'!AH$126-'Statistics NZ'!AG$126,$D$13/5*(AH$8-AH$9)*1000)</f>
        <v>36974.969520770414</v>
      </c>
      <c r="AI126" s="46">
        <f>SUM(AH$126,'Statistics NZ'!AI$126-'Statistics NZ'!AH$126,$D$13/5*(AI$8-AI$9)*1000)</f>
        <v>36994.969520770414</v>
      </c>
      <c r="AJ126" s="46">
        <f>SUM(AI$126,'Statistics NZ'!AJ$126-'Statistics NZ'!AI$126,$D$13/5*(AJ$8-AJ$9)*1000)</f>
        <v>37004.969520770414</v>
      </c>
      <c r="AK126" s="46">
        <f>SUM(AJ$126,'Statistics NZ'!AK$126-'Statistics NZ'!AJ$126,$D$13/5*(AK$8-AK$9)*1000)</f>
        <v>37014.969520770414</v>
      </c>
      <c r="AL126" s="46">
        <f>SUM(AK$126,'Statistics NZ'!AL$126-'Statistics NZ'!AK$126,$D$13/5*(AL$8-AL$9)*1000)</f>
        <v>37044.969520770414</v>
      </c>
      <c r="AM126" s="46">
        <f>SUM(AL$126,'Statistics NZ'!AM$126-'Statistics NZ'!AL$126,$D$13/5*(AM$8-AM$9)*1000)</f>
        <v>37094.969520770414</v>
      </c>
      <c r="AN126" s="46">
        <f>SUM(AM$126,'Statistics NZ'!AN$126-'Statistics NZ'!AM$126,$D$13/5*(AN$8-AN$9)*1000)</f>
        <v>37164.969520770414</v>
      </c>
      <c r="AO126" s="46">
        <f>SUM(AN$126,'Statistics NZ'!AO$126-'Statistics NZ'!AN$126,$D$13/5*(AO$8-AO$9)*1000)</f>
        <v>37274.969520770414</v>
      </c>
      <c r="AP126" s="46">
        <f>SUM(AO$126,'Statistics NZ'!AP$126-'Statistics NZ'!AO$126,$D$13/5*(AP$8-AP$9)*1000)</f>
        <v>37424.969520770414</v>
      </c>
      <c r="AQ126" s="46">
        <f>SUM(AP$126,'Statistics NZ'!AQ$126-'Statistics NZ'!AP$126,$D$13/5*(AQ$8-AQ$9)*1000)</f>
        <v>37614.969520770414</v>
      </c>
      <c r="AR126" s="46">
        <f>SUM(AQ$126,'Statistics NZ'!AR$126-'Statistics NZ'!AQ$126,$D$13/5*(AR$8-AR$9)*1000)</f>
        <v>37824.969520770414</v>
      </c>
      <c r="AS126" s="46">
        <f>SUM(AR$126,'Statistics NZ'!AS$126-'Statistics NZ'!AR$126,$D$13/5*(AS$8-AS$9)*1000)</f>
        <v>38064.969520770414</v>
      </c>
      <c r="AT126" s="46">
        <f>SUM(AS$126,'Statistics NZ'!AT$126-'Statistics NZ'!AS$126,$D$13/5*(AT$8-AT$9)*1000)</f>
        <v>38324.969520770414</v>
      </c>
      <c r="AU126" s="46">
        <f>SUM(AT$126,'Statistics NZ'!AU$126-'Statistics NZ'!AT$126,$D$13/5*(AU$8-AU$9)*1000)</f>
        <v>38584.969520770414</v>
      </c>
      <c r="AV126" s="46">
        <f>SUM(AU$126,'Statistics NZ'!AV$126-'Statistics NZ'!AU$126,$D$13/5*(AV$8-AV$9)*1000)</f>
        <v>38824.969520770414</v>
      </c>
      <c r="AW126" s="46">
        <f>SUM(AV$126,'Statistics NZ'!AW$126-'Statistics NZ'!AV$126,$D$13/5*(AW$8-AW$9)*1000)</f>
        <v>39054.969520770414</v>
      </c>
      <c r="AX126" s="46">
        <f>SUM(AW$126,'Statistics NZ'!AX$126-'Statistics NZ'!AW$126,$D$13/5*(AX$8-AX$9)*1000)</f>
        <v>39244.969520770414</v>
      </c>
      <c r="AY126" s="46">
        <f>SUM(AX$126,'Statistics NZ'!AY$126-'Statistics NZ'!AX$126,$D$13/5*(AY$8-AY$9)*1000)</f>
        <v>39404.969520770414</v>
      </c>
      <c r="AZ126" s="46">
        <f>SUM(AY$126,'Statistics NZ'!AZ$126-'Statistics NZ'!AY$126,$D$13/5*(AZ$8-AZ$9)*1000)</f>
        <v>39524.969520770414</v>
      </c>
      <c r="BA126" s="46">
        <f>SUM(AZ$126,'Statistics NZ'!BA$126-'Statistics NZ'!AZ$126,$D$13/5*(BA$8-BA$9)*1000)</f>
        <v>39604.969520770414</v>
      </c>
      <c r="BB126" s="46">
        <f>SUM(BA$126,'Statistics NZ'!BB$126-'Statistics NZ'!BA$126,$D$13/5*(BB$8-BB$9)*1000)</f>
        <v>39664.969520770414</v>
      </c>
      <c r="BC126" s="46">
        <f>SUM(BB$126,'Statistics NZ'!BC$126-'Statistics NZ'!BB$126,$D$13/5*(BC$8-BC$9)*1000)</f>
        <v>39684.969520770414</v>
      </c>
      <c r="BD126" s="46">
        <f>SUM(BC$126,'Statistics NZ'!BD$126-'Statistics NZ'!BC$126,$D$13/5*(BD$8-BD$9)*1000)</f>
        <v>39684.969520770414</v>
      </c>
      <c r="BE126" s="46">
        <f>SUM(BD$126,'Statistics NZ'!BE$126-'Statistics NZ'!BD$126,$D$13/5*(BE$8-BE$9)*1000)</f>
        <v>39654.969520770414</v>
      </c>
      <c r="BF126" s="46">
        <f>SUM(BE$126,'Statistics NZ'!BF$126-'Statistics NZ'!BE$126,$D$13/5*(BF$8-BF$9)*1000)</f>
        <v>39624.969520770414</v>
      </c>
      <c r="BG126" s="46">
        <f>SUM(BF$126,'Statistics NZ'!BG$126-'Statistics NZ'!BF$126,$D$13/5*(BG$8-BG$9)*1000)</f>
        <v>39574.969520770414</v>
      </c>
      <c r="BH126" s="46">
        <f>SUM(BG$126,'Statistics NZ'!BH$126-'Statistics NZ'!BG$126,$D$13/5*(BH$8-BH$9)*1000)</f>
        <v>39524.969520770414</v>
      </c>
      <c r="BI126" s="46">
        <f>SUM(BH$126,'Statistics NZ'!BI$126-'Statistics NZ'!BH$126,$D$13/5*(BI$8-BI$9)*1000)</f>
        <v>39484.969520770414</v>
      </c>
    </row>
    <row r="127" spans="1:61" x14ac:dyDescent="0.25">
      <c r="A127" s="11">
        <f>$A$27</f>
        <v>12</v>
      </c>
      <c r="B127" s="44">
        <f>'Statistics NZ'!B$127*('Economic Forecasts'!D$10-'Economic Forecasts'!D$9)*1000000/SUM('Statistics NZ'!B$15:B$29,'Statistics NZ'!B$115:B$129)</f>
        <v>33545.217322781471</v>
      </c>
      <c r="C127" s="44">
        <f>'Statistics NZ'!C$127*('Economic Forecasts'!E$10-'Economic Forecasts'!E$9)*1000000/SUM('Statistics NZ'!C$15:C$29,'Statistics NZ'!C$115:C$129)</f>
        <v>33347.487938965554</v>
      </c>
      <c r="D127" s="44">
        <f>'Statistics NZ'!D$127*('Economic Forecasts'!F$10-'Economic Forecasts'!F$9)*1000000/SUM('Statistics NZ'!D$15:D$29,'Statistics NZ'!D$115:D$129)</f>
        <v>33163.487844915195</v>
      </c>
      <c r="E127" s="44">
        <f>'Statistics NZ'!E$127*('Economic Forecasts'!G$10-'Economic Forecasts'!G$9)*1000000/SUM('Statistics NZ'!E$15:E$29,'Statistics NZ'!E$115:E$129)</f>
        <v>32303.291313418256</v>
      </c>
      <c r="F127" s="44">
        <f>'Statistics NZ'!F$127*('Economic Forecasts'!H$10-'Economic Forecasts'!H$9)*1000000/SUM('Statistics NZ'!F$15:F$29,'Statistics NZ'!F$115:F$129)</f>
        <v>32742.312859250775</v>
      </c>
      <c r="G127" s="44">
        <f>'Statistics NZ'!G$127*('Economic Forecasts'!I$10-'Economic Forecasts'!I$9)*1000000/SUM('Statistics NZ'!G$15:G$29,'Statistics NZ'!G$115:G$129)</f>
        <v>32534.90792897849</v>
      </c>
      <c r="H127" s="44">
        <f>'Statistics NZ'!H$127*('Economic Forecasts'!J$10-'Economic Forecasts'!J$9)*1000000/SUM('Statistics NZ'!H$15:H$29,'Statistics NZ'!H$115:H$129)</f>
        <v>33541.926336268029</v>
      </c>
      <c r="I127" s="44">
        <f>'Statistics NZ'!I$127*('Economic Forecasts'!K$10-'Economic Forecasts'!K$9)*1000000/SUM('Statistics NZ'!I$15:I$29,'Statistics NZ'!I$115:I$129)</f>
        <v>32813.323209982496</v>
      </c>
      <c r="J127" s="44">
        <f>'Statistics NZ'!J$127*('Economic Forecasts'!L$10-'Economic Forecasts'!L$9)*1000000/SUM('Statistics NZ'!J$15:J$29,'Statistics NZ'!J$115:J$129)</f>
        <v>31469.240218929252</v>
      </c>
      <c r="K127" s="44">
        <f>'Statistics NZ'!K$127*('Economic Forecasts'!M$10-'Economic Forecasts'!M$9)*1000000/SUM('Statistics NZ'!K$15:K$29,'Statistics NZ'!K$115:K$129)</f>
        <v>32092.327675598979</v>
      </c>
      <c r="L127" s="44">
        <f>'Statistics NZ'!L$127*('Economic Forecasts'!N$10-'Economic Forecasts'!N$9)*1000000/SUM('Statistics NZ'!L$15:L$29,'Statistics NZ'!L$115:L$129)</f>
        <v>32520.792325495888</v>
      </c>
      <c r="M127" s="44">
        <f>'Statistics NZ'!M$127*('Economic Forecasts'!O$10-'Economic Forecasts'!O$9)*1000000/SUM('Statistics NZ'!M$15:M$29,'Statistics NZ'!M$115:M$129)</f>
        <v>32528.348793270932</v>
      </c>
      <c r="N127" s="44">
        <f>'Statistics NZ'!N$127*('Economic Forecasts'!P$10-'Economic Forecasts'!P$9)*1000000/SUM('Statistics NZ'!N$15:N$29,'Statistics NZ'!N$115:N$129)</f>
        <v>33373.810052088302</v>
      </c>
      <c r="O127" s="44">
        <f>'Statistics NZ'!O$127*('Economic Forecasts'!Q$10-'Economic Forecasts'!Q$9)*1000000/SUM('Statistics NZ'!O$15:O$29,'Statistics NZ'!O$115:O$129)</f>
        <v>35259.662363455798</v>
      </c>
      <c r="P127" s="44">
        <f>'Statistics NZ'!P$127*('Economic Forecasts'!R$10-'Economic Forecasts'!R$9)*1000000/SUM('Statistics NZ'!P$15:P$29,'Statistics NZ'!P$115:P$129)</f>
        <v>36794.826463199053</v>
      </c>
      <c r="Q127" s="44">
        <f>'Statistics NZ'!Q$127*('Economic Forecasts'!S$10-'Economic Forecasts'!S$9)*1000000/SUM('Statistics NZ'!Q$15:Q$29,'Statistics NZ'!Q$115:Q$129)</f>
        <v>36751.615168539312</v>
      </c>
      <c r="R127" s="44">
        <f>'Statistics NZ'!R$127*('Economic Forecasts'!T$10-'Economic Forecasts'!T$9)*1000000/SUM('Statistics NZ'!R$15:R$29,'Statistics NZ'!R$115:R$129)</f>
        <v>37123.03110179428</v>
      </c>
      <c r="S127" s="44">
        <f>'Statistics NZ'!S$127*('Economic Forecasts'!U$10-'Economic Forecasts'!U$9)*1000000/SUM('Statistics NZ'!S$15:S$29,'Statistics NZ'!S$115:S$129)</f>
        <v>37655.251193335898</v>
      </c>
      <c r="T127" s="44">
        <f>'Statistics NZ'!T$127*('Economic Forecasts'!V$10-'Economic Forecasts'!V$9)*1000000/SUM('Statistics NZ'!T$15:T$29,'Statistics NZ'!T$115:T$129)</f>
        <v>38010.366396740414</v>
      </c>
      <c r="U127" s="45">
        <f>SUM('Statistics NZ'!U$127,$D$13/5*(U$8-U$9)*1000)*('Economic Forecasts'!W$10-'Economic Forecasts'!W$9)*1000000/SUM('Statistics NZ'!U$15:U$29,'Statistics NZ'!U$115:U$129,SUM($B$12:$D$13)*(U$8-U$9)*1000)</f>
        <v>38069.805816611202</v>
      </c>
      <c r="V127" s="45">
        <f>SUM('Statistics NZ'!V$127,$D$13/5*(V$8-V$9)*1000)*('Economic Forecasts'!X$10-'Economic Forecasts'!X$9)*1000000/SUM('Statistics NZ'!V$15:V$29,'Statistics NZ'!V$115:V$129,SUM($B$12:$D$13)*(V$8-V$9)*1000)</f>
        <v>38129.505515876415</v>
      </c>
      <c r="W127" s="45">
        <f>SUM('Statistics NZ'!W$127,$D$13/5*(W$8-W$9)*1000)*('Economic Forecasts'!Y$10-'Economic Forecasts'!Y$9)*1000000/SUM('Statistics NZ'!W$15:W$29,'Statistics NZ'!W$115:W$129,SUM($B$12:$D$13)*(W$8-W$9)*1000)</f>
        <v>38692.055868337935</v>
      </c>
      <c r="X127" s="45">
        <f>SUM('Statistics NZ'!X$127,$D$13/5*(X$8-X$9)*1000)*('Economic Forecasts'!Z$10-'Economic Forecasts'!Z$9)*1000000/SUM('Statistics NZ'!X$15:X$29,'Statistics NZ'!X$115:X$129,SUM($B$12:$D$13)*(X$8-X$9)*1000)</f>
        <v>38905.068427129641</v>
      </c>
      <c r="Y127" s="45">
        <f>SUM('Statistics NZ'!Y$127,$D$13/5*(Y$8-Y$9)*1000)*('Economic Forecasts'!AA$10-'Economic Forecasts'!AA$9)*1000000/SUM('Statistics NZ'!Y$15:Y$29,'Statistics NZ'!Y$115:Y$129,SUM($B$12:$D$13)*(Y$8-Y$9)*1000)</f>
        <v>39044.175589672675</v>
      </c>
      <c r="Z127" s="46">
        <f>SUM(Y$127,'Statistics NZ'!Z$127-'Statistics NZ'!Y$127,$D$13/5*(Z$8-Z$9)*1000)</f>
        <v>38815.364517971298</v>
      </c>
      <c r="AA127" s="46">
        <f>SUM(Z$127,'Statistics NZ'!AA$127-'Statistics NZ'!Z$127,$D$13/5*(AA$8-AA$9)*1000)</f>
        <v>39158.077874950475</v>
      </c>
      <c r="AB127" s="46">
        <f>SUM(AA$127,'Statistics NZ'!AB$127-'Statistics NZ'!AA$127,$D$13/5*(AB$8-AB$9)*1000)</f>
        <v>38374.010774874092</v>
      </c>
      <c r="AC127" s="46">
        <f>SUM(AB$127,'Statistics NZ'!AC$127-'Statistics NZ'!AB$127,$D$13/5*(AC$8-AC$9)*1000)</f>
        <v>39024.010774874092</v>
      </c>
      <c r="AD127" s="46">
        <f>SUM(AC$127,'Statistics NZ'!AD$127-'Statistics NZ'!AC$127,$D$13/5*(AD$8-AD$9)*1000)</f>
        <v>38344.010774874092</v>
      </c>
      <c r="AE127" s="46">
        <f>SUM(AD$127,'Statistics NZ'!AE$127-'Statistics NZ'!AD$127,$D$13/5*(AE$8-AE$9)*1000)</f>
        <v>36774.010774874092</v>
      </c>
      <c r="AF127" s="46">
        <f>SUM(AE$127,'Statistics NZ'!AF$127-'Statistics NZ'!AE$127,$D$13/5*(AF$8-AF$9)*1000)</f>
        <v>36624.010774874092</v>
      </c>
      <c r="AG127" s="46">
        <f>SUM(AF$127,'Statistics NZ'!AG$127-'Statistics NZ'!AF$127,$D$13/5*(AG$8-AG$9)*1000)</f>
        <v>37284.010774874092</v>
      </c>
      <c r="AH127" s="46">
        <f>SUM(AG$127,'Statistics NZ'!AH$127-'Statistics NZ'!AG$127,$D$13/5*(AH$8-AH$9)*1000)</f>
        <v>37354.010774874092</v>
      </c>
      <c r="AI127" s="46">
        <f>SUM(AH$127,'Statistics NZ'!AI$127-'Statistics NZ'!AH$127,$D$13/5*(AI$8-AI$9)*1000)</f>
        <v>37404.010774874092</v>
      </c>
      <c r="AJ127" s="46">
        <f>SUM(AI$127,'Statistics NZ'!AJ$127-'Statistics NZ'!AI$127,$D$13/5*(AJ$8-AJ$9)*1000)</f>
        <v>37424.010774874092</v>
      </c>
      <c r="AK127" s="46">
        <f>SUM(AJ$127,'Statistics NZ'!AK$127-'Statistics NZ'!AJ$127,$D$13/5*(AK$8-AK$9)*1000)</f>
        <v>37434.010774874092</v>
      </c>
      <c r="AL127" s="46">
        <f>SUM(AK$127,'Statistics NZ'!AL$127-'Statistics NZ'!AK$127,$D$13/5*(AL$8-AL$9)*1000)</f>
        <v>37454.010774874092</v>
      </c>
      <c r="AM127" s="46">
        <f>SUM(AL$127,'Statistics NZ'!AM$127-'Statistics NZ'!AL$127,$D$13/5*(AM$8-AM$9)*1000)</f>
        <v>37484.010774874092</v>
      </c>
      <c r="AN127" s="46">
        <f>SUM(AM$127,'Statistics NZ'!AN$127-'Statistics NZ'!AM$127,$D$13/5*(AN$8-AN$9)*1000)</f>
        <v>37524.010774874092</v>
      </c>
      <c r="AO127" s="46">
        <f>SUM(AN$127,'Statistics NZ'!AO$127-'Statistics NZ'!AN$127,$D$13/5*(AO$8-AO$9)*1000)</f>
        <v>37604.010774874092</v>
      </c>
      <c r="AP127" s="46">
        <f>SUM(AO$127,'Statistics NZ'!AP$127-'Statistics NZ'!AO$127,$D$13/5*(AP$8-AP$9)*1000)</f>
        <v>37714.010774874092</v>
      </c>
      <c r="AQ127" s="46">
        <f>SUM(AP$127,'Statistics NZ'!AQ$127-'Statistics NZ'!AP$127,$D$13/5*(AQ$8-AQ$9)*1000)</f>
        <v>37864.010774874092</v>
      </c>
      <c r="AR127" s="46">
        <f>SUM(AQ$127,'Statistics NZ'!AR$127-'Statistics NZ'!AQ$127,$D$13/5*(AR$8-AR$9)*1000)</f>
        <v>38054.010774874092</v>
      </c>
      <c r="AS127" s="46">
        <f>SUM(AR$127,'Statistics NZ'!AS$127-'Statistics NZ'!AR$127,$D$13/5*(AS$8-AS$9)*1000)</f>
        <v>38274.010774874092</v>
      </c>
      <c r="AT127" s="46">
        <f>SUM(AS$127,'Statistics NZ'!AT$127-'Statistics NZ'!AS$127,$D$13/5*(AT$8-AT$9)*1000)</f>
        <v>38514.010774874092</v>
      </c>
      <c r="AU127" s="46">
        <f>SUM(AT$127,'Statistics NZ'!AU$127-'Statistics NZ'!AT$127,$D$13/5*(AU$8-AU$9)*1000)</f>
        <v>38774.010774874092</v>
      </c>
      <c r="AV127" s="46">
        <f>SUM(AU$127,'Statistics NZ'!AV$127-'Statistics NZ'!AU$127,$D$13/5*(AV$8-AV$9)*1000)</f>
        <v>39034.010774874092</v>
      </c>
      <c r="AW127" s="46">
        <f>SUM(AV$127,'Statistics NZ'!AW$127-'Statistics NZ'!AV$127,$D$13/5*(AW$8-AW$9)*1000)</f>
        <v>39284.010774874092</v>
      </c>
      <c r="AX127" s="46">
        <f>SUM(AW$127,'Statistics NZ'!AX$127-'Statistics NZ'!AW$127,$D$13/5*(AX$8-AX$9)*1000)</f>
        <v>39504.010774874092</v>
      </c>
      <c r="AY127" s="46">
        <f>SUM(AX$127,'Statistics NZ'!AY$127-'Statistics NZ'!AX$127,$D$13/5*(AY$8-AY$9)*1000)</f>
        <v>39704.010774874092</v>
      </c>
      <c r="AZ127" s="46">
        <f>SUM(AY$127,'Statistics NZ'!AZ$127-'Statistics NZ'!AY$127,$D$13/5*(AZ$8-AZ$9)*1000)</f>
        <v>39864.010774874092</v>
      </c>
      <c r="BA127" s="46">
        <f>SUM(AZ$127,'Statistics NZ'!BA$127-'Statistics NZ'!AZ$127,$D$13/5*(BA$8-BA$9)*1000)</f>
        <v>39984.010774874092</v>
      </c>
      <c r="BB127" s="46">
        <f>SUM(BA$127,'Statistics NZ'!BB$127-'Statistics NZ'!BA$127,$D$13/5*(BB$8-BB$9)*1000)</f>
        <v>40074.010774874092</v>
      </c>
      <c r="BC127" s="46">
        <f>SUM(BB$127,'Statistics NZ'!BC$127-'Statistics NZ'!BB$127,$D$13/5*(BC$8-BC$9)*1000)</f>
        <v>40124.010774874092</v>
      </c>
      <c r="BD127" s="46">
        <f>SUM(BC$127,'Statistics NZ'!BD$127-'Statistics NZ'!BC$127,$D$13/5*(BD$8-BD$9)*1000)</f>
        <v>40154.010774874092</v>
      </c>
      <c r="BE127" s="46">
        <f>SUM(BD$127,'Statistics NZ'!BE$127-'Statistics NZ'!BD$127,$D$13/5*(BE$8-BE$9)*1000)</f>
        <v>40154.010774874092</v>
      </c>
      <c r="BF127" s="46">
        <f>SUM(BE$127,'Statistics NZ'!BF$127-'Statistics NZ'!BE$127,$D$13/5*(BF$8-BF$9)*1000)</f>
        <v>40134.010774874092</v>
      </c>
      <c r="BG127" s="46">
        <f>SUM(BF$127,'Statistics NZ'!BG$127-'Statistics NZ'!BF$127,$D$13/5*(BG$8-BG$9)*1000)</f>
        <v>40094.010774874092</v>
      </c>
      <c r="BH127" s="46">
        <f>SUM(BG$127,'Statistics NZ'!BH$127-'Statistics NZ'!BG$127,$D$13/5*(BH$8-BH$9)*1000)</f>
        <v>40054.010774874092</v>
      </c>
      <c r="BI127" s="46">
        <f>SUM(BH$127,'Statistics NZ'!BI$127-'Statistics NZ'!BH$127,$D$13/5*(BI$8-BI$9)*1000)</f>
        <v>40004.010774874092</v>
      </c>
    </row>
    <row r="128" spans="1:61" x14ac:dyDescent="0.25">
      <c r="A128" s="11">
        <f>$A$28</f>
        <v>13</v>
      </c>
      <c r="B128" s="44">
        <f>'Statistics NZ'!B$128*('Economic Forecasts'!D$10-'Economic Forecasts'!D$9)*1000000/SUM('Statistics NZ'!B$15:B$29,'Statistics NZ'!B$115:B$129)</f>
        <v>34350.981076426033</v>
      </c>
      <c r="C128" s="44">
        <f>'Statistics NZ'!C$128*('Economic Forecasts'!E$10-'Economic Forecasts'!E$9)*1000000/SUM('Statistics NZ'!C$15:C$29,'Statistics NZ'!C$115:C$129)</f>
        <v>33326.408616627399</v>
      </c>
      <c r="D128" s="44">
        <f>'Statistics NZ'!D$128*('Economic Forecasts'!F$10-'Economic Forecasts'!F$9)*1000000/SUM('Statistics NZ'!D$15:D$29,'Statistics NZ'!D$115:D$129)</f>
        <v>33342.74994137419</v>
      </c>
      <c r="E128" s="44">
        <f>'Statistics NZ'!E$128*('Economic Forecasts'!G$10-'Economic Forecasts'!G$9)*1000000/SUM('Statistics NZ'!E$15:E$29,'Statistics NZ'!E$115:E$129)</f>
        <v>33347.715167117931</v>
      </c>
      <c r="F128" s="44">
        <f>'Statistics NZ'!F$128*('Economic Forecasts'!H$10-'Economic Forecasts'!H$9)*1000000/SUM('Statistics NZ'!F$15:F$29,'Statistics NZ'!F$115:F$129)</f>
        <v>32594.348888937828</v>
      </c>
      <c r="G128" s="44">
        <f>'Statistics NZ'!G$128*('Economic Forecasts'!I$10-'Economic Forecasts'!I$9)*1000000/SUM('Statistics NZ'!G$15:G$29,'Statistics NZ'!G$115:G$129)</f>
        <v>33021.925750238821</v>
      </c>
      <c r="H128" s="44">
        <f>'Statistics NZ'!H$128*('Economic Forecasts'!J$10-'Economic Forecasts'!J$9)*1000000/SUM('Statistics NZ'!H$15:H$29,'Statistics NZ'!H$115:H$129)</f>
        <v>32683.236060276344</v>
      </c>
      <c r="I128" s="44">
        <f>'Statistics NZ'!I$128*('Economic Forecasts'!K$10-'Economic Forecasts'!K$9)*1000000/SUM('Statistics NZ'!I$15:I$29,'Statistics NZ'!I$115:I$129)</f>
        <v>33780.609381705333</v>
      </c>
      <c r="J128" s="44">
        <f>'Statistics NZ'!J$128*('Economic Forecasts'!L$10-'Economic Forecasts'!L$9)*1000000/SUM('Statistics NZ'!J$15:J$29,'Statistics NZ'!J$115:J$129)</f>
        <v>33133.940617082175</v>
      </c>
      <c r="K128" s="44">
        <f>'Statistics NZ'!K$128*('Economic Forecasts'!M$10-'Economic Forecasts'!M$9)*1000000/SUM('Statistics NZ'!K$15:K$29,'Statistics NZ'!K$115:K$129)</f>
        <v>31985.281886154018</v>
      </c>
      <c r="L128" s="44">
        <f>'Statistics NZ'!L$128*('Economic Forecasts'!N$10-'Economic Forecasts'!N$9)*1000000/SUM('Statistics NZ'!L$15:L$29,'Statistics NZ'!L$115:L$129)</f>
        <v>32574.192641301299</v>
      </c>
      <c r="M128" s="44">
        <f>'Statistics NZ'!M$128*('Economic Forecasts'!O$10-'Economic Forecasts'!O$9)*1000000/SUM('Statistics NZ'!M$15:M$29,'Statistics NZ'!M$115:M$129)</f>
        <v>32570.71720589649</v>
      </c>
      <c r="N128" s="44">
        <f>'Statistics NZ'!N$128*('Economic Forecasts'!P$10-'Economic Forecasts'!P$9)*1000000/SUM('Statistics NZ'!N$15:N$29,'Statistics NZ'!N$115:N$129)</f>
        <v>32844.738871807895</v>
      </c>
      <c r="O128" s="44">
        <f>'Statistics NZ'!O$128*('Economic Forecasts'!Q$10-'Economic Forecasts'!Q$9)*1000000/SUM('Statistics NZ'!O$15:O$29,'Statistics NZ'!O$115:O$129)</f>
        <v>33673.187686196616</v>
      </c>
      <c r="P128" s="44">
        <f>'Statistics NZ'!P$128*('Economic Forecasts'!R$10-'Economic Forecasts'!R$9)*1000000/SUM('Statistics NZ'!P$15:P$29,'Statistics NZ'!P$115:P$129)</f>
        <v>36023.867125709527</v>
      </c>
      <c r="Q128" s="44">
        <f>'Statistics NZ'!Q$128*('Economic Forecasts'!S$10-'Economic Forecasts'!S$9)*1000000/SUM('Statistics NZ'!Q$15:Q$29,'Statistics NZ'!Q$115:Q$129)</f>
        <v>36825.076421017831</v>
      </c>
      <c r="R128" s="44">
        <f>'Statistics NZ'!R$128*('Economic Forecasts'!T$10-'Economic Forecasts'!T$9)*1000000/SUM('Statistics NZ'!R$15:R$29,'Statistics NZ'!R$115:R$129)</f>
        <v>36965.015929681082</v>
      </c>
      <c r="S128" s="44">
        <f>'Statistics NZ'!S$128*('Economic Forecasts'!U$10-'Economic Forecasts'!U$9)*1000000/SUM('Statistics NZ'!S$15:S$29,'Statistics NZ'!S$115:S$129)</f>
        <v>38197.129808138423</v>
      </c>
      <c r="T128" s="44">
        <f>'Statistics NZ'!T$128*('Economic Forecasts'!V$10-'Economic Forecasts'!V$9)*1000000/SUM('Statistics NZ'!T$15:T$29,'Statistics NZ'!T$115:T$129)</f>
        <v>38477.794043877526</v>
      </c>
      <c r="U128" s="45">
        <f>SUM('Statistics NZ'!U$128,$D$13/5*(U$8-U$9)*1000)*('Economic Forecasts'!W$10-'Economic Forecasts'!W$9)*1000000/SUM('Statistics NZ'!U$15:U$29,'Statistics NZ'!U$115:U$129,SUM($B$12:$D$13)*(U$8-U$9)*1000)</f>
        <v>38442.340500811857</v>
      </c>
      <c r="V128" s="45">
        <f>SUM('Statistics NZ'!V$128,$D$13/5*(V$8-V$9)*1000)*('Economic Forecasts'!X$10-'Economic Forecasts'!X$9)*1000000/SUM('Statistics NZ'!V$15:V$29,'Statistics NZ'!V$115:V$129,SUM($B$12:$D$13)*(V$8-V$9)*1000)</f>
        <v>38840.003232230782</v>
      </c>
      <c r="W128" s="45">
        <f>SUM('Statistics NZ'!W$128,$D$13/5*(W$8-W$9)*1000)*('Economic Forecasts'!Y$10-'Economic Forecasts'!Y$9)*1000000/SUM('Statistics NZ'!W$15:W$29,'Statistics NZ'!W$115:W$129,SUM($B$12:$D$13)*(W$8-W$9)*1000)</f>
        <v>38975.599407901049</v>
      </c>
      <c r="X128" s="45">
        <f>SUM('Statistics NZ'!X$128,$D$13/5*(X$8-X$9)*1000)*('Economic Forecasts'!Z$10-'Economic Forecasts'!Z$9)*1000000/SUM('Statistics NZ'!X$15:X$29,'Statistics NZ'!X$115:X$129,SUM($B$12:$D$13)*(X$8-X$9)*1000)</f>
        <v>39545.648914493489</v>
      </c>
      <c r="Y128" s="45">
        <f>SUM('Statistics NZ'!Y$128,$D$13/5*(Y$8-Y$9)*1000)*('Economic Forecasts'!AA$10-'Economic Forecasts'!AA$9)*1000000/SUM('Statistics NZ'!Y$15:Y$29,'Statistics NZ'!Y$115:Y$129,SUM($B$12:$D$13)*(Y$8-Y$9)*1000)</f>
        <v>39736.727416018912</v>
      </c>
      <c r="Z128" s="46">
        <f>SUM(Y$128,'Statistics NZ'!Z$128-'Statistics NZ'!Y$128,$D$13/5*(Z$8-Z$9)*1000)</f>
        <v>39497.916344317535</v>
      </c>
      <c r="AA128" s="46">
        <f>SUM(Z$128,'Statistics NZ'!AA$128-'Statistics NZ'!Z$128,$D$13/5*(AA$8-AA$9)*1000)</f>
        <v>39270.629701296712</v>
      </c>
      <c r="AB128" s="46">
        <f>SUM(AA$128,'Statistics NZ'!AB$128-'Statistics NZ'!AA$128,$D$13/5*(AB$8-AB$9)*1000)</f>
        <v>39596.562601220328</v>
      </c>
      <c r="AC128" s="46">
        <f>SUM(AB$128,'Statistics NZ'!AC$128-'Statistics NZ'!AB$128,$D$13/5*(AC$8-AC$9)*1000)</f>
        <v>38816.562601220328</v>
      </c>
      <c r="AD128" s="46">
        <f>SUM(AC$128,'Statistics NZ'!AD$128-'Statistics NZ'!AC$128,$D$13/5*(AD$8-AD$9)*1000)</f>
        <v>39466.562601220328</v>
      </c>
      <c r="AE128" s="46">
        <f>SUM(AD$128,'Statistics NZ'!AE$128-'Statistics NZ'!AD$128,$D$13/5*(AE$8-AE$9)*1000)</f>
        <v>38786.562601220328</v>
      </c>
      <c r="AF128" s="46">
        <f>SUM(AE$128,'Statistics NZ'!AF$128-'Statistics NZ'!AE$128,$D$13/5*(AF$8-AF$9)*1000)</f>
        <v>37226.562601220328</v>
      </c>
      <c r="AG128" s="46">
        <f>SUM(AF$128,'Statistics NZ'!AG$128-'Statistics NZ'!AF$128,$D$13/5*(AG$8-AG$9)*1000)</f>
        <v>37066.562601220328</v>
      </c>
      <c r="AH128" s="46">
        <f>SUM(AG$128,'Statistics NZ'!AH$128-'Statistics NZ'!AG$128,$D$13/5*(AH$8-AH$9)*1000)</f>
        <v>37736.562601220328</v>
      </c>
      <c r="AI128" s="46">
        <f>SUM(AH$128,'Statistics NZ'!AI$128-'Statistics NZ'!AH$128,$D$13/5*(AI$8-AI$9)*1000)</f>
        <v>37806.562601220328</v>
      </c>
      <c r="AJ128" s="46">
        <f>SUM(AI$128,'Statistics NZ'!AJ$128-'Statistics NZ'!AI$128,$D$13/5*(AJ$8-AJ$9)*1000)</f>
        <v>37856.562601220328</v>
      </c>
      <c r="AK128" s="46">
        <f>SUM(AJ$128,'Statistics NZ'!AK$128-'Statistics NZ'!AJ$128,$D$13/5*(AK$8-AK$9)*1000)</f>
        <v>37876.562601220328</v>
      </c>
      <c r="AL128" s="46">
        <f>SUM(AK$128,'Statistics NZ'!AL$128-'Statistics NZ'!AK$128,$D$13/5*(AL$8-AL$9)*1000)</f>
        <v>37896.562601220328</v>
      </c>
      <c r="AM128" s="46">
        <f>SUM(AL$128,'Statistics NZ'!AM$128-'Statistics NZ'!AL$128,$D$13/5*(AM$8-AM$9)*1000)</f>
        <v>37906.562601220328</v>
      </c>
      <c r="AN128" s="46">
        <f>SUM(AM$128,'Statistics NZ'!AN$128-'Statistics NZ'!AM$128,$D$13/5*(AN$8-AN$9)*1000)</f>
        <v>37936.562601220328</v>
      </c>
      <c r="AO128" s="46">
        <f>SUM(AN$128,'Statistics NZ'!AO$128-'Statistics NZ'!AN$128,$D$13/5*(AO$8-AO$9)*1000)</f>
        <v>37996.562601220328</v>
      </c>
      <c r="AP128" s="46">
        <f>SUM(AO$128,'Statistics NZ'!AP$128-'Statistics NZ'!AO$128,$D$13/5*(AP$8-AP$9)*1000)</f>
        <v>38066.562601220328</v>
      </c>
      <c r="AQ128" s="46">
        <f>SUM(AP$128,'Statistics NZ'!AQ$128-'Statistics NZ'!AP$128,$D$13/5*(AQ$8-AQ$9)*1000)</f>
        <v>38186.562601220328</v>
      </c>
      <c r="AR128" s="46">
        <f>SUM(AQ$128,'Statistics NZ'!AR$128-'Statistics NZ'!AQ$128,$D$13/5*(AR$8-AR$9)*1000)</f>
        <v>38336.562601220328</v>
      </c>
      <c r="AS128" s="46">
        <f>SUM(AR$128,'Statistics NZ'!AS$128-'Statistics NZ'!AR$128,$D$13/5*(AS$8-AS$9)*1000)</f>
        <v>38526.562601220328</v>
      </c>
      <c r="AT128" s="46">
        <f>SUM(AS$128,'Statistics NZ'!AT$128-'Statistics NZ'!AS$128,$D$13/5*(AT$8-AT$9)*1000)</f>
        <v>38746.562601220328</v>
      </c>
      <c r="AU128" s="46">
        <f>SUM(AT$128,'Statistics NZ'!AU$128-'Statistics NZ'!AT$128,$D$13/5*(AU$8-AU$9)*1000)</f>
        <v>38986.562601220328</v>
      </c>
      <c r="AV128" s="46">
        <f>SUM(AU$128,'Statistics NZ'!AV$128-'Statistics NZ'!AU$128,$D$13/5*(AV$8-AV$9)*1000)</f>
        <v>39246.562601220328</v>
      </c>
      <c r="AW128" s="46">
        <f>SUM(AV$128,'Statistics NZ'!AW$128-'Statistics NZ'!AV$128,$D$13/5*(AW$8-AW$9)*1000)</f>
        <v>39516.562601220328</v>
      </c>
      <c r="AX128" s="46">
        <f>SUM(AW$128,'Statistics NZ'!AX$128-'Statistics NZ'!AW$128,$D$13/5*(AX$8-AX$9)*1000)</f>
        <v>39766.562601220328</v>
      </c>
      <c r="AY128" s="46">
        <f>SUM(AX$128,'Statistics NZ'!AY$128-'Statistics NZ'!AX$128,$D$13/5*(AY$8-AY$9)*1000)</f>
        <v>39986.562601220328</v>
      </c>
      <c r="AZ128" s="46">
        <f>SUM(AY$128,'Statistics NZ'!AZ$128-'Statistics NZ'!AY$128,$D$13/5*(AZ$8-AZ$9)*1000)</f>
        <v>40186.562601220328</v>
      </c>
      <c r="BA128" s="46">
        <f>SUM(AZ$128,'Statistics NZ'!BA$128-'Statistics NZ'!AZ$128,$D$13/5*(BA$8-BA$9)*1000)</f>
        <v>40346.562601220328</v>
      </c>
      <c r="BB128" s="46">
        <f>SUM(BA$128,'Statistics NZ'!BB$128-'Statistics NZ'!BA$128,$D$13/5*(BB$8-BB$9)*1000)</f>
        <v>40476.562601220328</v>
      </c>
      <c r="BC128" s="46">
        <f>SUM(BB$128,'Statistics NZ'!BC$128-'Statistics NZ'!BB$128,$D$13/5*(BC$8-BC$9)*1000)</f>
        <v>40566.562601220328</v>
      </c>
      <c r="BD128" s="46">
        <f>SUM(BC$128,'Statistics NZ'!BD$128-'Statistics NZ'!BC$128,$D$13/5*(BD$8-BD$9)*1000)</f>
        <v>40616.562601220328</v>
      </c>
      <c r="BE128" s="46">
        <f>SUM(BD$128,'Statistics NZ'!BE$128-'Statistics NZ'!BD$128,$D$13/5*(BE$8-BE$9)*1000)</f>
        <v>40646.562601220328</v>
      </c>
      <c r="BF128" s="46">
        <f>SUM(BE$128,'Statistics NZ'!BF$128-'Statistics NZ'!BE$128,$D$13/5*(BF$8-BF$9)*1000)</f>
        <v>40646.562601220328</v>
      </c>
      <c r="BG128" s="46">
        <f>SUM(BF$128,'Statistics NZ'!BG$128-'Statistics NZ'!BF$128,$D$13/5*(BG$8-BG$9)*1000)</f>
        <v>40626.562601220328</v>
      </c>
      <c r="BH128" s="46">
        <f>SUM(BG$128,'Statistics NZ'!BH$128-'Statistics NZ'!BG$128,$D$13/5*(BH$8-BH$9)*1000)</f>
        <v>40596.562601220328</v>
      </c>
      <c r="BI128" s="46">
        <f>SUM(BH$128,'Statistics NZ'!BI$128-'Statistics NZ'!BH$128,$D$13/5*(BI$8-BI$9)*1000)</f>
        <v>40556.562601220328</v>
      </c>
    </row>
    <row r="129" spans="1:61" x14ac:dyDescent="0.25">
      <c r="A129" s="11">
        <f>$A$29</f>
        <v>14</v>
      </c>
      <c r="B129" s="44">
        <f>'Statistics NZ'!B$129*('Economic Forecasts'!D$10-'Economic Forecasts'!D$9)*1000000/SUM('Statistics NZ'!B$15:B$29,'Statistics NZ'!B$115:B$129)</f>
        <v>34775.067262554745</v>
      </c>
      <c r="C129" s="44">
        <f>'Statistics NZ'!C$129*('Economic Forecasts'!E$10-'Economic Forecasts'!E$9)*1000000/SUM('Statistics NZ'!C$15:C$29,'Statistics NZ'!C$115:C$129)</f>
        <v>34000.946931448445</v>
      </c>
      <c r="D129" s="44">
        <f>'Statistics NZ'!D$129*('Economic Forecasts'!F$10-'Economic Forecasts'!F$9)*1000000/SUM('Statistics NZ'!D$15:D$29,'Statistics NZ'!D$115:D$129)</f>
        <v>33268.936136949902</v>
      </c>
      <c r="E129" s="44">
        <f>'Statistics NZ'!E$129*('Economic Forecasts'!G$10-'Economic Forecasts'!G$9)*1000000/SUM('Statistics NZ'!E$15:E$29,'Statistics NZ'!E$115:E$129)</f>
        <v>33379.364374805802</v>
      </c>
      <c r="F129" s="44">
        <f>'Statistics NZ'!F$129*('Economic Forecasts'!H$10-'Economic Forecasts'!H$9)*1000000/SUM('Statistics NZ'!F$15:F$29,'Statistics NZ'!F$115:F$129)</f>
        <v>33619.52782610611</v>
      </c>
      <c r="G129" s="44">
        <f>'Statistics NZ'!G$129*('Economic Forecasts'!I$10-'Economic Forecasts'!I$9)*1000000/SUM('Statistics NZ'!G$15:G$29,'Statistics NZ'!G$115:G$129)</f>
        <v>32884.290279013076</v>
      </c>
      <c r="H129" s="44">
        <f>'Statistics NZ'!H$129*('Economic Forecasts'!J$10-'Economic Forecasts'!J$9)*1000000/SUM('Statistics NZ'!H$15:H$29,'Statistics NZ'!H$115:H$129)</f>
        <v>33287.499587826052</v>
      </c>
      <c r="I129" s="44">
        <f>'Statistics NZ'!I$129*('Economic Forecasts'!K$10-'Economic Forecasts'!K$9)*1000000/SUM('Statistics NZ'!I$15:I$29,'Statistics NZ'!I$115:I$129)</f>
        <v>32930.247912058883</v>
      </c>
      <c r="J129" s="44">
        <f>'Statistics NZ'!J$129*('Economic Forecasts'!L$10-'Economic Forecasts'!L$9)*1000000/SUM('Statistics NZ'!J$15:J$29,'Statistics NZ'!J$115:J$129)</f>
        <v>33987.633128955473</v>
      </c>
      <c r="K129" s="44">
        <f>'Statistics NZ'!K$129*('Economic Forecasts'!M$10-'Economic Forecasts'!M$9)*1000000/SUM('Statistics NZ'!K$15:K$29,'Statistics NZ'!K$115:K$129)</f>
        <v>33569.559569939425</v>
      </c>
      <c r="L129" s="44">
        <f>'Statistics NZ'!L$129*('Economic Forecasts'!N$10-'Economic Forecasts'!N$9)*1000000/SUM('Statistics NZ'!L$15:L$29,'Statistics NZ'!L$115:L$129)</f>
        <v>32499.432199173723</v>
      </c>
      <c r="M129" s="44">
        <f>'Statistics NZ'!M$129*('Economic Forecasts'!O$10-'Economic Forecasts'!O$9)*1000000/SUM('Statistics NZ'!M$15:M$29,'Statistics NZ'!M$115:M$129)</f>
        <v>32920.256610057324</v>
      </c>
      <c r="N129" s="44">
        <f>'Statistics NZ'!N$129*('Economic Forecasts'!P$10-'Economic Forecasts'!P$9)*1000000/SUM('Statistics NZ'!N$15:N$29,'Statistics NZ'!N$115:N$129)</f>
        <v>32971.715955075189</v>
      </c>
      <c r="O129" s="44">
        <f>'Statistics NZ'!O$129*('Economic Forecasts'!Q$10-'Economic Forecasts'!Q$9)*1000000/SUM('Statistics NZ'!O$15:O$29,'Statistics NZ'!O$115:O$129)</f>
        <v>33168.877855014885</v>
      </c>
      <c r="P129" s="44">
        <f>'Statistics NZ'!P$129*('Economic Forecasts'!R$10-'Economic Forecasts'!R$9)*1000000/SUM('Statistics NZ'!P$15:P$29,'Statistics NZ'!P$115:P$129)</f>
        <v>34386.898669396127</v>
      </c>
      <c r="Q129" s="44">
        <f>'Statistics NZ'!Q$129*('Economic Forecasts'!S$10-'Economic Forecasts'!S$9)*1000000/SUM('Statistics NZ'!Q$15:Q$29,'Statistics NZ'!Q$115:Q$129)</f>
        <v>35975.024785194961</v>
      </c>
      <c r="R129" s="44">
        <f>'Statistics NZ'!R$129*('Economic Forecasts'!T$10-'Economic Forecasts'!T$9)*1000000/SUM('Statistics NZ'!R$15:R$29,'Statistics NZ'!R$115:R$129)</f>
        <v>37101.962412179179</v>
      </c>
      <c r="S129" s="44">
        <f>'Statistics NZ'!S$129*('Economic Forecasts'!U$10-'Economic Forecasts'!U$9)*1000000/SUM('Statistics NZ'!S$15:S$29,'Statistics NZ'!S$115:S$129)</f>
        <v>38037.753744961206</v>
      </c>
      <c r="T129" s="44">
        <f>'Statistics NZ'!T$129*('Economic Forecasts'!V$10-'Economic Forecasts'!V$9)*1000000/SUM('Statistics NZ'!T$15:T$29,'Statistics NZ'!T$115:T$129)</f>
        <v>38966.468402248138</v>
      </c>
      <c r="U129" s="45">
        <f>SUM('Statistics NZ'!U$129,$D$13/5*(U$8-U$9)*1000)*('Economic Forecasts'!W$10-'Economic Forecasts'!W$9)*1000000/SUM('Statistics NZ'!U$15:U$29,'Statistics NZ'!U$115:U$129,SUM($B$12:$D$13)*(U$8-U$9)*1000)</f>
        <v>38963.889058692752</v>
      </c>
      <c r="V129" s="45">
        <f>SUM('Statistics NZ'!V$129,$D$13/5*(V$8-V$9)*1000)*('Economic Forecasts'!X$10-'Economic Forecasts'!X$9)*1000000/SUM('Statistics NZ'!V$15:V$29,'Statistics NZ'!V$115:V$129,SUM($B$12:$D$13)*(V$8-V$9)*1000)</f>
        <v>39259.842791894727</v>
      </c>
      <c r="W129" s="45">
        <f>SUM('Statistics NZ'!W$129,$D$13/5*(W$8-W$9)*1000)*('Economic Forecasts'!Y$10-'Economic Forecasts'!Y$9)*1000000/SUM('Statistics NZ'!W$15:W$29,'Statistics NZ'!W$115:W$129,SUM($B$12:$D$13)*(W$8-W$9)*1000)</f>
        <v>39738.985860570989</v>
      </c>
      <c r="X129" s="45">
        <f>SUM('Statistics NZ'!X$129,$D$13/5*(X$8-X$9)*1000)*('Economic Forecasts'!Z$10-'Economic Forecasts'!Z$9)*1000000/SUM('Statistics NZ'!X$15:X$29,'Statistics NZ'!X$115:X$129,SUM($B$12:$D$13)*(X$8-X$9)*1000)</f>
        <v>39876.983649336857</v>
      </c>
      <c r="Y129" s="45">
        <f>SUM('Statistics NZ'!Y$129,$D$13/5*(Y$8-Y$9)*1000)*('Economic Forecasts'!AA$10-'Economic Forecasts'!AA$9)*1000000/SUM('Statistics NZ'!Y$15:Y$29,'Statistics NZ'!Y$115:Y$129,SUM($B$12:$D$13)*(Y$8-Y$9)*1000)</f>
        <v>40418.109051617634</v>
      </c>
      <c r="Z129" s="46">
        <f>SUM(Y$129,'Statistics NZ'!Z$129-'Statistics NZ'!Y$129,$D$13/5*(Z$8-Z$9)*1000)</f>
        <v>40229.297979916257</v>
      </c>
      <c r="AA129" s="46">
        <f>SUM(Z$129,'Statistics NZ'!AA$129-'Statistics NZ'!Z$129,$D$13/5*(AA$8-AA$9)*1000)</f>
        <v>39982.011336895433</v>
      </c>
      <c r="AB129" s="46">
        <f>SUM(AA$129,'Statistics NZ'!AB$129-'Statistics NZ'!AA$129,$D$13/5*(AB$8-AB$9)*1000)</f>
        <v>39747.94423681905</v>
      </c>
      <c r="AC129" s="46">
        <f>SUM(AB$129,'Statistics NZ'!AC$129-'Statistics NZ'!AB$129,$D$13/5*(AC$8-AC$9)*1000)</f>
        <v>40077.94423681905</v>
      </c>
      <c r="AD129" s="46">
        <f>SUM(AC$129,'Statistics NZ'!AD$129-'Statistics NZ'!AC$129,$D$13/5*(AD$8-AD$9)*1000)</f>
        <v>39297.94423681905</v>
      </c>
      <c r="AE129" s="46">
        <f>SUM(AD$129,'Statistics NZ'!AE$129-'Statistics NZ'!AD$129,$D$13/5*(AE$8-AE$9)*1000)</f>
        <v>39947.94423681905</v>
      </c>
      <c r="AF129" s="46">
        <f>SUM(AE$129,'Statistics NZ'!AF$129-'Statistics NZ'!AE$129,$D$13/5*(AF$8-AF$9)*1000)</f>
        <v>39267.94423681905</v>
      </c>
      <c r="AG129" s="46">
        <f>SUM(AF$129,'Statistics NZ'!AG$129-'Statistics NZ'!AF$129,$D$13/5*(AG$8-AG$9)*1000)</f>
        <v>37707.94423681905</v>
      </c>
      <c r="AH129" s="46">
        <f>SUM(AG$129,'Statistics NZ'!AH$129-'Statistics NZ'!AG$129,$D$13/5*(AH$8-AH$9)*1000)</f>
        <v>37557.94423681905</v>
      </c>
      <c r="AI129" s="46">
        <f>SUM(AH$129,'Statistics NZ'!AI$129-'Statistics NZ'!AH$129,$D$13/5*(AI$8-AI$9)*1000)</f>
        <v>38227.94423681905</v>
      </c>
      <c r="AJ129" s="46">
        <f>SUM(AI$129,'Statistics NZ'!AJ$129-'Statistics NZ'!AI$129,$D$13/5*(AJ$8-AJ$9)*1000)</f>
        <v>38297.94423681905</v>
      </c>
      <c r="AK129" s="46">
        <f>SUM(AJ$129,'Statistics NZ'!AK$129-'Statistics NZ'!AJ$129,$D$13/5*(AK$8-AK$9)*1000)</f>
        <v>38347.94423681905</v>
      </c>
      <c r="AL129" s="46">
        <f>SUM(AK$129,'Statistics NZ'!AL$129-'Statistics NZ'!AK$129,$D$13/5*(AL$8-AL$9)*1000)</f>
        <v>38377.94423681905</v>
      </c>
      <c r="AM129" s="46">
        <f>SUM(AL$129,'Statistics NZ'!AM$129-'Statistics NZ'!AL$129,$D$13/5*(AM$8-AM$9)*1000)</f>
        <v>38387.94423681905</v>
      </c>
      <c r="AN129" s="46">
        <f>SUM(AM$129,'Statistics NZ'!AN$129-'Statistics NZ'!AM$129,$D$13/5*(AN$8-AN$9)*1000)</f>
        <v>38407.94423681905</v>
      </c>
      <c r="AO129" s="46">
        <f>SUM(AN$129,'Statistics NZ'!AO$129-'Statistics NZ'!AN$129,$D$13/5*(AO$8-AO$9)*1000)</f>
        <v>38437.94423681905</v>
      </c>
      <c r="AP129" s="46">
        <f>SUM(AO$129,'Statistics NZ'!AP$129-'Statistics NZ'!AO$129,$D$13/5*(AP$8-AP$9)*1000)</f>
        <v>38497.94423681905</v>
      </c>
      <c r="AQ129" s="46">
        <f>SUM(AP$129,'Statistics NZ'!AQ$129-'Statistics NZ'!AP$129,$D$13/5*(AQ$8-AQ$9)*1000)</f>
        <v>38577.94423681905</v>
      </c>
      <c r="AR129" s="46">
        <f>SUM(AQ$129,'Statistics NZ'!AR$129-'Statistics NZ'!AQ$129,$D$13/5*(AR$8-AR$9)*1000)</f>
        <v>38687.94423681905</v>
      </c>
      <c r="AS129" s="46">
        <f>SUM(AR$129,'Statistics NZ'!AS$129-'Statistics NZ'!AR$129,$D$13/5*(AS$8-AS$9)*1000)</f>
        <v>38847.94423681905</v>
      </c>
      <c r="AT129" s="46">
        <f>SUM(AS$129,'Statistics NZ'!AT$129-'Statistics NZ'!AS$129,$D$13/5*(AT$8-AT$9)*1000)</f>
        <v>39037.94423681905</v>
      </c>
      <c r="AU129" s="46">
        <f>SUM(AT$129,'Statistics NZ'!AU$129-'Statistics NZ'!AT$129,$D$13/5*(AU$8-AU$9)*1000)</f>
        <v>39257.94423681905</v>
      </c>
      <c r="AV129" s="46">
        <f>SUM(AU$129,'Statistics NZ'!AV$129-'Statistics NZ'!AU$129,$D$13/5*(AV$8-AV$9)*1000)</f>
        <v>39507.94423681905</v>
      </c>
      <c r="AW129" s="46">
        <f>SUM(AV$129,'Statistics NZ'!AW$129-'Statistics NZ'!AV$129,$D$13/5*(AW$8-AW$9)*1000)</f>
        <v>39767.94423681905</v>
      </c>
      <c r="AX129" s="46">
        <f>SUM(AW$129,'Statistics NZ'!AX$129-'Statistics NZ'!AW$129,$D$13/5*(AX$8-AX$9)*1000)</f>
        <v>40027.94423681905</v>
      </c>
      <c r="AY129" s="46">
        <f>SUM(AX$129,'Statistics NZ'!AY$129-'Statistics NZ'!AX$129,$D$13/5*(AY$8-AY$9)*1000)</f>
        <v>40287.94423681905</v>
      </c>
      <c r="AZ129" s="46">
        <f>SUM(AY$129,'Statistics NZ'!AZ$129-'Statistics NZ'!AY$129,$D$13/5*(AZ$8-AZ$9)*1000)</f>
        <v>40507.94423681905</v>
      </c>
      <c r="BA129" s="46">
        <f>SUM(AZ$129,'Statistics NZ'!BA$129-'Statistics NZ'!AZ$129,$D$13/5*(BA$8-BA$9)*1000)</f>
        <v>40707.94423681905</v>
      </c>
      <c r="BB129" s="46">
        <f>SUM(BA$129,'Statistics NZ'!BB$129-'Statistics NZ'!BA$129,$D$13/5*(BB$8-BB$9)*1000)</f>
        <v>40877.94423681905</v>
      </c>
      <c r="BC129" s="46">
        <f>SUM(BB$129,'Statistics NZ'!BC$129-'Statistics NZ'!BB$129,$D$13/5*(BC$8-BC$9)*1000)</f>
        <v>40997.94423681905</v>
      </c>
      <c r="BD129" s="46">
        <f>SUM(BC$129,'Statistics NZ'!BD$129-'Statistics NZ'!BC$129,$D$13/5*(BD$8-BD$9)*1000)</f>
        <v>41087.94423681905</v>
      </c>
      <c r="BE129" s="46">
        <f>SUM(BD$129,'Statistics NZ'!BE$129-'Statistics NZ'!BD$129,$D$13/5*(BE$8-BE$9)*1000)</f>
        <v>41147.94423681905</v>
      </c>
      <c r="BF129" s="46">
        <f>SUM(BE$129,'Statistics NZ'!BF$129-'Statistics NZ'!BE$129,$D$13/5*(BF$8-BF$9)*1000)</f>
        <v>41177.94423681905</v>
      </c>
      <c r="BG129" s="46">
        <f>SUM(BF$129,'Statistics NZ'!BG$129-'Statistics NZ'!BF$129,$D$13/5*(BG$8-BG$9)*1000)</f>
        <v>41177.94423681905</v>
      </c>
      <c r="BH129" s="46">
        <f>SUM(BG$129,'Statistics NZ'!BH$129-'Statistics NZ'!BG$129,$D$13/5*(BH$8-BH$9)*1000)</f>
        <v>41167.94423681905</v>
      </c>
      <c r="BI129" s="46">
        <f>SUM(BH$129,'Statistics NZ'!BI$129-'Statistics NZ'!BH$129,$D$13/5*(BI$8-BI$9)*1000)</f>
        <v>41137.94423681905</v>
      </c>
    </row>
    <row r="130" spans="1:61" x14ac:dyDescent="0.25">
      <c r="A130" s="11">
        <f>$A$30</f>
        <v>15</v>
      </c>
      <c r="B130" s="44">
        <f>'Statistics NZ'!B$130*'Economic Forecasts'!D$9*1000000/SUM('Statistics NZ'!B$30:B$110,'Statistics NZ'!B$130:B$210)</f>
        <v>32864.257414328706</v>
      </c>
      <c r="C130" s="44">
        <f>'Statistics NZ'!C$130*'Economic Forecasts'!E$9*1000000/SUM('Statistics NZ'!C$30:C$110,'Statistics NZ'!C$130:C$210)</f>
        <v>32003.635043330047</v>
      </c>
      <c r="D130" s="44">
        <f>'Statistics NZ'!D$130*'Economic Forecasts'!F$9*1000000/SUM('Statistics NZ'!D$30:D$110,'Statistics NZ'!D$130:D$210)</f>
        <v>31530.943095617429</v>
      </c>
      <c r="E130" s="44">
        <f>'Statistics NZ'!E$130*'Economic Forecasts'!G$9*1000000/SUM('Statistics NZ'!E$30:E$110,'Statistics NZ'!E$130:E$210)</f>
        <v>30872.508114210457</v>
      </c>
      <c r="F130" s="44">
        <f>'Statistics NZ'!F$130*'Economic Forecasts'!H$9*1000000/SUM('Statistics NZ'!F$30:F$110,'Statistics NZ'!F$130:F$210)</f>
        <v>31182.274851779661</v>
      </c>
      <c r="G130" s="44">
        <f>'Statistics NZ'!G$130*'Economic Forecasts'!I$9*1000000/SUM('Statistics NZ'!G$30:G$110,'Statistics NZ'!G$130:G$210)</f>
        <v>31382.798869074009</v>
      </c>
      <c r="H130" s="44">
        <f>'Statistics NZ'!H$130*'Economic Forecasts'!J$9*1000000/SUM('Statistics NZ'!H$30:H$110,'Statistics NZ'!H$130:H$210)</f>
        <v>30762.504395155182</v>
      </c>
      <c r="I130" s="44">
        <f>'Statistics NZ'!I$130*'Economic Forecasts'!K$9*1000000/SUM('Statistics NZ'!I$30:I$110,'Statistics NZ'!I$130:I$210)</f>
        <v>30998.841879144489</v>
      </c>
      <c r="J130" s="44">
        <f>'Statistics NZ'!J$130*'Economic Forecasts'!L$9*1000000/SUM('Statistics NZ'!J$30:J$110,'Statistics NZ'!J$130:J$210)</f>
        <v>30425.872601075254</v>
      </c>
      <c r="K130" s="44">
        <f>'Statistics NZ'!K$130*'Economic Forecasts'!M$9*1000000/SUM('Statistics NZ'!K$30:K$110,'Statistics NZ'!K$130:K$210)</f>
        <v>31350.626282755973</v>
      </c>
      <c r="L130" s="44">
        <f>'Statistics NZ'!L$130*'Economic Forecasts'!N$9*1000000/SUM('Statistics NZ'!L$30:L$110,'Statistics NZ'!L$130:L$210)</f>
        <v>31127.95823206694</v>
      </c>
      <c r="M130" s="44">
        <f>'Statistics NZ'!M$130*'Economic Forecasts'!O$9*1000000/SUM('Statistics NZ'!M$30:M$110,'Statistics NZ'!M$130:M$210)</f>
        <v>30393.144222063442</v>
      </c>
      <c r="N130" s="44">
        <f>'Statistics NZ'!N$130*'Economic Forecasts'!P$9*1000000/SUM('Statistics NZ'!N$30:N$110,'Statistics NZ'!N$130:N$210)</f>
        <v>31047.596443221533</v>
      </c>
      <c r="O130" s="44">
        <f>'Statistics NZ'!O$130*'Economic Forecasts'!Q$9*1000000/SUM('Statistics NZ'!O$30:O$110,'Statistics NZ'!O$130:O$210)</f>
        <v>31228.966716578925</v>
      </c>
      <c r="P130" s="44">
        <f>'Statistics NZ'!P$130*'Economic Forecasts'!R$9*1000000/SUM('Statistics NZ'!P$30:P$110,'Statistics NZ'!P$130:P$210)</f>
        <v>31579.206037176966</v>
      </c>
      <c r="Q130" s="44">
        <f>'Statistics NZ'!Q$130*'Economic Forecasts'!S$9*1000000/SUM('Statistics NZ'!Q$30:Q$110,'Statistics NZ'!Q$130:Q$210)</f>
        <v>32504.822084071264</v>
      </c>
      <c r="R130" s="44">
        <f>'Statistics NZ'!R$130*'Economic Forecasts'!T$9*1000000/SUM('Statistics NZ'!R$30:R$110,'Statistics NZ'!R$130:R$210)</f>
        <v>34345.275468179345</v>
      </c>
      <c r="S130" s="44">
        <f>'Statistics NZ'!S$130*'Economic Forecasts'!U$9*1000000/SUM('Statistics NZ'!S$30:S$110,'Statistics NZ'!S$130:S$210)</f>
        <v>35521.963812072412</v>
      </c>
      <c r="T130" s="44">
        <f>'Statistics NZ'!T$130*'Economic Forecasts'!V$9*1000000/SUM('Statistics NZ'!T$30:T$110,'Statistics NZ'!T$130:T$210)</f>
        <v>36286.190459630212</v>
      </c>
      <c r="U130" s="45">
        <f>SUM('Statistics NZ'!U$130,$E$13/5*(U$8-U$9)*1000)*'Economic Forecasts'!W$9*1000000/SUM('Statistics NZ'!U$30:U$110,'Statistics NZ'!U$130:U$210,SUM($E$12:$T$13)*(U$8-U$9)*1000)</f>
        <v>36805.224568440215</v>
      </c>
      <c r="V130" s="45">
        <f>SUM('Statistics NZ'!V$130,$E$13/5*(V$8-V$9)*1000)*'Economic Forecasts'!X$9*1000000/SUM('Statistics NZ'!V$30:V$110,'Statistics NZ'!V$130:V$210,SUM($E$12:$T$13)*(V$8-V$9)*1000)</f>
        <v>36685.044927951283</v>
      </c>
      <c r="W130" s="45">
        <f>SUM('Statistics NZ'!W$130,$E$13/5*(W$8-W$9)*1000)*'Economic Forecasts'!Y$9*1000000/SUM('Statistics NZ'!W$30:W$110,'Statistics NZ'!W$130:W$210,SUM($E$12:$T$13)*(W$8-W$9)*1000)</f>
        <v>36557.968146618077</v>
      </c>
      <c r="X130" s="45">
        <f>SUM('Statistics NZ'!X$130,$E$13/5*(X$8-X$9)*1000)*'Economic Forecasts'!Z$9*1000000/SUM('Statistics NZ'!X$30:X$110,'Statistics NZ'!X$130:X$210,SUM($E$12:$T$13)*(X$8-X$9)*1000)</f>
        <v>36534.675233256545</v>
      </c>
      <c r="Y130" s="45">
        <f>SUM('Statistics NZ'!Y$130,$E$13/5*(Y$8-Y$9)*1000)*'Economic Forecasts'!AA$9*1000000/SUM('Statistics NZ'!Y$30:Y$110,'Statistics NZ'!Y$130:Y$210,SUM($E$12:$T$13)*(Y$8-Y$9)*1000)</f>
        <v>36231.793259040678</v>
      </c>
      <c r="Z130" s="46">
        <f>SUM(Y$130,'Statistics NZ'!Z$130-'Statistics NZ'!Y$130,$E$13/5*(Z$8-Z$9)*1000)</f>
        <v>36356.103990425188</v>
      </c>
      <c r="AA130" s="46">
        <f>SUM(Z$130,'Statistics NZ'!AA$130-'Statistics NZ'!Z$130,$E$13/5*(AA$8-AA$9)*1000)</f>
        <v>36166.69042925589</v>
      </c>
      <c r="AB130" s="46">
        <f>SUM(AA$130,'Statistics NZ'!AB$130-'Statistics NZ'!AA$130,$E$13/5*(AB$8-AB$9)*1000)</f>
        <v>35926.297434043554</v>
      </c>
      <c r="AC130" s="46">
        <f>SUM(AB$130,'Statistics NZ'!AC$130-'Statistics NZ'!AB$130,$E$13/5*(AC$8-AC$9)*1000)</f>
        <v>35686.297434043554</v>
      </c>
      <c r="AD130" s="46">
        <f>SUM(AC$130,'Statistics NZ'!AD$130-'Statistics NZ'!AC$130,$E$13/5*(AD$8-AD$9)*1000)</f>
        <v>36016.297434043554</v>
      </c>
      <c r="AE130" s="46">
        <f>SUM(AD$130,'Statistics NZ'!AE$130-'Statistics NZ'!AD$130,$E$13/5*(AE$8-AE$9)*1000)</f>
        <v>35236.297434043554</v>
      </c>
      <c r="AF130" s="46">
        <f>SUM(AE$130,'Statistics NZ'!AF$130-'Statistics NZ'!AE$130,$E$13/5*(AF$8-AF$9)*1000)</f>
        <v>35896.297434043554</v>
      </c>
      <c r="AG130" s="46">
        <f>SUM(AF$130,'Statistics NZ'!AG$130-'Statistics NZ'!AF$130,$E$13/5*(AG$8-AG$9)*1000)</f>
        <v>35216.297434043554</v>
      </c>
      <c r="AH130" s="46">
        <f>SUM(AG$130,'Statistics NZ'!AH$130-'Statistics NZ'!AG$130,$E$13/5*(AH$8-AH$9)*1000)</f>
        <v>33656.297434043554</v>
      </c>
      <c r="AI130" s="46">
        <f>SUM(AH$130,'Statistics NZ'!AI$130-'Statistics NZ'!AH$130,$E$13/5*(AI$8-AI$9)*1000)</f>
        <v>33506.297434043554</v>
      </c>
      <c r="AJ130" s="46">
        <f>SUM(AI$130,'Statistics NZ'!AJ$130-'Statistics NZ'!AI$130,$E$13/5*(AJ$8-AJ$9)*1000)</f>
        <v>34176.297434043554</v>
      </c>
      <c r="AK130" s="46">
        <f>SUM(AJ$130,'Statistics NZ'!AK$130-'Statistics NZ'!AJ$130,$E$13/5*(AK$8-AK$9)*1000)</f>
        <v>34256.297434043554</v>
      </c>
      <c r="AL130" s="46">
        <f>SUM(AK$130,'Statistics NZ'!AL$130-'Statistics NZ'!AK$130,$E$13/5*(AL$8-AL$9)*1000)</f>
        <v>34306.297434043554</v>
      </c>
      <c r="AM130" s="46">
        <f>SUM(AL$130,'Statistics NZ'!AM$130-'Statistics NZ'!AL$130,$E$13/5*(AM$8-AM$9)*1000)</f>
        <v>34326.297434043554</v>
      </c>
      <c r="AN130" s="46">
        <f>SUM(AM$130,'Statistics NZ'!AN$130-'Statistics NZ'!AM$130,$E$13/5*(AN$8-AN$9)*1000)</f>
        <v>34346.297434043554</v>
      </c>
      <c r="AO130" s="46">
        <f>SUM(AN$130,'Statistics NZ'!AO$130-'Statistics NZ'!AN$130,$E$13/5*(AO$8-AO$9)*1000)</f>
        <v>34366.297434043554</v>
      </c>
      <c r="AP130" s="46">
        <f>SUM(AO$130,'Statistics NZ'!AP$130-'Statistics NZ'!AO$130,$E$13/5*(AP$8-AP$9)*1000)</f>
        <v>34406.297434043554</v>
      </c>
      <c r="AQ130" s="46">
        <f>SUM(AP$130,'Statistics NZ'!AQ$130-'Statistics NZ'!AP$130,$E$13/5*(AQ$8-AQ$9)*1000)</f>
        <v>34456.297434043554</v>
      </c>
      <c r="AR130" s="46">
        <f>SUM(AQ$130,'Statistics NZ'!AR$130-'Statistics NZ'!AQ$130,$E$13/5*(AR$8-AR$9)*1000)</f>
        <v>34536.297434043554</v>
      </c>
      <c r="AS130" s="46">
        <f>SUM(AR$130,'Statistics NZ'!AS$130-'Statistics NZ'!AR$130,$E$13/5*(AS$8-AS$9)*1000)</f>
        <v>34656.297434043554</v>
      </c>
      <c r="AT130" s="46">
        <f>SUM(AS$130,'Statistics NZ'!AT$130-'Statistics NZ'!AS$130,$E$13/5*(AT$8-AT$9)*1000)</f>
        <v>34816.297434043554</v>
      </c>
      <c r="AU130" s="46">
        <f>SUM(AT$130,'Statistics NZ'!AU$130-'Statistics NZ'!AT$130,$E$13/5*(AU$8-AU$9)*1000)</f>
        <v>35006.297434043554</v>
      </c>
      <c r="AV130" s="46">
        <f>SUM(AU$130,'Statistics NZ'!AV$130-'Statistics NZ'!AU$130,$E$13/5*(AV$8-AV$9)*1000)</f>
        <v>35236.297434043554</v>
      </c>
      <c r="AW130" s="46">
        <f>SUM(AV$130,'Statistics NZ'!AW$130-'Statistics NZ'!AV$130,$E$13/5*(AW$8-AW$9)*1000)</f>
        <v>35476.297434043554</v>
      </c>
      <c r="AX130" s="46">
        <f>SUM(AW$130,'Statistics NZ'!AX$130-'Statistics NZ'!AW$130,$E$13/5*(AX$8-AX$9)*1000)</f>
        <v>35746.297434043554</v>
      </c>
      <c r="AY130" s="46">
        <f>SUM(AX$130,'Statistics NZ'!AY$130-'Statistics NZ'!AX$130,$E$13/5*(AY$8-AY$9)*1000)</f>
        <v>36006.297434043554</v>
      </c>
      <c r="AZ130" s="46">
        <f>SUM(AY$130,'Statistics NZ'!AZ$130-'Statistics NZ'!AY$130,$E$13/5*(AZ$8-AZ$9)*1000)</f>
        <v>36266.297434043554</v>
      </c>
      <c r="BA130" s="46">
        <f>SUM(AZ$130,'Statistics NZ'!BA$130-'Statistics NZ'!AZ$130,$E$13/5*(BA$8-BA$9)*1000)</f>
        <v>36496.297434043554</v>
      </c>
      <c r="BB130" s="46">
        <f>SUM(BA$130,'Statistics NZ'!BB$130-'Statistics NZ'!BA$130,$E$13/5*(BB$8-BB$9)*1000)</f>
        <v>36696.297434043554</v>
      </c>
      <c r="BC130" s="46">
        <f>SUM(BB$130,'Statistics NZ'!BC$130-'Statistics NZ'!BB$130,$E$13/5*(BC$8-BC$9)*1000)</f>
        <v>36856.297434043554</v>
      </c>
      <c r="BD130" s="46">
        <f>SUM(BC$130,'Statistics NZ'!BD$130-'Statistics NZ'!BC$130,$E$13/5*(BD$8-BD$9)*1000)</f>
        <v>36986.297434043554</v>
      </c>
      <c r="BE130" s="46">
        <f>SUM(BD$130,'Statistics NZ'!BE$130-'Statistics NZ'!BD$130,$E$13/5*(BE$8-BE$9)*1000)</f>
        <v>37076.297434043554</v>
      </c>
      <c r="BF130" s="46">
        <f>SUM(BE$130,'Statistics NZ'!BF$130-'Statistics NZ'!BE$130,$E$13/5*(BF$8-BF$9)*1000)</f>
        <v>37136.297434043554</v>
      </c>
      <c r="BG130" s="46">
        <f>SUM(BF$130,'Statistics NZ'!BG$130-'Statistics NZ'!BF$130,$E$13/5*(BG$8-BG$9)*1000)</f>
        <v>37166.297434043554</v>
      </c>
      <c r="BH130" s="46">
        <f>SUM(BG$130,'Statistics NZ'!BH$130-'Statistics NZ'!BG$130,$E$13/5*(BH$8-BH$9)*1000)</f>
        <v>37176.297434043554</v>
      </c>
      <c r="BI130" s="46">
        <f>SUM(BH$130,'Statistics NZ'!BI$130-'Statistics NZ'!BH$130,$E$13/5*(BI$8-BI$9)*1000)</f>
        <v>37166.297434043554</v>
      </c>
    </row>
    <row r="131" spans="1:61" x14ac:dyDescent="0.25">
      <c r="A131" s="11">
        <f>$A$31</f>
        <v>16</v>
      </c>
      <c r="B131" s="44">
        <f>'Statistics NZ'!B$131*'Economic Forecasts'!D$9*1000000/SUM('Statistics NZ'!B$30:B$110,'Statistics NZ'!B$130:B$210)</f>
        <v>31905.431208135131</v>
      </c>
      <c r="C131" s="44">
        <f>'Statistics NZ'!C$131*'Economic Forecasts'!E$9*1000000/SUM('Statistics NZ'!C$30:C$110,'Statistics NZ'!C$130:C$210)</f>
        <v>32710.680677917277</v>
      </c>
      <c r="D131" s="44">
        <f>'Statistics NZ'!D$131*'Economic Forecasts'!F$9*1000000/SUM('Statistics NZ'!D$30:D$110,'Statistics NZ'!D$130:D$210)</f>
        <v>31727.397569733428</v>
      </c>
      <c r="E131" s="44">
        <f>'Statistics NZ'!E$131*'Economic Forecasts'!G$9*1000000/SUM('Statistics NZ'!E$30:E$110,'Statistics NZ'!E$130:E$210)</f>
        <v>31431.508419963313</v>
      </c>
      <c r="F131" s="44">
        <f>'Statistics NZ'!F$131*'Economic Forecasts'!H$9*1000000/SUM('Statistics NZ'!F$30:F$110,'Statistics NZ'!F$130:F$210)</f>
        <v>31074.377706963813</v>
      </c>
      <c r="G131" s="44">
        <f>'Statistics NZ'!G$131*'Economic Forecasts'!I$9*1000000/SUM('Statistics NZ'!G$30:G$110,'Statistics NZ'!G$130:G$210)</f>
        <v>31412.266285852485</v>
      </c>
      <c r="H131" s="44">
        <f>'Statistics NZ'!H$131*'Economic Forecasts'!J$9*1000000/SUM('Statistics NZ'!H$30:H$110,'Statistics NZ'!H$130:H$210)</f>
        <v>31617.291326607909</v>
      </c>
      <c r="I131" s="44">
        <f>'Statistics NZ'!I$131*'Economic Forecasts'!K$9*1000000/SUM('Statistics NZ'!I$30:I$110,'Statistics NZ'!I$130:I$210)</f>
        <v>31028.252545063981</v>
      </c>
      <c r="J131" s="44">
        <f>'Statistics NZ'!J$131*'Economic Forecasts'!L$9*1000000/SUM('Statistics NZ'!J$30:J$110,'Statistics NZ'!J$130:J$210)</f>
        <v>31128.008122638526</v>
      </c>
      <c r="K131" s="44">
        <f>'Statistics NZ'!K$131*'Economic Forecasts'!M$9*1000000/SUM('Statistics NZ'!K$30:K$110,'Statistics NZ'!K$130:K$210)</f>
        <v>30785.925560892661</v>
      </c>
      <c r="L131" s="44">
        <f>'Statistics NZ'!L$131*'Economic Forecasts'!N$9*1000000/SUM('Statistics NZ'!L$30:L$110,'Statistics NZ'!L$130:L$210)</f>
        <v>31906.887433995424</v>
      </c>
      <c r="M131" s="44">
        <f>'Statistics NZ'!M$131*'Economic Forecasts'!O$9*1000000/SUM('Statistics NZ'!M$30:M$110,'Statistics NZ'!M$130:M$210)</f>
        <v>31936.736889079199</v>
      </c>
      <c r="N131" s="44">
        <f>'Statistics NZ'!N$131*'Economic Forecasts'!P$9*1000000/SUM('Statistics NZ'!N$30:N$110,'Statistics NZ'!N$130:N$210)</f>
        <v>31116.090983121489</v>
      </c>
      <c r="O131" s="44">
        <f>'Statistics NZ'!O$131*'Economic Forecasts'!Q$9*1000000/SUM('Statistics NZ'!O$30:O$110,'Statistics NZ'!O$130:O$210)</f>
        <v>31651.777034215229</v>
      </c>
      <c r="P131" s="44">
        <f>'Statistics NZ'!P$131*'Economic Forecasts'!R$9*1000000/SUM('Statistics NZ'!P$30:P$110,'Statistics NZ'!P$130:P$210)</f>
        <v>31785.541857581666</v>
      </c>
      <c r="Q131" s="44">
        <f>'Statistics NZ'!Q$131*'Economic Forecasts'!S$9*1000000/SUM('Statistics NZ'!Q$30:Q$110,'Statistics NZ'!Q$130:Q$210)</f>
        <v>32107.4526209408</v>
      </c>
      <c r="R131" s="44">
        <f>'Statistics NZ'!R$131*'Economic Forecasts'!T$9*1000000/SUM('Statistics NZ'!R$30:R$110,'Statistics NZ'!R$130:R$210)</f>
        <v>32781.863392649007</v>
      </c>
      <c r="S131" s="44">
        <f>'Statistics NZ'!S$131*'Economic Forecasts'!U$9*1000000/SUM('Statistics NZ'!S$30:S$110,'Statistics NZ'!S$130:S$210)</f>
        <v>34726.256104998887</v>
      </c>
      <c r="T131" s="44">
        <f>'Statistics NZ'!T$131*'Economic Forecasts'!V$9*1000000/SUM('Statistics NZ'!T$30:T$110,'Statistics NZ'!T$130:T$210)</f>
        <v>36752.033385498173</v>
      </c>
      <c r="U131" s="45">
        <f>SUM('Statistics NZ'!U$131,$E$13/5*(U$8-U$9)*1000)*'Economic Forecasts'!W$9*1000000/SUM('Statistics NZ'!U$30:U$110,'Statistics NZ'!U$130:U$210,SUM($E$12:$T$13)*(U$8-U$9)*1000)</f>
        <v>36834.939413158114</v>
      </c>
      <c r="V131" s="45">
        <f>SUM('Statistics NZ'!V$131,$E$13/5*(V$8-V$9)*1000)*'Economic Forecasts'!X$9*1000000/SUM('Statistics NZ'!V$30:V$110,'Statistics NZ'!V$130:V$210,SUM($E$12:$T$13)*(V$8-V$9)*1000)</f>
        <v>37298.895647687641</v>
      </c>
      <c r="W131" s="45">
        <f>SUM('Statistics NZ'!W$131,$E$13/5*(W$8-W$9)*1000)*'Economic Forecasts'!Y$9*1000000/SUM('Statistics NZ'!W$30:W$110,'Statistics NZ'!W$130:W$210,SUM($E$12:$T$13)*(W$8-W$9)*1000)</f>
        <v>37191.759868854271</v>
      </c>
      <c r="X131" s="45">
        <f>SUM('Statistics NZ'!X$131,$E$13/5*(X$8-X$9)*1000)*'Economic Forecasts'!Z$9*1000000/SUM('Statistics NZ'!X$30:X$110,'Statistics NZ'!X$130:X$210,SUM($E$12:$T$13)*(X$8-X$9)*1000)</f>
        <v>37079.464594733712</v>
      </c>
      <c r="Y131" s="45">
        <f>SUM('Statistics NZ'!Y$131,$E$13/5*(Y$8-Y$9)*1000)*'Economic Forecasts'!AA$9*1000000/SUM('Statistics NZ'!Y$30:Y$110,'Statistics NZ'!Y$130:Y$210,SUM($E$12:$T$13)*(Y$8-Y$9)*1000)</f>
        <v>37083.958713184409</v>
      </c>
      <c r="Z131" s="46">
        <f>SUM(Y$131,'Statistics NZ'!Z$131-'Statistics NZ'!Y$131,$E$13/5*(Z$8-Z$9)*1000)</f>
        <v>36818.269444568919</v>
      </c>
      <c r="AA131" s="46">
        <f>SUM(Z$131,'Statistics NZ'!AA$131-'Statistics NZ'!Z$131,$E$13/5*(AA$8-AA$9)*1000)</f>
        <v>36938.855883399621</v>
      </c>
      <c r="AB131" s="46">
        <f>SUM(AA$131,'Statistics NZ'!AB$131-'Statistics NZ'!AA$131,$E$13/5*(AB$8-AB$9)*1000)</f>
        <v>36738.462888187285</v>
      </c>
      <c r="AC131" s="46">
        <f>SUM(AB$131,'Statistics NZ'!AC$131-'Statistics NZ'!AB$131,$E$13/5*(AC$8-AC$9)*1000)</f>
        <v>36488.462888187285</v>
      </c>
      <c r="AD131" s="46">
        <f>SUM(AC$131,'Statistics NZ'!AD$131-'Statistics NZ'!AC$131,$E$13/5*(AD$8-AD$9)*1000)</f>
        <v>36258.462888187285</v>
      </c>
      <c r="AE131" s="46">
        <f>SUM(AD$131,'Statistics NZ'!AE$131-'Statistics NZ'!AD$131,$E$13/5*(AE$8-AE$9)*1000)</f>
        <v>36588.462888187285</v>
      </c>
      <c r="AF131" s="46">
        <f>SUM(AE$131,'Statistics NZ'!AF$131-'Statistics NZ'!AE$131,$E$13/5*(AF$8-AF$9)*1000)</f>
        <v>35808.462888187285</v>
      </c>
      <c r="AG131" s="46">
        <f>SUM(AF$131,'Statistics NZ'!AG$131-'Statistics NZ'!AF$131,$E$13/5*(AG$8-AG$9)*1000)</f>
        <v>36468.462888187285</v>
      </c>
      <c r="AH131" s="46">
        <f>SUM(AG$131,'Statistics NZ'!AH$131-'Statistics NZ'!AG$131,$E$13/5*(AH$8-AH$9)*1000)</f>
        <v>35788.462888187285</v>
      </c>
      <c r="AI131" s="46">
        <f>SUM(AH$131,'Statistics NZ'!AI$131-'Statistics NZ'!AH$131,$E$13/5*(AI$8-AI$9)*1000)</f>
        <v>34228.462888187285</v>
      </c>
      <c r="AJ131" s="46">
        <f>SUM(AI$131,'Statistics NZ'!AJ$131-'Statistics NZ'!AI$131,$E$13/5*(AJ$8-AJ$9)*1000)</f>
        <v>34088.462888187285</v>
      </c>
      <c r="AK131" s="46">
        <f>SUM(AJ$131,'Statistics NZ'!AK$131-'Statistics NZ'!AJ$131,$E$13/5*(AK$8-AK$9)*1000)</f>
        <v>34758.462888187285</v>
      </c>
      <c r="AL131" s="46">
        <f>SUM(AK$131,'Statistics NZ'!AL$131-'Statistics NZ'!AK$131,$E$13/5*(AL$8-AL$9)*1000)</f>
        <v>34838.462888187285</v>
      </c>
      <c r="AM131" s="46">
        <f>SUM(AL$131,'Statistics NZ'!AM$131-'Statistics NZ'!AL$131,$E$13/5*(AM$8-AM$9)*1000)</f>
        <v>34888.462888187285</v>
      </c>
      <c r="AN131" s="46">
        <f>SUM(AM$131,'Statistics NZ'!AN$131-'Statistics NZ'!AM$131,$E$13/5*(AN$8-AN$9)*1000)</f>
        <v>34918.462888187285</v>
      </c>
      <c r="AO131" s="46">
        <f>SUM(AN$131,'Statistics NZ'!AO$131-'Statistics NZ'!AN$131,$E$13/5*(AO$8-AO$9)*1000)</f>
        <v>34938.462888187285</v>
      </c>
      <c r="AP131" s="46">
        <f>SUM(AO$131,'Statistics NZ'!AP$131-'Statistics NZ'!AO$131,$E$13/5*(AP$8-AP$9)*1000)</f>
        <v>34958.462888187285</v>
      </c>
      <c r="AQ131" s="46">
        <f>SUM(AP$131,'Statistics NZ'!AQ$131-'Statistics NZ'!AP$131,$E$13/5*(AQ$8-AQ$9)*1000)</f>
        <v>34998.462888187285</v>
      </c>
      <c r="AR131" s="46">
        <f>SUM(AQ$131,'Statistics NZ'!AR$131-'Statistics NZ'!AQ$131,$E$13/5*(AR$8-AR$9)*1000)</f>
        <v>35058.462888187285</v>
      </c>
      <c r="AS131" s="46">
        <f>SUM(AR$131,'Statistics NZ'!AS$131-'Statistics NZ'!AR$131,$E$13/5*(AS$8-AS$9)*1000)</f>
        <v>35138.462888187285</v>
      </c>
      <c r="AT131" s="46">
        <f>SUM(AS$131,'Statistics NZ'!AT$131-'Statistics NZ'!AS$131,$E$13/5*(AT$8-AT$9)*1000)</f>
        <v>35258.462888187285</v>
      </c>
      <c r="AU131" s="46">
        <f>SUM(AT$131,'Statistics NZ'!AU$131-'Statistics NZ'!AT$131,$E$13/5*(AU$8-AU$9)*1000)</f>
        <v>35418.462888187285</v>
      </c>
      <c r="AV131" s="46">
        <f>SUM(AU$131,'Statistics NZ'!AV$131-'Statistics NZ'!AU$131,$E$13/5*(AV$8-AV$9)*1000)</f>
        <v>35618.462888187285</v>
      </c>
      <c r="AW131" s="46">
        <f>SUM(AV$131,'Statistics NZ'!AW$131-'Statistics NZ'!AV$131,$E$13/5*(AW$8-AW$9)*1000)</f>
        <v>35838.462888187285</v>
      </c>
      <c r="AX131" s="46">
        <f>SUM(AW$131,'Statistics NZ'!AX$131-'Statistics NZ'!AW$131,$E$13/5*(AX$8-AX$9)*1000)</f>
        <v>36088.462888187285</v>
      </c>
      <c r="AY131" s="46">
        <f>SUM(AX$131,'Statistics NZ'!AY$131-'Statistics NZ'!AX$131,$E$13/5*(AY$8-AY$9)*1000)</f>
        <v>36358.462888187285</v>
      </c>
      <c r="AZ131" s="46">
        <f>SUM(AY$131,'Statistics NZ'!AZ$131-'Statistics NZ'!AY$131,$E$13/5*(AZ$8-AZ$9)*1000)</f>
        <v>36628.462888187285</v>
      </c>
      <c r="BA131" s="46">
        <f>SUM(AZ$131,'Statistics NZ'!BA$131-'Statistics NZ'!AZ$131,$E$13/5*(BA$8-BA$9)*1000)</f>
        <v>36878.462888187285</v>
      </c>
      <c r="BB131" s="46">
        <f>SUM(BA$131,'Statistics NZ'!BB$131-'Statistics NZ'!BA$131,$E$13/5*(BB$8-BB$9)*1000)</f>
        <v>37108.462888187285</v>
      </c>
      <c r="BC131" s="46">
        <f>SUM(BB$131,'Statistics NZ'!BC$131-'Statistics NZ'!BB$131,$E$13/5*(BC$8-BC$9)*1000)</f>
        <v>37318.462888187285</v>
      </c>
      <c r="BD131" s="46">
        <f>SUM(BC$131,'Statistics NZ'!BD$131-'Statistics NZ'!BC$131,$E$13/5*(BD$8-BD$9)*1000)</f>
        <v>37478.462888187285</v>
      </c>
      <c r="BE131" s="46">
        <f>SUM(BD$131,'Statistics NZ'!BE$131-'Statistics NZ'!BD$131,$E$13/5*(BE$8-BE$9)*1000)</f>
        <v>37608.462888187285</v>
      </c>
      <c r="BF131" s="46">
        <f>SUM(BE$131,'Statistics NZ'!BF$131-'Statistics NZ'!BE$131,$E$13/5*(BF$8-BF$9)*1000)</f>
        <v>37708.462888187285</v>
      </c>
      <c r="BG131" s="46">
        <f>SUM(BF$131,'Statistics NZ'!BG$131-'Statistics NZ'!BF$131,$E$13/5*(BG$8-BG$9)*1000)</f>
        <v>37768.462888187285</v>
      </c>
      <c r="BH131" s="46">
        <f>SUM(BG$131,'Statistics NZ'!BH$131-'Statistics NZ'!BG$131,$E$13/5*(BH$8-BH$9)*1000)</f>
        <v>37798.462888187285</v>
      </c>
      <c r="BI131" s="46">
        <f>SUM(BH$131,'Statistics NZ'!BI$131-'Statistics NZ'!BH$131,$E$13/5*(BI$8-BI$9)*1000)</f>
        <v>37808.462888187285</v>
      </c>
    </row>
    <row r="132" spans="1:61" x14ac:dyDescent="0.25">
      <c r="A132" s="11">
        <f>$A$32</f>
        <v>17</v>
      </c>
      <c r="B132" s="44">
        <f>'Statistics NZ'!B$132*'Economic Forecasts'!D$9*1000000/SUM('Statistics NZ'!B$30:B$110,'Statistics NZ'!B$130:B$210)</f>
        <v>31132.499878652558</v>
      </c>
      <c r="C132" s="44">
        <f>'Statistics NZ'!C$132*'Economic Forecasts'!E$9*1000000/SUM('Statistics NZ'!C$30:C$110,'Statistics NZ'!C$130:C$210)</f>
        <v>31679.572460810905</v>
      </c>
      <c r="D132" s="44">
        <f>'Statistics NZ'!D$132*'Economic Forecasts'!F$9*1000000/SUM('Statistics NZ'!D$30:D$110,'Statistics NZ'!D$130:D$210)</f>
        <v>32572.151808432216</v>
      </c>
      <c r="E132" s="44">
        <f>'Statistics NZ'!E$132*'Economic Forecasts'!G$9*1000000/SUM('Statistics NZ'!E$30:E$110,'Statistics NZ'!E$130:E$210)</f>
        <v>31558.999717766597</v>
      </c>
      <c r="F132" s="44">
        <f>'Statistics NZ'!F$132*'Economic Forecasts'!H$9*1000000/SUM('Statistics NZ'!F$30:F$110,'Statistics NZ'!F$130:F$210)</f>
        <v>31594.245768349258</v>
      </c>
      <c r="G132" s="44">
        <f>'Statistics NZ'!G$132*'Economic Forecasts'!I$9*1000000/SUM('Statistics NZ'!G$30:G$110,'Statistics NZ'!G$130:G$210)</f>
        <v>31235.461785181644</v>
      </c>
      <c r="H132" s="44">
        <f>'Statistics NZ'!H$132*'Economic Forecasts'!J$9*1000000/SUM('Statistics NZ'!H$30:H$110,'Statistics NZ'!H$130:H$210)</f>
        <v>31558.340503749099</v>
      </c>
      <c r="I132" s="44">
        <f>'Statistics NZ'!I$132*'Economic Forecasts'!K$9*1000000/SUM('Statistics NZ'!I$30:I$110,'Statistics NZ'!I$130:I$210)</f>
        <v>31792.929858970765</v>
      </c>
      <c r="J132" s="44">
        <f>'Statistics NZ'!J$132*'Economic Forecasts'!L$9*1000000/SUM('Statistics NZ'!J$30:J$110,'Statistics NZ'!J$130:J$210)</f>
        <v>31176.767533858198</v>
      </c>
      <c r="K132" s="44">
        <f>'Statistics NZ'!K$132*'Economic Forecasts'!M$9*1000000/SUM('Statistics NZ'!K$30:K$110,'Statistics NZ'!K$130:K$210)</f>
        <v>31486.933353550561</v>
      </c>
      <c r="L132" s="44">
        <f>'Statistics NZ'!L$132*'Economic Forecasts'!N$9*1000000/SUM('Statistics NZ'!L$30:L$110,'Statistics NZ'!L$130:L$210)</f>
        <v>31303.217302500852</v>
      </c>
      <c r="M132" s="44">
        <f>'Statistics NZ'!M$132*'Economic Forecasts'!O$9*1000000/SUM('Statistics NZ'!M$30:M$110,'Statistics NZ'!M$130:M$210)</f>
        <v>32474.063450382149</v>
      </c>
      <c r="N132" s="44">
        <f>'Statistics NZ'!N$132*'Economic Forecasts'!P$9*1000000/SUM('Statistics NZ'!N$30:N$110,'Statistics NZ'!N$130:N$210)</f>
        <v>32525.121518206233</v>
      </c>
      <c r="O132" s="44">
        <f>'Statistics NZ'!O$132*'Economic Forecasts'!Q$9*1000000/SUM('Statistics NZ'!O$30:O$110,'Statistics NZ'!O$130:O$210)</f>
        <v>31514.117861031315</v>
      </c>
      <c r="P132" s="44">
        <f>'Statistics NZ'!P$132*'Economic Forecasts'!R$9*1000000/SUM('Statistics NZ'!P$30:P$110,'Statistics NZ'!P$130:P$210)</f>
        <v>31844.49494912587</v>
      </c>
      <c r="Q132" s="44">
        <f>'Statistics NZ'!Q$132*'Economic Forecasts'!S$9*1000000/SUM('Statistics NZ'!Q$30:Q$110,'Statistics NZ'!Q$130:Q$210)</f>
        <v>32196.860750145159</v>
      </c>
      <c r="R132" s="44">
        <f>'Statistics NZ'!R$132*'Economic Forecasts'!T$9*1000000/SUM('Statistics NZ'!R$30:R$110,'Statistics NZ'!R$130:R$210)</f>
        <v>32343.709689952608</v>
      </c>
      <c r="S132" s="44">
        <f>'Statistics NZ'!S$132*'Economic Forecasts'!U$9*1000000/SUM('Statistics NZ'!S$30:S$110,'Statistics NZ'!S$130:S$210)</f>
        <v>33066.075827277586</v>
      </c>
      <c r="T132" s="44">
        <f>'Statistics NZ'!T$132*'Economic Forecasts'!V$9*1000000/SUM('Statistics NZ'!T$30:T$110,'Statistics NZ'!T$130:T$210)</f>
        <v>35721.232017620125</v>
      </c>
      <c r="U132" s="45">
        <f>SUM('Statistics NZ'!U$132,$E$13/5*(U$8-U$9)*1000)*'Economic Forecasts'!W$9*1000000/SUM('Statistics NZ'!U$30:U$110,'Statistics NZ'!U$130:U$210,SUM($E$12:$T$13)*(U$8-U$9)*1000)</f>
        <v>37379.711566319827</v>
      </c>
      <c r="V132" s="45">
        <f>SUM('Statistics NZ'!V$132,$E$13/5*(V$8-V$9)*1000)*'Economic Forecasts'!X$9*1000000/SUM('Statistics NZ'!V$30:V$110,'Statistics NZ'!V$130:V$210,SUM($E$12:$T$13)*(V$8-V$9)*1000)</f>
        <v>37417.705464410814</v>
      </c>
      <c r="W132" s="45">
        <f>SUM('Statistics NZ'!W$132,$E$13/5*(W$8-W$9)*1000)*'Economic Forecasts'!Y$9*1000000/SUM('Statistics NZ'!W$30:W$110,'Statistics NZ'!W$130:W$210,SUM($E$12:$T$13)*(W$8-W$9)*1000)</f>
        <v>37914.678552029931</v>
      </c>
      <c r="X132" s="45">
        <f>SUM('Statistics NZ'!X$132,$E$13/5*(X$8-X$9)*1000)*'Economic Forecasts'!Z$9*1000000/SUM('Statistics NZ'!X$30:X$110,'Statistics NZ'!X$130:X$210,SUM($E$12:$T$13)*(X$8-X$9)*1000)</f>
        <v>37832.26443968399</v>
      </c>
      <c r="Y132" s="45">
        <f>SUM('Statistics NZ'!Y$132,$E$13/5*(Y$8-Y$9)*1000)*'Economic Forecasts'!AA$9*1000000/SUM('Statistics NZ'!Y$30:Y$110,'Statistics NZ'!Y$130:Y$210,SUM($E$12:$T$13)*(Y$8-Y$9)*1000)</f>
        <v>37737.946154736564</v>
      </c>
      <c r="Z132" s="46">
        <f>SUM(Y$132,'Statistics NZ'!Z$132-'Statistics NZ'!Y$132,$E$13/5*(Z$8-Z$9)*1000)</f>
        <v>37792.256886121075</v>
      </c>
      <c r="AA132" s="46">
        <f>SUM(Z$132,'Statistics NZ'!AA$132-'Statistics NZ'!Z$132,$E$13/5*(AA$8-AA$9)*1000)</f>
        <v>37522.843324951777</v>
      </c>
      <c r="AB132" s="46">
        <f>SUM(AA$132,'Statistics NZ'!AB$132-'Statistics NZ'!AA$132,$E$13/5*(AB$8-AB$9)*1000)</f>
        <v>37632.45032973944</v>
      </c>
      <c r="AC132" s="46">
        <f>SUM(AB$132,'Statistics NZ'!AC$132-'Statistics NZ'!AB$132,$E$13/5*(AC$8-AC$9)*1000)</f>
        <v>37432.45032973944</v>
      </c>
      <c r="AD132" s="46">
        <f>SUM(AC$132,'Statistics NZ'!AD$132-'Statistics NZ'!AC$132,$E$13/5*(AD$8-AD$9)*1000)</f>
        <v>37182.45032973944</v>
      </c>
      <c r="AE132" s="46">
        <f>SUM(AD$132,'Statistics NZ'!AE$132-'Statistics NZ'!AD$132,$E$13/5*(AE$8-AE$9)*1000)</f>
        <v>36952.45032973944</v>
      </c>
      <c r="AF132" s="46">
        <f>SUM(AE$132,'Statistics NZ'!AF$132-'Statistics NZ'!AE$132,$E$13/5*(AF$8-AF$9)*1000)</f>
        <v>37282.45032973944</v>
      </c>
      <c r="AG132" s="46">
        <f>SUM(AF$132,'Statistics NZ'!AG$132-'Statistics NZ'!AF$132,$E$13/5*(AG$8-AG$9)*1000)</f>
        <v>36512.45032973944</v>
      </c>
      <c r="AH132" s="46">
        <f>SUM(AG$132,'Statistics NZ'!AH$132-'Statistics NZ'!AG$132,$E$13/5*(AH$8-AH$9)*1000)</f>
        <v>37172.45032973944</v>
      </c>
      <c r="AI132" s="46">
        <f>SUM(AH$132,'Statistics NZ'!AI$132-'Statistics NZ'!AH$132,$E$13/5*(AI$8-AI$9)*1000)</f>
        <v>36502.45032973944</v>
      </c>
      <c r="AJ132" s="46">
        <f>SUM(AI$132,'Statistics NZ'!AJ$132-'Statistics NZ'!AI$132,$E$13/5*(AJ$8-AJ$9)*1000)</f>
        <v>34942.45032973944</v>
      </c>
      <c r="AK132" s="46">
        <f>SUM(AJ$132,'Statistics NZ'!AK$132-'Statistics NZ'!AJ$132,$E$13/5*(AK$8-AK$9)*1000)</f>
        <v>34802.45032973944</v>
      </c>
      <c r="AL132" s="46">
        <f>SUM(AK$132,'Statistics NZ'!AL$132-'Statistics NZ'!AK$132,$E$13/5*(AL$8-AL$9)*1000)</f>
        <v>35472.45032973944</v>
      </c>
      <c r="AM132" s="46">
        <f>SUM(AL$132,'Statistics NZ'!AM$132-'Statistics NZ'!AL$132,$E$13/5*(AM$8-AM$9)*1000)</f>
        <v>35552.45032973944</v>
      </c>
      <c r="AN132" s="46">
        <f>SUM(AM$132,'Statistics NZ'!AN$132-'Statistics NZ'!AM$132,$E$13/5*(AN$8-AN$9)*1000)</f>
        <v>35612.45032973944</v>
      </c>
      <c r="AO132" s="46">
        <f>SUM(AN$132,'Statistics NZ'!AO$132-'Statistics NZ'!AN$132,$E$13/5*(AO$8-AO$9)*1000)</f>
        <v>35642.45032973944</v>
      </c>
      <c r="AP132" s="46">
        <f>SUM(AO$132,'Statistics NZ'!AP$132-'Statistics NZ'!AO$132,$E$13/5*(AP$8-AP$9)*1000)</f>
        <v>35672.45032973944</v>
      </c>
      <c r="AQ132" s="46">
        <f>SUM(AP$132,'Statistics NZ'!AQ$132-'Statistics NZ'!AP$132,$E$13/5*(AQ$8-AQ$9)*1000)</f>
        <v>35692.45032973944</v>
      </c>
      <c r="AR132" s="46">
        <f>SUM(AQ$132,'Statistics NZ'!AR$132-'Statistics NZ'!AQ$132,$E$13/5*(AR$8-AR$9)*1000)</f>
        <v>35732.45032973944</v>
      </c>
      <c r="AS132" s="46">
        <f>SUM(AR$132,'Statistics NZ'!AS$132-'Statistics NZ'!AR$132,$E$13/5*(AS$8-AS$9)*1000)</f>
        <v>35792.45032973944</v>
      </c>
      <c r="AT132" s="46">
        <f>SUM(AS$132,'Statistics NZ'!AT$132-'Statistics NZ'!AS$132,$E$13/5*(AT$8-AT$9)*1000)</f>
        <v>35882.45032973944</v>
      </c>
      <c r="AU132" s="46">
        <f>SUM(AT$132,'Statistics NZ'!AU$132-'Statistics NZ'!AT$132,$E$13/5*(AU$8-AU$9)*1000)</f>
        <v>36002.45032973944</v>
      </c>
      <c r="AV132" s="46">
        <f>SUM(AU$132,'Statistics NZ'!AV$132-'Statistics NZ'!AU$132,$E$13/5*(AV$8-AV$9)*1000)</f>
        <v>36162.45032973944</v>
      </c>
      <c r="AW132" s="46">
        <f>SUM(AV$132,'Statistics NZ'!AW$132-'Statistics NZ'!AV$132,$E$13/5*(AW$8-AW$9)*1000)</f>
        <v>36362.45032973944</v>
      </c>
      <c r="AX132" s="46">
        <f>SUM(AW$132,'Statistics NZ'!AX$132-'Statistics NZ'!AW$132,$E$13/5*(AX$8-AX$9)*1000)</f>
        <v>36592.45032973944</v>
      </c>
      <c r="AY132" s="46">
        <f>SUM(AX$132,'Statistics NZ'!AY$132-'Statistics NZ'!AX$132,$E$13/5*(AY$8-AY$9)*1000)</f>
        <v>36842.45032973944</v>
      </c>
      <c r="AZ132" s="46">
        <f>SUM(AY$132,'Statistics NZ'!AZ$132-'Statistics NZ'!AY$132,$E$13/5*(AZ$8-AZ$9)*1000)</f>
        <v>37112.45032973944</v>
      </c>
      <c r="BA132" s="46">
        <f>SUM(AZ$132,'Statistics NZ'!BA$132-'Statistics NZ'!AZ$132,$E$13/5*(BA$8-BA$9)*1000)</f>
        <v>37382.45032973944</v>
      </c>
      <c r="BB132" s="46">
        <f>SUM(BA$132,'Statistics NZ'!BB$132-'Statistics NZ'!BA$132,$E$13/5*(BB$8-BB$9)*1000)</f>
        <v>37642.45032973944</v>
      </c>
      <c r="BC132" s="46">
        <f>SUM(BB$132,'Statistics NZ'!BC$132-'Statistics NZ'!BB$132,$E$13/5*(BC$8-BC$9)*1000)</f>
        <v>37882.45032973944</v>
      </c>
      <c r="BD132" s="46">
        <f>SUM(BC$132,'Statistics NZ'!BD$132-'Statistics NZ'!BC$132,$E$13/5*(BD$8-BD$9)*1000)</f>
        <v>38082.45032973944</v>
      </c>
      <c r="BE132" s="46">
        <f>SUM(BD$132,'Statistics NZ'!BE$132-'Statistics NZ'!BD$132,$E$13/5*(BE$8-BE$9)*1000)</f>
        <v>38252.45032973944</v>
      </c>
      <c r="BF132" s="46">
        <f>SUM(BE$132,'Statistics NZ'!BF$132-'Statistics NZ'!BE$132,$E$13/5*(BF$8-BF$9)*1000)</f>
        <v>38392.45032973944</v>
      </c>
      <c r="BG132" s="46">
        <f>SUM(BF$132,'Statistics NZ'!BG$132-'Statistics NZ'!BF$132,$E$13/5*(BG$8-BG$9)*1000)</f>
        <v>38482.45032973944</v>
      </c>
      <c r="BH132" s="46">
        <f>SUM(BG$132,'Statistics NZ'!BH$132-'Statistics NZ'!BG$132,$E$13/5*(BH$8-BH$9)*1000)</f>
        <v>38552.45032973944</v>
      </c>
      <c r="BI132" s="46">
        <f>SUM(BH$132,'Statistics NZ'!BI$132-'Statistics NZ'!BH$132,$E$13/5*(BI$8-BI$9)*1000)</f>
        <v>38582.45032973944</v>
      </c>
    </row>
    <row r="133" spans="1:61" x14ac:dyDescent="0.25">
      <c r="A133" s="11">
        <f>$A$33</f>
        <v>18</v>
      </c>
      <c r="B133" s="44">
        <f>'Statistics NZ'!B$133*'Economic Forecasts'!D$9*1000000/SUM('Statistics NZ'!B$30:B$110,'Statistics NZ'!B$130:B$210)</f>
        <v>30467.191898844772</v>
      </c>
      <c r="C133" s="44">
        <f>'Statistics NZ'!C$133*'Economic Forecasts'!E$9*1000000/SUM('Statistics NZ'!C$30:C$110,'Statistics NZ'!C$130:C$210)</f>
        <v>30805.585495835028</v>
      </c>
      <c r="D133" s="44">
        <f>'Statistics NZ'!D$133*'Economic Forecasts'!F$9*1000000/SUM('Statistics NZ'!D$30:D$110,'Statistics NZ'!D$130:D$210)</f>
        <v>31206.79321332604</v>
      </c>
      <c r="E133" s="44">
        <f>'Statistics NZ'!E$133*'Economic Forecasts'!G$9*1000000/SUM('Statistics NZ'!E$30:E$110,'Statistics NZ'!E$130:E$210)</f>
        <v>32147.421092243287</v>
      </c>
      <c r="F133" s="44">
        <f>'Statistics NZ'!F$133*'Economic Forecasts'!H$9*1000000/SUM('Statistics NZ'!F$30:F$110,'Statistics NZ'!F$130:F$210)</f>
        <v>31515.775117574096</v>
      </c>
      <c r="G133" s="44">
        <f>'Statistics NZ'!G$133*'Economic Forecasts'!I$9*1000000/SUM('Statistics NZ'!G$30:G$110,'Statistics NZ'!G$130:G$210)</f>
        <v>31569.425842004341</v>
      </c>
      <c r="H133" s="44">
        <f>'Statistics NZ'!H$133*'Economic Forecasts'!J$9*1000000/SUM('Statistics NZ'!H$30:H$110,'Statistics NZ'!H$130:H$210)</f>
        <v>31204.635566596247</v>
      </c>
      <c r="I133" s="44">
        <f>'Statistics NZ'!I$133*'Economic Forecasts'!K$9*1000000/SUM('Statistics NZ'!I$30:I$110,'Statistics NZ'!I$130:I$210)</f>
        <v>31528.23386569534</v>
      </c>
      <c r="J133" s="44">
        <f>'Statistics NZ'!J$133*'Economic Forecasts'!L$9*1000000/SUM('Statistics NZ'!J$30:J$110,'Statistics NZ'!J$130:J$210)</f>
        <v>32054.436935812293</v>
      </c>
      <c r="K133" s="44">
        <f>'Statistics NZ'!K$133*'Economic Forecasts'!M$9*1000000/SUM('Statistics NZ'!K$30:K$110,'Statistics NZ'!K$130:K$210)</f>
        <v>31720.602617769859</v>
      </c>
      <c r="L133" s="44">
        <f>'Statistics NZ'!L$133*'Economic Forecasts'!N$9*1000000/SUM('Statistics NZ'!L$30:L$110,'Statistics NZ'!L$130:L$210)</f>
        <v>32033.463429308798</v>
      </c>
      <c r="M133" s="44">
        <f>'Statistics NZ'!M$133*'Economic Forecasts'!O$9*1000000/SUM('Statistics NZ'!M$30:M$110,'Statistics NZ'!M$130:M$210)</f>
        <v>31692.497543032401</v>
      </c>
      <c r="N133" s="44">
        <f>'Statistics NZ'!N$133*'Economic Forecasts'!P$9*1000000/SUM('Statistics NZ'!N$30:N$110,'Statistics NZ'!N$130:N$210)</f>
        <v>32720.82020363467</v>
      </c>
      <c r="O133" s="44">
        <f>'Statistics NZ'!O$133*'Economic Forecasts'!Q$9*1000000/SUM('Statistics NZ'!O$30:O$110,'Statistics NZ'!O$130:O$210)</f>
        <v>32723.552025432829</v>
      </c>
      <c r="P133" s="44">
        <f>'Statistics NZ'!P$133*'Economic Forecasts'!R$9*1000000/SUM('Statistics NZ'!P$30:P$110,'Statistics NZ'!P$130:P$210)</f>
        <v>31667.635674493267</v>
      </c>
      <c r="Q133" s="44">
        <f>'Statistics NZ'!Q$133*'Economic Forecasts'!S$9*1000000/SUM('Statistics NZ'!Q$30:Q$110,'Statistics NZ'!Q$130:Q$210)</f>
        <v>31888.899416219054</v>
      </c>
      <c r="R133" s="44">
        <f>'Statistics NZ'!R$133*'Economic Forecasts'!T$9*1000000/SUM('Statistics NZ'!R$30:R$110,'Statistics NZ'!R$130:R$210)</f>
        <v>32124.632838604401</v>
      </c>
      <c r="S133" s="44">
        <f>'Statistics NZ'!S$133*'Economic Forecasts'!U$9*1000000/SUM('Statistics NZ'!S$30:S$110,'Statistics NZ'!S$130:S$210)</f>
        <v>32407.897847352571</v>
      </c>
      <c r="T133" s="44">
        <f>'Statistics NZ'!T$133*'Economic Forecasts'!V$9*1000000/SUM('Statistics NZ'!T$30:T$110,'Statistics NZ'!T$130:T$210)</f>
        <v>33699.275488320869</v>
      </c>
      <c r="U133" s="45">
        <f>SUM('Statistics NZ'!U$133,$E$13/5*(U$8-U$9)*1000)*'Economic Forecasts'!W$9*1000000/SUM('Statistics NZ'!U$30:U$110,'Statistics NZ'!U$130:U$210,SUM($E$12:$T$13)*(U$8-U$9)*1000)</f>
        <v>36359.501897671544</v>
      </c>
      <c r="V133" s="45">
        <f>SUM('Statistics NZ'!V$133,$E$13/5*(V$8-V$9)*1000)*'Economic Forecasts'!X$9*1000000/SUM('Statistics NZ'!V$30:V$110,'Statistics NZ'!V$130:V$210,SUM($E$12:$T$13)*(V$8-V$9)*1000)</f>
        <v>37982.05209384585</v>
      </c>
      <c r="W133" s="45">
        <f>SUM('Statistics NZ'!W$133,$E$13/5*(W$8-W$9)*1000)*'Economic Forecasts'!Y$9*1000000/SUM('Statistics NZ'!W$30:W$110,'Statistics NZ'!W$130:W$210,SUM($E$12:$T$13)*(W$8-W$9)*1000)</f>
        <v>38053.320491269093</v>
      </c>
      <c r="X133" s="45">
        <f>SUM('Statistics NZ'!X$133,$E$13/5*(X$8-X$9)*1000)*'Economic Forecasts'!Z$9*1000000/SUM('Statistics NZ'!X$30:X$110,'Statistics NZ'!X$130:X$210,SUM($E$12:$T$13)*(X$8-X$9)*1000)</f>
        <v>38575.159023516499</v>
      </c>
      <c r="Y133" s="45">
        <f>SUM('Statistics NZ'!Y$133,$E$13/5*(Y$8-Y$9)*1000)*'Economic Forecasts'!AA$9*1000000/SUM('Statistics NZ'!Y$30:Y$110,'Statistics NZ'!Y$130:Y$210,SUM($E$12:$T$13)*(Y$8-Y$9)*1000)</f>
        <v>38520.74930447324</v>
      </c>
      <c r="Z133" s="46">
        <f>SUM(Y$133,'Statistics NZ'!Z$133-'Statistics NZ'!Y$133,$E$13/5*(Z$8-Z$9)*1000)</f>
        <v>38485.06003585775</v>
      </c>
      <c r="AA133" s="46">
        <f>SUM(Z$133,'Statistics NZ'!AA$133-'Statistics NZ'!Z$133,$E$13/5*(AA$8-AA$9)*1000)</f>
        <v>38525.646474688452</v>
      </c>
      <c r="AB133" s="46">
        <f>SUM(AA$133,'Statistics NZ'!AB$133-'Statistics NZ'!AA$133,$E$13/5*(AB$8-AB$9)*1000)</f>
        <v>38245.253479476116</v>
      </c>
      <c r="AC133" s="46">
        <f>SUM(AB$133,'Statistics NZ'!AC$133-'Statistics NZ'!AB$133,$E$13/5*(AC$8-AC$9)*1000)</f>
        <v>38355.253479476116</v>
      </c>
      <c r="AD133" s="46">
        <f>SUM(AC$133,'Statistics NZ'!AD$133-'Statistics NZ'!AC$133,$E$13/5*(AD$8-AD$9)*1000)</f>
        <v>38155.253479476116</v>
      </c>
      <c r="AE133" s="46">
        <f>SUM(AD$133,'Statistics NZ'!AE$133-'Statistics NZ'!AD$133,$E$13/5*(AE$8-AE$9)*1000)</f>
        <v>37905.253479476116</v>
      </c>
      <c r="AF133" s="46">
        <f>SUM(AE$133,'Statistics NZ'!AF$133-'Statistics NZ'!AE$133,$E$13/5*(AF$8-AF$9)*1000)</f>
        <v>37675.253479476116</v>
      </c>
      <c r="AG133" s="46">
        <f>SUM(AF$133,'Statistics NZ'!AG$133-'Statistics NZ'!AF$133,$E$13/5*(AG$8-AG$9)*1000)</f>
        <v>38015.253479476116</v>
      </c>
      <c r="AH133" s="46">
        <f>SUM(AG$133,'Statistics NZ'!AH$133-'Statistics NZ'!AG$133,$E$13/5*(AH$8-AH$9)*1000)</f>
        <v>37245.253479476116</v>
      </c>
      <c r="AI133" s="46">
        <f>SUM(AH$133,'Statistics NZ'!AI$133-'Statistics NZ'!AH$133,$E$13/5*(AI$8-AI$9)*1000)</f>
        <v>37915.253479476116</v>
      </c>
      <c r="AJ133" s="46">
        <f>SUM(AI$133,'Statistics NZ'!AJ$133-'Statistics NZ'!AI$133,$E$13/5*(AJ$8-AJ$9)*1000)</f>
        <v>37245.253479476116</v>
      </c>
      <c r="AK133" s="46">
        <f>SUM(AJ$133,'Statistics NZ'!AK$133-'Statistics NZ'!AJ$133,$E$13/5*(AK$8-AK$9)*1000)</f>
        <v>35695.253479476116</v>
      </c>
      <c r="AL133" s="46">
        <f>SUM(AK$133,'Statistics NZ'!AL$133-'Statistics NZ'!AK$133,$E$13/5*(AL$8-AL$9)*1000)</f>
        <v>35555.253479476116</v>
      </c>
      <c r="AM133" s="46">
        <f>SUM(AL$133,'Statistics NZ'!AM$133-'Statistics NZ'!AL$133,$E$13/5*(AM$8-AM$9)*1000)</f>
        <v>36225.253479476116</v>
      </c>
      <c r="AN133" s="46">
        <f>SUM(AM$133,'Statistics NZ'!AN$133-'Statistics NZ'!AM$133,$E$13/5*(AN$8-AN$9)*1000)</f>
        <v>36315.253479476116</v>
      </c>
      <c r="AO133" s="46">
        <f>SUM(AN$133,'Statistics NZ'!AO$133-'Statistics NZ'!AN$133,$E$13/5*(AO$8-AO$9)*1000)</f>
        <v>36375.253479476116</v>
      </c>
      <c r="AP133" s="46">
        <f>SUM(AO$133,'Statistics NZ'!AP$133-'Statistics NZ'!AO$133,$E$13/5*(AP$8-AP$9)*1000)</f>
        <v>36405.253479476116</v>
      </c>
      <c r="AQ133" s="46">
        <f>SUM(AP$133,'Statistics NZ'!AQ$133-'Statistics NZ'!AP$133,$E$13/5*(AQ$8-AQ$9)*1000)</f>
        <v>36435.253479476116</v>
      </c>
      <c r="AR133" s="46">
        <f>SUM(AQ$133,'Statistics NZ'!AR$133-'Statistics NZ'!AQ$133,$E$13/5*(AR$8-AR$9)*1000)</f>
        <v>36465.253479476116</v>
      </c>
      <c r="AS133" s="46">
        <f>SUM(AR$133,'Statistics NZ'!AS$133-'Statistics NZ'!AR$133,$E$13/5*(AS$8-AS$9)*1000)</f>
        <v>36505.253479476116</v>
      </c>
      <c r="AT133" s="46">
        <f>SUM(AS$133,'Statistics NZ'!AT$133-'Statistics NZ'!AS$133,$E$13/5*(AT$8-AT$9)*1000)</f>
        <v>36575.253479476116</v>
      </c>
      <c r="AU133" s="46">
        <f>SUM(AT$133,'Statistics NZ'!AU$133-'Statistics NZ'!AT$133,$E$13/5*(AU$8-AU$9)*1000)</f>
        <v>36665.253479476116</v>
      </c>
      <c r="AV133" s="46">
        <f>SUM(AU$133,'Statistics NZ'!AV$133-'Statistics NZ'!AU$133,$E$13/5*(AV$8-AV$9)*1000)</f>
        <v>36785.253479476116</v>
      </c>
      <c r="AW133" s="46">
        <f>SUM(AV$133,'Statistics NZ'!AW$133-'Statistics NZ'!AV$133,$E$13/5*(AW$8-AW$9)*1000)</f>
        <v>36955.253479476116</v>
      </c>
      <c r="AX133" s="46">
        <f>SUM(AW$133,'Statistics NZ'!AX$133-'Statistics NZ'!AW$133,$E$13/5*(AX$8-AX$9)*1000)</f>
        <v>37155.253479476116</v>
      </c>
      <c r="AY133" s="46">
        <f>SUM(AX$133,'Statistics NZ'!AY$133-'Statistics NZ'!AX$133,$E$13/5*(AY$8-AY$9)*1000)</f>
        <v>37385.253479476116</v>
      </c>
      <c r="AZ133" s="46">
        <f>SUM(AY$133,'Statistics NZ'!AZ$133-'Statistics NZ'!AY$133,$E$13/5*(AZ$8-AZ$9)*1000)</f>
        <v>37645.253479476116</v>
      </c>
      <c r="BA133" s="46">
        <f>SUM(AZ$133,'Statistics NZ'!BA$133-'Statistics NZ'!AZ$133,$E$13/5*(BA$8-BA$9)*1000)</f>
        <v>37915.253479476116</v>
      </c>
      <c r="BB133" s="46">
        <f>SUM(BA$133,'Statistics NZ'!BB$133-'Statistics NZ'!BA$133,$E$13/5*(BB$8-BB$9)*1000)</f>
        <v>38185.253479476116</v>
      </c>
      <c r="BC133" s="46">
        <f>SUM(BB$133,'Statistics NZ'!BC$133-'Statistics NZ'!BB$133,$E$13/5*(BC$8-BC$9)*1000)</f>
        <v>38455.253479476116</v>
      </c>
      <c r="BD133" s="46">
        <f>SUM(BC$133,'Statistics NZ'!BD$133-'Statistics NZ'!BC$133,$E$13/5*(BD$8-BD$9)*1000)</f>
        <v>38695.253479476116</v>
      </c>
      <c r="BE133" s="46">
        <f>SUM(BD$133,'Statistics NZ'!BE$133-'Statistics NZ'!BD$133,$E$13/5*(BE$8-BE$9)*1000)</f>
        <v>38895.253479476116</v>
      </c>
      <c r="BF133" s="46">
        <f>SUM(BE$133,'Statistics NZ'!BF$133-'Statistics NZ'!BE$133,$E$13/5*(BF$8-BF$9)*1000)</f>
        <v>39075.253479476116</v>
      </c>
      <c r="BG133" s="46">
        <f>SUM(BF$133,'Statistics NZ'!BG$133-'Statistics NZ'!BF$133,$E$13/5*(BG$8-BG$9)*1000)</f>
        <v>39205.253479476116</v>
      </c>
      <c r="BH133" s="46">
        <f>SUM(BG$133,'Statistics NZ'!BH$133-'Statistics NZ'!BG$133,$E$13/5*(BH$8-BH$9)*1000)</f>
        <v>39315.253479476116</v>
      </c>
      <c r="BI133" s="46">
        <f>SUM(BH$133,'Statistics NZ'!BI$133-'Statistics NZ'!BH$133,$E$13/5*(BI$8-BI$9)*1000)</f>
        <v>39375.253479476116</v>
      </c>
    </row>
    <row r="134" spans="1:61" x14ac:dyDescent="0.25">
      <c r="A134" s="11">
        <f>$A$34</f>
        <v>19</v>
      </c>
      <c r="B134" s="44">
        <f>'Statistics NZ'!B$134*'Economic Forecasts'!D$9*1000000/SUM('Statistics NZ'!B$30:B$110,'Statistics NZ'!B$130:B$210)</f>
        <v>29596.421160566937</v>
      </c>
      <c r="C134" s="44">
        <f>'Statistics NZ'!C$134*'Economic Forecasts'!E$9*1000000/SUM('Statistics NZ'!C$30:C$110,'Statistics NZ'!C$130:C$210)</f>
        <v>30216.380800345676</v>
      </c>
      <c r="D134" s="44">
        <f>'Statistics NZ'!D$134*'Economic Forecasts'!F$9*1000000/SUM('Statistics NZ'!D$30:D$110,'Statistics NZ'!D$130:D$210)</f>
        <v>30617.429790978051</v>
      </c>
      <c r="E134" s="44">
        <f>'Statistics NZ'!E$134*'Economic Forecasts'!G$9*1000000/SUM('Statistics NZ'!E$30:E$110,'Statistics NZ'!E$130:E$210)</f>
        <v>31186.332847264694</v>
      </c>
      <c r="F134" s="44">
        <f>'Statistics NZ'!F$134*'Economic Forecasts'!H$9*1000000/SUM('Statistics NZ'!F$30:F$110,'Statistics NZ'!F$130:F$210)</f>
        <v>32418.187601488447</v>
      </c>
      <c r="G134" s="44">
        <f>'Statistics NZ'!G$134*'Economic Forecasts'!I$9*1000000/SUM('Statistics NZ'!G$30:G$110,'Statistics NZ'!G$130:G$210)</f>
        <v>31883.744954308055</v>
      </c>
      <c r="H134" s="44">
        <f>'Statistics NZ'!H$134*'Economic Forecasts'!J$9*1000000/SUM('Statistics NZ'!H$30:H$110,'Statistics NZ'!H$130:H$210)</f>
        <v>31902.220303758822</v>
      </c>
      <c r="I134" s="44">
        <f>'Statistics NZ'!I$134*'Economic Forecasts'!K$9*1000000/SUM('Statistics NZ'!I$30:I$110,'Statistics NZ'!I$130:I$210)</f>
        <v>31655.680084679803</v>
      </c>
      <c r="J134" s="44">
        <f>'Statistics NZ'!J$134*'Economic Forecasts'!L$9*1000000/SUM('Statistics NZ'!J$30:J$110,'Statistics NZ'!J$130:J$210)</f>
        <v>32493.271636789344</v>
      </c>
      <c r="K134" s="44">
        <f>'Statistics NZ'!K$134*'Economic Forecasts'!M$9*1000000/SUM('Statistics NZ'!K$30:K$110,'Statistics NZ'!K$130:K$210)</f>
        <v>33229.716615852834</v>
      </c>
      <c r="L134" s="44">
        <f>'Statistics NZ'!L$134*'Economic Forecasts'!N$9*1000000/SUM('Statistics NZ'!L$30:L$110,'Statistics NZ'!L$130:L$210)</f>
        <v>32753.972941092645</v>
      </c>
      <c r="M134" s="44">
        <f>'Statistics NZ'!M$134*'Economic Forecasts'!O$9*1000000/SUM('Statistics NZ'!M$30:M$110,'Statistics NZ'!M$130:M$210)</f>
        <v>32835.537682531409</v>
      </c>
      <c r="N134" s="44">
        <f>'Statistics NZ'!N$134*'Economic Forecasts'!P$9*1000000/SUM('Statistics NZ'!N$30:N$110,'Statistics NZ'!N$130:N$210)</f>
        <v>32182.648818706468</v>
      </c>
      <c r="O134" s="44">
        <f>'Statistics NZ'!O$134*'Economic Forecasts'!Q$9*1000000/SUM('Statistics NZ'!O$30:O$110,'Statistics NZ'!O$130:O$210)</f>
        <v>33195.526333491958</v>
      </c>
      <c r="P134" s="44">
        <f>'Statistics NZ'!P$134*'Economic Forecasts'!R$9*1000000/SUM('Statistics NZ'!P$30:P$110,'Statistics NZ'!P$130:P$210)</f>
        <v>33151.288478355658</v>
      </c>
      <c r="Q134" s="44">
        <f>'Statistics NZ'!Q$134*'Economic Forecasts'!S$9*1000000/SUM('Statistics NZ'!Q$30:Q$110,'Statistics NZ'!Q$130:Q$210)</f>
        <v>31600.806555449471</v>
      </c>
      <c r="R134" s="44">
        <f>'Statistics NZ'!R$134*'Economic Forecasts'!T$9*1000000/SUM('Statistics NZ'!R$30:R$110,'Statistics NZ'!R$130:R$210)</f>
        <v>31606.81482632683</v>
      </c>
      <c r="S134" s="44">
        <f>'Statistics NZ'!S$134*'Economic Forecasts'!U$9*1000000/SUM('Statistics NZ'!S$30:S$110,'Statistics NZ'!S$130:S$210)</f>
        <v>32427.544951230928</v>
      </c>
      <c r="T134" s="44">
        <f>'Statistics NZ'!T$134*'Economic Forecasts'!V$9*1000000/SUM('Statistics NZ'!T$30:T$110,'Statistics NZ'!T$130:T$210)</f>
        <v>33491.132904422426</v>
      </c>
      <c r="U134" s="45">
        <f>SUM('Statistics NZ'!U$134,$E$13/5*(U$8-U$9)*1000)*'Economic Forecasts'!W$9*1000000/SUM('Statistics NZ'!U$30:U$110,'Statistics NZ'!U$130:U$210,SUM($E$12:$T$13)*(U$8-U$9)*1000)</f>
        <v>34279.462767417739</v>
      </c>
      <c r="V134" s="45">
        <f>SUM('Statistics NZ'!V$134,$E$13/5*(V$8-V$9)*1000)*'Economic Forecasts'!X$9*1000000/SUM('Statistics NZ'!V$30:V$110,'Statistics NZ'!V$130:V$210,SUM($E$12:$T$13)*(V$8-V$9)*1000)</f>
        <v>36912.763743337353</v>
      </c>
      <c r="W134" s="45">
        <f>SUM('Statistics NZ'!W$134,$E$13/5*(W$8-W$9)*1000)*'Economic Forecasts'!Y$9*1000000/SUM('Statistics NZ'!W$30:W$110,'Statistics NZ'!W$130:W$210,SUM($E$12:$T$13)*(W$8-W$9)*1000)</f>
        <v>38568.276265585999</v>
      </c>
      <c r="X134" s="45">
        <f>SUM('Statistics NZ'!X$134,$E$13/5*(X$8-X$9)*1000)*'Economic Forecasts'!Z$9*1000000/SUM('Statistics NZ'!X$30:X$110,'Statistics NZ'!X$130:X$210,SUM($E$12:$T$13)*(X$8-X$9)*1000)</f>
        <v>38664.306373576401</v>
      </c>
      <c r="Y134" s="45">
        <f>SUM('Statistics NZ'!Y$134,$E$13/5*(Y$8-Y$9)*1000)*'Economic Forecasts'!AA$9*1000000/SUM('Statistics NZ'!Y$30:Y$110,'Statistics NZ'!Y$130:Y$210,SUM($E$12:$T$13)*(Y$8-Y$9)*1000)</f>
        <v>39214.372348543715</v>
      </c>
      <c r="Z134" s="46">
        <f>SUM(Y$134,'Statistics NZ'!Z$134-'Statistics NZ'!Y$134,$E$13/5*(Z$8-Z$9)*1000)</f>
        <v>39208.683079928225</v>
      </c>
      <c r="AA134" s="46">
        <f>SUM(Z$134,'Statistics NZ'!AA$134-'Statistics NZ'!Z$134,$E$13/5*(AA$8-AA$9)*1000)</f>
        <v>39169.269518758927</v>
      </c>
      <c r="AB134" s="46">
        <f>SUM(AA$134,'Statistics NZ'!AB$134-'Statistics NZ'!AA$134,$E$13/5*(AB$8-AB$9)*1000)</f>
        <v>39208.876523546591</v>
      </c>
      <c r="AC134" s="46">
        <f>SUM(AB$134,'Statistics NZ'!AC$134-'Statistics NZ'!AB$134,$E$13/5*(AC$8-AC$9)*1000)</f>
        <v>38918.876523546591</v>
      </c>
      <c r="AD134" s="46">
        <f>SUM(AC$134,'Statistics NZ'!AD$134-'Statistics NZ'!AC$134,$E$13/5*(AD$8-AD$9)*1000)</f>
        <v>39028.876523546591</v>
      </c>
      <c r="AE134" s="46">
        <f>SUM(AD$134,'Statistics NZ'!AE$134-'Statistics NZ'!AD$134,$E$13/5*(AE$8-AE$9)*1000)</f>
        <v>38838.876523546591</v>
      </c>
      <c r="AF134" s="46">
        <f>SUM(AE$134,'Statistics NZ'!AF$134-'Statistics NZ'!AE$134,$E$13/5*(AF$8-AF$9)*1000)</f>
        <v>38598.876523546591</v>
      </c>
      <c r="AG134" s="46">
        <f>SUM(AF$134,'Statistics NZ'!AG$134-'Statistics NZ'!AF$134,$E$13/5*(AG$8-AG$9)*1000)</f>
        <v>38368.876523546591</v>
      </c>
      <c r="AH134" s="46">
        <f>SUM(AG$134,'Statistics NZ'!AH$134-'Statistics NZ'!AG$134,$E$13/5*(AH$8-AH$9)*1000)</f>
        <v>38708.876523546591</v>
      </c>
      <c r="AI134" s="46">
        <f>SUM(AH$134,'Statistics NZ'!AI$134-'Statistics NZ'!AH$134,$E$13/5*(AI$8-AI$9)*1000)</f>
        <v>37948.876523546591</v>
      </c>
      <c r="AJ134" s="46">
        <f>SUM(AI$134,'Statistics NZ'!AJ$134-'Statistics NZ'!AI$134,$E$13/5*(AJ$8-AJ$9)*1000)</f>
        <v>38618.876523546591</v>
      </c>
      <c r="AK134" s="46">
        <f>SUM(AJ$134,'Statistics NZ'!AK$134-'Statistics NZ'!AJ$134,$E$13/5*(AK$8-AK$9)*1000)</f>
        <v>37948.876523546591</v>
      </c>
      <c r="AL134" s="46">
        <f>SUM(AK$134,'Statistics NZ'!AL$134-'Statistics NZ'!AK$134,$E$13/5*(AL$8-AL$9)*1000)</f>
        <v>36398.876523546591</v>
      </c>
      <c r="AM134" s="46">
        <f>SUM(AL$134,'Statistics NZ'!AM$134-'Statistics NZ'!AL$134,$E$13/5*(AM$8-AM$9)*1000)</f>
        <v>36268.876523546591</v>
      </c>
      <c r="AN134" s="46">
        <f>SUM(AM$134,'Statistics NZ'!AN$134-'Statistics NZ'!AM$134,$E$13/5*(AN$8-AN$9)*1000)</f>
        <v>36948.876523546591</v>
      </c>
      <c r="AO134" s="46">
        <f>SUM(AN$134,'Statistics NZ'!AO$134-'Statistics NZ'!AN$134,$E$13/5*(AO$8-AO$9)*1000)</f>
        <v>37038.876523546591</v>
      </c>
      <c r="AP134" s="46">
        <f>SUM(AO$134,'Statistics NZ'!AP$134-'Statistics NZ'!AO$134,$E$13/5*(AP$8-AP$9)*1000)</f>
        <v>37098.876523546591</v>
      </c>
      <c r="AQ134" s="46">
        <f>SUM(AP$134,'Statistics NZ'!AQ$134-'Statistics NZ'!AP$134,$E$13/5*(AQ$8-AQ$9)*1000)</f>
        <v>37138.876523546591</v>
      </c>
      <c r="AR134" s="46">
        <f>SUM(AQ$134,'Statistics NZ'!AR$134-'Statistics NZ'!AQ$134,$E$13/5*(AR$8-AR$9)*1000)</f>
        <v>37168.876523546591</v>
      </c>
      <c r="AS134" s="46">
        <f>SUM(AR$134,'Statistics NZ'!AS$134-'Statistics NZ'!AR$134,$E$13/5*(AS$8-AS$9)*1000)</f>
        <v>37198.876523546591</v>
      </c>
      <c r="AT134" s="46">
        <f>SUM(AS$134,'Statistics NZ'!AT$134-'Statistics NZ'!AS$134,$E$13/5*(AT$8-AT$9)*1000)</f>
        <v>37248.876523546591</v>
      </c>
      <c r="AU134" s="46">
        <f>SUM(AT$134,'Statistics NZ'!AU$134-'Statistics NZ'!AT$134,$E$13/5*(AU$8-AU$9)*1000)</f>
        <v>37318.876523546591</v>
      </c>
      <c r="AV134" s="46">
        <f>SUM(AU$134,'Statistics NZ'!AV$134-'Statistics NZ'!AU$134,$E$13/5*(AV$8-AV$9)*1000)</f>
        <v>37408.876523546591</v>
      </c>
      <c r="AW134" s="46">
        <f>SUM(AV$134,'Statistics NZ'!AW$134-'Statistics NZ'!AV$134,$E$13/5*(AW$8-AW$9)*1000)</f>
        <v>37538.876523546591</v>
      </c>
      <c r="AX134" s="46">
        <f>SUM(AW$134,'Statistics NZ'!AX$134-'Statistics NZ'!AW$134,$E$13/5*(AX$8-AX$9)*1000)</f>
        <v>37708.876523546591</v>
      </c>
      <c r="AY134" s="46">
        <f>SUM(AX$134,'Statistics NZ'!AY$134-'Statistics NZ'!AX$134,$E$13/5*(AY$8-AY$9)*1000)</f>
        <v>37918.876523546591</v>
      </c>
      <c r="AZ134" s="46">
        <f>SUM(AY$134,'Statistics NZ'!AZ$134-'Statistics NZ'!AY$134,$E$13/5*(AZ$8-AZ$9)*1000)</f>
        <v>38148.876523546591</v>
      </c>
      <c r="BA134" s="46">
        <f>SUM(AZ$134,'Statistics NZ'!BA$134-'Statistics NZ'!AZ$134,$E$13/5*(BA$8-BA$9)*1000)</f>
        <v>38408.876523546591</v>
      </c>
      <c r="BB134" s="46">
        <f>SUM(BA$134,'Statistics NZ'!BB$134-'Statistics NZ'!BA$134,$E$13/5*(BB$8-BB$9)*1000)</f>
        <v>38688.876523546591</v>
      </c>
      <c r="BC134" s="46">
        <f>SUM(BB$134,'Statistics NZ'!BC$134-'Statistics NZ'!BB$134,$E$13/5*(BC$8-BC$9)*1000)</f>
        <v>38958.876523546591</v>
      </c>
      <c r="BD134" s="46">
        <f>SUM(BC$134,'Statistics NZ'!BD$134-'Statistics NZ'!BC$134,$E$13/5*(BD$8-BD$9)*1000)</f>
        <v>39228.876523546591</v>
      </c>
      <c r="BE134" s="46">
        <f>SUM(BD$134,'Statistics NZ'!BE$134-'Statistics NZ'!BD$134,$E$13/5*(BE$8-BE$9)*1000)</f>
        <v>39468.876523546591</v>
      </c>
      <c r="BF134" s="46">
        <f>SUM(BE$134,'Statistics NZ'!BF$134-'Statistics NZ'!BE$134,$E$13/5*(BF$8-BF$9)*1000)</f>
        <v>39678.876523546591</v>
      </c>
      <c r="BG134" s="46">
        <f>SUM(BF$134,'Statistics NZ'!BG$134-'Statistics NZ'!BF$134,$E$13/5*(BG$8-BG$9)*1000)</f>
        <v>39858.876523546591</v>
      </c>
      <c r="BH134" s="46">
        <f>SUM(BG$134,'Statistics NZ'!BH$134-'Statistics NZ'!BG$134,$E$13/5*(BH$8-BH$9)*1000)</f>
        <v>39998.876523546591</v>
      </c>
      <c r="BI134" s="46">
        <f>SUM(BH$134,'Statistics NZ'!BI$134-'Statistics NZ'!BH$134,$E$13/5*(BI$8-BI$9)*1000)</f>
        <v>40108.876523546591</v>
      </c>
    </row>
    <row r="135" spans="1:61" x14ac:dyDescent="0.25">
      <c r="A135" s="11">
        <f>$A$35</f>
        <v>20</v>
      </c>
      <c r="B135" s="44">
        <f>'Statistics NZ'!B$135*'Economic Forecasts'!D$9*1000000/SUM('Statistics NZ'!B$30:B$110,'Statistics NZ'!B$130:B$210)</f>
        <v>29185.495643626833</v>
      </c>
      <c r="C135" s="44">
        <f>'Statistics NZ'!C$135*'Economic Forecasts'!E$9*1000000/SUM('Statistics NZ'!C$30:C$110,'Statistics NZ'!C$130:C$210)</f>
        <v>29362.033991886114</v>
      </c>
      <c r="D135" s="44">
        <f>'Statistics NZ'!D$135*'Economic Forecasts'!F$9*1000000/SUM('Statistics NZ'!D$30:D$110,'Statistics NZ'!D$130:D$210)</f>
        <v>29929.839131572066</v>
      </c>
      <c r="E135" s="44">
        <f>'Statistics NZ'!E$135*'Economic Forecasts'!G$9*1000000/SUM('Statistics NZ'!E$30:E$110,'Statistics NZ'!E$130:E$210)</f>
        <v>30578.297426972105</v>
      </c>
      <c r="F135" s="44">
        <f>'Statistics NZ'!F$135*'Economic Forecasts'!H$9*1000000/SUM('Statistics NZ'!F$30:F$110,'Statistics NZ'!F$130:F$210)</f>
        <v>31486.348623533409</v>
      </c>
      <c r="G135" s="44">
        <f>'Statistics NZ'!G$135*'Economic Forecasts'!I$9*1000000/SUM('Statistics NZ'!G$30:G$110,'Statistics NZ'!G$130:G$210)</f>
        <v>32787.412402181239</v>
      </c>
      <c r="H135" s="44">
        <f>'Statistics NZ'!H$135*'Economic Forecasts'!J$9*1000000/SUM('Statistics NZ'!H$30:H$110,'Statistics NZ'!H$130:H$210)</f>
        <v>32010.296812333301</v>
      </c>
      <c r="I135" s="44">
        <f>'Statistics NZ'!I$135*'Economic Forecasts'!K$9*1000000/SUM('Statistics NZ'!I$30:I$110,'Statistics NZ'!I$130:I$210)</f>
        <v>32165.464960617668</v>
      </c>
      <c r="J135" s="44">
        <f>'Statistics NZ'!J$135*'Economic Forecasts'!L$9*1000000/SUM('Statistics NZ'!J$30:J$110,'Statistics NZ'!J$130:J$210)</f>
        <v>32532.279165765081</v>
      </c>
      <c r="K135" s="44">
        <f>'Statistics NZ'!K$135*'Economic Forecasts'!M$9*1000000/SUM('Statistics NZ'!K$30:K$110,'Statistics NZ'!K$130:K$210)</f>
        <v>33794.417337716142</v>
      </c>
      <c r="L135" s="44">
        <f>'Statistics NZ'!L$135*'Economic Forecasts'!N$9*1000000/SUM('Statistics NZ'!L$30:L$110,'Statistics NZ'!L$130:L$210)</f>
        <v>34321.567959973712</v>
      </c>
      <c r="M135" s="44">
        <f>'Statistics NZ'!M$135*'Economic Forecasts'!O$9*1000000/SUM('Statistics NZ'!M$30:M$110,'Statistics NZ'!M$130:M$210)</f>
        <v>33490.099129936825</v>
      </c>
      <c r="N135" s="44">
        <f>'Statistics NZ'!N$135*'Economic Forecasts'!P$9*1000000/SUM('Statistics NZ'!N$30:N$110,'Statistics NZ'!N$130:N$210)</f>
        <v>33395.980668362776</v>
      </c>
      <c r="O135" s="44">
        <f>'Statistics NZ'!O$135*'Economic Forecasts'!Q$9*1000000/SUM('Statistics NZ'!O$30:O$110,'Statistics NZ'!O$130:O$210)</f>
        <v>32576.060054164351</v>
      </c>
      <c r="P135" s="44">
        <f>'Statistics NZ'!P$135*'Economic Forecasts'!R$9*1000000/SUM('Statistics NZ'!P$30:P$110,'Statistics NZ'!P$130:P$210)</f>
        <v>33799.772485341869</v>
      </c>
      <c r="Q135" s="44">
        <f>'Statistics NZ'!Q$135*'Economic Forecasts'!S$9*1000000/SUM('Statistics NZ'!Q$30:Q$110,'Statistics NZ'!Q$130:Q$210)</f>
        <v>32971.731203249547</v>
      </c>
      <c r="R135" s="44">
        <f>'Statistics NZ'!R$135*'Economic Forecasts'!T$9*1000000/SUM('Statistics NZ'!R$30:R$110,'Statistics NZ'!R$130:R$210)</f>
        <v>31298.115626699826</v>
      </c>
      <c r="S135" s="44">
        <f>'Statistics NZ'!S$135*'Economic Forecasts'!U$9*1000000/SUM('Statistics NZ'!S$30:S$110,'Statistics NZ'!S$130:S$210)</f>
        <v>32044.426425602935</v>
      </c>
      <c r="T135" s="44">
        <f>'Statistics NZ'!T$135*'Economic Forecasts'!V$9*1000000/SUM('Statistics NZ'!T$30:T$110,'Statistics NZ'!T$130:T$210)</f>
        <v>33729.010143163505</v>
      </c>
      <c r="U135" s="45">
        <f>SUM('Statistics NZ'!U$135,$F$13/5*(U$8-U$9)*1000)*'Economic Forecasts'!W$9*1000000/SUM('Statistics NZ'!U$30:U$110,'Statistics NZ'!U$130:U$210,SUM($E$12:$T$13)*(U$8-U$9)*1000)</f>
        <v>33868.805574016056</v>
      </c>
      <c r="V135" s="45">
        <f>SUM('Statistics NZ'!V$135,$F$13/5*(V$8-V$9)*1000)*'Economic Forecasts'!X$9*1000000/SUM('Statistics NZ'!V$30:V$110,'Statistics NZ'!V$130:V$210,SUM($E$12:$T$13)*(V$8-V$9)*1000)</f>
        <v>34636.239349242598</v>
      </c>
      <c r="W135" s="45">
        <f>SUM('Statistics NZ'!W$135,$F$13/5*(W$8-W$9)*1000)*'Economic Forecasts'!Y$9*1000000/SUM('Statistics NZ'!W$30:W$110,'Statistics NZ'!W$130:W$210,SUM($E$12:$T$13)*(W$8-W$9)*1000)</f>
        <v>37320.099415330005</v>
      </c>
      <c r="X135" s="45">
        <f>SUM('Statistics NZ'!X$135,$F$13/5*(X$8-X$9)*1000)*'Economic Forecasts'!Z$9*1000000/SUM('Statistics NZ'!X$30:X$110,'Statistics NZ'!X$130:X$210,SUM($E$12:$T$13)*(X$8-X$9)*1000)</f>
        <v>39035.586992402023</v>
      </c>
      <c r="Y135" s="45">
        <f>SUM('Statistics NZ'!Y$135,$F$13/5*(Y$8-Y$9)*1000)*'Economic Forecasts'!AA$9*1000000/SUM('Statistics NZ'!Y$30:Y$110,'Statistics NZ'!Y$130:Y$210,SUM($E$12:$T$13)*(Y$8-Y$9)*1000)</f>
        <v>39181.586169185692</v>
      </c>
      <c r="Z135" s="46">
        <f>SUM(Y$135,'Statistics NZ'!Z$135-'Statistics NZ'!Y$135,$F$13/5*(Z$8-Z$9)*1000)</f>
        <v>39746.467147220377</v>
      </c>
      <c r="AA135" s="46">
        <f>SUM(Z$135,'Statistics NZ'!AA$135-'Statistics NZ'!Z$135,$F$13/5*(AA$8-AA$9)*1000)</f>
        <v>39723.395734041187</v>
      </c>
      <c r="AB135" s="46">
        <f>SUM(AA$135,'Statistics NZ'!AB$135-'Statistics NZ'!AA$135,$F$13/5*(AB$8-AB$9)*1000)</f>
        <v>39661.962407890896</v>
      </c>
      <c r="AC135" s="46">
        <f>SUM(AB$135,'Statistics NZ'!AC$135-'Statistics NZ'!AB$135,$F$13/5*(AC$8-AC$9)*1000)</f>
        <v>39691.962407890896</v>
      </c>
      <c r="AD135" s="46">
        <f>SUM(AC$135,'Statistics NZ'!AD$135-'Statistics NZ'!AC$135,$F$13/5*(AD$8-AD$9)*1000)</f>
        <v>39411.962407890896</v>
      </c>
      <c r="AE135" s="46">
        <f>SUM(AD$135,'Statistics NZ'!AE$135-'Statistics NZ'!AD$135,$F$13/5*(AE$8-AE$9)*1000)</f>
        <v>39521.962407890896</v>
      </c>
      <c r="AF135" s="46">
        <f>SUM(AE$135,'Statistics NZ'!AF$135-'Statistics NZ'!AE$135,$F$13/5*(AF$8-AF$9)*1000)</f>
        <v>39331.962407890896</v>
      </c>
      <c r="AG135" s="46">
        <f>SUM(AF$135,'Statistics NZ'!AG$135-'Statistics NZ'!AF$135,$F$13/5*(AG$8-AG$9)*1000)</f>
        <v>39091.962407890896</v>
      </c>
      <c r="AH135" s="46">
        <f>SUM(AG$135,'Statistics NZ'!AH$135-'Statistics NZ'!AG$135,$F$13/5*(AH$8-AH$9)*1000)</f>
        <v>38871.962407890896</v>
      </c>
      <c r="AI135" s="46">
        <f>SUM(AH$135,'Statistics NZ'!AI$135-'Statistics NZ'!AH$135,$F$13/5*(AI$8-AI$9)*1000)</f>
        <v>39221.962407890896</v>
      </c>
      <c r="AJ135" s="46">
        <f>SUM(AI$135,'Statistics NZ'!AJ$135-'Statistics NZ'!AI$135,$F$13/5*(AJ$8-AJ$9)*1000)</f>
        <v>38461.962407890896</v>
      </c>
      <c r="AK135" s="46">
        <f>SUM(AJ$135,'Statistics NZ'!AK$135-'Statistics NZ'!AJ$135,$F$13/5*(AK$8-AK$9)*1000)</f>
        <v>39131.962407890896</v>
      </c>
      <c r="AL135" s="46">
        <f>SUM(AK$135,'Statistics NZ'!AL$135-'Statistics NZ'!AK$135,$F$13/5*(AL$8-AL$9)*1000)</f>
        <v>38471.962407890896</v>
      </c>
      <c r="AM135" s="46">
        <f>SUM(AL$135,'Statistics NZ'!AM$135-'Statistics NZ'!AL$135,$F$13/5*(AM$8-AM$9)*1000)</f>
        <v>36931.962407890896</v>
      </c>
      <c r="AN135" s="46">
        <f>SUM(AM$135,'Statistics NZ'!AN$135-'Statistics NZ'!AM$135,$F$13/5*(AN$8-AN$9)*1000)</f>
        <v>36791.962407890896</v>
      </c>
      <c r="AO135" s="46">
        <f>SUM(AN$135,'Statistics NZ'!AO$135-'Statistics NZ'!AN$135,$F$13/5*(AO$8-AO$9)*1000)</f>
        <v>37481.962407890896</v>
      </c>
      <c r="AP135" s="46">
        <f>SUM(AO$135,'Statistics NZ'!AP$135-'Statistics NZ'!AO$135,$F$13/5*(AP$8-AP$9)*1000)</f>
        <v>37571.962407890896</v>
      </c>
      <c r="AQ135" s="46">
        <f>SUM(AP$135,'Statistics NZ'!AQ$135-'Statistics NZ'!AP$135,$F$13/5*(AQ$8-AQ$9)*1000)</f>
        <v>37641.962407890896</v>
      </c>
      <c r="AR135" s="46">
        <f>SUM(AQ$135,'Statistics NZ'!AR$135-'Statistics NZ'!AQ$135,$F$13/5*(AR$8-AR$9)*1000)</f>
        <v>37681.962407890896</v>
      </c>
      <c r="AS135" s="46">
        <f>SUM(AR$135,'Statistics NZ'!AS$135-'Statistics NZ'!AR$135,$F$13/5*(AS$8-AS$9)*1000)</f>
        <v>37721.962407890896</v>
      </c>
      <c r="AT135" s="46">
        <f>SUM(AS$135,'Statistics NZ'!AT$135-'Statistics NZ'!AS$135,$F$13/5*(AT$8-AT$9)*1000)</f>
        <v>37761.962407890896</v>
      </c>
      <c r="AU135" s="46">
        <f>SUM(AT$135,'Statistics NZ'!AU$135-'Statistics NZ'!AT$135,$F$13/5*(AU$8-AU$9)*1000)</f>
        <v>37811.962407890896</v>
      </c>
      <c r="AV135" s="46">
        <f>SUM(AU$135,'Statistics NZ'!AV$135-'Statistics NZ'!AU$135,$F$13/5*(AV$8-AV$9)*1000)</f>
        <v>37881.962407890896</v>
      </c>
      <c r="AW135" s="46">
        <f>SUM(AV$135,'Statistics NZ'!AW$135-'Statistics NZ'!AV$135,$F$13/5*(AW$8-AW$9)*1000)</f>
        <v>37981.962407890896</v>
      </c>
      <c r="AX135" s="46">
        <f>SUM(AW$135,'Statistics NZ'!AX$135-'Statistics NZ'!AW$135,$F$13/5*(AX$8-AX$9)*1000)</f>
        <v>38111.962407890896</v>
      </c>
      <c r="AY135" s="46">
        <f>SUM(AX$135,'Statistics NZ'!AY$135-'Statistics NZ'!AX$135,$F$13/5*(AY$8-AY$9)*1000)</f>
        <v>38281.962407890896</v>
      </c>
      <c r="AZ135" s="46">
        <f>SUM(AY$135,'Statistics NZ'!AZ$135-'Statistics NZ'!AY$135,$F$13/5*(AZ$8-AZ$9)*1000)</f>
        <v>38491.962407890896</v>
      </c>
      <c r="BA135" s="46">
        <f>SUM(AZ$135,'Statistics NZ'!BA$135-'Statistics NZ'!AZ$135,$F$13/5*(BA$8-BA$9)*1000)</f>
        <v>38731.962407890896</v>
      </c>
      <c r="BB135" s="46">
        <f>SUM(BA$135,'Statistics NZ'!BB$135-'Statistics NZ'!BA$135,$F$13/5*(BB$8-BB$9)*1000)</f>
        <v>39001.962407890896</v>
      </c>
      <c r="BC135" s="46">
        <f>SUM(BB$135,'Statistics NZ'!BC$135-'Statistics NZ'!BB$135,$F$13/5*(BC$8-BC$9)*1000)</f>
        <v>39281.962407890896</v>
      </c>
      <c r="BD135" s="46">
        <f>SUM(BC$135,'Statistics NZ'!BD$135-'Statistics NZ'!BC$135,$F$13/5*(BD$8-BD$9)*1000)</f>
        <v>39561.962407890896</v>
      </c>
      <c r="BE135" s="46">
        <f>SUM(BD$135,'Statistics NZ'!BE$135-'Statistics NZ'!BD$135,$F$13/5*(BE$8-BE$9)*1000)</f>
        <v>39831.962407890896</v>
      </c>
      <c r="BF135" s="46">
        <f>SUM(BE$135,'Statistics NZ'!BF$135-'Statistics NZ'!BE$135,$F$13/5*(BF$8-BF$9)*1000)</f>
        <v>40071.962407890896</v>
      </c>
      <c r="BG135" s="46">
        <f>SUM(BF$135,'Statistics NZ'!BG$135-'Statistics NZ'!BF$135,$F$13/5*(BG$8-BG$9)*1000)</f>
        <v>40291.962407890896</v>
      </c>
      <c r="BH135" s="46">
        <f>SUM(BG$135,'Statistics NZ'!BH$135-'Statistics NZ'!BG$135,$F$13/5*(BH$8-BH$9)*1000)</f>
        <v>40471.962407890896</v>
      </c>
      <c r="BI135" s="46">
        <f>SUM(BH$135,'Statistics NZ'!BI$135-'Statistics NZ'!BH$135,$F$13/5*(BI$8-BI$9)*1000)</f>
        <v>40621.962407890896</v>
      </c>
    </row>
    <row r="136" spans="1:61" x14ac:dyDescent="0.25">
      <c r="A136" s="11">
        <f>$A$36</f>
        <v>21</v>
      </c>
      <c r="B136" s="44">
        <f>'Statistics NZ'!B$136*'Economic Forecasts'!D$9*1000000/SUM('Statistics NZ'!B$30:B$110,'Statistics NZ'!B$130:B$210)</f>
        <v>28921.329239879618</v>
      </c>
      <c r="C136" s="44">
        <f>'Statistics NZ'!C$136*'Economic Forecasts'!E$9*1000000/SUM('Statistics NZ'!C$30:C$110,'Statistics NZ'!C$130:C$210)</f>
        <v>28645.168279040736</v>
      </c>
      <c r="D136" s="44">
        <f>'Statistics NZ'!D$136*'Economic Forecasts'!F$9*1000000/SUM('Statistics NZ'!D$30:D$110,'Statistics NZ'!D$130:D$210)</f>
        <v>28927.921313580478</v>
      </c>
      <c r="E136" s="44">
        <f>'Statistics NZ'!E$136*'Economic Forecasts'!G$9*1000000/SUM('Statistics NZ'!E$30:E$110,'Statistics NZ'!E$130:E$210)</f>
        <v>29695.665365257068</v>
      </c>
      <c r="F136" s="44">
        <f>'Statistics NZ'!F$136*'Economic Forecasts'!H$9*1000000/SUM('Statistics NZ'!F$30:F$110,'Statistics NZ'!F$130:F$210)</f>
        <v>30574.127308272164</v>
      </c>
      <c r="G136" s="44">
        <f>'Statistics NZ'!G$136*'Economic Forecasts'!I$9*1000000/SUM('Statistics NZ'!G$30:G$110,'Statistics NZ'!G$130:G$210)</f>
        <v>31520.313480706885</v>
      </c>
      <c r="H136" s="44">
        <f>'Statistics NZ'!H$136*'Economic Forecasts'!J$9*1000000/SUM('Statistics NZ'!H$30:H$110,'Statistics NZ'!H$130:H$210)</f>
        <v>32481.903395203779</v>
      </c>
      <c r="I136" s="44">
        <f>'Statistics NZ'!I$136*'Economic Forecasts'!K$9*1000000/SUM('Statistics NZ'!I$30:I$110,'Statistics NZ'!I$130:I$210)</f>
        <v>31851.751190809751</v>
      </c>
      <c r="J136" s="44">
        <f>'Statistics NZ'!J$136*'Economic Forecasts'!L$9*1000000/SUM('Statistics NZ'!J$30:J$110,'Statistics NZ'!J$130:J$210)</f>
        <v>32805.33186859524</v>
      </c>
      <c r="K136" s="44">
        <f>'Statistics NZ'!K$136*'Economic Forecasts'!M$9*1000000/SUM('Statistics NZ'!K$30:K$110,'Statistics NZ'!K$130:K$210)</f>
        <v>33648.374047579076</v>
      </c>
      <c r="L136" s="44">
        <f>'Statistics NZ'!L$136*'Economic Forecasts'!N$9*1000000/SUM('Statistics NZ'!L$30:L$110,'Statistics NZ'!L$130:L$210)</f>
        <v>34691.559330889744</v>
      </c>
      <c r="M136" s="44">
        <f>'Statistics NZ'!M$136*'Economic Forecasts'!O$9*1000000/SUM('Statistics NZ'!M$30:M$110,'Statistics NZ'!M$130:M$210)</f>
        <v>34760.143729380179</v>
      </c>
      <c r="N136" s="44">
        <f>'Statistics NZ'!N$136*'Economic Forecasts'!P$9*1000000/SUM('Statistics NZ'!N$30:N$110,'Statistics NZ'!N$130:N$210)</f>
        <v>33758.023236405388</v>
      </c>
      <c r="O136" s="44">
        <f>'Statistics NZ'!O$136*'Economic Forecasts'!Q$9*1000000/SUM('Statistics NZ'!O$30:O$110,'Statistics NZ'!O$130:O$210)</f>
        <v>33824.82541090413</v>
      </c>
      <c r="P136" s="44">
        <f>'Statistics NZ'!P$136*'Economic Forecasts'!R$9*1000000/SUM('Statistics NZ'!P$30:P$110,'Statistics NZ'!P$130:P$210)</f>
        <v>33220.067085157229</v>
      </c>
      <c r="Q136" s="44">
        <f>'Statistics NZ'!Q$136*'Economic Forecasts'!S$9*1000000/SUM('Statistics NZ'!Q$30:Q$110,'Statistics NZ'!Q$130:Q$210)</f>
        <v>33696.930473462628</v>
      </c>
      <c r="R136" s="44">
        <f>'Statistics NZ'!R$136*'Economic Forecasts'!T$9*1000000/SUM('Statistics NZ'!R$30:R$110,'Statistics NZ'!R$130:R$210)</f>
        <v>32572.744579998445</v>
      </c>
      <c r="S136" s="44">
        <f>'Statistics NZ'!S$136*'Economic Forecasts'!U$9*1000000/SUM('Statistics NZ'!S$30:S$110,'Statistics NZ'!S$130:S$210)</f>
        <v>31789.014075184277</v>
      </c>
      <c r="T136" s="44">
        <f>'Statistics NZ'!T$136*'Economic Forecasts'!V$9*1000000/SUM('Statistics NZ'!T$30:T$110,'Statistics NZ'!T$130:T$210)</f>
        <v>33124.405494696577</v>
      </c>
      <c r="U136" s="45">
        <f>SUM('Statistics NZ'!U$136,$F$13/5*(U$8-U$9)*1000)*'Economic Forecasts'!W$9*1000000/SUM('Statistics NZ'!U$30:U$110,'Statistics NZ'!U$130:U$210,SUM($E$12:$T$13)*(U$8-U$9)*1000)</f>
        <v>33878.710522255366</v>
      </c>
      <c r="V136" s="45">
        <f>SUM('Statistics NZ'!V$136,$F$13/5*(V$8-V$9)*1000)*'Economic Forecasts'!X$9*1000000/SUM('Statistics NZ'!V$30:V$110,'Statistics NZ'!V$130:V$210,SUM($E$12:$T$13)*(V$8-V$9)*1000)</f>
        <v>34111.495992048622</v>
      </c>
      <c r="W136" s="45">
        <f>SUM('Statistics NZ'!W$136,$F$13/5*(W$8-W$9)*1000)*'Economic Forecasts'!Y$9*1000000/SUM('Statistics NZ'!W$30:W$110,'Statistics NZ'!W$130:W$210,SUM($E$12:$T$13)*(W$8-W$9)*1000)</f>
        <v>34933.477461284347</v>
      </c>
      <c r="X136" s="45">
        <f>SUM('Statistics NZ'!X$136,$F$13/5*(X$8-X$9)*1000)*'Economic Forecasts'!Z$9*1000000/SUM('Statistics NZ'!X$30:X$110,'Statistics NZ'!X$130:X$210,SUM($E$12:$T$13)*(X$8-X$9)*1000)</f>
        <v>37658.755697032444</v>
      </c>
      <c r="Y136" s="45">
        <f>SUM('Statistics NZ'!Y$136,$F$13/5*(Y$8-Y$9)*1000)*'Economic Forecasts'!AA$9*1000000/SUM('Statistics NZ'!Y$30:Y$110,'Statistics NZ'!Y$130:Y$210,SUM($E$12:$T$13)*(Y$8-Y$9)*1000)</f>
        <v>39389.673082406836</v>
      </c>
      <c r="Z136" s="46">
        <f>SUM(Y$136,'Statistics NZ'!Z$136-'Statistics NZ'!Y$136,$F$13/5*(Z$8-Z$9)*1000)</f>
        <v>39534.554060441522</v>
      </c>
      <c r="AA136" s="46">
        <f>SUM(Z$136,'Statistics NZ'!AA$136-'Statistics NZ'!Z$136,$F$13/5*(AA$8-AA$9)*1000)</f>
        <v>40111.482647262332</v>
      </c>
      <c r="AB136" s="46">
        <f>SUM(AA$136,'Statistics NZ'!AB$136-'Statistics NZ'!AA$136,$F$13/5*(AB$8-AB$9)*1000)</f>
        <v>40090.049321112041</v>
      </c>
      <c r="AC136" s="46">
        <f>SUM(AB$136,'Statistics NZ'!AC$136-'Statistics NZ'!AB$136,$F$13/5*(AC$8-AC$9)*1000)</f>
        <v>40030.049321112041</v>
      </c>
      <c r="AD136" s="46">
        <f>SUM(AC$136,'Statistics NZ'!AD$136-'Statistics NZ'!AC$136,$F$13/5*(AD$8-AD$9)*1000)</f>
        <v>40070.049321112041</v>
      </c>
      <c r="AE136" s="46">
        <f>SUM(AD$136,'Statistics NZ'!AE$136-'Statistics NZ'!AD$136,$F$13/5*(AE$8-AE$9)*1000)</f>
        <v>39790.049321112041</v>
      </c>
      <c r="AF136" s="46">
        <f>SUM(AE$136,'Statistics NZ'!AF$136-'Statistics NZ'!AE$136,$F$13/5*(AF$8-AF$9)*1000)</f>
        <v>39910.049321112041</v>
      </c>
      <c r="AG136" s="46">
        <f>SUM(AF$136,'Statistics NZ'!AG$136-'Statistics NZ'!AF$136,$F$13/5*(AG$8-AG$9)*1000)</f>
        <v>39720.049321112041</v>
      </c>
      <c r="AH136" s="46">
        <f>SUM(AG$136,'Statistics NZ'!AH$136-'Statistics NZ'!AG$136,$F$13/5*(AH$8-AH$9)*1000)</f>
        <v>39490.049321112041</v>
      </c>
      <c r="AI136" s="46">
        <f>SUM(AH$136,'Statistics NZ'!AI$136-'Statistics NZ'!AH$136,$F$13/5*(AI$8-AI$9)*1000)</f>
        <v>39280.049321112041</v>
      </c>
      <c r="AJ136" s="46">
        <f>SUM(AI$136,'Statistics NZ'!AJ$136-'Statistics NZ'!AI$136,$F$13/5*(AJ$8-AJ$9)*1000)</f>
        <v>39620.049321112041</v>
      </c>
      <c r="AK136" s="46">
        <f>SUM(AJ$136,'Statistics NZ'!AK$136-'Statistics NZ'!AJ$136,$F$13/5*(AK$8-AK$9)*1000)</f>
        <v>38870.049321112041</v>
      </c>
      <c r="AL136" s="46">
        <f>SUM(AK$136,'Statistics NZ'!AL$136-'Statistics NZ'!AK$136,$F$13/5*(AL$8-AL$9)*1000)</f>
        <v>39540.049321112041</v>
      </c>
      <c r="AM136" s="46">
        <f>SUM(AL$136,'Statistics NZ'!AM$136-'Statistics NZ'!AL$136,$F$13/5*(AM$8-AM$9)*1000)</f>
        <v>38890.049321112041</v>
      </c>
      <c r="AN136" s="46">
        <f>SUM(AM$136,'Statistics NZ'!AN$136-'Statistics NZ'!AM$136,$F$13/5*(AN$8-AN$9)*1000)</f>
        <v>37350.049321112041</v>
      </c>
      <c r="AO136" s="46">
        <f>SUM(AN$136,'Statistics NZ'!AO$136-'Statistics NZ'!AN$136,$F$13/5*(AO$8-AO$9)*1000)</f>
        <v>37220.049321112041</v>
      </c>
      <c r="AP136" s="46">
        <f>SUM(AO$136,'Statistics NZ'!AP$136-'Statistics NZ'!AO$136,$F$13/5*(AP$8-AP$9)*1000)</f>
        <v>37910.049321112041</v>
      </c>
      <c r="AQ136" s="46">
        <f>SUM(AP$136,'Statistics NZ'!AQ$136-'Statistics NZ'!AP$136,$F$13/5*(AQ$8-AQ$9)*1000)</f>
        <v>38010.049321112041</v>
      </c>
      <c r="AR136" s="46">
        <f>SUM(AQ$136,'Statistics NZ'!AR$136-'Statistics NZ'!AQ$136,$F$13/5*(AR$8-AR$9)*1000)</f>
        <v>38080.049321112041</v>
      </c>
      <c r="AS136" s="46">
        <f>SUM(AR$136,'Statistics NZ'!AS$136-'Statistics NZ'!AR$136,$F$13/5*(AS$8-AS$9)*1000)</f>
        <v>38130.049321112041</v>
      </c>
      <c r="AT136" s="46">
        <f>SUM(AS$136,'Statistics NZ'!AT$136-'Statistics NZ'!AS$136,$F$13/5*(AT$8-AT$9)*1000)</f>
        <v>38170.049321112041</v>
      </c>
      <c r="AU136" s="46">
        <f>SUM(AT$136,'Statistics NZ'!AU$136-'Statistics NZ'!AT$136,$F$13/5*(AU$8-AU$9)*1000)</f>
        <v>38210.049321112041</v>
      </c>
      <c r="AV136" s="46">
        <f>SUM(AU$136,'Statistics NZ'!AV$136-'Statistics NZ'!AU$136,$F$13/5*(AV$8-AV$9)*1000)</f>
        <v>38260.049321112041</v>
      </c>
      <c r="AW136" s="46">
        <f>SUM(AV$136,'Statistics NZ'!AW$136-'Statistics NZ'!AV$136,$F$13/5*(AW$8-AW$9)*1000)</f>
        <v>38330.049321112041</v>
      </c>
      <c r="AX136" s="46">
        <f>SUM(AW$136,'Statistics NZ'!AX$136-'Statistics NZ'!AW$136,$F$13/5*(AX$8-AX$9)*1000)</f>
        <v>38440.049321112041</v>
      </c>
      <c r="AY136" s="46">
        <f>SUM(AX$136,'Statistics NZ'!AY$136-'Statistics NZ'!AX$136,$F$13/5*(AY$8-AY$9)*1000)</f>
        <v>38570.049321112041</v>
      </c>
      <c r="AZ136" s="46">
        <f>SUM(AY$136,'Statistics NZ'!AZ$136-'Statistics NZ'!AY$136,$F$13/5*(AZ$8-AZ$9)*1000)</f>
        <v>38750.049321112041</v>
      </c>
      <c r="BA136" s="46">
        <f>SUM(AZ$136,'Statistics NZ'!BA$136-'Statistics NZ'!AZ$136,$F$13/5*(BA$8-BA$9)*1000)</f>
        <v>38970.049321112041</v>
      </c>
      <c r="BB136" s="46">
        <f>SUM(BA$136,'Statistics NZ'!BB$136-'Statistics NZ'!BA$136,$F$13/5*(BB$8-BB$9)*1000)</f>
        <v>39210.049321112041</v>
      </c>
      <c r="BC136" s="46">
        <f>SUM(BB$136,'Statistics NZ'!BC$136-'Statistics NZ'!BB$136,$F$13/5*(BC$8-BC$9)*1000)</f>
        <v>39480.049321112041</v>
      </c>
      <c r="BD136" s="46">
        <f>SUM(BC$136,'Statistics NZ'!BD$136-'Statistics NZ'!BC$136,$F$13/5*(BD$8-BD$9)*1000)</f>
        <v>39760.049321112041</v>
      </c>
      <c r="BE136" s="46">
        <f>SUM(BD$136,'Statistics NZ'!BE$136-'Statistics NZ'!BD$136,$F$13/5*(BE$8-BE$9)*1000)</f>
        <v>40040.049321112041</v>
      </c>
      <c r="BF136" s="46">
        <f>SUM(BE$136,'Statistics NZ'!BF$136-'Statistics NZ'!BE$136,$F$13/5*(BF$8-BF$9)*1000)</f>
        <v>40320.049321112041</v>
      </c>
      <c r="BG136" s="46">
        <f>SUM(BF$136,'Statistics NZ'!BG$136-'Statistics NZ'!BF$136,$F$13/5*(BG$8-BG$9)*1000)</f>
        <v>40570.049321112041</v>
      </c>
      <c r="BH136" s="46">
        <f>SUM(BG$136,'Statistics NZ'!BH$136-'Statistics NZ'!BG$136,$F$13/5*(BH$8-BH$9)*1000)</f>
        <v>40790.049321112041</v>
      </c>
      <c r="BI136" s="46">
        <f>SUM(BH$136,'Statistics NZ'!BI$136-'Statistics NZ'!BH$136,$F$13/5*(BI$8-BI$9)*1000)</f>
        <v>40970.049321112041</v>
      </c>
    </row>
    <row r="137" spans="1:61" x14ac:dyDescent="0.25">
      <c r="A137" s="11">
        <f>$A$37</f>
        <v>22</v>
      </c>
      <c r="B137" s="44">
        <f>'Statistics NZ'!B$137*'Economic Forecasts'!D$9*1000000/SUM('Statistics NZ'!B$30:B$110,'Statistics NZ'!B$130:B$210)</f>
        <v>28764.786185807203</v>
      </c>
      <c r="C137" s="44">
        <f>'Statistics NZ'!C$137*'Economic Forecasts'!E$9*1000000/SUM('Statistics NZ'!C$30:C$110,'Statistics NZ'!C$130:C$210)</f>
        <v>28232.724992198186</v>
      </c>
      <c r="D137" s="44">
        <f>'Statistics NZ'!D$137*'Economic Forecasts'!F$9*1000000/SUM('Statistics NZ'!D$30:D$110,'Statistics NZ'!D$130:D$210)</f>
        <v>28053.698903764292</v>
      </c>
      <c r="E137" s="44">
        <f>'Statistics NZ'!E$137*'Economic Forecasts'!G$9*1000000/SUM('Statistics NZ'!E$30:E$110,'Statistics NZ'!E$130:E$210)</f>
        <v>28607.085822475186</v>
      </c>
      <c r="F137" s="44">
        <f>'Statistics NZ'!F$137*'Economic Forecasts'!H$9*1000000/SUM('Statistics NZ'!F$30:F$110,'Statistics NZ'!F$130:F$210)</f>
        <v>29554.008848195066</v>
      </c>
      <c r="G137" s="44">
        <f>'Statistics NZ'!G$137*'Economic Forecasts'!I$9*1000000/SUM('Statistics NZ'!G$30:G$110,'Statistics NZ'!G$130:G$210)</f>
        <v>30312.149392789484</v>
      </c>
      <c r="H137" s="44">
        <f>'Statistics NZ'!H$137*'Economic Forecasts'!J$9*1000000/SUM('Statistics NZ'!H$30:H$110,'Statistics NZ'!H$130:H$210)</f>
        <v>30959.007138017878</v>
      </c>
      <c r="I137" s="44">
        <f>'Statistics NZ'!I$137*'Economic Forecasts'!K$9*1000000/SUM('Statistics NZ'!I$30:I$110,'Statistics NZ'!I$130:I$210)</f>
        <v>32116.447184085177</v>
      </c>
      <c r="J137" s="44">
        <f>'Statistics NZ'!J$137*'Economic Forecasts'!L$9*1000000/SUM('Statistics NZ'!J$30:J$110,'Statistics NZ'!J$130:J$210)</f>
        <v>32668.805517180161</v>
      </c>
      <c r="K137" s="44">
        <f>'Statistics NZ'!K$137*'Economic Forecasts'!M$9*1000000/SUM('Statistics NZ'!K$30:K$110,'Statistics NZ'!K$130:K$210)</f>
        <v>34203.338550099914</v>
      </c>
      <c r="L137" s="44">
        <f>'Statistics NZ'!L$137*'Economic Forecasts'!N$9*1000000/SUM('Statistics NZ'!L$30:L$110,'Statistics NZ'!L$130:L$210)</f>
        <v>34535.773490504049</v>
      </c>
      <c r="M137" s="44">
        <f>'Statistics NZ'!M$137*'Economic Forecasts'!O$9*1000000/SUM('Statistics NZ'!M$30:M$110,'Statistics NZ'!M$130:M$210)</f>
        <v>35014.152649268843</v>
      </c>
      <c r="N137" s="44">
        <f>'Statistics NZ'!N$137*'Economic Forecasts'!P$9*1000000/SUM('Statistics NZ'!N$30:N$110,'Statistics NZ'!N$130:N$210)</f>
        <v>34834.366006261793</v>
      </c>
      <c r="O137" s="44">
        <f>'Statistics NZ'!O$137*'Economic Forecasts'!Q$9*1000000/SUM('Statistics NZ'!O$30:O$110,'Statistics NZ'!O$130:O$210)</f>
        <v>33972.317382172601</v>
      </c>
      <c r="P137" s="44">
        <f>'Statistics NZ'!P$137*'Economic Forecasts'!R$9*1000000/SUM('Statistics NZ'!P$30:P$110,'Statistics NZ'!P$130:P$210)</f>
        <v>34281.22273295284</v>
      </c>
      <c r="Q137" s="44">
        <f>'Statistics NZ'!Q$137*'Economic Forecasts'!S$9*1000000/SUM('Statistics NZ'!Q$30:Q$110,'Statistics NZ'!Q$130:Q$210)</f>
        <v>33090.942042188683</v>
      </c>
      <c r="R137" s="44">
        <f>'Statistics NZ'!R$137*'Economic Forecasts'!T$9*1000000/SUM('Statistics NZ'!R$30:R$110,'Statistics NZ'!R$130:R$210)</f>
        <v>33309.639443624219</v>
      </c>
      <c r="S137" s="44">
        <f>'Statistics NZ'!S$137*'Economic Forecasts'!U$9*1000000/SUM('Statistics NZ'!S$30:S$110,'Statistics NZ'!S$130:S$210)</f>
        <v>32879.42834043318</v>
      </c>
      <c r="T137" s="44">
        <f>'Statistics NZ'!T$137*'Economic Forecasts'!V$9*1000000/SUM('Statistics NZ'!T$30:T$110,'Statistics NZ'!T$130:T$210)</f>
        <v>32708.120326899676</v>
      </c>
      <c r="U137" s="45">
        <f>SUM('Statistics NZ'!U$137,$F$13/5*(U$8-U$9)*1000)*'Economic Forecasts'!W$9*1000000/SUM('Statistics NZ'!U$30:U$110,'Statistics NZ'!U$130:U$210,SUM($E$12:$T$13)*(U$8-U$9)*1000)</f>
        <v>33175.45919726479</v>
      </c>
      <c r="V137" s="45">
        <f>SUM('Statistics NZ'!V$137,$F$13/5*(V$8-V$9)*1000)*'Economic Forecasts'!X$9*1000000/SUM('Statistics NZ'!V$30:V$110,'Statistics NZ'!V$130:V$210,SUM($E$12:$T$13)*(V$8-V$9)*1000)</f>
        <v>34022.388629506248</v>
      </c>
      <c r="W137" s="45">
        <f>SUM('Statistics NZ'!W$137,$F$13/5*(W$8-W$9)*1000)*'Economic Forecasts'!Y$9*1000000/SUM('Statistics NZ'!W$30:W$110,'Statistics NZ'!W$130:W$210,SUM($E$12:$T$13)*(W$8-W$9)*1000)</f>
        <v>34319.491730368041</v>
      </c>
      <c r="X137" s="45">
        <f>SUM('Statistics NZ'!X$137,$F$13/5*(X$8-X$9)*1000)*'Economic Forecasts'!Z$9*1000000/SUM('Statistics NZ'!X$30:X$110,'Statistics NZ'!X$130:X$210,SUM($E$12:$T$13)*(X$8-X$9)*1000)</f>
        <v>35172.535156472979</v>
      </c>
      <c r="Y137" s="45">
        <f>SUM('Statistics NZ'!Y$137,$F$13/5*(Y$8-Y$9)*1000)*'Economic Forecasts'!AA$9*1000000/SUM('Statistics NZ'!Y$30:Y$110,'Statistics NZ'!Y$130:Y$210,SUM($E$12:$T$13)*(Y$8-Y$9)*1000)</f>
        <v>37923.155789229269</v>
      </c>
      <c r="Z137" s="46">
        <f>SUM(Y$137,'Statistics NZ'!Z$137-'Statistics NZ'!Y$137,$F$13/5*(Z$8-Z$9)*1000)</f>
        <v>39668.036767263955</v>
      </c>
      <c r="AA137" s="46">
        <f>SUM(Z$137,'Statistics NZ'!AA$137-'Statistics NZ'!Z$137,$F$13/5*(AA$8-AA$9)*1000)</f>
        <v>39824.965354084765</v>
      </c>
      <c r="AB137" s="46">
        <f>SUM(AA$137,'Statistics NZ'!AB$137-'Statistics NZ'!AA$137,$F$13/5*(AB$8-AB$9)*1000)</f>
        <v>40403.532027934474</v>
      </c>
      <c r="AC137" s="46">
        <f>SUM(AB$137,'Statistics NZ'!AC$137-'Statistics NZ'!AB$137,$F$13/5*(AC$8-AC$9)*1000)</f>
        <v>40383.532027934474</v>
      </c>
      <c r="AD137" s="46">
        <f>SUM(AC$137,'Statistics NZ'!AD$137-'Statistics NZ'!AC$137,$F$13/5*(AD$8-AD$9)*1000)</f>
        <v>40333.532027934474</v>
      </c>
      <c r="AE137" s="46">
        <f>SUM(AD$137,'Statistics NZ'!AE$137-'Statistics NZ'!AD$137,$F$13/5*(AE$8-AE$9)*1000)</f>
        <v>40373.532027934474</v>
      </c>
      <c r="AF137" s="46">
        <f>SUM(AE$137,'Statistics NZ'!AF$137-'Statistics NZ'!AE$137,$F$13/5*(AF$8-AF$9)*1000)</f>
        <v>40103.532027934474</v>
      </c>
      <c r="AG137" s="46">
        <f>SUM(AF$137,'Statistics NZ'!AG$137-'Statistics NZ'!AF$137,$F$13/5*(AG$8-AG$9)*1000)</f>
        <v>40223.532027934474</v>
      </c>
      <c r="AH137" s="46">
        <f>SUM(AG$137,'Statistics NZ'!AH$137-'Statistics NZ'!AG$137,$F$13/5*(AH$8-AH$9)*1000)</f>
        <v>40043.532027934474</v>
      </c>
      <c r="AI137" s="46">
        <f>SUM(AH$137,'Statistics NZ'!AI$137-'Statistics NZ'!AH$137,$F$13/5*(AI$8-AI$9)*1000)</f>
        <v>39813.532027934474</v>
      </c>
      <c r="AJ137" s="46">
        <f>SUM(AI$137,'Statistics NZ'!AJ$137-'Statistics NZ'!AI$137,$F$13/5*(AJ$8-AJ$9)*1000)</f>
        <v>39603.532027934474</v>
      </c>
      <c r="AK137" s="46">
        <f>SUM(AJ$137,'Statistics NZ'!AK$137-'Statistics NZ'!AJ$137,$F$13/5*(AK$8-AK$9)*1000)</f>
        <v>39953.532027934474</v>
      </c>
      <c r="AL137" s="46">
        <f>SUM(AK$137,'Statistics NZ'!AL$137-'Statistics NZ'!AK$137,$F$13/5*(AL$8-AL$9)*1000)</f>
        <v>39203.532027934474</v>
      </c>
      <c r="AM137" s="46">
        <f>SUM(AL$137,'Statistics NZ'!AM$137-'Statistics NZ'!AL$137,$F$13/5*(AM$8-AM$9)*1000)</f>
        <v>39883.532027934474</v>
      </c>
      <c r="AN137" s="46">
        <f>SUM(AM$137,'Statistics NZ'!AN$137-'Statistics NZ'!AM$137,$F$13/5*(AN$8-AN$9)*1000)</f>
        <v>39233.532027934474</v>
      </c>
      <c r="AO137" s="46">
        <f>SUM(AN$137,'Statistics NZ'!AO$137-'Statistics NZ'!AN$137,$F$13/5*(AO$8-AO$9)*1000)</f>
        <v>37693.532027934474</v>
      </c>
      <c r="AP137" s="46">
        <f>SUM(AO$137,'Statistics NZ'!AP$137-'Statistics NZ'!AO$137,$F$13/5*(AP$8-AP$9)*1000)</f>
        <v>37573.532027934474</v>
      </c>
      <c r="AQ137" s="46">
        <f>SUM(AP$137,'Statistics NZ'!AQ$137-'Statistics NZ'!AP$137,$F$13/5*(AQ$8-AQ$9)*1000)</f>
        <v>38263.532027934474</v>
      </c>
      <c r="AR137" s="46">
        <f>SUM(AQ$137,'Statistics NZ'!AR$137-'Statistics NZ'!AQ$137,$F$13/5*(AR$8-AR$9)*1000)</f>
        <v>38363.532027934474</v>
      </c>
      <c r="AS137" s="46">
        <f>SUM(AR$137,'Statistics NZ'!AS$137-'Statistics NZ'!AR$137,$F$13/5*(AS$8-AS$9)*1000)</f>
        <v>38443.532027934474</v>
      </c>
      <c r="AT137" s="46">
        <f>SUM(AS$137,'Statistics NZ'!AT$137-'Statistics NZ'!AS$137,$F$13/5*(AT$8-AT$9)*1000)</f>
        <v>38493.532027934474</v>
      </c>
      <c r="AU137" s="46">
        <f>SUM(AT$137,'Statistics NZ'!AU$137-'Statistics NZ'!AT$137,$F$13/5*(AU$8-AU$9)*1000)</f>
        <v>38533.532027934474</v>
      </c>
      <c r="AV137" s="46">
        <f>SUM(AU$137,'Statistics NZ'!AV$137-'Statistics NZ'!AU$137,$F$13/5*(AV$8-AV$9)*1000)</f>
        <v>38583.532027934474</v>
      </c>
      <c r="AW137" s="46">
        <f>SUM(AV$137,'Statistics NZ'!AW$137-'Statistics NZ'!AV$137,$F$13/5*(AW$8-AW$9)*1000)</f>
        <v>38643.532027934474</v>
      </c>
      <c r="AX137" s="46">
        <f>SUM(AW$137,'Statistics NZ'!AX$137-'Statistics NZ'!AW$137,$F$13/5*(AX$8-AX$9)*1000)</f>
        <v>38723.532027934474</v>
      </c>
      <c r="AY137" s="46">
        <f>SUM(AX$137,'Statistics NZ'!AY$137-'Statistics NZ'!AX$137,$F$13/5*(AY$8-AY$9)*1000)</f>
        <v>38823.532027934474</v>
      </c>
      <c r="AZ137" s="46">
        <f>SUM(AY$137,'Statistics NZ'!AZ$137-'Statistics NZ'!AY$137,$F$13/5*(AZ$8-AZ$9)*1000)</f>
        <v>38963.532027934474</v>
      </c>
      <c r="BA137" s="46">
        <f>SUM(AZ$137,'Statistics NZ'!BA$137-'Statistics NZ'!AZ$137,$F$13/5*(BA$8-BA$9)*1000)</f>
        <v>39143.532027934474</v>
      </c>
      <c r="BB137" s="46">
        <f>SUM(BA$137,'Statistics NZ'!BB$137-'Statistics NZ'!BA$137,$F$13/5*(BB$8-BB$9)*1000)</f>
        <v>39363.532027934474</v>
      </c>
      <c r="BC137" s="46">
        <f>SUM(BB$137,'Statistics NZ'!BC$137-'Statistics NZ'!BB$137,$F$13/5*(BC$8-BC$9)*1000)</f>
        <v>39613.532027934474</v>
      </c>
      <c r="BD137" s="46">
        <f>SUM(BC$137,'Statistics NZ'!BD$137-'Statistics NZ'!BC$137,$F$13/5*(BD$8-BD$9)*1000)</f>
        <v>39883.532027934474</v>
      </c>
      <c r="BE137" s="46">
        <f>SUM(BD$137,'Statistics NZ'!BE$137-'Statistics NZ'!BD$137,$F$13/5*(BE$8-BE$9)*1000)</f>
        <v>40173.532027934474</v>
      </c>
      <c r="BF137" s="46">
        <f>SUM(BE$137,'Statistics NZ'!BF$137-'Statistics NZ'!BE$137,$F$13/5*(BF$8-BF$9)*1000)</f>
        <v>40463.532027934474</v>
      </c>
      <c r="BG137" s="46">
        <f>SUM(BF$137,'Statistics NZ'!BG$137-'Statistics NZ'!BF$137,$F$13/5*(BG$8-BG$9)*1000)</f>
        <v>40733.532027934474</v>
      </c>
      <c r="BH137" s="46">
        <f>SUM(BG$137,'Statistics NZ'!BH$137-'Statistics NZ'!BG$137,$F$13/5*(BH$8-BH$9)*1000)</f>
        <v>40993.532027934474</v>
      </c>
      <c r="BI137" s="46">
        <f>SUM(BH$137,'Statistics NZ'!BI$137-'Statistics NZ'!BH$137,$F$13/5*(BI$8-BI$9)*1000)</f>
        <v>41213.532027934474</v>
      </c>
    </row>
    <row r="138" spans="1:61" x14ac:dyDescent="0.25">
      <c r="A138" s="11">
        <f>$A$38</f>
        <v>23</v>
      </c>
      <c r="B138" s="44">
        <f>'Statistics NZ'!B$138*'Economic Forecasts'!D$9*1000000/SUM('Statistics NZ'!B$30:B$110,'Statistics NZ'!B$130:B$210)</f>
        <v>28461.484018541891</v>
      </c>
      <c r="C138" s="44">
        <f>'Statistics NZ'!C$138*'Economic Forecasts'!E$9*1000000/SUM('Statistics NZ'!C$30:C$110,'Statistics NZ'!C$130:C$210)</f>
        <v>27997.043114002445</v>
      </c>
      <c r="D138" s="44">
        <f>'Statistics NZ'!D$138*'Economic Forecasts'!F$9*1000000/SUM('Statistics NZ'!D$30:D$110,'Statistics NZ'!D$130:D$210)</f>
        <v>27552.739994768508</v>
      </c>
      <c r="E138" s="44">
        <f>'Statistics NZ'!E$138*'Economic Forecasts'!G$9*1000000/SUM('Statistics NZ'!E$30:E$110,'Statistics NZ'!E$130:E$210)</f>
        <v>27734.260783668098</v>
      </c>
      <c r="F138" s="44">
        <f>'Statistics NZ'!F$138*'Economic Forecasts'!H$9*1000000/SUM('Statistics NZ'!F$30:F$110,'Statistics NZ'!F$130:F$210)</f>
        <v>28396.566749261441</v>
      </c>
      <c r="G138" s="44">
        <f>'Statistics NZ'!G$138*'Economic Forecasts'!I$9*1000000/SUM('Statistics NZ'!G$30:G$110,'Statistics NZ'!G$130:G$210)</f>
        <v>29162.920138429025</v>
      </c>
      <c r="H138" s="44">
        <f>'Statistics NZ'!H$138*'Economic Forecasts'!J$9*1000000/SUM('Statistics NZ'!H$30:H$110,'Statistics NZ'!H$130:H$210)</f>
        <v>29721.039857982887</v>
      </c>
      <c r="I138" s="44">
        <f>'Statistics NZ'!I$138*'Economic Forecasts'!K$9*1000000/SUM('Statistics NZ'!I$30:I$110,'Statistics NZ'!I$130:I$210)</f>
        <v>30606.699666884597</v>
      </c>
      <c r="J138" s="44">
        <f>'Statistics NZ'!J$138*'Economic Forecasts'!L$9*1000000/SUM('Statistics NZ'!J$30:J$110,'Statistics NZ'!J$130:J$210)</f>
        <v>32766.324339619507</v>
      </c>
      <c r="K138" s="44">
        <f>'Statistics NZ'!K$138*'Economic Forecasts'!M$9*1000000/SUM('Statistics NZ'!K$30:K$110,'Statistics NZ'!K$130:K$210)</f>
        <v>34339.645620894509</v>
      </c>
      <c r="L138" s="44">
        <f>'Statistics NZ'!L$138*'Economic Forecasts'!N$9*1000000/SUM('Statistics NZ'!L$30:L$110,'Statistics NZ'!L$130:L$210)</f>
        <v>35606.80114315571</v>
      </c>
      <c r="M138" s="44">
        <f>'Statistics NZ'!M$138*'Economic Forecasts'!O$9*1000000/SUM('Statistics NZ'!M$30:M$110,'Statistics NZ'!M$130:M$210)</f>
        <v>35277.931142999383</v>
      </c>
      <c r="N138" s="44">
        <f>'Statistics NZ'!N$138*'Economic Forecasts'!P$9*1000000/SUM('Statistics NZ'!N$30:N$110,'Statistics NZ'!N$130:N$210)</f>
        <v>35343.182588375726</v>
      </c>
      <c r="O138" s="44">
        <f>'Statistics NZ'!O$138*'Economic Forecasts'!Q$9*1000000/SUM('Statistics NZ'!O$30:O$110,'Statistics NZ'!O$130:O$210)</f>
        <v>35211.249940827809</v>
      </c>
      <c r="P138" s="44">
        <f>'Statistics NZ'!P$138*'Economic Forecasts'!R$9*1000000/SUM('Statistics NZ'!P$30:P$110,'Statistics NZ'!P$130:P$210)</f>
        <v>34762.67298056381</v>
      </c>
      <c r="Q138" s="44">
        <f>'Statistics NZ'!Q$138*'Economic Forecasts'!S$9*1000000/SUM('Statistics NZ'!Q$30:Q$110,'Statistics NZ'!Q$130:Q$210)</f>
        <v>34064.497226858293</v>
      </c>
      <c r="R138" s="44">
        <f>'Statistics NZ'!R$138*'Economic Forecasts'!T$9*1000000/SUM('Statistics NZ'!R$30:R$110,'Statistics NZ'!R$130:R$210)</f>
        <v>32612.576734789032</v>
      </c>
      <c r="S138" s="44">
        <f>'Statistics NZ'!S$138*'Economic Forecasts'!U$9*1000000/SUM('Statistics NZ'!S$30:S$110,'Statistics NZ'!S$130:S$210)</f>
        <v>33635.841839749985</v>
      </c>
      <c r="T138" s="44">
        <f>'Statistics NZ'!T$138*'Economic Forecasts'!V$9*1000000/SUM('Statistics NZ'!T$30:T$110,'Statistics NZ'!T$130:T$210)</f>
        <v>33699.275488320869</v>
      </c>
      <c r="U138" s="45">
        <f>SUM('Statistics NZ'!U$138,$F$13/5*(U$8-U$9)*1000)*'Economic Forecasts'!W$9*1000000/SUM('Statistics NZ'!U$30:U$110,'Statistics NZ'!U$130:U$210,SUM($E$12:$T$13)*(U$8-U$9)*1000)</f>
        <v>32719.831578256821</v>
      </c>
      <c r="V138" s="45">
        <f>SUM('Statistics NZ'!V$138,$F$13/5*(V$8-V$9)*1000)*'Economic Forecasts'!X$9*1000000/SUM('Statistics NZ'!V$30:V$110,'Statistics NZ'!V$130:V$210,SUM($E$12:$T$13)*(V$8-V$9)*1000)</f>
        <v>33289.72809304671</v>
      </c>
      <c r="W138" s="45">
        <f>SUM('Statistics NZ'!W$138,$F$13/5*(W$8-W$9)*1000)*'Economic Forecasts'!Y$9*1000000/SUM('Statistics NZ'!W$30:W$110,'Statistics NZ'!W$130:W$210,SUM($E$12:$T$13)*(W$8-W$9)*1000)</f>
        <v>34210.558778108694</v>
      </c>
      <c r="X138" s="45">
        <f>SUM('Statistics NZ'!X$138,$F$13/5*(X$8-X$9)*1000)*'Economic Forecasts'!Z$9*1000000/SUM('Statistics NZ'!X$30:X$110,'Statistics NZ'!X$130:X$210,SUM($E$12:$T$13)*(X$8-X$9)*1000)</f>
        <v>34538.598444935902</v>
      </c>
      <c r="Y138" s="45">
        <f>SUM('Statistics NZ'!Y$138,$F$13/5*(Y$8-Y$9)*1000)*'Economic Forecasts'!AA$9*1000000/SUM('Statistics NZ'!Y$30:Y$110,'Statistics NZ'!Y$130:Y$210,SUM($E$12:$T$13)*(Y$8-Y$9)*1000)</f>
        <v>35416.203929945987</v>
      </c>
      <c r="Z138" s="46">
        <f>SUM(Y$138,'Statistics NZ'!Z$138-'Statistics NZ'!Y$138,$F$13/5*(Z$8-Z$9)*1000)</f>
        <v>38191.084907980672</v>
      </c>
      <c r="AA138" s="46">
        <f>SUM(Z$138,'Statistics NZ'!AA$138-'Statistics NZ'!Z$138,$F$13/5*(AA$8-AA$9)*1000)</f>
        <v>39938.013494801482</v>
      </c>
      <c r="AB138" s="46">
        <f>SUM(AA$138,'Statistics NZ'!AB$138-'Statistics NZ'!AA$138,$F$13/5*(AB$8-AB$9)*1000)</f>
        <v>40106.580168651191</v>
      </c>
      <c r="AC138" s="46">
        <f>SUM(AB$138,'Statistics NZ'!AC$138-'Statistics NZ'!AB$138,$F$13/5*(AC$8-AC$9)*1000)</f>
        <v>40686.580168651191</v>
      </c>
      <c r="AD138" s="46">
        <f>SUM(AC$138,'Statistics NZ'!AD$138-'Statistics NZ'!AC$138,$F$13/5*(AD$8-AD$9)*1000)</f>
        <v>40676.580168651191</v>
      </c>
      <c r="AE138" s="46">
        <f>SUM(AD$138,'Statistics NZ'!AE$138-'Statistics NZ'!AD$138,$F$13/5*(AE$8-AE$9)*1000)</f>
        <v>40626.580168651191</v>
      </c>
      <c r="AF138" s="46">
        <f>SUM(AE$138,'Statistics NZ'!AF$138-'Statistics NZ'!AE$138,$F$13/5*(AF$8-AF$9)*1000)</f>
        <v>40666.580168651191</v>
      </c>
      <c r="AG138" s="46">
        <f>SUM(AF$138,'Statistics NZ'!AG$138-'Statistics NZ'!AF$138,$F$13/5*(AG$8-AG$9)*1000)</f>
        <v>40406.580168651191</v>
      </c>
      <c r="AH138" s="46">
        <f>SUM(AG$138,'Statistics NZ'!AH$138-'Statistics NZ'!AG$138,$F$13/5*(AH$8-AH$9)*1000)</f>
        <v>40536.580168651191</v>
      </c>
      <c r="AI138" s="46">
        <f>SUM(AH$138,'Statistics NZ'!AI$138-'Statistics NZ'!AH$138,$F$13/5*(AI$8-AI$9)*1000)</f>
        <v>40346.580168651191</v>
      </c>
      <c r="AJ138" s="46">
        <f>SUM(AI$138,'Statistics NZ'!AJ$138-'Statistics NZ'!AI$138,$F$13/5*(AJ$8-AJ$9)*1000)</f>
        <v>40126.580168651191</v>
      </c>
      <c r="AK138" s="46">
        <f>SUM(AJ$138,'Statistics NZ'!AK$138-'Statistics NZ'!AJ$138,$F$13/5*(AK$8-AK$9)*1000)</f>
        <v>39916.580168651191</v>
      </c>
      <c r="AL138" s="46">
        <f>SUM(AK$138,'Statistics NZ'!AL$138-'Statistics NZ'!AK$138,$F$13/5*(AL$8-AL$9)*1000)</f>
        <v>40276.580168651191</v>
      </c>
      <c r="AM138" s="46">
        <f>SUM(AL$138,'Statistics NZ'!AM$138-'Statistics NZ'!AL$138,$F$13/5*(AM$8-AM$9)*1000)</f>
        <v>39536.580168651191</v>
      </c>
      <c r="AN138" s="46">
        <f>SUM(AM$138,'Statistics NZ'!AN$138-'Statistics NZ'!AM$138,$F$13/5*(AN$8-AN$9)*1000)</f>
        <v>40216.580168651191</v>
      </c>
      <c r="AO138" s="46">
        <f>SUM(AN$138,'Statistics NZ'!AO$138-'Statistics NZ'!AN$138,$F$13/5*(AO$8-AO$9)*1000)</f>
        <v>39566.580168651191</v>
      </c>
      <c r="AP138" s="46">
        <f>SUM(AO$138,'Statistics NZ'!AP$138-'Statistics NZ'!AO$138,$F$13/5*(AP$8-AP$9)*1000)</f>
        <v>38036.580168651191</v>
      </c>
      <c r="AQ138" s="46">
        <f>SUM(AP$138,'Statistics NZ'!AQ$138-'Statistics NZ'!AP$138,$F$13/5*(AQ$8-AQ$9)*1000)</f>
        <v>37916.580168651191</v>
      </c>
      <c r="AR138" s="46">
        <f>SUM(AQ$138,'Statistics NZ'!AR$138-'Statistics NZ'!AQ$138,$F$13/5*(AR$8-AR$9)*1000)</f>
        <v>38616.580168651191</v>
      </c>
      <c r="AS138" s="46">
        <f>SUM(AR$138,'Statistics NZ'!AS$138-'Statistics NZ'!AR$138,$F$13/5*(AS$8-AS$9)*1000)</f>
        <v>38716.580168651191</v>
      </c>
      <c r="AT138" s="46">
        <f>SUM(AS$138,'Statistics NZ'!AT$138-'Statistics NZ'!AS$138,$F$13/5*(AT$8-AT$9)*1000)</f>
        <v>38796.580168651191</v>
      </c>
      <c r="AU138" s="46">
        <f>SUM(AT$138,'Statistics NZ'!AU$138-'Statistics NZ'!AT$138,$F$13/5*(AU$8-AU$9)*1000)</f>
        <v>38856.580168651191</v>
      </c>
      <c r="AV138" s="46">
        <f>SUM(AU$138,'Statistics NZ'!AV$138-'Statistics NZ'!AU$138,$F$13/5*(AV$8-AV$9)*1000)</f>
        <v>38906.580168651191</v>
      </c>
      <c r="AW138" s="46">
        <f>SUM(AV$138,'Statistics NZ'!AW$138-'Statistics NZ'!AV$138,$F$13/5*(AW$8-AW$9)*1000)</f>
        <v>38956.580168651191</v>
      </c>
      <c r="AX138" s="46">
        <f>SUM(AW$138,'Statistics NZ'!AX$138-'Statistics NZ'!AW$138,$F$13/5*(AX$8-AX$9)*1000)</f>
        <v>39016.580168651191</v>
      </c>
      <c r="AY138" s="46">
        <f>SUM(AX$138,'Statistics NZ'!AY$138-'Statistics NZ'!AX$138,$F$13/5*(AY$8-AY$9)*1000)</f>
        <v>39096.580168651191</v>
      </c>
      <c r="AZ138" s="46">
        <f>SUM(AY$138,'Statistics NZ'!AZ$138-'Statistics NZ'!AY$138,$F$13/5*(AZ$8-AZ$9)*1000)</f>
        <v>39206.580168651191</v>
      </c>
      <c r="BA138" s="46">
        <f>SUM(AZ$138,'Statistics NZ'!BA$138-'Statistics NZ'!AZ$138,$F$13/5*(BA$8-BA$9)*1000)</f>
        <v>39356.580168651191</v>
      </c>
      <c r="BB138" s="46">
        <f>SUM(BA$138,'Statistics NZ'!BB$138-'Statistics NZ'!BA$138,$F$13/5*(BB$8-BB$9)*1000)</f>
        <v>39536.580168651191</v>
      </c>
      <c r="BC138" s="46">
        <f>SUM(BB$138,'Statistics NZ'!BC$138-'Statistics NZ'!BB$138,$F$13/5*(BC$8-BC$9)*1000)</f>
        <v>39756.580168651191</v>
      </c>
      <c r="BD138" s="46">
        <f>SUM(BC$138,'Statistics NZ'!BD$138-'Statistics NZ'!BC$138,$F$13/5*(BD$8-BD$9)*1000)</f>
        <v>40016.580168651191</v>
      </c>
      <c r="BE138" s="46">
        <f>SUM(BD$138,'Statistics NZ'!BE$138-'Statistics NZ'!BD$138,$F$13/5*(BE$8-BE$9)*1000)</f>
        <v>40286.580168651191</v>
      </c>
      <c r="BF138" s="46">
        <f>SUM(BE$138,'Statistics NZ'!BF$138-'Statistics NZ'!BE$138,$F$13/5*(BF$8-BF$9)*1000)</f>
        <v>40576.580168651191</v>
      </c>
      <c r="BG138" s="46">
        <f>SUM(BF$138,'Statistics NZ'!BG$138-'Statistics NZ'!BF$138,$F$13/5*(BG$8-BG$9)*1000)</f>
        <v>40876.580168651191</v>
      </c>
      <c r="BH138" s="46">
        <f>SUM(BG$138,'Statistics NZ'!BH$138-'Statistics NZ'!BG$138,$F$13/5*(BH$8-BH$9)*1000)</f>
        <v>41156.580168651191</v>
      </c>
      <c r="BI138" s="46">
        <f>SUM(BH$138,'Statistics NZ'!BI$138-'Statistics NZ'!BH$138,$F$13/5*(BI$8-BI$9)*1000)</f>
        <v>41416.580168651191</v>
      </c>
    </row>
    <row r="139" spans="1:61" x14ac:dyDescent="0.25">
      <c r="A139" s="11">
        <f>$A$39</f>
        <v>24</v>
      </c>
      <c r="B139" s="44">
        <f>'Statistics NZ'!B$139*'Economic Forecasts'!D$9*1000000/SUM('Statistics NZ'!B$30:B$110,'Statistics NZ'!B$130:B$210)</f>
        <v>27365.682640034942</v>
      </c>
      <c r="C139" s="44">
        <f>'Statistics NZ'!C$139*'Economic Forecasts'!E$9*1000000/SUM('Statistics NZ'!C$30:C$110,'Statistics NZ'!C$130:C$210)</f>
        <v>27810.46162709748</v>
      </c>
      <c r="D139" s="44">
        <f>'Statistics NZ'!D$139*'Economic Forecasts'!F$9*1000000/SUM('Statistics NZ'!D$30:D$110,'Statistics NZ'!D$130:D$210)</f>
        <v>27366.108244358304</v>
      </c>
      <c r="E139" s="44">
        <f>'Statistics NZ'!E$139*'Economic Forecasts'!G$9*1000000/SUM('Statistics NZ'!E$30:E$110,'Statistics NZ'!E$130:E$210)</f>
        <v>27175.260477915239</v>
      </c>
      <c r="F139" s="44">
        <f>'Statistics NZ'!F$139*'Economic Forecasts'!H$9*1000000/SUM('Statistics NZ'!F$30:F$110,'Statistics NZ'!F$130:F$210)</f>
        <v>27562.816084775353</v>
      </c>
      <c r="G139" s="44">
        <f>'Statistics NZ'!G$139*'Economic Forecasts'!I$9*1000000/SUM('Statistics NZ'!G$30:G$110,'Statistics NZ'!G$130:G$210)</f>
        <v>27954.756050511623</v>
      </c>
      <c r="H139" s="44">
        <f>'Statistics NZ'!H$139*'Economic Forecasts'!J$9*1000000/SUM('Statistics NZ'!H$30:H$110,'Statistics NZ'!H$130:H$210)</f>
        <v>28443.772029375359</v>
      </c>
      <c r="I139" s="44">
        <f>'Statistics NZ'!I$139*'Economic Forecasts'!K$9*1000000/SUM('Statistics NZ'!I$30:I$110,'Statistics NZ'!I$130:I$210)</f>
        <v>29322.433921733449</v>
      </c>
      <c r="J139" s="44">
        <f>'Statistics NZ'!J$139*'Economic Forecasts'!L$9*1000000/SUM('Statistics NZ'!J$30:J$110,'Statistics NZ'!J$130:J$210)</f>
        <v>31401.060825468689</v>
      </c>
      <c r="K139" s="44">
        <f>'Statistics NZ'!K$139*'Economic Forecasts'!M$9*1000000/SUM('Statistics NZ'!K$30:K$110,'Statistics NZ'!K$130:K$210)</f>
        <v>34271.492085497208</v>
      </c>
      <c r="L139" s="44">
        <f>'Statistics NZ'!L$139*'Economic Forecasts'!N$9*1000000/SUM('Statistics NZ'!L$30:L$110,'Statistics NZ'!L$130:L$210)</f>
        <v>35850.21651875836</v>
      </c>
      <c r="M139" s="44">
        <f>'Statistics NZ'!M$139*'Economic Forecasts'!O$9*1000000/SUM('Statistics NZ'!M$30:M$110,'Statistics NZ'!M$130:M$210)</f>
        <v>36606.593185493963</v>
      </c>
      <c r="N139" s="44">
        <f>'Statistics NZ'!N$139*'Economic Forecasts'!P$9*1000000/SUM('Statistics NZ'!N$30:N$110,'Statistics NZ'!N$130:N$210)</f>
        <v>35666.085419332652</v>
      </c>
      <c r="O139" s="44">
        <f>'Statistics NZ'!O$139*'Economic Forecasts'!Q$9*1000000/SUM('Statistics NZ'!O$30:O$110,'Statistics NZ'!O$130:O$210)</f>
        <v>35732.388239309774</v>
      </c>
      <c r="P139" s="44">
        <f>'Statistics NZ'!P$139*'Economic Forecasts'!R$9*1000000/SUM('Statistics NZ'!P$30:P$110,'Statistics NZ'!P$130:P$210)</f>
        <v>36226.674753911473</v>
      </c>
      <c r="Q139" s="44">
        <f>'Statistics NZ'!Q$139*'Economic Forecasts'!S$9*1000000/SUM('Statistics NZ'!Q$30:Q$110,'Statistics NZ'!Q$130:Q$210)</f>
        <v>34501.603636301799</v>
      </c>
      <c r="R139" s="44">
        <f>'Statistics NZ'!R$139*'Economic Forecasts'!T$9*1000000/SUM('Statistics NZ'!R$30:R$110,'Statistics NZ'!R$130:R$210)</f>
        <v>33558.590411065357</v>
      </c>
      <c r="S139" s="44">
        <f>'Statistics NZ'!S$139*'Economic Forecasts'!U$9*1000000/SUM('Statistics NZ'!S$30:S$110,'Statistics NZ'!S$130:S$210)</f>
        <v>32997.310963703327</v>
      </c>
      <c r="T139" s="44">
        <f>'Statistics NZ'!T$139*'Economic Forecasts'!V$9*1000000/SUM('Statistics NZ'!T$30:T$110,'Statistics NZ'!T$130:T$210)</f>
        <v>34313.791688402016</v>
      </c>
      <c r="U139" s="45">
        <f>SUM('Statistics NZ'!U$139,$F$13/5*(U$8-U$9)*1000)*'Economic Forecasts'!W$9*1000000/SUM('Statistics NZ'!U$30:U$110,'Statistics NZ'!U$130:U$210,SUM($E$12:$T$13)*(U$8-U$9)*1000)</f>
        <v>33710.326402187202</v>
      </c>
      <c r="V139" s="45">
        <f>SUM('Statistics NZ'!V$139,$F$13/5*(V$8-V$9)*1000)*'Economic Forecasts'!X$9*1000000/SUM('Statistics NZ'!V$30:V$110,'Statistics NZ'!V$130:V$210,SUM($E$12:$T$13)*(V$8-V$9)*1000)</f>
        <v>32834.290462274577</v>
      </c>
      <c r="W139" s="45">
        <f>SUM('Statistics NZ'!W$139,$F$13/5*(W$8-W$9)*1000)*'Economic Forecasts'!Y$9*1000000/SUM('Statistics NZ'!W$30:W$110,'Statistics NZ'!W$130:W$210,SUM($E$12:$T$13)*(W$8-W$9)*1000)</f>
        <v>33467.834103613161</v>
      </c>
      <c r="X139" s="45">
        <f>SUM('Statistics NZ'!X$139,$F$13/5*(X$8-X$9)*1000)*'Economic Forecasts'!Z$9*1000000/SUM('Statistics NZ'!X$30:X$110,'Statistics NZ'!X$130:X$210,SUM($E$12:$T$13)*(X$8-X$9)*1000)</f>
        <v>34409.83005040494</v>
      </c>
      <c r="Y139" s="45">
        <f>SUM('Statistics NZ'!Y$139,$F$13/5*(Y$8-Y$9)*1000)*'Economic Forecasts'!AA$9*1000000/SUM('Statistics NZ'!Y$30:Y$110,'Statistics NZ'!Y$130:Y$210,SUM($E$12:$T$13)*(Y$8-Y$9)*1000)</f>
        <v>34772.125389023407</v>
      </c>
      <c r="Z139" s="46">
        <f>SUM(Y$139,'Statistics NZ'!Z$139-'Statistics NZ'!Y$139,$F$13/5*(Z$8-Z$9)*1000)</f>
        <v>35657.006367058093</v>
      </c>
      <c r="AA139" s="46">
        <f>SUM(Z$139,'Statistics NZ'!AA$139-'Statistics NZ'!Z$139,$F$13/5*(AA$8-AA$9)*1000)</f>
        <v>38433.934953878903</v>
      </c>
      <c r="AB139" s="46">
        <f>SUM(AA$139,'Statistics NZ'!AB$139-'Statistics NZ'!AA$139,$F$13/5*(AB$8-AB$9)*1000)</f>
        <v>40192.501627728612</v>
      </c>
      <c r="AC139" s="46">
        <f>SUM(AB$139,'Statistics NZ'!AC$139-'Statistics NZ'!AB$139,$F$13/5*(AC$8-AC$9)*1000)</f>
        <v>40362.501627728612</v>
      </c>
      <c r="AD139" s="46">
        <f>SUM(AC$139,'Statistics NZ'!AD$139-'Statistics NZ'!AC$139,$F$13/5*(AD$8-AD$9)*1000)</f>
        <v>40952.501627728612</v>
      </c>
      <c r="AE139" s="46">
        <f>SUM(AD$139,'Statistics NZ'!AE$139-'Statistics NZ'!AD$139,$F$13/5*(AE$8-AE$9)*1000)</f>
        <v>40942.501627728612</v>
      </c>
      <c r="AF139" s="46">
        <f>SUM(AE$139,'Statistics NZ'!AF$139-'Statistics NZ'!AE$139,$F$13/5*(AF$8-AF$9)*1000)</f>
        <v>40892.501627728612</v>
      </c>
      <c r="AG139" s="46">
        <f>SUM(AF$139,'Statistics NZ'!AG$139-'Statistics NZ'!AF$139,$F$13/5*(AG$8-AG$9)*1000)</f>
        <v>40942.501627728612</v>
      </c>
      <c r="AH139" s="46">
        <f>SUM(AG$139,'Statistics NZ'!AH$139-'Statistics NZ'!AG$139,$F$13/5*(AH$8-AH$9)*1000)</f>
        <v>40682.501627728612</v>
      </c>
      <c r="AI139" s="46">
        <f>SUM(AH$139,'Statistics NZ'!AI$139-'Statistics NZ'!AH$139,$F$13/5*(AI$8-AI$9)*1000)</f>
        <v>40812.501627728612</v>
      </c>
      <c r="AJ139" s="46">
        <f>SUM(AI$139,'Statistics NZ'!AJ$139-'Statistics NZ'!AI$139,$F$13/5*(AJ$8-AJ$9)*1000)</f>
        <v>40642.501627728612</v>
      </c>
      <c r="AK139" s="46">
        <f>SUM(AJ$139,'Statistics NZ'!AK$139-'Statistics NZ'!AJ$139,$F$13/5*(AK$8-AK$9)*1000)</f>
        <v>40422.501627728612</v>
      </c>
      <c r="AL139" s="46">
        <f>SUM(AK$139,'Statistics NZ'!AL$139-'Statistics NZ'!AK$139,$F$13/5*(AL$8-AL$9)*1000)</f>
        <v>40212.501627728612</v>
      </c>
      <c r="AM139" s="46">
        <f>SUM(AL$139,'Statistics NZ'!AM$139-'Statistics NZ'!AL$139,$F$13/5*(AM$8-AM$9)*1000)</f>
        <v>40572.501627728612</v>
      </c>
      <c r="AN139" s="46">
        <f>SUM(AM$139,'Statistics NZ'!AN$139-'Statistics NZ'!AM$139,$F$13/5*(AN$8-AN$9)*1000)</f>
        <v>39832.501627728612</v>
      </c>
      <c r="AO139" s="46">
        <f>SUM(AN$139,'Statistics NZ'!AO$139-'Statistics NZ'!AN$139,$F$13/5*(AO$8-AO$9)*1000)</f>
        <v>40522.501627728612</v>
      </c>
      <c r="AP139" s="46">
        <f>SUM(AO$139,'Statistics NZ'!AP$139-'Statistics NZ'!AO$139,$F$13/5*(AP$8-AP$9)*1000)</f>
        <v>39882.501627728612</v>
      </c>
      <c r="AQ139" s="46">
        <f>SUM(AP$139,'Statistics NZ'!AQ$139-'Statistics NZ'!AP$139,$F$13/5*(AQ$8-AQ$9)*1000)</f>
        <v>38352.501627728612</v>
      </c>
      <c r="AR139" s="46">
        <f>SUM(AQ$139,'Statistics NZ'!AR$139-'Statistics NZ'!AQ$139,$F$13/5*(AR$8-AR$9)*1000)</f>
        <v>38242.501627728612</v>
      </c>
      <c r="AS139" s="46">
        <f>SUM(AR$139,'Statistics NZ'!AS$139-'Statistics NZ'!AR$139,$F$13/5*(AS$8-AS$9)*1000)</f>
        <v>38942.501627728612</v>
      </c>
      <c r="AT139" s="46">
        <f>SUM(AS$139,'Statistics NZ'!AT$139-'Statistics NZ'!AS$139,$F$13/5*(AT$8-AT$9)*1000)</f>
        <v>39052.501627728612</v>
      </c>
      <c r="AU139" s="46">
        <f>SUM(AT$139,'Statistics NZ'!AU$139-'Statistics NZ'!AT$139,$F$13/5*(AU$8-AU$9)*1000)</f>
        <v>39132.501627728612</v>
      </c>
      <c r="AV139" s="46">
        <f>SUM(AU$139,'Statistics NZ'!AV$139-'Statistics NZ'!AU$139,$F$13/5*(AV$8-AV$9)*1000)</f>
        <v>39192.501627728612</v>
      </c>
      <c r="AW139" s="46">
        <f>SUM(AV$139,'Statistics NZ'!AW$139-'Statistics NZ'!AV$139,$F$13/5*(AW$8-AW$9)*1000)</f>
        <v>39242.501627728612</v>
      </c>
      <c r="AX139" s="46">
        <f>SUM(AW$139,'Statistics NZ'!AX$139-'Statistics NZ'!AW$139,$F$13/5*(AX$8-AX$9)*1000)</f>
        <v>39302.501627728612</v>
      </c>
      <c r="AY139" s="46">
        <f>SUM(AX$139,'Statistics NZ'!AY$139-'Statistics NZ'!AX$139,$F$13/5*(AY$8-AY$9)*1000)</f>
        <v>39362.501627728612</v>
      </c>
      <c r="AZ139" s="46">
        <f>SUM(AY$139,'Statistics NZ'!AZ$139-'Statistics NZ'!AY$139,$F$13/5*(AZ$8-AZ$9)*1000)</f>
        <v>39452.501627728612</v>
      </c>
      <c r="BA139" s="46">
        <f>SUM(AZ$139,'Statistics NZ'!BA$139-'Statistics NZ'!AZ$139,$F$13/5*(BA$8-BA$9)*1000)</f>
        <v>39572.501627728612</v>
      </c>
      <c r="BB139" s="46">
        <f>SUM(BA$139,'Statistics NZ'!BB$139-'Statistics NZ'!BA$139,$F$13/5*(BB$8-BB$9)*1000)</f>
        <v>39712.501627728612</v>
      </c>
      <c r="BC139" s="46">
        <f>SUM(BB$139,'Statistics NZ'!BC$139-'Statistics NZ'!BB$139,$F$13/5*(BC$8-BC$9)*1000)</f>
        <v>39902.501627728612</v>
      </c>
      <c r="BD139" s="46">
        <f>SUM(BC$139,'Statistics NZ'!BD$139-'Statistics NZ'!BC$139,$F$13/5*(BD$8-BD$9)*1000)</f>
        <v>40132.501627728612</v>
      </c>
      <c r="BE139" s="46">
        <f>SUM(BD$139,'Statistics NZ'!BE$139-'Statistics NZ'!BD$139,$F$13/5*(BE$8-BE$9)*1000)</f>
        <v>40382.501627728612</v>
      </c>
      <c r="BF139" s="46">
        <f>SUM(BE$139,'Statistics NZ'!BF$139-'Statistics NZ'!BE$139,$F$13/5*(BF$8-BF$9)*1000)</f>
        <v>40662.501627728612</v>
      </c>
      <c r="BG139" s="46">
        <f>SUM(BF$139,'Statistics NZ'!BG$139-'Statistics NZ'!BF$139,$F$13/5*(BG$8-BG$9)*1000)</f>
        <v>40962.501627728612</v>
      </c>
      <c r="BH139" s="46">
        <f>SUM(BG$139,'Statistics NZ'!BH$139-'Statistics NZ'!BG$139,$F$13/5*(BH$8-BH$9)*1000)</f>
        <v>41262.501627728612</v>
      </c>
      <c r="BI139" s="46">
        <f>SUM(BH$139,'Statistics NZ'!BI$139-'Statistics NZ'!BH$139,$F$13/5*(BI$8-BI$9)*1000)</f>
        <v>41542.501627728612</v>
      </c>
    </row>
    <row r="140" spans="1:61" x14ac:dyDescent="0.25">
      <c r="A140" s="11">
        <f>$A$40</f>
        <v>25</v>
      </c>
      <c r="B140" s="44">
        <f>'Statistics NZ'!B$140*'Economic Forecasts'!D$9*1000000/SUM('Statistics NZ'!B$30:B$110,'Statistics NZ'!B$130:B$210)</f>
        <v>26269.881261528008</v>
      </c>
      <c r="C140" s="44">
        <f>'Statistics NZ'!C$140*'Economic Forecasts'!E$9*1000000/SUM('Statistics NZ'!C$30:C$110,'Statistics NZ'!C$130:C$210)</f>
        <v>26838.273879540055</v>
      </c>
      <c r="D140" s="44">
        <f>'Statistics NZ'!D$140*'Economic Forecasts'!F$9*1000000/SUM('Statistics NZ'!D$30:D$110,'Statistics NZ'!D$130:D$210)</f>
        <v>27199.121941359714</v>
      </c>
      <c r="E140" s="44">
        <f>'Statistics NZ'!E$140*'Economic Forecasts'!G$9*1000000/SUM('Statistics NZ'!E$30:E$110,'Statistics NZ'!E$130:E$210)</f>
        <v>27018.348111388121</v>
      </c>
      <c r="F140" s="44">
        <f>'Statistics NZ'!F$140*'Economic Forecasts'!H$9*1000000/SUM('Statistics NZ'!F$30:F$110,'Statistics NZ'!F$130:F$210)</f>
        <v>26876.197890492695</v>
      </c>
      <c r="G140" s="44">
        <f>'Statistics NZ'!G$140*'Economic Forecasts'!I$9*1000000/SUM('Statistics NZ'!G$30:G$110,'Statistics NZ'!G$130:G$210)</f>
        <v>27001.976241340988</v>
      </c>
      <c r="H140" s="44">
        <f>'Statistics NZ'!H$140*'Economic Forecasts'!J$9*1000000/SUM('Statistics NZ'!H$30:H$110,'Statistics NZ'!H$130:H$210)</f>
        <v>27294.230983628582</v>
      </c>
      <c r="I140" s="44">
        <f>'Statistics NZ'!I$140*'Economic Forecasts'!K$9*1000000/SUM('Statistics NZ'!I$30:I$110,'Statistics NZ'!I$130:I$210)</f>
        <v>27989.15040004981</v>
      </c>
      <c r="J140" s="44">
        <f>'Statistics NZ'!J$140*'Economic Forecasts'!L$9*1000000/SUM('Statistics NZ'!J$30:J$110,'Statistics NZ'!J$130:J$210)</f>
        <v>30016.293546830013</v>
      </c>
      <c r="K140" s="44">
        <f>'Statistics NZ'!K$140*'Economic Forecasts'!M$9*1000000/SUM('Statistics NZ'!K$30:K$110,'Statistics NZ'!K$130:K$210)</f>
        <v>32947.36625492118</v>
      </c>
      <c r="L140" s="44">
        <f>'Statistics NZ'!L$140*'Economic Forecasts'!N$9*1000000/SUM('Statistics NZ'!L$30:L$110,'Statistics NZ'!L$130:L$210)</f>
        <v>35772.323598565512</v>
      </c>
      <c r="M140" s="44">
        <f>'Statistics NZ'!M$140*'Economic Forecasts'!O$9*1000000/SUM('Statistics NZ'!M$30:M$110,'Statistics NZ'!M$130:M$210)</f>
        <v>37065.763156061941</v>
      </c>
      <c r="N140" s="44">
        <f>'Statistics NZ'!N$140*'Economic Forecasts'!P$9*1000000/SUM('Statistics NZ'!N$30:N$110,'Statistics NZ'!N$130:N$210)</f>
        <v>37172.965297131617</v>
      </c>
      <c r="O140" s="44">
        <f>'Statistics NZ'!O$140*'Economic Forecasts'!Q$9*1000000/SUM('Statistics NZ'!O$30:O$110,'Statistics NZ'!O$130:O$210)</f>
        <v>35997.873787593024</v>
      </c>
      <c r="P140" s="44">
        <f>'Statistics NZ'!P$140*'Economic Forecasts'!R$9*1000000/SUM('Statistics NZ'!P$30:P$110,'Statistics NZ'!P$130:P$210)</f>
        <v>36757.252577809282</v>
      </c>
      <c r="Q140" s="44">
        <f>'Statistics NZ'!Q$140*'Economic Forecasts'!S$9*1000000/SUM('Statistics NZ'!Q$30:Q$110,'Statistics NZ'!Q$130:Q$210)</f>
        <v>35991.739123041007</v>
      </c>
      <c r="R140" s="44">
        <f>'Statistics NZ'!R$140*'Economic Forecasts'!T$9*1000000/SUM('Statistics NZ'!R$30:R$110,'Statistics NZ'!R$130:R$210)</f>
        <v>33907.121765482952</v>
      </c>
      <c r="S140" s="44">
        <f>'Statistics NZ'!S$140*'Economic Forecasts'!U$9*1000000/SUM('Statistics NZ'!S$30:S$110,'Statistics NZ'!S$130:S$210)</f>
        <v>33920.724845986188</v>
      </c>
      <c r="T140" s="44">
        <f>'Statistics NZ'!T$140*'Economic Forecasts'!V$9*1000000/SUM('Statistics NZ'!T$30:T$110,'Statistics NZ'!T$130:T$210)</f>
        <v>33550.60221410769</v>
      </c>
      <c r="U140" s="45">
        <f>SUM('Statistics NZ'!U$140,$G$13/5*(U$8-U$9)*1000)*'Economic Forecasts'!W$9*1000000/SUM('Statistics NZ'!U$30:U$110,'Statistics NZ'!U$130:U$210,SUM($E$12:$T$13)*(U$8-U$9)*1000)</f>
        <v>34402.361071855725</v>
      </c>
      <c r="V140" s="45">
        <f>SUM('Statistics NZ'!V$140,$G$13/5*(V$8-V$9)*1000)*'Economic Forecasts'!X$9*1000000/SUM('Statistics NZ'!V$30:V$110,'Statistics NZ'!V$130:V$210,SUM($E$12:$T$13)*(V$8-V$9)*1000)</f>
        <v>33905.601685660942</v>
      </c>
      <c r="W140" s="45">
        <f>SUM('Statistics NZ'!W$140,$G$13/5*(W$8-W$9)*1000)*'Economic Forecasts'!Y$9*1000000/SUM('Statistics NZ'!W$30:W$110,'Statistics NZ'!W$130:W$210,SUM($E$12:$T$13)*(W$8-W$9)*1000)</f>
        <v>33070.301525486706</v>
      </c>
      <c r="X140" s="45">
        <f>SUM('Statistics NZ'!X$140,$G$13/5*(X$8-X$9)*1000)*'Economic Forecasts'!Z$9*1000000/SUM('Statistics NZ'!X$30:X$110,'Statistics NZ'!X$130:X$210,SUM($E$12:$T$13)*(X$8-X$9)*1000)</f>
        <v>33717.069730559881</v>
      </c>
      <c r="Y140" s="45">
        <f>SUM('Statistics NZ'!Y$140,$G$13/5*(Y$8-Y$9)*1000)*'Economic Forecasts'!AA$9*1000000/SUM('Statistics NZ'!Y$30:Y$110,'Statistics NZ'!Y$130:Y$210,SUM($E$12:$T$13)*(Y$8-Y$9)*1000)</f>
        <v>34677.890843586778</v>
      </c>
      <c r="Z140" s="46">
        <f>SUM(Y$140,'Statistics NZ'!Z$140-'Statistics NZ'!Y$140,$G$13/5*(Z$8-Z$9)*1000)</f>
        <v>35060.833753666586</v>
      </c>
      <c r="AA140" s="46">
        <f>SUM(Z$140,'Statistics NZ'!AA$140-'Statistics NZ'!Z$140,$G$13/5*(AA$8-AA$9)*1000)</f>
        <v>35974.599499714473</v>
      </c>
      <c r="AB140" s="46">
        <f>SUM(AA$140,'Statistics NZ'!AB$140-'Statistics NZ'!AA$140,$G$13/5*(AB$8-AB$9)*1000)</f>
        <v>38761.023514536821</v>
      </c>
      <c r="AC140" s="46">
        <f>SUM(AB$140,'Statistics NZ'!AC$140-'Statistics NZ'!AB$140,$G$13/5*(AC$8-AC$9)*1000)</f>
        <v>40521.023514536821</v>
      </c>
      <c r="AD140" s="46">
        <f>SUM(AC$140,'Statistics NZ'!AD$140-'Statistics NZ'!AC$140,$G$13/5*(AD$8-AD$9)*1000)</f>
        <v>40691.023514536821</v>
      </c>
      <c r="AE140" s="46">
        <f>SUM(AD$140,'Statistics NZ'!AE$140-'Statistics NZ'!AD$140,$G$13/5*(AE$8-AE$9)*1000)</f>
        <v>41291.023514536821</v>
      </c>
      <c r="AF140" s="46">
        <f>SUM(AE$140,'Statistics NZ'!AF$140-'Statistics NZ'!AE$140,$G$13/5*(AF$8-AF$9)*1000)</f>
        <v>41281.023514536821</v>
      </c>
      <c r="AG140" s="46">
        <f>SUM(AF$140,'Statistics NZ'!AG$140-'Statistics NZ'!AF$140,$G$13/5*(AG$8-AG$9)*1000)</f>
        <v>41241.023514536821</v>
      </c>
      <c r="AH140" s="46">
        <f>SUM(AG$140,'Statistics NZ'!AH$140-'Statistics NZ'!AG$140,$G$13/5*(AH$8-AH$9)*1000)</f>
        <v>41301.023514536821</v>
      </c>
      <c r="AI140" s="46">
        <f>SUM(AH$140,'Statistics NZ'!AI$140-'Statistics NZ'!AH$140,$G$13/5*(AI$8-AI$9)*1000)</f>
        <v>41041.023514536821</v>
      </c>
      <c r="AJ140" s="46">
        <f>SUM(AI$140,'Statistics NZ'!AJ$140-'Statistics NZ'!AI$140,$G$13/5*(AJ$8-AJ$9)*1000)</f>
        <v>41171.023514536821</v>
      </c>
      <c r="AK140" s="46">
        <f>SUM(AJ$140,'Statistics NZ'!AK$140-'Statistics NZ'!AJ$140,$G$13/5*(AK$8-AK$9)*1000)</f>
        <v>41001.023514536821</v>
      </c>
      <c r="AL140" s="46">
        <f>SUM(AK$140,'Statistics NZ'!AL$140-'Statistics NZ'!AK$140,$G$13/5*(AL$8-AL$9)*1000)</f>
        <v>40791.023514536821</v>
      </c>
      <c r="AM140" s="46">
        <f>SUM(AL$140,'Statistics NZ'!AM$140-'Statistics NZ'!AL$140,$G$13/5*(AM$8-AM$9)*1000)</f>
        <v>40591.023514536821</v>
      </c>
      <c r="AN140" s="46">
        <f>SUM(AM$140,'Statistics NZ'!AN$140-'Statistics NZ'!AM$140,$G$13/5*(AN$8-AN$9)*1000)</f>
        <v>40951.023514536821</v>
      </c>
      <c r="AO140" s="46">
        <f>SUM(AN$140,'Statistics NZ'!AO$140-'Statistics NZ'!AN$140,$G$13/5*(AO$8-AO$9)*1000)</f>
        <v>40221.023514536821</v>
      </c>
      <c r="AP140" s="46">
        <f>SUM(AO$140,'Statistics NZ'!AP$140-'Statistics NZ'!AO$140,$G$13/5*(AP$8-AP$9)*1000)</f>
        <v>40911.023514536821</v>
      </c>
      <c r="AQ140" s="46">
        <f>SUM(AP$140,'Statistics NZ'!AQ$140-'Statistics NZ'!AP$140,$G$13/5*(AQ$8-AQ$9)*1000)</f>
        <v>40271.023514536821</v>
      </c>
      <c r="AR140" s="46">
        <f>SUM(AQ$140,'Statistics NZ'!AR$140-'Statistics NZ'!AQ$140,$G$13/5*(AR$8-AR$9)*1000)</f>
        <v>38751.023514536821</v>
      </c>
      <c r="AS140" s="46">
        <f>SUM(AR$140,'Statistics NZ'!AS$140-'Statistics NZ'!AR$140,$G$13/5*(AS$8-AS$9)*1000)</f>
        <v>38641.023514536821</v>
      </c>
      <c r="AT140" s="46">
        <f>SUM(AS$140,'Statistics NZ'!AT$140-'Statistics NZ'!AS$140,$G$13/5*(AT$8-AT$9)*1000)</f>
        <v>39341.023514536821</v>
      </c>
      <c r="AU140" s="46">
        <f>SUM(AT$140,'Statistics NZ'!AU$140-'Statistics NZ'!AT$140,$G$13/5*(AU$8-AU$9)*1000)</f>
        <v>39461.023514536821</v>
      </c>
      <c r="AV140" s="46">
        <f>SUM(AU$140,'Statistics NZ'!AV$140-'Statistics NZ'!AU$140,$G$13/5*(AV$8-AV$9)*1000)</f>
        <v>39541.023514536821</v>
      </c>
      <c r="AW140" s="46">
        <f>SUM(AV$140,'Statistics NZ'!AW$140-'Statistics NZ'!AV$140,$G$13/5*(AW$8-AW$9)*1000)</f>
        <v>39611.023514536821</v>
      </c>
      <c r="AX140" s="46">
        <f>SUM(AW$140,'Statistics NZ'!AX$140-'Statistics NZ'!AW$140,$G$13/5*(AX$8-AX$9)*1000)</f>
        <v>39661.023514536821</v>
      </c>
      <c r="AY140" s="46">
        <f>SUM(AX$140,'Statistics NZ'!AY$140-'Statistics NZ'!AX$140,$G$13/5*(AY$8-AY$9)*1000)</f>
        <v>39721.023514536821</v>
      </c>
      <c r="AZ140" s="46">
        <f>SUM(AY$140,'Statistics NZ'!AZ$140-'Statistics NZ'!AY$140,$G$13/5*(AZ$8-AZ$9)*1000)</f>
        <v>39791.023514536821</v>
      </c>
      <c r="BA140" s="46">
        <f>SUM(AZ$140,'Statistics NZ'!BA$140-'Statistics NZ'!AZ$140,$G$13/5*(BA$8-BA$9)*1000)</f>
        <v>39881.023514536821</v>
      </c>
      <c r="BB140" s="46">
        <f>SUM(BA$140,'Statistics NZ'!BB$140-'Statistics NZ'!BA$140,$G$13/5*(BB$8-BB$9)*1000)</f>
        <v>40001.023514536821</v>
      </c>
      <c r="BC140" s="46">
        <f>SUM(BB$140,'Statistics NZ'!BC$140-'Statistics NZ'!BB$140,$G$13/5*(BC$8-BC$9)*1000)</f>
        <v>40151.023514536821</v>
      </c>
      <c r="BD140" s="46">
        <f>SUM(BC$140,'Statistics NZ'!BD$140-'Statistics NZ'!BC$140,$G$13/5*(BD$8-BD$9)*1000)</f>
        <v>40351.023514536821</v>
      </c>
      <c r="BE140" s="46">
        <f>SUM(BD$140,'Statistics NZ'!BE$140-'Statistics NZ'!BD$140,$G$13/5*(BE$8-BE$9)*1000)</f>
        <v>40581.023514536821</v>
      </c>
      <c r="BF140" s="46">
        <f>SUM(BE$140,'Statistics NZ'!BF$140-'Statistics NZ'!BE$140,$G$13/5*(BF$8-BF$9)*1000)</f>
        <v>40841.023514536821</v>
      </c>
      <c r="BG140" s="46">
        <f>SUM(BF$140,'Statistics NZ'!BG$140-'Statistics NZ'!BF$140,$G$13/5*(BG$8-BG$9)*1000)</f>
        <v>41121.023514536821</v>
      </c>
      <c r="BH140" s="46">
        <f>SUM(BG$140,'Statistics NZ'!BH$140-'Statistics NZ'!BG$140,$G$13/5*(BH$8-BH$9)*1000)</f>
        <v>41421.023514536821</v>
      </c>
      <c r="BI140" s="46">
        <f>SUM(BH$140,'Statistics NZ'!BI$140-'Statistics NZ'!BH$140,$G$13/5*(BI$8-BI$9)*1000)</f>
        <v>41721.023514536821</v>
      </c>
    </row>
    <row r="141" spans="1:61" x14ac:dyDescent="0.25">
      <c r="A141" s="11">
        <f>$A$41</f>
        <v>26</v>
      </c>
      <c r="B141" s="44">
        <f>'Statistics NZ'!B$141*'Economic Forecasts'!D$9*1000000/SUM('Statistics NZ'!B$30:B$110,'Statistics NZ'!B$130:B$210)</f>
        <v>25252.351410057272</v>
      </c>
      <c r="C141" s="44">
        <f>'Statistics NZ'!C$141*'Economic Forecasts'!E$9*1000000/SUM('Statistics NZ'!C$30:C$110,'Statistics NZ'!C$130:C$210)</f>
        <v>26042.847540629427</v>
      </c>
      <c r="D141" s="44">
        <f>'Statistics NZ'!D$141*'Economic Forecasts'!F$9*1000000/SUM('Statistics NZ'!D$30:D$110,'Statistics NZ'!D$130:D$210)</f>
        <v>26207.026847073925</v>
      </c>
      <c r="E141" s="44">
        <f>'Statistics NZ'!E$141*'Economic Forecasts'!G$9*1000000/SUM('Statistics NZ'!E$30:E$110,'Statistics NZ'!E$130:E$210)</f>
        <v>26773.172538689501</v>
      </c>
      <c r="F141" s="44">
        <f>'Statistics NZ'!F$141*'Economic Forecasts'!H$9*1000000/SUM('Statistics NZ'!F$30:F$110,'Statistics NZ'!F$130:F$210)</f>
        <v>26836.962565105114</v>
      </c>
      <c r="G141" s="44">
        <f>'Statistics NZ'!G$141*'Economic Forecasts'!I$9*1000000/SUM('Statistics NZ'!G$30:G$110,'Statistics NZ'!G$130:G$210)</f>
        <v>26392.982961252539</v>
      </c>
      <c r="H141" s="44">
        <f>'Statistics NZ'!H$141*'Economic Forecasts'!J$9*1000000/SUM('Statistics NZ'!H$30:H$110,'Statistics NZ'!H$130:H$210)</f>
        <v>26429.618915032712</v>
      </c>
      <c r="I141" s="44">
        <f>'Statistics NZ'!I$141*'Economic Forecasts'!K$9*1000000/SUM('Statistics NZ'!I$30:I$110,'Statistics NZ'!I$130:I$210)</f>
        <v>26959.777092867593</v>
      </c>
      <c r="J141" s="44">
        <f>'Statistics NZ'!J$141*'Economic Forecasts'!L$9*1000000/SUM('Statistics NZ'!J$30:J$110,'Statistics NZ'!J$130:J$210)</f>
        <v>28758.300737362479</v>
      </c>
      <c r="K141" s="44">
        <f>'Statistics NZ'!K$141*'Economic Forecasts'!M$9*1000000/SUM('Statistics NZ'!K$30:K$110,'Statistics NZ'!K$130:K$210)</f>
        <v>31321.417624728558</v>
      </c>
      <c r="L141" s="44">
        <f>'Statistics NZ'!L$141*'Economic Forecasts'!N$9*1000000/SUM('Statistics NZ'!L$30:L$110,'Statistics NZ'!L$130:L$210)</f>
        <v>34555.246720552263</v>
      </c>
      <c r="M141" s="44">
        <f>'Statistics NZ'!M$141*'Economic Forecasts'!O$9*1000000/SUM('Statistics NZ'!M$30:M$110,'Statistics NZ'!M$130:M$210)</f>
        <v>36919.219548433859</v>
      </c>
      <c r="N141" s="44">
        <f>'Statistics NZ'!N$141*'Economic Forecasts'!P$9*1000000/SUM('Statistics NZ'!N$30:N$110,'Statistics NZ'!N$130:N$210)</f>
        <v>37897.050433216828</v>
      </c>
      <c r="O141" s="44">
        <f>'Statistics NZ'!O$141*'Economic Forecasts'!Q$9*1000000/SUM('Statistics NZ'!O$30:O$110,'Statistics NZ'!O$130:O$210)</f>
        <v>37580.954279208017</v>
      </c>
      <c r="P141" s="44">
        <f>'Statistics NZ'!P$141*'Economic Forecasts'!R$9*1000000/SUM('Statistics NZ'!P$30:P$110,'Statistics NZ'!P$130:P$210)</f>
        <v>37120.796642331858</v>
      </c>
      <c r="Q141" s="44">
        <f>'Statistics NZ'!Q$141*'Economic Forecasts'!S$9*1000000/SUM('Statistics NZ'!Q$30:Q$110,'Statistics NZ'!Q$130:Q$210)</f>
        <v>36448.714005641028</v>
      </c>
      <c r="R141" s="44">
        <f>'Statistics NZ'!R$141*'Economic Forecasts'!T$9*1000000/SUM('Statistics NZ'!R$30:R$110,'Statistics NZ'!R$130:R$210)</f>
        <v>35161.834641386282</v>
      </c>
      <c r="S141" s="44">
        <f>'Statistics NZ'!S$141*'Economic Forecasts'!U$9*1000000/SUM('Statistics NZ'!S$30:S$110,'Statistics NZ'!S$130:S$210)</f>
        <v>34382.431787127614</v>
      </c>
      <c r="T141" s="44">
        <f>'Statistics NZ'!T$141*'Economic Forecasts'!V$9*1000000/SUM('Statistics NZ'!T$30:T$110,'Statistics NZ'!T$130:T$210)</f>
        <v>34472.376514229407</v>
      </c>
      <c r="U141" s="45">
        <f>SUM('Statistics NZ'!U$141,$G$13/5*(U$8-U$9)*1000)*'Economic Forecasts'!W$9*1000000/SUM('Statistics NZ'!U$30:U$110,'Statistics NZ'!U$130:U$210,SUM($E$12:$T$13)*(U$8-U$9)*1000)</f>
        <v>33669.394902147236</v>
      </c>
      <c r="V141" s="45">
        <f>SUM('Statistics NZ'!V$141,$G$13/5*(V$8-V$9)*1000)*'Economic Forecasts'!X$9*1000000/SUM('Statistics NZ'!V$30:V$110,'Statistics NZ'!V$130:V$210,SUM($E$12:$T$13)*(V$8-V$9)*1000)</f>
        <v>34519.452405397307</v>
      </c>
      <c r="W141" s="45">
        <f>SUM('Statistics NZ'!W$141,$G$13/5*(W$8-W$9)*1000)*'Economic Forecasts'!Y$9*1000000/SUM('Statistics NZ'!W$30:W$110,'Statistics NZ'!W$130:W$210,SUM($E$12:$T$13)*(W$8-W$9)*1000)</f>
        <v>34060.601091480748</v>
      </c>
      <c r="X141" s="45">
        <f>SUM('Statistics NZ'!X$141,$G$13/5*(X$8-X$9)*1000)*'Economic Forecasts'!Z$9*1000000/SUM('Statistics NZ'!X$30:X$110,'Statistics NZ'!X$130:X$210,SUM($E$12:$T$13)*(X$8-X$9)*1000)</f>
        <v>33261.427719142615</v>
      </c>
      <c r="Y141" s="45">
        <f>SUM('Statistics NZ'!Y$141,$G$13/5*(Y$8-Y$9)*1000)*'Economic Forecasts'!AA$9*1000000/SUM('Statistics NZ'!Y$30:Y$110,'Statistics NZ'!Y$130:Y$210,SUM($E$12:$T$13)*(Y$8-Y$9)*1000)</f>
        <v>33934.723296368415</v>
      </c>
      <c r="Z141" s="46">
        <f>SUM(Y$141,'Statistics NZ'!Z$141-'Statistics NZ'!Y$141,$G$13/5*(Z$8-Z$9)*1000)</f>
        <v>34937.666206448223</v>
      </c>
      <c r="AA141" s="46">
        <f>SUM(Z$141,'Statistics NZ'!AA$141-'Statistics NZ'!Z$141,$G$13/5*(AA$8-AA$9)*1000)</f>
        <v>35321.43195249611</v>
      </c>
      <c r="AB141" s="46">
        <f>SUM(AA$141,'Statistics NZ'!AB$141-'Statistics NZ'!AA$141,$G$13/5*(AB$8-AB$9)*1000)</f>
        <v>36227.855967318457</v>
      </c>
      <c r="AC141" s="46">
        <f>SUM(AB$141,'Statistics NZ'!AC$141-'Statistics NZ'!AB$141,$G$13/5*(AC$8-AC$9)*1000)</f>
        <v>39007.855967318457</v>
      </c>
      <c r="AD141" s="46">
        <f>SUM(AC$141,'Statistics NZ'!AD$141-'Statistics NZ'!AC$141,$G$13/5*(AD$8-AD$9)*1000)</f>
        <v>40777.855967318457</v>
      </c>
      <c r="AE141" s="46">
        <f>SUM(AD$141,'Statistics NZ'!AE$141-'Statistics NZ'!AD$141,$G$13/5*(AE$8-AE$9)*1000)</f>
        <v>40957.855967318457</v>
      </c>
      <c r="AF141" s="46">
        <f>SUM(AE$141,'Statistics NZ'!AF$141-'Statistics NZ'!AE$141,$G$13/5*(AF$8-AF$9)*1000)</f>
        <v>41547.855967318457</v>
      </c>
      <c r="AG141" s="46">
        <f>SUM(AF$141,'Statistics NZ'!AG$141-'Statistics NZ'!AF$141,$G$13/5*(AG$8-AG$9)*1000)</f>
        <v>41547.855967318457</v>
      </c>
      <c r="AH141" s="46">
        <f>SUM(AG$141,'Statistics NZ'!AH$141-'Statistics NZ'!AG$141,$G$13/5*(AH$8-AH$9)*1000)</f>
        <v>41517.855967318457</v>
      </c>
      <c r="AI141" s="46">
        <f>SUM(AH$141,'Statistics NZ'!AI$141-'Statistics NZ'!AH$141,$G$13/5*(AI$8-AI$9)*1000)</f>
        <v>41567.855967318457</v>
      </c>
      <c r="AJ141" s="46">
        <f>SUM(AI$141,'Statistics NZ'!AJ$141-'Statistics NZ'!AI$141,$G$13/5*(AJ$8-AJ$9)*1000)</f>
        <v>41317.855967318457</v>
      </c>
      <c r="AK141" s="46">
        <f>SUM(AJ$141,'Statistics NZ'!AK$141-'Statistics NZ'!AJ$141,$G$13/5*(AK$8-AK$9)*1000)</f>
        <v>41457.855967318457</v>
      </c>
      <c r="AL141" s="46">
        <f>SUM(AK$141,'Statistics NZ'!AL$141-'Statistics NZ'!AK$141,$G$13/5*(AL$8-AL$9)*1000)</f>
        <v>41287.855967318457</v>
      </c>
      <c r="AM141" s="46">
        <f>SUM(AL$141,'Statistics NZ'!AM$141-'Statistics NZ'!AL$141,$G$13/5*(AM$8-AM$9)*1000)</f>
        <v>41077.855967318457</v>
      </c>
      <c r="AN141" s="46">
        <f>SUM(AM$141,'Statistics NZ'!AN$141-'Statistics NZ'!AM$141,$G$13/5*(AN$8-AN$9)*1000)</f>
        <v>40887.855967318457</v>
      </c>
      <c r="AO141" s="46">
        <f>SUM(AN$141,'Statistics NZ'!AO$141-'Statistics NZ'!AN$141,$G$13/5*(AO$8-AO$9)*1000)</f>
        <v>41247.855967318457</v>
      </c>
      <c r="AP141" s="46">
        <f>SUM(AO$141,'Statistics NZ'!AP$141-'Statistics NZ'!AO$141,$G$13/5*(AP$8-AP$9)*1000)</f>
        <v>40517.855967318457</v>
      </c>
      <c r="AQ141" s="46">
        <f>SUM(AP$141,'Statistics NZ'!AQ$141-'Statistics NZ'!AP$141,$G$13/5*(AQ$8-AQ$9)*1000)</f>
        <v>41207.855967318457</v>
      </c>
      <c r="AR141" s="46">
        <f>SUM(AQ$141,'Statistics NZ'!AR$141-'Statistics NZ'!AQ$141,$G$13/5*(AR$8-AR$9)*1000)</f>
        <v>40577.855967318457</v>
      </c>
      <c r="AS141" s="46">
        <f>SUM(AR$141,'Statistics NZ'!AS$141-'Statistics NZ'!AR$141,$G$13/5*(AS$8-AS$9)*1000)</f>
        <v>39067.855967318457</v>
      </c>
      <c r="AT141" s="46">
        <f>SUM(AS$141,'Statistics NZ'!AT$141-'Statistics NZ'!AS$141,$G$13/5*(AT$8-AT$9)*1000)</f>
        <v>38957.855967318457</v>
      </c>
      <c r="AU141" s="46">
        <f>SUM(AT$141,'Statistics NZ'!AU$141-'Statistics NZ'!AT$141,$G$13/5*(AU$8-AU$9)*1000)</f>
        <v>39667.855967318457</v>
      </c>
      <c r="AV141" s="46">
        <f>SUM(AU$141,'Statistics NZ'!AV$141-'Statistics NZ'!AU$141,$G$13/5*(AV$8-AV$9)*1000)</f>
        <v>39777.855967318457</v>
      </c>
      <c r="AW141" s="46">
        <f>SUM(AV$141,'Statistics NZ'!AW$141-'Statistics NZ'!AV$141,$G$13/5*(AW$8-AW$9)*1000)</f>
        <v>39867.855967318457</v>
      </c>
      <c r="AX141" s="46">
        <f>SUM(AW$141,'Statistics NZ'!AX$141-'Statistics NZ'!AW$141,$G$13/5*(AX$8-AX$9)*1000)</f>
        <v>39937.855967318457</v>
      </c>
      <c r="AY141" s="46">
        <f>SUM(AX$141,'Statistics NZ'!AY$141-'Statistics NZ'!AX$141,$G$13/5*(AY$8-AY$9)*1000)</f>
        <v>39997.855967318457</v>
      </c>
      <c r="AZ141" s="46">
        <f>SUM(AY$141,'Statistics NZ'!AZ$141-'Statistics NZ'!AY$141,$G$13/5*(AZ$8-AZ$9)*1000)</f>
        <v>40057.855967318457</v>
      </c>
      <c r="BA141" s="46">
        <f>SUM(AZ$141,'Statistics NZ'!BA$141-'Statistics NZ'!AZ$141,$G$13/5*(BA$8-BA$9)*1000)</f>
        <v>40137.855967318457</v>
      </c>
      <c r="BB141" s="46">
        <f>SUM(BA$141,'Statistics NZ'!BB$141-'Statistics NZ'!BA$141,$G$13/5*(BB$8-BB$9)*1000)</f>
        <v>40227.855967318457</v>
      </c>
      <c r="BC141" s="46">
        <f>SUM(BB$141,'Statistics NZ'!BC$141-'Statistics NZ'!BB$141,$G$13/5*(BC$8-BC$9)*1000)</f>
        <v>40347.855967318457</v>
      </c>
      <c r="BD141" s="46">
        <f>SUM(BC$141,'Statistics NZ'!BD$141-'Statistics NZ'!BC$141,$G$13/5*(BD$8-BD$9)*1000)</f>
        <v>40507.855967318457</v>
      </c>
      <c r="BE141" s="46">
        <f>SUM(BD$141,'Statistics NZ'!BE$141-'Statistics NZ'!BD$141,$G$13/5*(BE$8-BE$9)*1000)</f>
        <v>40707.855967318457</v>
      </c>
      <c r="BF141" s="46">
        <f>SUM(BE$141,'Statistics NZ'!BF$141-'Statistics NZ'!BE$141,$G$13/5*(BF$8-BF$9)*1000)</f>
        <v>40937.855967318457</v>
      </c>
      <c r="BG141" s="46">
        <f>SUM(BF$141,'Statistics NZ'!BG$141-'Statistics NZ'!BF$141,$G$13/5*(BG$8-BG$9)*1000)</f>
        <v>41197.855967318457</v>
      </c>
      <c r="BH141" s="46">
        <f>SUM(BG$141,'Statistics NZ'!BH$141-'Statistics NZ'!BG$141,$G$13/5*(BH$8-BH$9)*1000)</f>
        <v>41487.855967318457</v>
      </c>
      <c r="BI141" s="46">
        <f>SUM(BH$141,'Statistics NZ'!BI$141-'Statistics NZ'!BH$141,$G$13/5*(BI$8-BI$9)*1000)</f>
        <v>41787.855967318457</v>
      </c>
    </row>
    <row r="142" spans="1:61" x14ac:dyDescent="0.25">
      <c r="A142" s="11">
        <f>$A$42</f>
        <v>27</v>
      </c>
      <c r="B142" s="44">
        <f>'Statistics NZ'!B$142*'Economic Forecasts'!D$9*1000000/SUM('Statistics NZ'!B$30:B$110,'Statistics NZ'!B$130:B$210)</f>
        <v>24410.932494418019</v>
      </c>
      <c r="C142" s="44">
        <f>'Statistics NZ'!C$142*'Economic Forecasts'!E$9*1000000/SUM('Statistics NZ'!C$30:C$110,'Statistics NZ'!C$130:C$210)</f>
        <v>25041.199558297521</v>
      </c>
      <c r="D142" s="44">
        <f>'Statistics NZ'!D$142*'Economic Forecasts'!F$9*1000000/SUM('Statistics NZ'!D$30:D$110,'Statistics NZ'!D$130:D$210)</f>
        <v>25715.890661783938</v>
      </c>
      <c r="E142" s="44">
        <f>'Statistics NZ'!E$142*'Economic Forecasts'!G$9*1000000/SUM('Statistics NZ'!E$30:E$110,'Statistics NZ'!E$130:E$210)</f>
        <v>25988.610706053911</v>
      </c>
      <c r="F142" s="44">
        <f>'Statistics NZ'!F$142*'Economic Forecasts'!H$9*1000000/SUM('Statistics NZ'!F$30:F$110,'Statistics NZ'!F$130:F$210)</f>
        <v>26640.78593816721</v>
      </c>
      <c r="G142" s="44">
        <f>'Statistics NZ'!G$142*'Economic Forecasts'!I$9*1000000/SUM('Statistics NZ'!G$30:G$110,'Statistics NZ'!G$130:G$210)</f>
        <v>26353.693072214577</v>
      </c>
      <c r="H142" s="44">
        <f>'Statistics NZ'!H$142*'Economic Forecasts'!J$9*1000000/SUM('Statistics NZ'!H$30:H$110,'Statistics NZ'!H$130:H$210)</f>
        <v>25869.586097874027</v>
      </c>
      <c r="I142" s="44">
        <f>'Statistics NZ'!I$142*'Economic Forecasts'!K$9*1000000/SUM('Statistics NZ'!I$30:I$110,'Statistics NZ'!I$130:I$210)</f>
        <v>26185.296223654306</v>
      </c>
      <c r="J142" s="44">
        <f>'Statistics NZ'!J$142*'Economic Forecasts'!L$9*1000000/SUM('Statistics NZ'!J$30:J$110,'Statistics NZ'!J$130:J$210)</f>
        <v>27734.353101749366</v>
      </c>
      <c r="K142" s="44">
        <f>'Statistics NZ'!K$142*'Economic Forecasts'!M$9*1000000/SUM('Statistics NZ'!K$30:K$110,'Statistics NZ'!K$130:K$210)</f>
        <v>30182.279961659475</v>
      </c>
      <c r="L142" s="44">
        <f>'Statistics NZ'!L$142*'Economic Forecasts'!N$9*1000000/SUM('Statistics NZ'!L$30:L$110,'Statistics NZ'!L$130:L$210)</f>
        <v>32715.026480996225</v>
      </c>
      <c r="M142" s="44">
        <f>'Statistics NZ'!M$142*'Economic Forecasts'!O$9*1000000/SUM('Statistics NZ'!M$30:M$110,'Statistics NZ'!M$130:M$210)</f>
        <v>35912.953442721053</v>
      </c>
      <c r="N142" s="44">
        <f>'Statistics NZ'!N$142*'Economic Forecasts'!P$9*1000000/SUM('Statistics NZ'!N$30:N$110,'Statistics NZ'!N$130:N$210)</f>
        <v>37848.125761859723</v>
      </c>
      <c r="O142" s="44">
        <f>'Statistics NZ'!O$142*'Economic Forecasts'!Q$9*1000000/SUM('Statistics NZ'!O$30:O$110,'Statistics NZ'!O$130:O$210)</f>
        <v>38377.410924057789</v>
      </c>
      <c r="P142" s="44">
        <f>'Statistics NZ'!P$142*'Economic Forecasts'!R$9*1000000/SUM('Statistics NZ'!P$30:P$110,'Statistics NZ'!P$130:P$210)</f>
        <v>38614.274961451607</v>
      </c>
      <c r="Q142" s="44">
        <f>'Statistics NZ'!Q$142*'Economic Forecasts'!S$9*1000000/SUM('Statistics NZ'!Q$30:Q$110,'Statistics NZ'!Q$130:Q$210)</f>
        <v>36885.820415084519</v>
      </c>
      <c r="R142" s="44">
        <f>'Statistics NZ'!R$142*'Economic Forecasts'!T$9*1000000/SUM('Statistics NZ'!R$30:R$110,'Statistics NZ'!R$130:R$210)</f>
        <v>35709.526769756791</v>
      </c>
      <c r="S142" s="44">
        <f>'Statistics NZ'!S$142*'Economic Forecasts'!U$9*1000000/SUM('Statistics NZ'!S$30:S$110,'Statistics NZ'!S$130:S$210)</f>
        <v>35914.905889639587</v>
      </c>
      <c r="T142" s="44">
        <f>'Statistics NZ'!T$142*'Economic Forecasts'!V$9*1000000/SUM('Statistics NZ'!T$30:T$110,'Statistics NZ'!T$130:T$210)</f>
        <v>34948.130991711587</v>
      </c>
      <c r="U142" s="45">
        <f>SUM('Statistics NZ'!U$142,$G$13/5*(U$8-U$9)*1000)*'Economic Forecasts'!W$9*1000000/SUM('Statistics NZ'!U$30:U$110,'Statistics NZ'!U$130:U$210,SUM($E$12:$T$13)*(U$8-U$9)*1000)</f>
        <v>34649.984777838319</v>
      </c>
      <c r="V142" s="45">
        <f>SUM('Statistics NZ'!V$142,$G$13/5*(V$8-V$9)*1000)*'Economic Forecasts'!X$9*1000000/SUM('Statistics NZ'!V$30:V$110,'Statistics NZ'!V$130:V$210,SUM($E$12:$T$13)*(V$8-V$9)*1000)</f>
        <v>33846.196777299359</v>
      </c>
      <c r="W142" s="45">
        <f>SUM('Statistics NZ'!W$142,$G$13/5*(W$8-W$9)*1000)*'Economic Forecasts'!Y$9*1000000/SUM('Statistics NZ'!W$30:W$110,'Statistics NZ'!W$130:W$210,SUM($E$12:$T$13)*(W$8-W$9)*1000)</f>
        <v>34743.907792016646</v>
      </c>
      <c r="X142" s="45">
        <f>SUM('Statistics NZ'!X$142,$G$13/5*(X$8-X$9)*1000)*'Economic Forecasts'!Z$9*1000000/SUM('Statistics NZ'!X$30:X$110,'Statistics NZ'!X$130:X$210,SUM($E$12:$T$13)*(X$8-X$9)*1000)</f>
        <v>34311.385397625891</v>
      </c>
      <c r="Y142" s="45">
        <f>SUM('Statistics NZ'!Y$142,$G$13/5*(Y$8-Y$9)*1000)*'Economic Forecasts'!AA$9*1000000/SUM('Statistics NZ'!Y$30:Y$110,'Statistics NZ'!Y$130:Y$210,SUM($E$12:$T$13)*(Y$8-Y$9)*1000)</f>
        <v>33528.458370555709</v>
      </c>
      <c r="Z142" s="46">
        <f>SUM(Y$142,'Statistics NZ'!Z$142-'Statistics NZ'!Y$142,$G$13/5*(Z$8-Z$9)*1000)</f>
        <v>34251.401280635517</v>
      </c>
      <c r="AA142" s="46">
        <f>SUM(Z$142,'Statistics NZ'!AA$142-'Statistics NZ'!Z$142,$G$13/5*(AA$8-AA$9)*1000)</f>
        <v>35245.167026683404</v>
      </c>
      <c r="AB142" s="46">
        <f>SUM(AA$142,'Statistics NZ'!AB$142-'Statistics NZ'!AA$142,$G$13/5*(AB$8-AB$9)*1000)</f>
        <v>35621.591041505751</v>
      </c>
      <c r="AC142" s="46">
        <f>SUM(AB$142,'Statistics NZ'!AC$142-'Statistics NZ'!AB$142,$G$13/5*(AC$8-AC$9)*1000)</f>
        <v>36531.591041505751</v>
      </c>
      <c r="AD142" s="46">
        <f>SUM(AC$142,'Statistics NZ'!AD$142-'Statistics NZ'!AC$142,$G$13/5*(AD$8-AD$9)*1000)</f>
        <v>39321.591041505751</v>
      </c>
      <c r="AE142" s="46">
        <f>SUM(AD$142,'Statistics NZ'!AE$142-'Statistics NZ'!AD$142,$G$13/5*(AE$8-AE$9)*1000)</f>
        <v>41081.591041505751</v>
      </c>
      <c r="AF142" s="46">
        <f>SUM(AE$142,'Statistics NZ'!AF$142-'Statistics NZ'!AE$142,$G$13/5*(AF$8-AF$9)*1000)</f>
        <v>41261.591041505751</v>
      </c>
      <c r="AG142" s="46">
        <f>SUM(AF$142,'Statistics NZ'!AG$142-'Statistics NZ'!AF$142,$G$13/5*(AG$8-AG$9)*1000)</f>
        <v>41861.591041505751</v>
      </c>
      <c r="AH142" s="46">
        <f>SUM(AG$142,'Statistics NZ'!AH$142-'Statistics NZ'!AG$142,$G$13/5*(AH$8-AH$9)*1000)</f>
        <v>41871.591041505751</v>
      </c>
      <c r="AI142" s="46">
        <f>SUM(AH$142,'Statistics NZ'!AI$142-'Statistics NZ'!AH$142,$G$13/5*(AI$8-AI$9)*1000)</f>
        <v>41831.591041505751</v>
      </c>
      <c r="AJ142" s="46">
        <f>SUM(AI$142,'Statistics NZ'!AJ$142-'Statistics NZ'!AI$142,$G$13/5*(AJ$8-AJ$9)*1000)</f>
        <v>41891.591041505751</v>
      </c>
      <c r="AK142" s="46">
        <f>SUM(AJ$142,'Statistics NZ'!AK$142-'Statistics NZ'!AJ$142,$G$13/5*(AK$8-AK$9)*1000)</f>
        <v>41651.591041505751</v>
      </c>
      <c r="AL142" s="46">
        <f>SUM(AK$142,'Statistics NZ'!AL$142-'Statistics NZ'!AK$142,$G$13/5*(AL$8-AL$9)*1000)</f>
        <v>41791.591041505751</v>
      </c>
      <c r="AM142" s="46">
        <f>SUM(AL$142,'Statistics NZ'!AM$142-'Statistics NZ'!AL$142,$G$13/5*(AM$8-AM$9)*1000)</f>
        <v>41621.591041505751</v>
      </c>
      <c r="AN142" s="46">
        <f>SUM(AM$142,'Statistics NZ'!AN$142-'Statistics NZ'!AM$142,$G$13/5*(AN$8-AN$9)*1000)</f>
        <v>41421.591041505751</v>
      </c>
      <c r="AO142" s="46">
        <f>SUM(AN$142,'Statistics NZ'!AO$142-'Statistics NZ'!AN$142,$G$13/5*(AO$8-AO$9)*1000)</f>
        <v>41231.591041505751</v>
      </c>
      <c r="AP142" s="46">
        <f>SUM(AO$142,'Statistics NZ'!AP$142-'Statistics NZ'!AO$142,$G$13/5*(AP$8-AP$9)*1000)</f>
        <v>41601.591041505751</v>
      </c>
      <c r="AQ142" s="46">
        <f>SUM(AP$142,'Statistics NZ'!AQ$142-'Statistics NZ'!AP$142,$G$13/5*(AQ$8-AQ$9)*1000)</f>
        <v>40871.591041505751</v>
      </c>
      <c r="AR142" s="46">
        <f>SUM(AQ$142,'Statistics NZ'!AR$142-'Statistics NZ'!AQ$142,$G$13/5*(AR$8-AR$9)*1000)</f>
        <v>41561.591041505751</v>
      </c>
      <c r="AS142" s="46">
        <f>SUM(AR$142,'Statistics NZ'!AS$142-'Statistics NZ'!AR$142,$G$13/5*(AS$8-AS$9)*1000)</f>
        <v>40931.591041505751</v>
      </c>
      <c r="AT142" s="46">
        <f>SUM(AS$142,'Statistics NZ'!AT$142-'Statistics NZ'!AS$142,$G$13/5*(AT$8-AT$9)*1000)</f>
        <v>39431.591041505751</v>
      </c>
      <c r="AU142" s="46">
        <f>SUM(AT$142,'Statistics NZ'!AU$142-'Statistics NZ'!AT$142,$G$13/5*(AU$8-AU$9)*1000)</f>
        <v>39321.591041505751</v>
      </c>
      <c r="AV142" s="46">
        <f>SUM(AU$142,'Statistics NZ'!AV$142-'Statistics NZ'!AU$142,$G$13/5*(AV$8-AV$9)*1000)</f>
        <v>40031.591041505751</v>
      </c>
      <c r="AW142" s="46">
        <f>SUM(AV$142,'Statistics NZ'!AW$142-'Statistics NZ'!AV$142,$G$13/5*(AW$8-AW$9)*1000)</f>
        <v>40151.591041505751</v>
      </c>
      <c r="AX142" s="46">
        <f>SUM(AW$142,'Statistics NZ'!AX$142-'Statistics NZ'!AW$142,$G$13/5*(AX$8-AX$9)*1000)</f>
        <v>40241.591041505751</v>
      </c>
      <c r="AY142" s="46">
        <f>SUM(AX$142,'Statistics NZ'!AY$142-'Statistics NZ'!AX$142,$G$13/5*(AY$8-AY$9)*1000)</f>
        <v>40321.591041505751</v>
      </c>
      <c r="AZ142" s="46">
        <f>SUM(AY$142,'Statistics NZ'!AZ$142-'Statistics NZ'!AY$142,$G$13/5*(AZ$8-AZ$9)*1000)</f>
        <v>40381.591041505751</v>
      </c>
      <c r="BA142" s="46">
        <f>SUM(AZ$142,'Statistics NZ'!BA$142-'Statistics NZ'!AZ$142,$G$13/5*(BA$8-BA$9)*1000)</f>
        <v>40441.591041505751</v>
      </c>
      <c r="BB142" s="46">
        <f>SUM(BA$142,'Statistics NZ'!BB$142-'Statistics NZ'!BA$142,$G$13/5*(BB$8-BB$9)*1000)</f>
        <v>40521.591041505751</v>
      </c>
      <c r="BC142" s="46">
        <f>SUM(BB$142,'Statistics NZ'!BC$142-'Statistics NZ'!BB$142,$G$13/5*(BC$8-BC$9)*1000)</f>
        <v>40621.591041505751</v>
      </c>
      <c r="BD142" s="46">
        <f>SUM(BC$142,'Statistics NZ'!BD$142-'Statistics NZ'!BC$142,$G$13/5*(BD$8-BD$9)*1000)</f>
        <v>40751.591041505751</v>
      </c>
      <c r="BE142" s="46">
        <f>SUM(BD$142,'Statistics NZ'!BE$142-'Statistics NZ'!BD$142,$G$13/5*(BE$8-BE$9)*1000)</f>
        <v>40911.591041505751</v>
      </c>
      <c r="BF142" s="46">
        <f>SUM(BE$142,'Statistics NZ'!BF$142-'Statistics NZ'!BE$142,$G$13/5*(BF$8-BF$9)*1000)</f>
        <v>41111.591041505751</v>
      </c>
      <c r="BG142" s="46">
        <f>SUM(BF$142,'Statistics NZ'!BG$142-'Statistics NZ'!BF$142,$G$13/5*(BG$8-BG$9)*1000)</f>
        <v>41341.591041505751</v>
      </c>
      <c r="BH142" s="46">
        <f>SUM(BG$142,'Statistics NZ'!BH$142-'Statistics NZ'!BG$142,$G$13/5*(BH$8-BH$9)*1000)</f>
        <v>41611.591041505751</v>
      </c>
      <c r="BI142" s="46">
        <f>SUM(BH$142,'Statistics NZ'!BI$142-'Statistics NZ'!BH$142,$G$13/5*(BI$8-BI$9)*1000)</f>
        <v>41901.591041505751</v>
      </c>
    </row>
    <row r="143" spans="1:61" x14ac:dyDescent="0.25">
      <c r="A143" s="11">
        <f>$A$43</f>
        <v>28</v>
      </c>
      <c r="B143" s="44">
        <f>'Statistics NZ'!B$143*'Economic Forecasts'!D$9*1000000/SUM('Statistics NZ'!B$30:B$110,'Statistics NZ'!B$130:B$210)</f>
        <v>23784.760278128339</v>
      </c>
      <c r="C143" s="44">
        <f>'Statistics NZ'!C$143*'Economic Forecasts'!E$9*1000000/SUM('Statistics NZ'!C$30:C$110,'Statistics NZ'!C$130:C$210)</f>
        <v>24599.296036680505</v>
      </c>
      <c r="D143" s="44">
        <f>'Statistics NZ'!D$143*'Economic Forecasts'!F$9*1000000/SUM('Statistics NZ'!D$30:D$110,'Statistics NZ'!D$130:D$210)</f>
        <v>24969.363660143154</v>
      </c>
      <c r="E143" s="44">
        <f>'Statistics NZ'!E$143*'Economic Forecasts'!G$9*1000000/SUM('Statistics NZ'!E$30:E$110,'Statistics NZ'!E$130:E$210)</f>
        <v>25704.207041723508</v>
      </c>
      <c r="F143" s="44">
        <f>'Statistics NZ'!F$143*'Economic Forecasts'!H$9*1000000/SUM('Statistics NZ'!F$30:F$110,'Statistics NZ'!F$130:F$210)</f>
        <v>25895.314755803178</v>
      </c>
      <c r="G143" s="44">
        <f>'Statistics NZ'!G$143*'Economic Forecasts'!I$9*1000000/SUM('Statistics NZ'!G$30:G$110,'Statistics NZ'!G$130:G$210)</f>
        <v>26265.290821879156</v>
      </c>
      <c r="H143" s="44">
        <f>'Statistics NZ'!H$143*'Economic Forecasts'!J$9*1000000/SUM('Statistics NZ'!H$30:H$110,'Statistics NZ'!H$130:H$210)</f>
        <v>25958.012332162245</v>
      </c>
      <c r="I143" s="44">
        <f>'Statistics NZ'!I$143*'Economic Forecasts'!K$9*1000000/SUM('Statistics NZ'!I$30:I$110,'Statistics NZ'!I$130:I$210)</f>
        <v>25724.529124248933</v>
      </c>
      <c r="J143" s="44">
        <f>'Statistics NZ'!J$143*'Economic Forecasts'!L$9*1000000/SUM('Statistics NZ'!J$30:J$110,'Statistics NZ'!J$130:J$210)</f>
        <v>27032.217580186094</v>
      </c>
      <c r="K143" s="44">
        <f>'Statistics NZ'!K$143*'Economic Forecasts'!M$9*1000000/SUM('Statistics NZ'!K$30:K$110,'Statistics NZ'!K$130:K$210)</f>
        <v>29111.295833987686</v>
      </c>
      <c r="L143" s="44">
        <f>'Statistics NZ'!L$143*'Economic Forecasts'!N$9*1000000/SUM('Statistics NZ'!L$30:L$110,'Statistics NZ'!L$130:L$210)</f>
        <v>31741.364978585618</v>
      </c>
      <c r="M143" s="44">
        <f>'Statistics NZ'!M$143*'Economic Forecasts'!O$9*1000000/SUM('Statistics NZ'!M$30:M$110,'Statistics NZ'!M$130:M$210)</f>
        <v>34134.891003500372</v>
      </c>
      <c r="N143" s="44">
        <f>'Statistics NZ'!N$143*'Economic Forecasts'!P$9*1000000/SUM('Statistics NZ'!N$30:N$110,'Statistics NZ'!N$130:N$210)</f>
        <v>37094.685822960237</v>
      </c>
      <c r="O143" s="44">
        <f>'Statistics NZ'!O$143*'Economic Forecasts'!Q$9*1000000/SUM('Statistics NZ'!O$30:O$110,'Statistics NZ'!O$130:O$210)</f>
        <v>38465.906106818875</v>
      </c>
      <c r="P143" s="44">
        <f>'Statistics NZ'!P$143*'Economic Forecasts'!R$9*1000000/SUM('Statistics NZ'!P$30:P$110,'Statistics NZ'!P$130:P$210)</f>
        <v>39380.665151526227</v>
      </c>
      <c r="Q143" s="44">
        <f>'Statistics NZ'!Q$143*'Economic Forecasts'!S$9*1000000/SUM('Statistics NZ'!Q$30:Q$110,'Statistics NZ'!Q$130:Q$210)</f>
        <v>38286.547772619386</v>
      </c>
      <c r="R143" s="44">
        <f>'Statistics NZ'!R$143*'Economic Forecasts'!T$9*1000000/SUM('Statistics NZ'!R$30:R$110,'Statistics NZ'!R$130:R$210)</f>
        <v>36227.34478203435</v>
      </c>
      <c r="S143" s="44">
        <f>'Statistics NZ'!S$143*'Economic Forecasts'!U$9*1000000/SUM('Statistics NZ'!S$30:S$110,'Statistics NZ'!S$130:S$210)</f>
        <v>36848.143323861623</v>
      </c>
      <c r="T143" s="44">
        <f>'Statistics NZ'!T$143*'Economic Forecasts'!V$9*1000000/SUM('Statistics NZ'!T$30:T$110,'Statistics NZ'!T$130:T$210)</f>
        <v>36761.944937112385</v>
      </c>
      <c r="U143" s="45">
        <f>SUM('Statistics NZ'!U$143,$G$13/5*(U$8-U$9)*1000)*'Economic Forecasts'!W$9*1000000/SUM('Statistics NZ'!U$30:U$110,'Statistics NZ'!U$130:U$210,SUM($E$12:$T$13)*(U$8-U$9)*1000)</f>
        <v>35204.661879239335</v>
      </c>
      <c r="V143" s="45">
        <f>SUM('Statistics NZ'!V$143,$G$13/5*(V$8-V$9)*1000)*'Economic Forecasts'!X$9*1000000/SUM('Statistics NZ'!V$30:V$110,'Statistics NZ'!V$130:V$210,SUM($E$12:$T$13)*(V$8-V$9)*1000)</f>
        <v>34905.584309747595</v>
      </c>
      <c r="W143" s="45">
        <f>SUM('Statistics NZ'!W$143,$G$13/5*(W$8-W$9)*1000)*'Economic Forecasts'!Y$9*1000000/SUM('Statistics NZ'!W$30:W$110,'Statistics NZ'!W$130:W$210,SUM($E$12:$T$13)*(W$8-W$9)*1000)</f>
        <v>34149.728052420214</v>
      </c>
      <c r="X143" s="45">
        <f>SUM('Statistics NZ'!X$143,$G$13/5*(X$8-X$9)*1000)*'Economic Forecasts'!Z$9*1000000/SUM('Statistics NZ'!X$30:X$110,'Statistics NZ'!X$130:X$210,SUM($E$12:$T$13)*(X$8-X$9)*1000)</f>
        <v>35064.185242576161</v>
      </c>
      <c r="Y143" s="45">
        <f>SUM('Statistics NZ'!Y$143,$G$13/5*(Y$8-Y$9)*1000)*'Economic Forecasts'!AA$9*1000000/SUM('Statistics NZ'!Y$30:Y$110,'Statistics NZ'!Y$130:Y$210,SUM($E$12:$T$13)*(Y$8-Y$9)*1000)</f>
        <v>34658.073042327618</v>
      </c>
      <c r="Z143" s="46">
        <f>SUM(Y$143,'Statistics NZ'!Z$143-'Statistics NZ'!Y$143,$G$13/5*(Z$8-Z$9)*1000)</f>
        <v>33911.015952407426</v>
      </c>
      <c r="AA143" s="46">
        <f>SUM(Z$143,'Statistics NZ'!AA$143-'Statistics NZ'!Z$143,$G$13/5*(AA$8-AA$9)*1000)</f>
        <v>34624.781698455314</v>
      </c>
      <c r="AB143" s="46">
        <f>SUM(AA$143,'Statistics NZ'!AB$143-'Statistics NZ'!AA$143,$G$13/5*(AB$8-AB$9)*1000)</f>
        <v>35621.205713277661</v>
      </c>
      <c r="AC143" s="46">
        <f>SUM(AB$143,'Statistics NZ'!AC$143-'Statistics NZ'!AB$143,$G$13/5*(AC$8-AC$9)*1000)</f>
        <v>36001.205713277661</v>
      </c>
      <c r="AD143" s="46">
        <f>SUM(AC$143,'Statistics NZ'!AD$143-'Statistics NZ'!AC$143,$G$13/5*(AD$8-AD$9)*1000)</f>
        <v>36911.205713277661</v>
      </c>
      <c r="AE143" s="46">
        <f>SUM(AD$143,'Statistics NZ'!AE$143-'Statistics NZ'!AD$143,$G$13/5*(AE$8-AE$9)*1000)</f>
        <v>39691.205713277661</v>
      </c>
      <c r="AF143" s="46">
        <f>SUM(AE$143,'Statistics NZ'!AF$143-'Statistics NZ'!AE$143,$G$13/5*(AF$8-AF$9)*1000)</f>
        <v>41461.205713277661</v>
      </c>
      <c r="AG143" s="46">
        <f>SUM(AF$143,'Statistics NZ'!AG$143-'Statistics NZ'!AF$143,$G$13/5*(AG$8-AG$9)*1000)</f>
        <v>41651.205713277661</v>
      </c>
      <c r="AH143" s="46">
        <f>SUM(AG$143,'Statistics NZ'!AH$143-'Statistics NZ'!AG$143,$G$13/5*(AH$8-AH$9)*1000)</f>
        <v>42251.205713277661</v>
      </c>
      <c r="AI143" s="46">
        <f>SUM(AH$143,'Statistics NZ'!AI$143-'Statistics NZ'!AH$143,$G$13/5*(AI$8-AI$9)*1000)</f>
        <v>42261.205713277661</v>
      </c>
      <c r="AJ143" s="46">
        <f>SUM(AI$143,'Statistics NZ'!AJ$143-'Statistics NZ'!AI$143,$G$13/5*(AJ$8-AJ$9)*1000)</f>
        <v>42231.205713277661</v>
      </c>
      <c r="AK143" s="46">
        <f>SUM(AJ$143,'Statistics NZ'!AK$143-'Statistics NZ'!AJ$143,$G$13/5*(AK$8-AK$9)*1000)</f>
        <v>42291.205713277661</v>
      </c>
      <c r="AL143" s="46">
        <f>SUM(AK$143,'Statistics NZ'!AL$143-'Statistics NZ'!AK$143,$G$13/5*(AL$8-AL$9)*1000)</f>
        <v>42051.205713277661</v>
      </c>
      <c r="AM143" s="46">
        <f>SUM(AL$143,'Statistics NZ'!AM$143-'Statistics NZ'!AL$143,$G$13/5*(AM$8-AM$9)*1000)</f>
        <v>42191.205713277661</v>
      </c>
      <c r="AN143" s="46">
        <f>SUM(AM$143,'Statistics NZ'!AN$143-'Statistics NZ'!AM$143,$G$13/5*(AN$8-AN$9)*1000)</f>
        <v>42031.205713277661</v>
      </c>
      <c r="AO143" s="46">
        <f>SUM(AN$143,'Statistics NZ'!AO$143-'Statistics NZ'!AN$143,$G$13/5*(AO$8-AO$9)*1000)</f>
        <v>41831.205713277661</v>
      </c>
      <c r="AP143" s="46">
        <f>SUM(AO$143,'Statistics NZ'!AP$143-'Statistics NZ'!AO$143,$G$13/5*(AP$8-AP$9)*1000)</f>
        <v>41641.205713277661</v>
      </c>
      <c r="AQ143" s="46">
        <f>SUM(AP$143,'Statistics NZ'!AQ$143-'Statistics NZ'!AP$143,$G$13/5*(AQ$8-AQ$9)*1000)</f>
        <v>42011.205713277661</v>
      </c>
      <c r="AR143" s="46">
        <f>SUM(AQ$143,'Statistics NZ'!AR$143-'Statistics NZ'!AQ$143,$G$13/5*(AR$8-AR$9)*1000)</f>
        <v>41291.205713277661</v>
      </c>
      <c r="AS143" s="46">
        <f>SUM(AR$143,'Statistics NZ'!AS$143-'Statistics NZ'!AR$143,$G$13/5*(AS$8-AS$9)*1000)</f>
        <v>41991.205713277661</v>
      </c>
      <c r="AT143" s="46">
        <f>SUM(AS$143,'Statistics NZ'!AT$143-'Statistics NZ'!AS$143,$G$13/5*(AT$8-AT$9)*1000)</f>
        <v>41361.205713277661</v>
      </c>
      <c r="AU143" s="46">
        <f>SUM(AT$143,'Statistics NZ'!AU$143-'Statistics NZ'!AT$143,$G$13/5*(AU$8-AU$9)*1000)</f>
        <v>39861.205713277661</v>
      </c>
      <c r="AV143" s="46">
        <f>SUM(AU$143,'Statistics NZ'!AV$143-'Statistics NZ'!AU$143,$G$13/5*(AV$8-AV$9)*1000)</f>
        <v>39761.205713277661</v>
      </c>
      <c r="AW143" s="46">
        <f>SUM(AV$143,'Statistics NZ'!AW$143-'Statistics NZ'!AV$143,$G$13/5*(AW$8-AW$9)*1000)</f>
        <v>40471.205713277661</v>
      </c>
      <c r="AX143" s="46">
        <f>SUM(AW$143,'Statistics NZ'!AX$143-'Statistics NZ'!AW$143,$G$13/5*(AX$8-AX$9)*1000)</f>
        <v>40601.205713277661</v>
      </c>
      <c r="AY143" s="46">
        <f>SUM(AX$143,'Statistics NZ'!AY$143-'Statistics NZ'!AX$143,$G$13/5*(AY$8-AY$9)*1000)</f>
        <v>40691.205713277661</v>
      </c>
      <c r="AZ143" s="46">
        <f>SUM(AY$143,'Statistics NZ'!AZ$143-'Statistics NZ'!AY$143,$G$13/5*(AZ$8-AZ$9)*1000)</f>
        <v>40771.205713277661</v>
      </c>
      <c r="BA143" s="46">
        <f>SUM(AZ$143,'Statistics NZ'!BA$143-'Statistics NZ'!AZ$143,$G$13/5*(BA$8-BA$9)*1000)</f>
        <v>40831.205713277661</v>
      </c>
      <c r="BB143" s="46">
        <f>SUM(BA$143,'Statistics NZ'!BB$143-'Statistics NZ'!BA$143,$G$13/5*(BB$8-BB$9)*1000)</f>
        <v>40901.205713277661</v>
      </c>
      <c r="BC143" s="46">
        <f>SUM(BB$143,'Statistics NZ'!BC$143-'Statistics NZ'!BB$143,$G$13/5*(BC$8-BC$9)*1000)</f>
        <v>40981.205713277661</v>
      </c>
      <c r="BD143" s="46">
        <f>SUM(BC$143,'Statistics NZ'!BD$143-'Statistics NZ'!BC$143,$G$13/5*(BD$8-BD$9)*1000)</f>
        <v>41081.205713277661</v>
      </c>
      <c r="BE143" s="46">
        <f>SUM(BD$143,'Statistics NZ'!BE$143-'Statistics NZ'!BD$143,$G$13/5*(BE$8-BE$9)*1000)</f>
        <v>41211.205713277661</v>
      </c>
      <c r="BF143" s="46">
        <f>SUM(BE$143,'Statistics NZ'!BF$143-'Statistics NZ'!BE$143,$G$13/5*(BF$8-BF$9)*1000)</f>
        <v>41381.205713277661</v>
      </c>
      <c r="BG143" s="46">
        <f>SUM(BF$143,'Statistics NZ'!BG$143-'Statistics NZ'!BF$143,$G$13/5*(BG$8-BG$9)*1000)</f>
        <v>41581.205713277661</v>
      </c>
      <c r="BH143" s="46">
        <f>SUM(BG$143,'Statistics NZ'!BH$143-'Statistics NZ'!BG$143,$G$13/5*(BH$8-BH$9)*1000)</f>
        <v>41821.205713277661</v>
      </c>
      <c r="BI143" s="46">
        <f>SUM(BH$143,'Statistics NZ'!BI$143-'Statistics NZ'!BH$143,$G$13/5*(BI$8-BI$9)*1000)</f>
        <v>42091.205713277661</v>
      </c>
    </row>
    <row r="144" spans="1:61" x14ac:dyDescent="0.25">
      <c r="A144" s="11">
        <f>$A$44</f>
        <v>29</v>
      </c>
      <c r="B144" s="44">
        <f>'Statistics NZ'!B$144*'Economic Forecasts'!D$9*1000000/SUM('Statistics NZ'!B$30:B$110,'Statistics NZ'!B$130:B$210)</f>
        <v>24322.877026502276</v>
      </c>
      <c r="C144" s="44">
        <f>'Statistics NZ'!C$144*'Economic Forecasts'!E$9*1000000/SUM('Statistics NZ'!C$30:C$110,'Statistics NZ'!C$130:C$210)</f>
        <v>24137.752358547179</v>
      </c>
      <c r="D144" s="44">
        <f>'Statistics NZ'!D$144*'Economic Forecasts'!F$9*1000000/SUM('Statistics NZ'!D$30:D$110,'Statistics NZ'!D$130:D$210)</f>
        <v>24723.795567498153</v>
      </c>
      <c r="E144" s="44">
        <f>'Statistics NZ'!E$144*'Economic Forecasts'!G$9*1000000/SUM('Statistics NZ'!E$30:E$110,'Statistics NZ'!E$130:E$210)</f>
        <v>25155.013758878591</v>
      </c>
      <c r="F144" s="44">
        <f>'Statistics NZ'!F$144*'Economic Forecasts'!H$9*1000000/SUM('Statistics NZ'!F$30:F$110,'Statistics NZ'!F$130:F$210)</f>
        <v>25669.711634824591</v>
      </c>
      <c r="G144" s="44">
        <f>'Statistics NZ'!G$144*'Economic Forecasts'!I$9*1000000/SUM('Statistics NZ'!G$30:G$110,'Statistics NZ'!G$130:G$210)</f>
        <v>25685.764958569183</v>
      </c>
      <c r="H144" s="44">
        <f>'Statistics NZ'!H$144*'Economic Forecasts'!J$9*1000000/SUM('Statistics NZ'!H$30:H$110,'Statistics NZ'!H$130:H$210)</f>
        <v>26056.263703593588</v>
      </c>
      <c r="I144" s="44">
        <f>'Statistics NZ'!I$144*'Economic Forecasts'!K$9*1000000/SUM('Statistics NZ'!I$30:I$110,'Statistics NZ'!I$130:I$210)</f>
        <v>25812.761122007414</v>
      </c>
      <c r="J144" s="44">
        <f>'Statistics NZ'!J$144*'Economic Forecasts'!L$9*1000000/SUM('Statistics NZ'!J$30:J$110,'Statistics NZ'!J$130:J$210)</f>
        <v>26437.352763306095</v>
      </c>
      <c r="K144" s="44">
        <f>'Statistics NZ'!K$144*'Economic Forecasts'!M$9*1000000/SUM('Statistics NZ'!K$30:K$110,'Statistics NZ'!K$130:K$210)</f>
        <v>28303.18962856261</v>
      </c>
      <c r="L144" s="44">
        <f>'Statistics NZ'!L$144*'Economic Forecasts'!N$9*1000000/SUM('Statistics NZ'!L$30:L$110,'Statistics NZ'!L$130:L$210)</f>
        <v>30787.176706223232</v>
      </c>
      <c r="M144" s="44">
        <f>'Statistics NZ'!M$144*'Economic Forecasts'!O$9*1000000/SUM('Statistics NZ'!M$30:M$110,'Statistics NZ'!M$130:M$210)</f>
        <v>33363.09466999249</v>
      </c>
      <c r="N144" s="44">
        <f>'Statistics NZ'!N$144*'Economic Forecasts'!P$9*1000000/SUM('Statistics NZ'!N$30:N$110,'Statistics NZ'!N$130:N$210)</f>
        <v>35255.118179932928</v>
      </c>
      <c r="O144" s="44">
        <f>'Statistics NZ'!O$144*'Economic Forecasts'!Q$9*1000000/SUM('Statistics NZ'!O$30:O$110,'Statistics NZ'!O$130:O$210)</f>
        <v>37866.105423660403</v>
      </c>
      <c r="P144" s="44">
        <f>'Statistics NZ'!P$144*'Economic Forecasts'!R$9*1000000/SUM('Statistics NZ'!P$30:P$110,'Statistics NZ'!P$130:P$210)</f>
        <v>39636.128548217763</v>
      </c>
      <c r="Q144" s="44">
        <f>'Statistics NZ'!Q$144*'Economic Forecasts'!S$9*1000000/SUM('Statistics NZ'!Q$30:Q$110,'Statistics NZ'!Q$130:Q$210)</f>
        <v>39150.826354928126</v>
      </c>
      <c r="R144" s="44">
        <f>'Statistics NZ'!R$144*'Economic Forecasts'!T$9*1000000/SUM('Statistics NZ'!R$30:R$110,'Statistics NZ'!R$130:R$210)</f>
        <v>37511.931774030621</v>
      </c>
      <c r="S144" s="44">
        <f>'Statistics NZ'!S$144*'Economic Forecasts'!U$9*1000000/SUM('Statistics NZ'!S$30:S$110,'Statistics NZ'!S$130:S$210)</f>
        <v>37388.438680516483</v>
      </c>
      <c r="T144" s="44">
        <f>'Statistics NZ'!T$144*'Economic Forecasts'!V$9*1000000/SUM('Statistics NZ'!T$30:T$110,'Statistics NZ'!T$130:T$210)</f>
        <v>37703.542340462525</v>
      </c>
      <c r="U144" s="45">
        <f>SUM('Statistics NZ'!U$144,$G$13/5*(U$8-U$9)*1000)*'Economic Forecasts'!W$9*1000000/SUM('Statistics NZ'!U$30:U$110,'Statistics NZ'!U$130:U$210,SUM($E$12:$T$13)*(U$8-U$9)*1000)</f>
        <v>37096.506992946364</v>
      </c>
      <c r="V144" s="45">
        <f>SUM('Statistics NZ'!V$144,$G$13/5*(V$8-V$9)*1000)*'Economic Forecasts'!X$9*1000000/SUM('Statistics NZ'!V$30:V$110,'Statistics NZ'!V$130:V$210,SUM($E$12:$T$13)*(V$8-V$9)*1000)</f>
        <v>35539.236665604483</v>
      </c>
      <c r="W144" s="45">
        <f>SUM('Statistics NZ'!W$144,$G$13/5*(W$8-W$9)*1000)*'Economic Forecasts'!Y$9*1000000/SUM('Statistics NZ'!W$30:W$110,'Statistics NZ'!W$130:W$210,SUM($E$12:$T$13)*(W$8-W$9)*1000)</f>
        <v>35278.669557653433</v>
      </c>
      <c r="X144" s="45">
        <f>SUM('Statistics NZ'!X$144,$G$13/5*(X$8-X$9)*1000)*'Economic Forecasts'!Z$9*1000000/SUM('Statistics NZ'!X$30:X$110,'Statistics NZ'!X$130:X$210,SUM($E$12:$T$13)*(X$8-X$9)*1000)</f>
        <v>34539.206403334523</v>
      </c>
      <c r="Y144" s="45">
        <f>SUM('Statistics NZ'!Y$144,$G$13/5*(Y$8-Y$9)*1000)*'Economic Forecasts'!AA$9*1000000/SUM('Statistics NZ'!Y$30:Y$110,'Statistics NZ'!Y$130:Y$210,SUM($E$12:$T$13)*(Y$8-Y$9)*1000)</f>
        <v>35490.420695212189</v>
      </c>
      <c r="Z144" s="46">
        <f>SUM(Y$144,'Statistics NZ'!Z$144-'Statistics NZ'!Y$144,$G$13/5*(Z$8-Z$9)*1000)</f>
        <v>35113.363605291997</v>
      </c>
      <c r="AA144" s="46">
        <f>SUM(Z$144,'Statistics NZ'!AA$144-'Statistics NZ'!Z$144,$G$13/5*(AA$8-AA$9)*1000)</f>
        <v>34357.129351339885</v>
      </c>
      <c r="AB144" s="46">
        <f>SUM(AA$144,'Statistics NZ'!AB$144-'Statistics NZ'!AA$144,$G$13/5*(AB$8-AB$9)*1000)</f>
        <v>35073.553366162232</v>
      </c>
      <c r="AC144" s="46">
        <f>SUM(AB$144,'Statistics NZ'!AC$144-'Statistics NZ'!AB$144,$G$13/5*(AC$8-AC$9)*1000)</f>
        <v>36063.553366162232</v>
      </c>
      <c r="AD144" s="46">
        <f>SUM(AC$144,'Statistics NZ'!AD$144-'Statistics NZ'!AC$144,$G$13/5*(AD$8-AD$9)*1000)</f>
        <v>36443.553366162232</v>
      </c>
      <c r="AE144" s="46">
        <f>SUM(AD$144,'Statistics NZ'!AE$144-'Statistics NZ'!AD$144,$G$13/5*(AE$8-AE$9)*1000)</f>
        <v>37353.553366162232</v>
      </c>
      <c r="AF144" s="46">
        <f>SUM(AE$144,'Statistics NZ'!AF$144-'Statistics NZ'!AE$144,$G$13/5*(AF$8-AF$9)*1000)</f>
        <v>40143.553366162232</v>
      </c>
      <c r="AG144" s="46">
        <f>SUM(AF$144,'Statistics NZ'!AG$144-'Statistics NZ'!AF$144,$G$13/5*(AG$8-AG$9)*1000)</f>
        <v>41913.553366162232</v>
      </c>
      <c r="AH144" s="46">
        <f>SUM(AG$144,'Statistics NZ'!AH$144-'Statistics NZ'!AG$144,$G$13/5*(AH$8-AH$9)*1000)</f>
        <v>42103.553366162232</v>
      </c>
      <c r="AI144" s="46">
        <f>SUM(AH$144,'Statistics NZ'!AI$144-'Statistics NZ'!AH$144,$G$13/5*(AI$8-AI$9)*1000)</f>
        <v>42713.553366162232</v>
      </c>
      <c r="AJ144" s="46">
        <f>SUM(AI$144,'Statistics NZ'!AJ$144-'Statistics NZ'!AI$144,$G$13/5*(AJ$8-AJ$9)*1000)</f>
        <v>42723.553366162232</v>
      </c>
      <c r="AK144" s="46">
        <f>SUM(AJ$144,'Statistics NZ'!AK$144-'Statistics NZ'!AJ$144,$G$13/5*(AK$8-AK$9)*1000)</f>
        <v>42693.553366162232</v>
      </c>
      <c r="AL144" s="46">
        <f>SUM(AK$144,'Statistics NZ'!AL$144-'Statistics NZ'!AK$144,$G$13/5*(AL$8-AL$9)*1000)</f>
        <v>42763.553366162232</v>
      </c>
      <c r="AM144" s="46">
        <f>SUM(AL$144,'Statistics NZ'!AM$144-'Statistics NZ'!AL$144,$G$13/5*(AM$8-AM$9)*1000)</f>
        <v>42523.553366162232</v>
      </c>
      <c r="AN144" s="46">
        <f>SUM(AM$144,'Statistics NZ'!AN$144-'Statistics NZ'!AM$144,$G$13/5*(AN$8-AN$9)*1000)</f>
        <v>42673.553366162232</v>
      </c>
      <c r="AO144" s="46">
        <f>SUM(AN$144,'Statistics NZ'!AO$144-'Statistics NZ'!AN$144,$G$13/5*(AO$8-AO$9)*1000)</f>
        <v>42513.553366162232</v>
      </c>
      <c r="AP144" s="46">
        <f>SUM(AO$144,'Statistics NZ'!AP$144-'Statistics NZ'!AO$144,$G$13/5*(AP$8-AP$9)*1000)</f>
        <v>42313.553366162232</v>
      </c>
      <c r="AQ144" s="46">
        <f>SUM(AP$144,'Statistics NZ'!AQ$144-'Statistics NZ'!AP$144,$G$13/5*(AQ$8-AQ$9)*1000)</f>
        <v>42123.553366162232</v>
      </c>
      <c r="AR144" s="46">
        <f>SUM(AQ$144,'Statistics NZ'!AR$144-'Statistics NZ'!AQ$144,$G$13/5*(AR$8-AR$9)*1000)</f>
        <v>42503.553366162232</v>
      </c>
      <c r="AS144" s="46">
        <f>SUM(AR$144,'Statistics NZ'!AS$144-'Statistics NZ'!AR$144,$G$13/5*(AS$8-AS$9)*1000)</f>
        <v>41783.553366162232</v>
      </c>
      <c r="AT144" s="46">
        <f>SUM(AS$144,'Statistics NZ'!AT$144-'Statistics NZ'!AS$144,$G$13/5*(AT$8-AT$9)*1000)</f>
        <v>42483.553366162232</v>
      </c>
      <c r="AU144" s="46">
        <f>SUM(AT$144,'Statistics NZ'!AU$144-'Statistics NZ'!AT$144,$G$13/5*(AU$8-AU$9)*1000)</f>
        <v>41863.553366162232</v>
      </c>
      <c r="AV144" s="46">
        <f>SUM(AU$144,'Statistics NZ'!AV$144-'Statistics NZ'!AU$144,$G$13/5*(AV$8-AV$9)*1000)</f>
        <v>40363.553366162232</v>
      </c>
      <c r="AW144" s="46">
        <f>SUM(AV$144,'Statistics NZ'!AW$144-'Statistics NZ'!AV$144,$G$13/5*(AW$8-AW$9)*1000)</f>
        <v>40263.553366162232</v>
      </c>
      <c r="AX144" s="46">
        <f>SUM(AW$144,'Statistics NZ'!AX$144-'Statistics NZ'!AW$144,$G$13/5*(AX$8-AX$9)*1000)</f>
        <v>40983.553366162232</v>
      </c>
      <c r="AY144" s="46">
        <f>SUM(AX$144,'Statistics NZ'!AY$144-'Statistics NZ'!AX$144,$G$13/5*(AY$8-AY$9)*1000)</f>
        <v>41113.553366162232</v>
      </c>
      <c r="AZ144" s="46">
        <f>SUM(AY$144,'Statistics NZ'!AZ$144-'Statistics NZ'!AY$144,$G$13/5*(AZ$8-AZ$9)*1000)</f>
        <v>41213.553366162232</v>
      </c>
      <c r="BA144" s="46">
        <f>SUM(AZ$144,'Statistics NZ'!BA$144-'Statistics NZ'!AZ$144,$G$13/5*(BA$8-BA$9)*1000)</f>
        <v>41283.553366162232</v>
      </c>
      <c r="BB144" s="46">
        <f>SUM(BA$144,'Statistics NZ'!BB$144-'Statistics NZ'!BA$144,$G$13/5*(BB$8-BB$9)*1000)</f>
        <v>41353.553366162232</v>
      </c>
      <c r="BC144" s="46">
        <f>SUM(BB$144,'Statistics NZ'!BC$144-'Statistics NZ'!BB$144,$G$13/5*(BC$8-BC$9)*1000)</f>
        <v>41433.553366162232</v>
      </c>
      <c r="BD144" s="46">
        <f>SUM(BC$144,'Statistics NZ'!BD$144-'Statistics NZ'!BC$144,$G$13/5*(BD$8-BD$9)*1000)</f>
        <v>41513.553366162232</v>
      </c>
      <c r="BE144" s="46">
        <f>SUM(BD$144,'Statistics NZ'!BE$144-'Statistics NZ'!BD$144,$G$13/5*(BE$8-BE$9)*1000)</f>
        <v>41613.553366162232</v>
      </c>
      <c r="BF144" s="46">
        <f>SUM(BE$144,'Statistics NZ'!BF$144-'Statistics NZ'!BE$144,$G$13/5*(BF$8-BF$9)*1000)</f>
        <v>41753.553366162232</v>
      </c>
      <c r="BG144" s="46">
        <f>SUM(BF$144,'Statistics NZ'!BG$144-'Statistics NZ'!BF$144,$G$13/5*(BG$8-BG$9)*1000)</f>
        <v>41913.553366162232</v>
      </c>
      <c r="BH144" s="46">
        <f>SUM(BG$144,'Statistics NZ'!BH$144-'Statistics NZ'!BG$144,$G$13/5*(BH$8-BH$9)*1000)</f>
        <v>42123.553366162232</v>
      </c>
      <c r="BI144" s="46">
        <f>SUM(BH$144,'Statistics NZ'!BI$144-'Statistics NZ'!BH$144,$G$13/5*(BI$8-BI$9)*1000)</f>
        <v>42363.553366162232</v>
      </c>
    </row>
    <row r="145" spans="1:61" x14ac:dyDescent="0.25">
      <c r="A145" s="11">
        <f>$A$45</f>
        <v>30</v>
      </c>
      <c r="B145" s="44">
        <f>'Statistics NZ'!B$145*'Economic Forecasts'!D$9*1000000/SUM('Statistics NZ'!B$30:B$110,'Statistics NZ'!B$130:B$210)</f>
        <v>24635.963134647121</v>
      </c>
      <c r="C145" s="44">
        <f>'Statistics NZ'!C$145*'Economic Forecasts'!E$9*1000000/SUM('Statistics NZ'!C$30:C$110,'Statistics NZ'!C$130:C$210)</f>
        <v>24707.316897520224</v>
      </c>
      <c r="D145" s="44">
        <f>'Statistics NZ'!D$145*'Economic Forecasts'!F$9*1000000/SUM('Statistics NZ'!D$30:D$110,'Statistics NZ'!D$130:D$210)</f>
        <v>24340.709342971964</v>
      </c>
      <c r="E145" s="44">
        <f>'Statistics NZ'!E$145*'Economic Forecasts'!G$9*1000000/SUM('Statistics NZ'!E$30:E$110,'Statistics NZ'!E$130:E$210)</f>
        <v>24939.259254903809</v>
      </c>
      <c r="F145" s="44">
        <f>'Statistics NZ'!F$145*'Economic Forecasts'!H$9*1000000/SUM('Statistics NZ'!F$30:F$110,'Statistics NZ'!F$130:F$210)</f>
        <v>25277.358380948783</v>
      </c>
      <c r="G145" s="44">
        <f>'Statistics NZ'!G$145*'Economic Forecasts'!I$9*1000000/SUM('Statistics NZ'!G$30:G$110,'Statistics NZ'!G$130:G$210)</f>
        <v>25685.764958569183</v>
      </c>
      <c r="H145" s="44">
        <f>'Statistics NZ'!H$145*'Economic Forecasts'!J$9*1000000/SUM('Statistics NZ'!H$30:H$110,'Statistics NZ'!H$130:H$210)</f>
        <v>25545.35657215058</v>
      </c>
      <c r="I145" s="44">
        <f>'Statistics NZ'!I$145*'Economic Forecasts'!K$9*1000000/SUM('Statistics NZ'!I$30:I$110,'Statistics NZ'!I$130:I$210)</f>
        <v>26008.832228137355</v>
      </c>
      <c r="J145" s="44">
        <f>'Statistics NZ'!J$145*'Economic Forecasts'!L$9*1000000/SUM('Statistics NZ'!J$30:J$110,'Statistics NZ'!J$130:J$210)</f>
        <v>26651.894172672648</v>
      </c>
      <c r="K145" s="44">
        <f>'Statistics NZ'!K$145*'Economic Forecasts'!M$9*1000000/SUM('Statistics NZ'!K$30:K$110,'Statistics NZ'!K$130:K$210)</f>
        <v>27719.016468014361</v>
      </c>
      <c r="L145" s="44">
        <f>'Statistics NZ'!L$145*'Economic Forecasts'!N$9*1000000/SUM('Statistics NZ'!L$30:L$110,'Statistics NZ'!L$130:L$210)</f>
        <v>29696.675823523354</v>
      </c>
      <c r="M145" s="44">
        <f>'Statistics NZ'!M$145*'Economic Forecasts'!O$9*1000000/SUM('Statistics NZ'!M$30:M$110,'Statistics NZ'!M$130:M$210)</f>
        <v>32376.367711963434</v>
      </c>
      <c r="N145" s="44">
        <f>'Statistics NZ'!N$145*'Economic Forecasts'!P$9*1000000/SUM('Statistics NZ'!N$30:N$110,'Statistics NZ'!N$130:N$210)</f>
        <v>34658.237189376196</v>
      </c>
      <c r="O145" s="44">
        <f>'Statistics NZ'!O$145*'Economic Forecasts'!Q$9*1000000/SUM('Statistics NZ'!O$30:O$110,'Statistics NZ'!O$130:O$210)</f>
        <v>36125.700162692374</v>
      </c>
      <c r="P145" s="44">
        <f>'Statistics NZ'!P$145*'Economic Forecasts'!R$9*1000000/SUM('Statistics NZ'!P$30:P$110,'Statistics NZ'!P$130:P$210)</f>
        <v>38958.167995459451</v>
      </c>
      <c r="Q145" s="44">
        <f>'Statistics NZ'!Q$145*'Economic Forecasts'!S$9*1000000/SUM('Statistics NZ'!Q$30:Q$110,'Statistics NZ'!Q$130:Q$210)</f>
        <v>39558.130054636844</v>
      </c>
      <c r="R145" s="44">
        <f>'Statistics NZ'!R$145*'Economic Forecasts'!T$9*1000000/SUM('Statistics NZ'!R$30:R$110,'Statistics NZ'!R$130:R$210)</f>
        <v>38597.357992073987</v>
      </c>
      <c r="S145" s="44">
        <f>'Statistics NZ'!S$145*'Economic Forecasts'!U$9*1000000/SUM('Statistics NZ'!S$30:S$110,'Statistics NZ'!S$130:S$210)</f>
        <v>38960.206990785176</v>
      </c>
      <c r="T145" s="44">
        <f>'Statistics NZ'!T$145*'Economic Forecasts'!V$9*1000000/SUM('Statistics NZ'!T$30:T$110,'Statistics NZ'!T$130:T$210)</f>
        <v>38575.75888251319</v>
      </c>
      <c r="U145" s="45">
        <f>SUM('Statistics NZ'!U$145,$H$13/5*(U$8-U$9)*1000)*'Economic Forecasts'!W$9*1000000/SUM('Statistics NZ'!U$30:U$110,'Statistics NZ'!U$130:U$210,SUM($E$12:$T$13)*(U$8-U$9)*1000)</f>
        <v>38162.015382567915</v>
      </c>
      <c r="V145" s="45">
        <f>SUM('Statistics NZ'!V$145,$H$13/5*(V$8-V$9)*1000)*'Economic Forecasts'!X$9*1000000/SUM('Statistics NZ'!V$30:V$110,'Statistics NZ'!V$130:V$210,SUM($E$12:$T$13)*(V$8-V$9)*1000)</f>
        <v>37557.626720445449</v>
      </c>
      <c r="W145" s="45">
        <f>SUM('Statistics NZ'!W$145,$H$13/5*(W$8-W$9)*1000)*'Economic Forecasts'!Y$9*1000000/SUM('Statistics NZ'!W$30:W$110,'Statistics NZ'!W$130:W$210,SUM($E$12:$T$13)*(W$8-W$9)*1000)</f>
        <v>36028.430871730074</v>
      </c>
      <c r="X145" s="45">
        <f>SUM('Statistics NZ'!X$145,$H$13/5*(X$8-X$9)*1000)*'Economic Forecasts'!Z$9*1000000/SUM('Statistics NZ'!X$30:X$110,'Statistics NZ'!X$130:X$210,SUM($E$12:$T$13)*(X$8-X$9)*1000)</f>
        <v>35779.114452684946</v>
      </c>
      <c r="Y145" s="45">
        <f>SUM('Statistics NZ'!Y$145,$H$13/5*(Y$8-Y$9)*1000)*'Economic Forecasts'!AA$9*1000000/SUM('Statistics NZ'!Y$30:Y$110,'Statistics NZ'!Y$130:Y$210,SUM($E$12:$T$13)*(Y$8-Y$9)*1000)</f>
        <v>35052.790173091926</v>
      </c>
      <c r="Z145" s="46">
        <f>SUM(Y$145,'Statistics NZ'!Z$145-'Statistics NZ'!Y$145,$H$13/5*(Z$8-Z$9)*1000)</f>
        <v>36069.699356979443</v>
      </c>
      <c r="AA145" s="46">
        <f>SUM(Z$145,'Statistics NZ'!AA$145-'Statistics NZ'!Z$145,$H$13/5*(AA$8-AA$9)*1000)</f>
        <v>35697.844867311956</v>
      </c>
      <c r="AB145" s="46">
        <f>SUM(AA$145,'Statistics NZ'!AB$145-'Statistics NZ'!AA$145,$H$13/5*(AB$8-AB$9)*1000)</f>
        <v>34950.979438800459</v>
      </c>
      <c r="AC145" s="46">
        <f>SUM(AB$145,'Statistics NZ'!AC$145-'Statistics NZ'!AB$145,$H$13/5*(AC$8-AC$9)*1000)</f>
        <v>35660.979438800459</v>
      </c>
      <c r="AD145" s="46">
        <f>SUM(AC$145,'Statistics NZ'!AD$145-'Statistics NZ'!AC$145,$H$13/5*(AD$8-AD$9)*1000)</f>
        <v>36650.979438800459</v>
      </c>
      <c r="AE145" s="46">
        <f>SUM(AD$145,'Statistics NZ'!AE$145-'Statistics NZ'!AD$145,$H$13/5*(AE$8-AE$9)*1000)</f>
        <v>37040.979438800459</v>
      </c>
      <c r="AF145" s="46">
        <f>SUM(AE$145,'Statistics NZ'!AF$145-'Statistics NZ'!AE$145,$H$13/5*(AF$8-AF$9)*1000)</f>
        <v>37950.979438800459</v>
      </c>
      <c r="AG145" s="46">
        <f>SUM(AF$145,'Statistics NZ'!AG$145-'Statistics NZ'!AF$145,$H$13/5*(AG$8-AG$9)*1000)</f>
        <v>40740.979438800459</v>
      </c>
      <c r="AH145" s="46">
        <f>SUM(AG$145,'Statistics NZ'!AH$145-'Statistics NZ'!AG$145,$H$13/5*(AH$8-AH$9)*1000)</f>
        <v>42520.979438800459</v>
      </c>
      <c r="AI145" s="46">
        <f>SUM(AH$145,'Statistics NZ'!AI$145-'Statistics NZ'!AH$145,$H$13/5*(AI$8-AI$9)*1000)</f>
        <v>42710.979438800459</v>
      </c>
      <c r="AJ145" s="46">
        <f>SUM(AI$145,'Statistics NZ'!AJ$145-'Statistics NZ'!AI$145,$H$13/5*(AJ$8-AJ$9)*1000)</f>
        <v>43320.979438800459</v>
      </c>
      <c r="AK145" s="46">
        <f>SUM(AJ$145,'Statistics NZ'!AK$145-'Statistics NZ'!AJ$145,$H$13/5*(AK$8-AK$9)*1000)</f>
        <v>43330.979438800459</v>
      </c>
      <c r="AL145" s="46">
        <f>SUM(AK$145,'Statistics NZ'!AL$145-'Statistics NZ'!AK$145,$H$13/5*(AL$8-AL$9)*1000)</f>
        <v>43310.979438800459</v>
      </c>
      <c r="AM145" s="46">
        <f>SUM(AL$145,'Statistics NZ'!AM$145-'Statistics NZ'!AL$145,$H$13/5*(AM$8-AM$9)*1000)</f>
        <v>43380.979438800459</v>
      </c>
      <c r="AN145" s="46">
        <f>SUM(AM$145,'Statistics NZ'!AN$145-'Statistics NZ'!AM$145,$H$13/5*(AN$8-AN$9)*1000)</f>
        <v>43140.979438800459</v>
      </c>
      <c r="AO145" s="46">
        <f>SUM(AN$145,'Statistics NZ'!AO$145-'Statistics NZ'!AN$145,$H$13/5*(AO$8-AO$9)*1000)</f>
        <v>43290.979438800459</v>
      </c>
      <c r="AP145" s="46">
        <f>SUM(AO$145,'Statistics NZ'!AP$145-'Statistics NZ'!AO$145,$H$13/5*(AP$8-AP$9)*1000)</f>
        <v>43140.979438800459</v>
      </c>
      <c r="AQ145" s="46">
        <f>SUM(AP$145,'Statistics NZ'!AQ$145-'Statistics NZ'!AP$145,$H$13/5*(AQ$8-AQ$9)*1000)</f>
        <v>42940.979438800459</v>
      </c>
      <c r="AR145" s="46">
        <f>SUM(AQ$145,'Statistics NZ'!AR$145-'Statistics NZ'!AQ$145,$H$13/5*(AR$8-AR$9)*1000)</f>
        <v>42760.979438800459</v>
      </c>
      <c r="AS145" s="46">
        <f>SUM(AR$145,'Statistics NZ'!AS$145-'Statistics NZ'!AR$145,$H$13/5*(AS$8-AS$9)*1000)</f>
        <v>43140.979438800459</v>
      </c>
      <c r="AT145" s="46">
        <f>SUM(AS$145,'Statistics NZ'!AT$145-'Statistics NZ'!AS$145,$H$13/5*(AT$8-AT$9)*1000)</f>
        <v>42430.979438800459</v>
      </c>
      <c r="AU145" s="46">
        <f>SUM(AT$145,'Statistics NZ'!AU$145-'Statistics NZ'!AT$145,$H$13/5*(AU$8-AU$9)*1000)</f>
        <v>43130.979438800459</v>
      </c>
      <c r="AV145" s="46">
        <f>SUM(AU$145,'Statistics NZ'!AV$145-'Statistics NZ'!AU$145,$H$13/5*(AV$8-AV$9)*1000)</f>
        <v>42510.979438800459</v>
      </c>
      <c r="AW145" s="46">
        <f>SUM(AV$145,'Statistics NZ'!AW$145-'Statistics NZ'!AV$145,$H$13/5*(AW$8-AW$9)*1000)</f>
        <v>41010.979438800459</v>
      </c>
      <c r="AX145" s="46">
        <f>SUM(AW$145,'Statistics NZ'!AX$145-'Statistics NZ'!AW$145,$H$13/5*(AX$8-AX$9)*1000)</f>
        <v>40920.979438800459</v>
      </c>
      <c r="AY145" s="46">
        <f>SUM(AX$145,'Statistics NZ'!AY$145-'Statistics NZ'!AX$145,$H$13/5*(AY$8-AY$9)*1000)</f>
        <v>41640.979438800459</v>
      </c>
      <c r="AZ145" s="46">
        <f>SUM(AY$145,'Statistics NZ'!AZ$145-'Statistics NZ'!AY$145,$H$13/5*(AZ$8-AZ$9)*1000)</f>
        <v>41770.979438800459</v>
      </c>
      <c r="BA145" s="46">
        <f>SUM(AZ$145,'Statistics NZ'!BA$145-'Statistics NZ'!AZ$145,$H$13/5*(BA$8-BA$9)*1000)</f>
        <v>41870.979438800459</v>
      </c>
      <c r="BB145" s="46">
        <f>SUM(BA$145,'Statistics NZ'!BB$145-'Statistics NZ'!BA$145,$H$13/5*(BB$8-BB$9)*1000)</f>
        <v>41950.979438800459</v>
      </c>
      <c r="BC145" s="46">
        <f>SUM(BB$145,'Statistics NZ'!BC$145-'Statistics NZ'!BB$145,$H$13/5*(BC$8-BC$9)*1000)</f>
        <v>42030.979438800459</v>
      </c>
      <c r="BD145" s="46">
        <f>SUM(BC$145,'Statistics NZ'!BD$145-'Statistics NZ'!BC$145,$H$13/5*(BD$8-BD$9)*1000)</f>
        <v>42100.979438800459</v>
      </c>
      <c r="BE145" s="46">
        <f>SUM(BD$145,'Statistics NZ'!BE$145-'Statistics NZ'!BD$145,$H$13/5*(BE$8-BE$9)*1000)</f>
        <v>42190.979438800459</v>
      </c>
      <c r="BF145" s="46">
        <f>SUM(BE$145,'Statistics NZ'!BF$145-'Statistics NZ'!BE$145,$H$13/5*(BF$8-BF$9)*1000)</f>
        <v>42300.979438800459</v>
      </c>
      <c r="BG145" s="46">
        <f>SUM(BF$145,'Statistics NZ'!BG$145-'Statistics NZ'!BF$145,$H$13/5*(BG$8-BG$9)*1000)</f>
        <v>42430.979438800459</v>
      </c>
      <c r="BH145" s="46">
        <f>SUM(BG$145,'Statistics NZ'!BH$145-'Statistics NZ'!BG$145,$H$13/5*(BH$8-BH$9)*1000)</f>
        <v>42600.979438800459</v>
      </c>
      <c r="BI145" s="46">
        <f>SUM(BH$145,'Statistics NZ'!BI$145-'Statistics NZ'!BH$145,$H$13/5*(BI$8-BI$9)*1000)</f>
        <v>42810.979438800459</v>
      </c>
    </row>
    <row r="146" spans="1:61" x14ac:dyDescent="0.25">
      <c r="A146" s="11">
        <f>$A$46</f>
        <v>31</v>
      </c>
      <c r="B146" s="44">
        <f>'Statistics NZ'!B$146*'Economic Forecasts'!D$9*1000000/SUM('Statistics NZ'!B$30:B$110,'Statistics NZ'!B$130:B$210)</f>
        <v>25555.653577322591</v>
      </c>
      <c r="C146" s="44">
        <f>'Statistics NZ'!C$146*'Economic Forecasts'!E$9*1000000/SUM('Statistics NZ'!C$30:C$110,'Statistics NZ'!C$130:C$210)</f>
        <v>24962.638932232279</v>
      </c>
      <c r="D146" s="44">
        <f>'Statistics NZ'!D$146*'Economic Forecasts'!F$9*1000000/SUM('Statistics NZ'!D$30:D$110,'Statistics NZ'!D$130:D$210)</f>
        <v>25028.300002377953</v>
      </c>
      <c r="E146" s="44">
        <f>'Statistics NZ'!E$146*'Economic Forecasts'!G$9*1000000/SUM('Statistics NZ'!E$30:E$110,'Statistics NZ'!E$130:E$210)</f>
        <v>24576.399407309844</v>
      </c>
      <c r="F146" s="44">
        <f>'Statistics NZ'!F$146*'Economic Forecasts'!H$9*1000000/SUM('Statistics NZ'!F$30:F$110,'Statistics NZ'!F$130:F$210)</f>
        <v>25032.137597276407</v>
      </c>
      <c r="G146" s="44">
        <f>'Statistics NZ'!G$146*'Economic Forecasts'!I$9*1000000/SUM('Statistics NZ'!G$30:G$110,'Statistics NZ'!G$130:G$210)</f>
        <v>25312.511012708521</v>
      </c>
      <c r="H146" s="44">
        <f>'Statistics NZ'!H$146*'Economic Forecasts'!J$9*1000000/SUM('Statistics NZ'!H$30:H$110,'Statistics NZ'!H$130:H$210)</f>
        <v>25653.433080725066</v>
      </c>
      <c r="I146" s="44">
        <f>'Statistics NZ'!I$146*'Economic Forecasts'!K$9*1000000/SUM('Statistics NZ'!I$30:I$110,'Statistics NZ'!I$130:I$210)</f>
        <v>25548.065128731985</v>
      </c>
      <c r="J146" s="44">
        <f>'Statistics NZ'!J$146*'Economic Forecasts'!L$9*1000000/SUM('Statistics NZ'!J$30:J$110,'Statistics NZ'!J$130:J$210)</f>
        <v>26778.668641843793</v>
      </c>
      <c r="K146" s="44">
        <f>'Statistics NZ'!K$146*'Economic Forecasts'!M$9*1000000/SUM('Statistics NZ'!K$30:K$110,'Statistics NZ'!K$130:K$210)</f>
        <v>27806.642442096603</v>
      </c>
      <c r="L146" s="44">
        <f>'Statistics NZ'!L$146*'Economic Forecasts'!N$9*1000000/SUM('Statistics NZ'!L$30:L$110,'Statistics NZ'!L$130:L$210)</f>
        <v>28976.166311739511</v>
      </c>
      <c r="M146" s="44">
        <f>'Statistics NZ'!M$146*'Economic Forecasts'!O$9*1000000/SUM('Statistics NZ'!M$30:M$110,'Statistics NZ'!M$130:M$210)</f>
        <v>31194.249277096937</v>
      </c>
      <c r="N146" s="44">
        <f>'Statistics NZ'!N$146*'Economic Forecasts'!P$9*1000000/SUM('Statistics NZ'!N$30:N$110,'Statistics NZ'!N$130:N$210)</f>
        <v>33640.604025148328</v>
      </c>
      <c r="O146" s="44">
        <f>'Statistics NZ'!O$146*'Economic Forecasts'!Q$9*1000000/SUM('Statistics NZ'!O$30:O$110,'Statistics NZ'!O$130:O$210)</f>
        <v>35575.063469956724</v>
      </c>
      <c r="P146" s="44">
        <f>'Statistics NZ'!P$146*'Economic Forecasts'!R$9*1000000/SUM('Statistics NZ'!P$30:P$110,'Statistics NZ'!P$130:P$210)</f>
        <v>37366.434523766024</v>
      </c>
      <c r="Q146" s="44">
        <f>'Statistics NZ'!Q$146*'Economic Forecasts'!S$9*1000000/SUM('Statistics NZ'!Q$30:Q$110,'Statistics NZ'!Q$130:Q$210)</f>
        <v>38842.865021002021</v>
      </c>
      <c r="R146" s="44">
        <f>'Statistics NZ'!R$146*'Economic Forecasts'!T$9*1000000/SUM('Statistics NZ'!R$30:R$110,'Statistics NZ'!R$130:R$210)</f>
        <v>39145.050120444481</v>
      </c>
      <c r="S146" s="44">
        <f>'Statistics NZ'!S$146*'Economic Forecasts'!U$9*1000000/SUM('Statistics NZ'!S$30:S$110,'Statistics NZ'!S$130:S$210)</f>
        <v>40158.680327365051</v>
      </c>
      <c r="T146" s="44">
        <f>'Statistics NZ'!T$146*'Economic Forecasts'!V$9*1000000/SUM('Statistics NZ'!T$30:T$110,'Statistics NZ'!T$130:T$210)</f>
        <v>40191.341795629749</v>
      </c>
      <c r="U146" s="45">
        <f>SUM('Statistics NZ'!U$146,$H$13/5*(U$8-U$9)*1000)*'Economic Forecasts'!W$9*1000000/SUM('Statistics NZ'!U$30:U$110,'Statistics NZ'!U$130:U$210,SUM($E$12:$T$13)*(U$8-U$9)*1000)</f>
        <v>39043.555775865949</v>
      </c>
      <c r="V146" s="45">
        <f>SUM('Statistics NZ'!V$146,$H$13/5*(V$8-V$9)*1000)*'Economic Forecasts'!X$9*1000000/SUM('Statistics NZ'!V$30:V$110,'Statistics NZ'!V$130:V$210,SUM($E$12:$T$13)*(V$8-V$9)*1000)</f>
        <v>38547.708526471841</v>
      </c>
      <c r="W146" s="45">
        <f>SUM('Statistics NZ'!W$146,$H$13/5*(W$8-W$9)*1000)*'Economic Forecasts'!Y$9*1000000/SUM('Statistics NZ'!W$30:W$110,'Statistics NZ'!W$130:W$210,SUM($E$12:$T$13)*(W$8-W$9)*1000)</f>
        <v>37969.418021078403</v>
      </c>
      <c r="X146" s="45">
        <f>SUM('Statistics NZ'!X$146,$H$13/5*(X$8-X$9)*1000)*'Economic Forecasts'!Z$9*1000000/SUM('Statistics NZ'!X$30:X$110,'Statistics NZ'!X$130:X$210,SUM($E$12:$T$13)*(X$8-X$9)*1000)</f>
        <v>36452.672208693082</v>
      </c>
      <c r="Y146" s="45">
        <f>SUM('Statistics NZ'!Y$146,$H$13/5*(Y$8-Y$9)*1000)*'Economic Forecasts'!AA$9*1000000/SUM('Statistics NZ'!Y$30:Y$110,'Statistics NZ'!Y$130:Y$210,SUM($E$12:$T$13)*(Y$8-Y$9)*1000)</f>
        <v>36231.949348011731</v>
      </c>
      <c r="Z146" s="46">
        <f>SUM(Y$146,'Statistics NZ'!Z$146-'Statistics NZ'!Y$146,$H$13/5*(Z$8-Z$9)*1000)</f>
        <v>35568.858531899248</v>
      </c>
      <c r="AA146" s="46">
        <f>SUM(Z$146,'Statistics NZ'!AA$146-'Statistics NZ'!Z$146,$H$13/5*(AA$8-AA$9)*1000)</f>
        <v>36567.004042231762</v>
      </c>
      <c r="AB146" s="46">
        <f>SUM(AA$146,'Statistics NZ'!AB$146-'Statistics NZ'!AA$146,$H$13/5*(AB$8-AB$9)*1000)</f>
        <v>36190.138613720264</v>
      </c>
      <c r="AC146" s="46">
        <f>SUM(AB$146,'Statistics NZ'!AC$146-'Statistics NZ'!AB$146,$H$13/5*(AC$8-AC$9)*1000)</f>
        <v>35430.138613720264</v>
      </c>
      <c r="AD146" s="46">
        <f>SUM(AC$146,'Statistics NZ'!AD$146-'Statistics NZ'!AC$146,$H$13/5*(AD$8-AD$9)*1000)</f>
        <v>36140.138613720264</v>
      </c>
      <c r="AE146" s="46">
        <f>SUM(AD$146,'Statistics NZ'!AE$146-'Statistics NZ'!AD$146,$H$13/5*(AE$8-AE$9)*1000)</f>
        <v>37140.138613720264</v>
      </c>
      <c r="AF146" s="46">
        <f>SUM(AE$146,'Statistics NZ'!AF$146-'Statistics NZ'!AE$146,$H$13/5*(AF$8-AF$9)*1000)</f>
        <v>37520.138613720264</v>
      </c>
      <c r="AG146" s="46">
        <f>SUM(AF$146,'Statistics NZ'!AG$146-'Statistics NZ'!AF$146,$H$13/5*(AG$8-AG$9)*1000)</f>
        <v>38440.138613720264</v>
      </c>
      <c r="AH146" s="46">
        <f>SUM(AG$146,'Statistics NZ'!AH$146-'Statistics NZ'!AG$146,$H$13/5*(AH$8-AH$9)*1000)</f>
        <v>41240.138613720264</v>
      </c>
      <c r="AI146" s="46">
        <f>SUM(AH$146,'Statistics NZ'!AI$146-'Statistics NZ'!AH$146,$H$13/5*(AI$8-AI$9)*1000)</f>
        <v>43010.138613720264</v>
      </c>
      <c r="AJ146" s="46">
        <f>SUM(AI$146,'Statistics NZ'!AJ$146-'Statistics NZ'!AI$146,$H$13/5*(AJ$8-AJ$9)*1000)</f>
        <v>43200.138613720264</v>
      </c>
      <c r="AK146" s="46">
        <f>SUM(AJ$146,'Statistics NZ'!AK$146-'Statistics NZ'!AJ$146,$H$13/5*(AK$8-AK$9)*1000)</f>
        <v>43820.138613720264</v>
      </c>
      <c r="AL146" s="46">
        <f>SUM(AK$146,'Statistics NZ'!AL$146-'Statistics NZ'!AK$146,$H$13/5*(AL$8-AL$9)*1000)</f>
        <v>43830.138613720264</v>
      </c>
      <c r="AM146" s="46">
        <f>SUM(AL$146,'Statistics NZ'!AM$146-'Statistics NZ'!AL$146,$H$13/5*(AM$8-AM$9)*1000)</f>
        <v>43820.138613720264</v>
      </c>
      <c r="AN146" s="46">
        <f>SUM(AM$146,'Statistics NZ'!AN$146-'Statistics NZ'!AM$146,$H$13/5*(AN$8-AN$9)*1000)</f>
        <v>43890.138613720264</v>
      </c>
      <c r="AO146" s="46">
        <f>SUM(AN$146,'Statistics NZ'!AO$146-'Statistics NZ'!AN$146,$H$13/5*(AO$8-AO$9)*1000)</f>
        <v>43650.138613720264</v>
      </c>
      <c r="AP146" s="46">
        <f>SUM(AO$146,'Statistics NZ'!AP$146-'Statistics NZ'!AO$146,$H$13/5*(AP$8-AP$9)*1000)</f>
        <v>43810.138613720264</v>
      </c>
      <c r="AQ146" s="46">
        <f>SUM(AP$146,'Statistics NZ'!AQ$146-'Statistics NZ'!AP$146,$H$13/5*(AQ$8-AQ$9)*1000)</f>
        <v>43660.138613720264</v>
      </c>
      <c r="AR146" s="46">
        <f>SUM(AQ$146,'Statistics NZ'!AR$146-'Statistics NZ'!AQ$146,$H$13/5*(AR$8-AR$9)*1000)</f>
        <v>43460.138613720264</v>
      </c>
      <c r="AS146" s="46">
        <f>SUM(AR$146,'Statistics NZ'!AS$146-'Statistics NZ'!AR$146,$H$13/5*(AS$8-AS$9)*1000)</f>
        <v>43290.138613720264</v>
      </c>
      <c r="AT146" s="46">
        <f>SUM(AS$146,'Statistics NZ'!AT$146-'Statistics NZ'!AS$146,$H$13/5*(AT$8-AT$9)*1000)</f>
        <v>43670.138613720264</v>
      </c>
      <c r="AU146" s="46">
        <f>SUM(AT$146,'Statistics NZ'!AU$146-'Statistics NZ'!AT$146,$H$13/5*(AU$8-AU$9)*1000)</f>
        <v>42960.138613720264</v>
      </c>
      <c r="AV146" s="46">
        <f>SUM(AU$146,'Statistics NZ'!AV$146-'Statistics NZ'!AU$146,$H$13/5*(AV$8-AV$9)*1000)</f>
        <v>43660.138613720264</v>
      </c>
      <c r="AW146" s="46">
        <f>SUM(AV$146,'Statistics NZ'!AW$146-'Statistics NZ'!AV$146,$H$13/5*(AW$8-AW$9)*1000)</f>
        <v>43050.138613720264</v>
      </c>
      <c r="AX146" s="46">
        <f>SUM(AW$146,'Statistics NZ'!AX$146-'Statistics NZ'!AW$146,$H$13/5*(AX$8-AX$9)*1000)</f>
        <v>41550.138613720264</v>
      </c>
      <c r="AY146" s="46">
        <f>SUM(AX$146,'Statistics NZ'!AY$146-'Statistics NZ'!AX$146,$H$13/5*(AY$8-AY$9)*1000)</f>
        <v>41460.138613720264</v>
      </c>
      <c r="AZ146" s="46">
        <f>SUM(AY$146,'Statistics NZ'!AZ$146-'Statistics NZ'!AY$146,$H$13/5*(AZ$8-AZ$9)*1000)</f>
        <v>42190.138613720264</v>
      </c>
      <c r="BA146" s="46">
        <f>SUM(AZ$146,'Statistics NZ'!BA$146-'Statistics NZ'!AZ$146,$H$13/5*(BA$8-BA$9)*1000)</f>
        <v>42320.138613720264</v>
      </c>
      <c r="BB146" s="46">
        <f>SUM(BA$146,'Statistics NZ'!BB$146-'Statistics NZ'!BA$146,$H$13/5*(BB$8-BB$9)*1000)</f>
        <v>42420.138613720264</v>
      </c>
      <c r="BC146" s="46">
        <f>SUM(BB$146,'Statistics NZ'!BC$146-'Statistics NZ'!BB$146,$H$13/5*(BC$8-BC$9)*1000)</f>
        <v>42510.138613720264</v>
      </c>
      <c r="BD146" s="46">
        <f>SUM(BC$146,'Statistics NZ'!BD$146-'Statistics NZ'!BC$146,$H$13/5*(BD$8-BD$9)*1000)</f>
        <v>42590.138613720264</v>
      </c>
      <c r="BE146" s="46">
        <f>SUM(BD$146,'Statistics NZ'!BE$146-'Statistics NZ'!BD$146,$H$13/5*(BE$8-BE$9)*1000)</f>
        <v>42660.138613720264</v>
      </c>
      <c r="BF146" s="46">
        <f>SUM(BE$146,'Statistics NZ'!BF$146-'Statistics NZ'!BE$146,$H$13/5*(BF$8-BF$9)*1000)</f>
        <v>42750.138613720264</v>
      </c>
      <c r="BG146" s="46">
        <f>SUM(BF$146,'Statistics NZ'!BG$146-'Statistics NZ'!BF$146,$H$13/5*(BG$8-BG$9)*1000)</f>
        <v>42860.138613720264</v>
      </c>
      <c r="BH146" s="46">
        <f>SUM(BG$146,'Statistics NZ'!BH$146-'Statistics NZ'!BG$146,$H$13/5*(BH$8-BH$9)*1000)</f>
        <v>43000.138613720264</v>
      </c>
      <c r="BI146" s="46">
        <f>SUM(BH$146,'Statistics NZ'!BI$146-'Statistics NZ'!BH$146,$H$13/5*(BI$8-BI$9)*1000)</f>
        <v>43180.138613720264</v>
      </c>
    </row>
    <row r="147" spans="1:61" x14ac:dyDescent="0.25">
      <c r="A147" s="11">
        <f>$A$47</f>
        <v>32</v>
      </c>
      <c r="B147" s="44">
        <f>'Statistics NZ'!B$147*'Economic Forecasts'!D$9*1000000/SUM('Statistics NZ'!B$30:B$110,'Statistics NZ'!B$130:B$210)</f>
        <v>26494.91190175711</v>
      </c>
      <c r="C147" s="44">
        <f>'Statistics NZ'!C$147*'Economic Forecasts'!E$9*1000000/SUM('Statistics NZ'!C$30:C$110,'Statistics NZ'!C$130:C$210)</f>
        <v>25875.906210240777</v>
      </c>
      <c r="D147" s="44">
        <f>'Statistics NZ'!D$147*'Economic Forecasts'!F$9*1000000/SUM('Statistics NZ'!D$30:D$110,'Statistics NZ'!D$130:D$210)</f>
        <v>25097.059068318551</v>
      </c>
      <c r="E147" s="44">
        <f>'Statistics NZ'!E$147*'Economic Forecasts'!G$9*1000000/SUM('Statistics NZ'!E$30:E$110,'Statistics NZ'!E$130:E$210)</f>
        <v>25135.399713062703</v>
      </c>
      <c r="F147" s="44">
        <f>'Statistics NZ'!F$147*'Economic Forecasts'!H$9*1000000/SUM('Statistics NZ'!F$30:F$110,'Statistics NZ'!F$130:F$210)</f>
        <v>24659.402006094391</v>
      </c>
      <c r="G147" s="44">
        <f>'Statistics NZ'!G$147*'Economic Forecasts'!I$9*1000000/SUM('Statistics NZ'!G$30:G$110,'Statistics NZ'!G$130:G$210)</f>
        <v>25017.83684492379</v>
      </c>
      <c r="H147" s="44">
        <f>'Statistics NZ'!H$147*'Economic Forecasts'!J$9*1000000/SUM('Statistics NZ'!H$30:H$110,'Statistics NZ'!H$130:H$210)</f>
        <v>25162.176223568324</v>
      </c>
      <c r="I147" s="44">
        <f>'Statistics NZ'!I$147*'Economic Forecasts'!K$9*1000000/SUM('Statistics NZ'!I$30:I$110,'Statistics NZ'!I$130:I$210)</f>
        <v>25518.654462812494</v>
      </c>
      <c r="J147" s="44">
        <f>'Statistics NZ'!J$147*'Economic Forecasts'!L$9*1000000/SUM('Statistics NZ'!J$30:J$110,'Statistics NZ'!J$130:J$210)</f>
        <v>26242.315118427407</v>
      </c>
      <c r="K147" s="44">
        <f>'Statistics NZ'!K$147*'Economic Forecasts'!M$9*1000000/SUM('Statistics NZ'!K$30:K$110,'Statistics NZ'!K$130:K$210)</f>
        <v>27689.807809986949</v>
      </c>
      <c r="L147" s="44">
        <f>'Statistics NZ'!L$147*'Economic Forecasts'!N$9*1000000/SUM('Statistics NZ'!L$30:L$110,'Statistics NZ'!L$130:L$210)</f>
        <v>29122.215537101103</v>
      </c>
      <c r="M147" s="44">
        <f>'Statistics NZ'!M$147*'Economic Forecasts'!O$9*1000000/SUM('Statistics NZ'!M$30:M$110,'Statistics NZ'!M$130:M$210)</f>
        <v>30314.987631328466</v>
      </c>
      <c r="N147" s="44">
        <f>'Statistics NZ'!N$147*'Economic Forecasts'!P$9*1000000/SUM('Statistics NZ'!N$30:N$110,'Statistics NZ'!N$130:N$210)</f>
        <v>32348.99270132064</v>
      </c>
      <c r="O147" s="44">
        <f>'Statistics NZ'!O$147*'Economic Forecasts'!Q$9*1000000/SUM('Statistics NZ'!O$30:O$110,'Statistics NZ'!O$130:O$210)</f>
        <v>34552.452469161944</v>
      </c>
      <c r="P147" s="44">
        <f>'Statistics NZ'!P$147*'Economic Forecasts'!R$9*1000000/SUM('Statistics NZ'!P$30:P$110,'Statistics NZ'!P$130:P$210)</f>
        <v>36688.473971007705</v>
      </c>
      <c r="Q147" s="44">
        <f>'Statistics NZ'!Q$147*'Economic Forecasts'!S$9*1000000/SUM('Statistics NZ'!Q$30:Q$110,'Statistics NZ'!Q$130:Q$210)</f>
        <v>37442.137663467169</v>
      </c>
      <c r="R147" s="44">
        <f>'Statistics NZ'!R$147*'Economic Forecasts'!T$9*1000000/SUM('Statistics NZ'!R$30:R$110,'Statistics NZ'!R$130:R$210)</f>
        <v>38467.903489004588</v>
      </c>
      <c r="S147" s="44">
        <f>'Statistics NZ'!S$147*'Economic Forecasts'!U$9*1000000/SUM('Statistics NZ'!S$30:S$110,'Statistics NZ'!S$130:S$210)</f>
        <v>40797.211203411709</v>
      </c>
      <c r="T147" s="44">
        <f>'Statistics NZ'!T$147*'Economic Forecasts'!V$9*1000000/SUM('Statistics NZ'!T$30:T$110,'Statistics NZ'!T$130:T$210)</f>
        <v>41549.224366776791</v>
      </c>
      <c r="U147" s="45">
        <f>SUM('Statistics NZ'!U$147,$H$13/5*(U$8-U$9)*1000)*'Economic Forecasts'!W$9*1000000/SUM('Statistics NZ'!U$30:U$110,'Statistics NZ'!U$130:U$210,SUM($E$12:$T$13)*(U$8-U$9)*1000)</f>
        <v>40648.157390633176</v>
      </c>
      <c r="V147" s="45">
        <f>SUM('Statistics NZ'!V$147,$H$13/5*(V$8-V$9)*1000)*'Economic Forecasts'!X$9*1000000/SUM('Statistics NZ'!V$30:V$110,'Statistics NZ'!V$130:V$210,SUM($E$12:$T$13)*(V$8-V$9)*1000)</f>
        <v>39418.980515775067</v>
      </c>
      <c r="W147" s="45">
        <f>SUM('Statistics NZ'!W$147,$H$13/5*(W$8-W$9)*1000)*'Economic Forecasts'!Y$9*1000000/SUM('Statistics NZ'!W$30:W$110,'Statistics NZ'!W$130:W$210,SUM($E$12:$T$13)*(W$8-W$9)*1000)</f>
        <v>38949.814591412513</v>
      </c>
      <c r="X147" s="45">
        <f>SUM('Statistics NZ'!X$147,$H$13/5*(X$8-X$9)*1000)*'Economic Forecasts'!Z$9*1000000/SUM('Statistics NZ'!X$30:X$110,'Statistics NZ'!X$130:X$210,SUM($E$12:$T$13)*(X$8-X$9)*1000)</f>
        <v>38374.292865539843</v>
      </c>
      <c r="Y147" s="45">
        <f>SUM('Statistics NZ'!Y$147,$H$13/5*(Y$8-Y$9)*1000)*'Economic Forecasts'!AA$9*1000000/SUM('Statistics NZ'!Y$30:Y$110,'Statistics NZ'!Y$130:Y$210,SUM($E$12:$T$13)*(Y$8-Y$9)*1000)</f>
        <v>36885.936789563893</v>
      </c>
      <c r="Z147" s="46">
        <f>SUM(Y$147,'Statistics NZ'!Z$147-'Statistics NZ'!Y$147,$H$13/5*(Z$8-Z$9)*1000)</f>
        <v>36732.845973451411</v>
      </c>
      <c r="AA147" s="46">
        <f>SUM(Z$147,'Statistics NZ'!AA$147-'Statistics NZ'!Z$147,$H$13/5*(AA$8-AA$9)*1000)</f>
        <v>36060.991483783924</v>
      </c>
      <c r="AB147" s="46">
        <f>SUM(AA$147,'Statistics NZ'!AB$147-'Statistics NZ'!AA$147,$H$13/5*(AB$8-AB$9)*1000)</f>
        <v>37044.126055272427</v>
      </c>
      <c r="AC147" s="46">
        <f>SUM(AB$147,'Statistics NZ'!AC$147-'Statistics NZ'!AB$147,$H$13/5*(AC$8-AC$9)*1000)</f>
        <v>36664.126055272427</v>
      </c>
      <c r="AD147" s="46">
        <f>SUM(AC$147,'Statistics NZ'!AD$147-'Statistics NZ'!AC$147,$H$13/5*(AD$8-AD$9)*1000)</f>
        <v>35904.126055272427</v>
      </c>
      <c r="AE147" s="46">
        <f>SUM(AD$147,'Statistics NZ'!AE$147-'Statistics NZ'!AD$147,$H$13/5*(AE$8-AE$9)*1000)</f>
        <v>36614.126055272427</v>
      </c>
      <c r="AF147" s="46">
        <f>SUM(AE$147,'Statistics NZ'!AF$147-'Statistics NZ'!AE$147,$H$13/5*(AF$8-AF$9)*1000)</f>
        <v>37614.126055272427</v>
      </c>
      <c r="AG147" s="46">
        <f>SUM(AF$147,'Statistics NZ'!AG$147-'Statistics NZ'!AF$147,$H$13/5*(AG$8-AG$9)*1000)</f>
        <v>38004.126055272427</v>
      </c>
      <c r="AH147" s="46">
        <f>SUM(AG$147,'Statistics NZ'!AH$147-'Statistics NZ'!AG$147,$H$13/5*(AH$8-AH$9)*1000)</f>
        <v>38924.126055272427</v>
      </c>
      <c r="AI147" s="46">
        <f>SUM(AH$147,'Statistics NZ'!AI$147-'Statistics NZ'!AH$147,$H$13/5*(AI$8-AI$9)*1000)</f>
        <v>41724.126055272427</v>
      </c>
      <c r="AJ147" s="46">
        <f>SUM(AI$147,'Statistics NZ'!AJ$147-'Statistics NZ'!AI$147,$H$13/5*(AJ$8-AJ$9)*1000)</f>
        <v>43494.126055272427</v>
      </c>
      <c r="AK147" s="46">
        <f>SUM(AJ$147,'Statistics NZ'!AK$147-'Statistics NZ'!AJ$147,$H$13/5*(AK$8-AK$9)*1000)</f>
        <v>43694.126055272427</v>
      </c>
      <c r="AL147" s="46">
        <f>SUM(AK$147,'Statistics NZ'!AL$147-'Statistics NZ'!AK$147,$H$13/5*(AL$8-AL$9)*1000)</f>
        <v>44304.126055272427</v>
      </c>
      <c r="AM147" s="46">
        <f>SUM(AL$147,'Statistics NZ'!AM$147-'Statistics NZ'!AL$147,$H$13/5*(AM$8-AM$9)*1000)</f>
        <v>44324.126055272427</v>
      </c>
      <c r="AN147" s="46">
        <f>SUM(AM$147,'Statistics NZ'!AN$147-'Statistics NZ'!AM$147,$H$13/5*(AN$8-AN$9)*1000)</f>
        <v>44314.126055272427</v>
      </c>
      <c r="AO147" s="46">
        <f>SUM(AN$147,'Statistics NZ'!AO$147-'Statistics NZ'!AN$147,$H$13/5*(AO$8-AO$9)*1000)</f>
        <v>44384.126055272427</v>
      </c>
      <c r="AP147" s="46">
        <f>SUM(AO$147,'Statistics NZ'!AP$147-'Statistics NZ'!AO$147,$H$13/5*(AP$8-AP$9)*1000)</f>
        <v>44154.126055272427</v>
      </c>
      <c r="AQ147" s="46">
        <f>SUM(AP$147,'Statistics NZ'!AQ$147-'Statistics NZ'!AP$147,$H$13/5*(AQ$8-AQ$9)*1000)</f>
        <v>44314.126055272427</v>
      </c>
      <c r="AR147" s="46">
        <f>SUM(AQ$147,'Statistics NZ'!AR$147-'Statistics NZ'!AQ$147,$H$13/5*(AR$8-AR$9)*1000)</f>
        <v>44164.126055272427</v>
      </c>
      <c r="AS147" s="46">
        <f>SUM(AR$147,'Statistics NZ'!AS$147-'Statistics NZ'!AR$147,$H$13/5*(AS$8-AS$9)*1000)</f>
        <v>43974.126055272427</v>
      </c>
      <c r="AT147" s="46">
        <f>SUM(AS$147,'Statistics NZ'!AT$147-'Statistics NZ'!AS$147,$H$13/5*(AT$8-AT$9)*1000)</f>
        <v>43804.126055272427</v>
      </c>
      <c r="AU147" s="46">
        <f>SUM(AT$147,'Statistics NZ'!AU$147-'Statistics NZ'!AT$147,$H$13/5*(AU$8-AU$9)*1000)</f>
        <v>44184.126055272427</v>
      </c>
      <c r="AV147" s="46">
        <f>SUM(AU$147,'Statistics NZ'!AV$147-'Statistics NZ'!AU$147,$H$13/5*(AV$8-AV$9)*1000)</f>
        <v>43474.126055272427</v>
      </c>
      <c r="AW147" s="46">
        <f>SUM(AV$147,'Statistics NZ'!AW$147-'Statistics NZ'!AV$147,$H$13/5*(AW$8-AW$9)*1000)</f>
        <v>44184.126055272427</v>
      </c>
      <c r="AX147" s="46">
        <f>SUM(AW$147,'Statistics NZ'!AX$147-'Statistics NZ'!AW$147,$H$13/5*(AX$8-AX$9)*1000)</f>
        <v>43574.126055272427</v>
      </c>
      <c r="AY147" s="46">
        <f>SUM(AX$147,'Statistics NZ'!AY$147-'Statistics NZ'!AX$147,$H$13/5*(AY$8-AY$9)*1000)</f>
        <v>42084.126055272427</v>
      </c>
      <c r="AZ147" s="46">
        <f>SUM(AY$147,'Statistics NZ'!AZ$147-'Statistics NZ'!AY$147,$H$13/5*(AZ$8-AZ$9)*1000)</f>
        <v>41994.126055272427</v>
      </c>
      <c r="BA147" s="46">
        <f>SUM(AZ$147,'Statistics NZ'!BA$147-'Statistics NZ'!AZ$147,$H$13/5*(BA$8-BA$9)*1000)</f>
        <v>42724.126055272427</v>
      </c>
      <c r="BB147" s="46">
        <f>SUM(BA$147,'Statistics NZ'!BB$147-'Statistics NZ'!BA$147,$H$13/5*(BB$8-BB$9)*1000)</f>
        <v>42854.126055272427</v>
      </c>
      <c r="BC147" s="46">
        <f>SUM(BB$147,'Statistics NZ'!BC$147-'Statistics NZ'!BB$147,$H$13/5*(BC$8-BC$9)*1000)</f>
        <v>42964.126055272427</v>
      </c>
      <c r="BD147" s="46">
        <f>SUM(BC$147,'Statistics NZ'!BD$147-'Statistics NZ'!BC$147,$H$13/5*(BD$8-BD$9)*1000)</f>
        <v>43054.126055272427</v>
      </c>
      <c r="BE147" s="46">
        <f>SUM(BD$147,'Statistics NZ'!BE$147-'Statistics NZ'!BD$147,$H$13/5*(BE$8-BE$9)*1000)</f>
        <v>43134.126055272427</v>
      </c>
      <c r="BF147" s="46">
        <f>SUM(BE$147,'Statistics NZ'!BF$147-'Statistics NZ'!BE$147,$H$13/5*(BF$8-BF$9)*1000)</f>
        <v>43214.126055272427</v>
      </c>
      <c r="BG147" s="46">
        <f>SUM(BF$147,'Statistics NZ'!BG$147-'Statistics NZ'!BF$147,$H$13/5*(BG$8-BG$9)*1000)</f>
        <v>43304.126055272427</v>
      </c>
      <c r="BH147" s="46">
        <f>SUM(BG$147,'Statistics NZ'!BH$147-'Statistics NZ'!BG$147,$H$13/5*(BH$8-BH$9)*1000)</f>
        <v>43414.126055272427</v>
      </c>
      <c r="BI147" s="46">
        <f>SUM(BH$147,'Statistics NZ'!BI$147-'Statistics NZ'!BH$147,$H$13/5*(BI$8-BI$9)*1000)</f>
        <v>43554.126055272427</v>
      </c>
    </row>
    <row r="148" spans="1:61" x14ac:dyDescent="0.25">
      <c r="A148" s="11">
        <f>$A$48</f>
        <v>33</v>
      </c>
      <c r="B148" s="44">
        <f>'Statistics NZ'!B$148*'Economic Forecasts'!D$9*1000000/SUM('Statistics NZ'!B$30:B$110,'Statistics NZ'!B$130:B$210)</f>
        <v>27659.200866420731</v>
      </c>
      <c r="C148" s="44">
        <f>'Statistics NZ'!C$148*'Economic Forecasts'!E$9*1000000/SUM('Statistics NZ'!C$30:C$110,'Statistics NZ'!C$130:C$210)</f>
        <v>26867.73411431452</v>
      </c>
      <c r="D148" s="44">
        <f>'Statistics NZ'!D$148*'Economic Forecasts'!F$9*1000000/SUM('Statistics NZ'!D$30:D$110,'Statistics NZ'!D$130:D$210)</f>
        <v>25990.926925546333</v>
      </c>
      <c r="E148" s="44">
        <f>'Statistics NZ'!E$148*'Economic Forecasts'!G$9*1000000/SUM('Statistics NZ'!E$30:E$110,'Statistics NZ'!E$130:E$210)</f>
        <v>25204.04887341832</v>
      </c>
      <c r="F148" s="44">
        <f>'Statistics NZ'!F$148*'Economic Forecasts'!H$9*1000000/SUM('Statistics NZ'!F$30:F$110,'Statistics NZ'!F$130:F$210)</f>
        <v>25179.270067479833</v>
      </c>
      <c r="G148" s="44">
        <f>'Statistics NZ'!G$148*'Economic Forecasts'!I$9*1000000/SUM('Statistics NZ'!G$30:G$110,'Statistics NZ'!G$130:G$210)</f>
        <v>24585.648065506182</v>
      </c>
      <c r="H148" s="44">
        <f>'Statistics NZ'!H$148*'Economic Forecasts'!J$9*1000000/SUM('Statistics NZ'!H$30:H$110,'Statistics NZ'!H$130:H$210)</f>
        <v>24896.897520703682</v>
      </c>
      <c r="I148" s="44">
        <f>'Statistics NZ'!I$148*'Economic Forecasts'!K$9*1000000/SUM('Statistics NZ'!I$30:I$110,'Statistics NZ'!I$130:I$210)</f>
        <v>25067.690918713619</v>
      </c>
      <c r="J148" s="44">
        <f>'Statistics NZ'!J$148*'Economic Forecasts'!L$9*1000000/SUM('Statistics NZ'!J$30:J$110,'Statistics NZ'!J$130:J$210)</f>
        <v>26115.540649256262</v>
      </c>
      <c r="K148" s="44">
        <f>'Statistics NZ'!K$148*'Economic Forecasts'!M$9*1000000/SUM('Statistics NZ'!K$30:K$110,'Statistics NZ'!K$130:K$210)</f>
        <v>27134.843307466115</v>
      </c>
      <c r="L148" s="44">
        <f>'Statistics NZ'!L$148*'Economic Forecasts'!N$9*1000000/SUM('Statistics NZ'!L$30:L$110,'Statistics NZ'!L$130:L$210)</f>
        <v>28810.643856329709</v>
      </c>
      <c r="M148" s="44">
        <f>'Statistics NZ'!M$148*'Economic Forecasts'!O$9*1000000/SUM('Statistics NZ'!M$30:M$110,'Statistics NZ'!M$130:M$210)</f>
        <v>30383.374648221568</v>
      </c>
      <c r="N148" s="44">
        <f>'Statistics NZ'!N$148*'Economic Forecasts'!P$9*1000000/SUM('Statistics NZ'!N$30:N$110,'Statistics NZ'!N$130:N$210)</f>
        <v>31448.778748349832</v>
      </c>
      <c r="O148" s="44">
        <f>'Statistics NZ'!O$148*'Economic Forecasts'!Q$9*1000000/SUM('Statistics NZ'!O$30:O$110,'Statistics NZ'!O$130:O$210)</f>
        <v>33293.854314337601</v>
      </c>
      <c r="P148" s="44">
        <f>'Statistics NZ'!P$148*'Economic Forecasts'!R$9*1000000/SUM('Statistics NZ'!P$30:P$110,'Statistics NZ'!P$130:P$210)</f>
        <v>35597.84177744</v>
      </c>
      <c r="Q148" s="44">
        <f>'Statistics NZ'!Q$148*'Economic Forecasts'!S$9*1000000/SUM('Statistics NZ'!Q$30:Q$110,'Statistics NZ'!Q$130:Q$210)</f>
        <v>36935.491597975837</v>
      </c>
      <c r="R148" s="44">
        <f>'Statistics NZ'!R$148*'Economic Forecasts'!T$9*1000000/SUM('Statistics NZ'!R$30:R$110,'Statistics NZ'!R$130:R$210)</f>
        <v>37213.190613101251</v>
      </c>
      <c r="S148" s="44">
        <f>'Statistics NZ'!S$148*'Economic Forecasts'!U$9*1000000/SUM('Statistics NZ'!S$30:S$110,'Statistics NZ'!S$130:S$210)</f>
        <v>40266.739398696023</v>
      </c>
      <c r="T148" s="44">
        <f>'Statistics NZ'!T$148*'Economic Forecasts'!V$9*1000000/SUM('Statistics NZ'!T$30:T$110,'Statistics NZ'!T$130:T$210)</f>
        <v>42064.625050715818</v>
      </c>
      <c r="U148" s="45">
        <f>SUM('Statistics NZ'!U$148,$H$13/5*(U$8-U$9)*1000)*'Economic Forecasts'!W$9*1000000/SUM('Statistics NZ'!U$30:U$110,'Statistics NZ'!U$130:U$210,SUM($E$12:$T$13)*(U$8-U$9)*1000)</f>
        <v>42015.040247657096</v>
      </c>
      <c r="V148" s="45">
        <f>SUM('Statistics NZ'!V$148,$H$13/5*(V$8-V$9)*1000)*'Economic Forecasts'!X$9*1000000/SUM('Statistics NZ'!V$30:V$110,'Statistics NZ'!V$130:V$210,SUM($E$12:$T$13)*(V$8-V$9)*1000)</f>
        <v>41032.813859598078</v>
      </c>
      <c r="W148" s="45">
        <f>SUM('Statistics NZ'!W$148,$H$13/5*(W$8-W$9)*1000)*'Economic Forecasts'!Y$9*1000000/SUM('Statistics NZ'!W$30:W$110,'Statistics NZ'!W$130:W$210,SUM($E$12:$T$13)*(W$8-W$9)*1000)</f>
        <v>39831.181205147215</v>
      </c>
      <c r="X148" s="45">
        <f>SUM('Statistics NZ'!X$148,$H$13/5*(X$8-X$9)*1000)*'Economic Forecasts'!Z$9*1000000/SUM('Statistics NZ'!X$30:X$110,'Statistics NZ'!X$130:X$210,SUM($E$12:$T$13)*(X$8-X$9)*1000)</f>
        <v>39364.818977316521</v>
      </c>
      <c r="Y148" s="45">
        <f>SUM('Statistics NZ'!Y$148,$H$13/5*(Y$8-Y$9)*1000)*'Economic Forecasts'!AA$9*1000000/SUM('Statistics NZ'!Y$30:Y$110,'Statistics NZ'!Y$130:Y$210,SUM($E$12:$T$13)*(Y$8-Y$9)*1000)</f>
        <v>38828.081312961214</v>
      </c>
      <c r="Z148" s="46">
        <f>SUM(Y$148,'Statistics NZ'!Z$148-'Statistics NZ'!Y$148,$H$13/5*(Z$8-Z$9)*1000)</f>
        <v>37394.990496848732</v>
      </c>
      <c r="AA148" s="46">
        <f>SUM(Z$148,'Statistics NZ'!AA$148-'Statistics NZ'!Z$148,$H$13/5*(AA$8-AA$9)*1000)</f>
        <v>37233.136007181245</v>
      </c>
      <c r="AB148" s="46">
        <f>SUM(AA$148,'Statistics NZ'!AB$148-'Statistics NZ'!AA$148,$H$13/5*(AB$8-AB$9)*1000)</f>
        <v>36536.270578669748</v>
      </c>
      <c r="AC148" s="46">
        <f>SUM(AB$148,'Statistics NZ'!AC$148-'Statistics NZ'!AB$148,$H$13/5*(AC$8-AC$9)*1000)</f>
        <v>37516.270578669748</v>
      </c>
      <c r="AD148" s="46">
        <f>SUM(AC$148,'Statistics NZ'!AD$148-'Statistics NZ'!AC$148,$H$13/5*(AD$8-AD$9)*1000)</f>
        <v>37136.270578669748</v>
      </c>
      <c r="AE148" s="46">
        <f>SUM(AD$148,'Statistics NZ'!AE$148-'Statistics NZ'!AD$148,$H$13/5*(AE$8-AE$9)*1000)</f>
        <v>36386.270578669748</v>
      </c>
      <c r="AF148" s="46">
        <f>SUM(AE$148,'Statistics NZ'!AF$148-'Statistics NZ'!AE$148,$H$13/5*(AF$8-AF$9)*1000)</f>
        <v>37096.270578669748</v>
      </c>
      <c r="AG148" s="46">
        <f>SUM(AF$148,'Statistics NZ'!AG$148-'Statistics NZ'!AF$148,$H$13/5*(AG$8-AG$9)*1000)</f>
        <v>38096.270578669748</v>
      </c>
      <c r="AH148" s="46">
        <f>SUM(AG$148,'Statistics NZ'!AH$148-'Statistics NZ'!AG$148,$H$13/5*(AH$8-AH$9)*1000)</f>
        <v>38486.270578669748</v>
      </c>
      <c r="AI148" s="46">
        <f>SUM(AH$148,'Statistics NZ'!AI$148-'Statistics NZ'!AH$148,$H$13/5*(AI$8-AI$9)*1000)</f>
        <v>39416.270578669748</v>
      </c>
      <c r="AJ148" s="46">
        <f>SUM(AI$148,'Statistics NZ'!AJ$148-'Statistics NZ'!AI$148,$H$13/5*(AJ$8-AJ$9)*1000)</f>
        <v>42206.270578669748</v>
      </c>
      <c r="AK148" s="46">
        <f>SUM(AJ$148,'Statistics NZ'!AK$148-'Statistics NZ'!AJ$148,$H$13/5*(AK$8-AK$9)*1000)</f>
        <v>43986.270578669748</v>
      </c>
      <c r="AL148" s="46">
        <f>SUM(AK$148,'Statistics NZ'!AL$148-'Statistics NZ'!AK$148,$H$13/5*(AL$8-AL$9)*1000)</f>
        <v>44186.270578669748</v>
      </c>
      <c r="AM148" s="46">
        <f>SUM(AL$148,'Statistics NZ'!AM$148-'Statistics NZ'!AL$148,$H$13/5*(AM$8-AM$9)*1000)</f>
        <v>44806.270578669748</v>
      </c>
      <c r="AN148" s="46">
        <f>SUM(AM$148,'Statistics NZ'!AN$148-'Statistics NZ'!AM$148,$H$13/5*(AN$8-AN$9)*1000)</f>
        <v>44826.270578669748</v>
      </c>
      <c r="AO148" s="46">
        <f>SUM(AN$148,'Statistics NZ'!AO$148-'Statistics NZ'!AN$148,$H$13/5*(AO$8-AO$9)*1000)</f>
        <v>44816.270578669748</v>
      </c>
      <c r="AP148" s="46">
        <f>SUM(AO$148,'Statistics NZ'!AP$148-'Statistics NZ'!AO$148,$H$13/5*(AP$8-AP$9)*1000)</f>
        <v>44896.270578669748</v>
      </c>
      <c r="AQ148" s="46">
        <f>SUM(AP$148,'Statistics NZ'!AQ$148-'Statistics NZ'!AP$148,$H$13/5*(AQ$8-AQ$9)*1000)</f>
        <v>44666.270578669748</v>
      </c>
      <c r="AR148" s="46">
        <f>SUM(AQ$148,'Statistics NZ'!AR$148-'Statistics NZ'!AQ$148,$H$13/5*(AR$8-AR$9)*1000)</f>
        <v>44826.270578669748</v>
      </c>
      <c r="AS148" s="46">
        <f>SUM(AR$148,'Statistics NZ'!AS$148-'Statistics NZ'!AR$148,$H$13/5*(AS$8-AS$9)*1000)</f>
        <v>44676.270578669748</v>
      </c>
      <c r="AT148" s="46">
        <f>SUM(AS$148,'Statistics NZ'!AT$148-'Statistics NZ'!AS$148,$H$13/5*(AT$8-AT$9)*1000)</f>
        <v>44486.270578669748</v>
      </c>
      <c r="AU148" s="46">
        <f>SUM(AT$148,'Statistics NZ'!AU$148-'Statistics NZ'!AT$148,$H$13/5*(AU$8-AU$9)*1000)</f>
        <v>44316.270578669748</v>
      </c>
      <c r="AV148" s="46">
        <f>SUM(AU$148,'Statistics NZ'!AV$148-'Statistics NZ'!AU$148,$H$13/5*(AV$8-AV$9)*1000)</f>
        <v>44706.270578669748</v>
      </c>
      <c r="AW148" s="46">
        <f>SUM(AV$148,'Statistics NZ'!AW$148-'Statistics NZ'!AV$148,$H$13/5*(AW$8-AW$9)*1000)</f>
        <v>43996.270578669748</v>
      </c>
      <c r="AX148" s="46">
        <f>SUM(AW$148,'Statistics NZ'!AX$148-'Statistics NZ'!AW$148,$H$13/5*(AX$8-AX$9)*1000)</f>
        <v>44716.270578669748</v>
      </c>
      <c r="AY148" s="46">
        <f>SUM(AX$148,'Statistics NZ'!AY$148-'Statistics NZ'!AX$148,$H$13/5*(AY$8-AY$9)*1000)</f>
        <v>44106.270578669748</v>
      </c>
      <c r="AZ148" s="46">
        <f>SUM(AY$148,'Statistics NZ'!AZ$148-'Statistics NZ'!AY$148,$H$13/5*(AZ$8-AZ$9)*1000)</f>
        <v>42616.270578669748</v>
      </c>
      <c r="BA148" s="46">
        <f>SUM(AZ$148,'Statistics NZ'!BA$148-'Statistics NZ'!AZ$148,$H$13/5*(BA$8-BA$9)*1000)</f>
        <v>42526.270578669748</v>
      </c>
      <c r="BB148" s="46">
        <f>SUM(BA$148,'Statistics NZ'!BB$148-'Statistics NZ'!BA$148,$H$13/5*(BB$8-BB$9)*1000)</f>
        <v>43256.270578669748</v>
      </c>
      <c r="BC148" s="46">
        <f>SUM(BB$148,'Statistics NZ'!BC$148-'Statistics NZ'!BB$148,$H$13/5*(BC$8-BC$9)*1000)</f>
        <v>43396.270578669748</v>
      </c>
      <c r="BD148" s="46">
        <f>SUM(BC$148,'Statistics NZ'!BD$148-'Statistics NZ'!BC$148,$H$13/5*(BD$8-BD$9)*1000)</f>
        <v>43506.270578669748</v>
      </c>
      <c r="BE148" s="46">
        <f>SUM(BD$148,'Statistics NZ'!BE$148-'Statistics NZ'!BD$148,$H$13/5*(BE$8-BE$9)*1000)</f>
        <v>43596.270578669748</v>
      </c>
      <c r="BF148" s="46">
        <f>SUM(BE$148,'Statistics NZ'!BF$148-'Statistics NZ'!BE$148,$H$13/5*(BF$8-BF$9)*1000)</f>
        <v>43676.270578669748</v>
      </c>
      <c r="BG148" s="46">
        <f>SUM(BF$148,'Statistics NZ'!BG$148-'Statistics NZ'!BF$148,$H$13/5*(BG$8-BG$9)*1000)</f>
        <v>43766.270578669748</v>
      </c>
      <c r="BH148" s="46">
        <f>SUM(BG$148,'Statistics NZ'!BH$148-'Statistics NZ'!BG$148,$H$13/5*(BH$8-BH$9)*1000)</f>
        <v>43856.270578669748</v>
      </c>
      <c r="BI148" s="46">
        <f>SUM(BH$148,'Statistics NZ'!BI$148-'Statistics NZ'!BH$148,$H$13/5*(BI$8-BI$9)*1000)</f>
        <v>43976.270578669748</v>
      </c>
    </row>
    <row r="149" spans="1:61" x14ac:dyDescent="0.25">
      <c r="A149" s="11">
        <f>$A$49</f>
        <v>34</v>
      </c>
      <c r="B149" s="44">
        <f>'Statistics NZ'!B$149*'Economic Forecasts'!D$9*1000000/SUM('Statistics NZ'!B$30:B$110,'Statistics NZ'!B$130:B$210)</f>
        <v>29028.952589554407</v>
      </c>
      <c r="C149" s="44">
        <f>'Statistics NZ'!C$149*'Economic Forecasts'!E$9*1000000/SUM('Statistics NZ'!C$30:C$110,'Statistics NZ'!C$130:C$210)</f>
        <v>28055.96358355138</v>
      </c>
      <c r="D149" s="44">
        <f>'Statistics NZ'!D$149*'Economic Forecasts'!F$9*1000000/SUM('Statistics NZ'!D$30:D$110,'Statistics NZ'!D$130:D$210)</f>
        <v>27091.071980595909</v>
      </c>
      <c r="E149" s="44">
        <f>'Statistics NZ'!E$149*'Economic Forecasts'!G$9*1000000/SUM('Statistics NZ'!E$30:E$110,'Statistics NZ'!E$130:E$210)</f>
        <v>26135.716049673079</v>
      </c>
      <c r="F149" s="44">
        <f>'Statistics NZ'!F$149*'Economic Forecasts'!H$9*1000000/SUM('Statistics NZ'!F$30:F$110,'Statistics NZ'!F$130:F$210)</f>
        <v>25277.358380948783</v>
      </c>
      <c r="G149" s="44">
        <f>'Statistics NZ'!G$149*'Economic Forecasts'!I$9*1000000/SUM('Statistics NZ'!G$30:G$110,'Statistics NZ'!G$130:G$210)</f>
        <v>25243.753706892083</v>
      </c>
      <c r="H149" s="44">
        <f>'Statistics NZ'!H$149*'Economic Forecasts'!J$9*1000000/SUM('Statistics NZ'!H$30:H$110,'Statistics NZ'!H$130:H$210)</f>
        <v>24543.192583550826</v>
      </c>
      <c r="I149" s="44">
        <f>'Statistics NZ'!I$149*'Economic Forecasts'!K$9*1000000/SUM('Statistics NZ'!I$30:I$110,'Statistics NZ'!I$130:I$210)</f>
        <v>24822.602036051183</v>
      </c>
      <c r="J149" s="44">
        <f>'Statistics NZ'!J$149*'Economic Forecasts'!L$9*1000000/SUM('Statistics NZ'!J$30:J$110,'Statistics NZ'!J$130:J$210)</f>
        <v>25637.698419303477</v>
      </c>
      <c r="K149" s="44">
        <f>'Statistics NZ'!K$149*'Economic Forecasts'!M$9*1000000/SUM('Statistics NZ'!K$30:K$110,'Statistics NZ'!K$130:K$210)</f>
        <v>26969.327578644112</v>
      </c>
      <c r="L149" s="44">
        <f>'Statistics NZ'!L$149*'Economic Forecasts'!N$9*1000000/SUM('Statistics NZ'!L$30:L$110,'Statistics NZ'!L$130:L$210)</f>
        <v>28197.237109811031</v>
      </c>
      <c r="M149" s="44">
        <f>'Statistics NZ'!M$149*'Economic Forecasts'!O$9*1000000/SUM('Statistics NZ'!M$30:M$110,'Statistics NZ'!M$130:M$210)</f>
        <v>30012.130842230436</v>
      </c>
      <c r="N149" s="44">
        <f>'Statistics NZ'!N$149*'Economic Forecasts'!P$9*1000000/SUM('Statistics NZ'!N$30:N$110,'Statistics NZ'!N$130:N$210)</f>
        <v>31497.703419706941</v>
      </c>
      <c r="O149" s="44">
        <f>'Statistics NZ'!O$149*'Economic Forecasts'!Q$9*1000000/SUM('Statistics NZ'!O$30:O$110,'Statistics NZ'!O$130:O$210)</f>
        <v>32379.404092473047</v>
      </c>
      <c r="P149" s="44">
        <f>'Statistics NZ'!P$149*'Economic Forecasts'!R$9*1000000/SUM('Statistics NZ'!P$30:P$110,'Statistics NZ'!P$130:P$210)</f>
        <v>34173.142065121807</v>
      </c>
      <c r="Q149" s="44">
        <f>'Statistics NZ'!Q$149*'Economic Forecasts'!S$9*1000000/SUM('Statistics NZ'!Q$30:Q$110,'Statistics NZ'!Q$130:Q$210)</f>
        <v>35912.265230414916</v>
      </c>
      <c r="R149" s="44">
        <f>'Statistics NZ'!R$149*'Economic Forecasts'!T$9*1000000/SUM('Statistics NZ'!R$30:R$110,'Statistics NZ'!R$130:R$210)</f>
        <v>36864.659258683656</v>
      </c>
      <c r="S149" s="44">
        <f>'Statistics NZ'!S$149*'Economic Forecasts'!U$9*1000000/SUM('Statistics NZ'!S$30:S$110,'Statistics NZ'!S$130:S$210)</f>
        <v>39097.736717933687</v>
      </c>
      <c r="T149" s="44">
        <f>'Statistics NZ'!T$149*'Economic Forecasts'!V$9*1000000/SUM('Statistics NZ'!T$30:T$110,'Statistics NZ'!T$130:T$210)</f>
        <v>41757.366950675249</v>
      </c>
      <c r="U149" s="45">
        <f>SUM('Statistics NZ'!U$149,$H$13/5*(U$8-U$9)*1000)*'Economic Forecasts'!W$9*1000000/SUM('Statistics NZ'!U$30:U$110,'Statistics NZ'!U$130:U$210,SUM($E$12:$T$13)*(U$8-U$9)*1000)</f>
        <v>42530.097556100904</v>
      </c>
      <c r="V149" s="45">
        <f>SUM('Statistics NZ'!V$149,$H$13/5*(V$8-V$9)*1000)*'Economic Forecasts'!X$9*1000000/SUM('Statistics NZ'!V$30:V$110,'Statistics NZ'!V$130:V$210,SUM($E$12:$T$13)*(V$8-V$9)*1000)</f>
        <v>42389.225933854235</v>
      </c>
      <c r="W149" s="45">
        <f>SUM('Statistics NZ'!W$149,$H$13/5*(W$8-W$9)*1000)*'Economic Forecasts'!Y$9*1000000/SUM('Statistics NZ'!W$30:W$110,'Statistics NZ'!W$130:W$210,SUM($E$12:$T$13)*(W$8-W$9)*1000)</f>
        <v>41435.46650205757</v>
      </c>
      <c r="X149" s="45">
        <f>SUM('Statistics NZ'!X$149,$H$13/5*(X$8-X$9)*1000)*'Economic Forecasts'!Z$9*1000000/SUM('Statistics NZ'!X$30:X$110,'Statistics NZ'!X$130:X$210,SUM($E$12:$T$13)*(X$8-X$9)*1000)</f>
        <v>40246.387216797753</v>
      </c>
      <c r="Y149" s="45">
        <f>SUM('Statistics NZ'!Y$149,$H$13/5*(Y$8-Y$9)*1000)*'Economic Forecasts'!AA$9*1000000/SUM('Statistics NZ'!Y$30:Y$110,'Statistics NZ'!Y$130:Y$210,SUM($E$12:$T$13)*(Y$8-Y$9)*1000)</f>
        <v>39818.971375919027</v>
      </c>
      <c r="Z149" s="46">
        <f>SUM(Y$149,'Statistics NZ'!Z$149-'Statistics NZ'!Y$149,$H$13/5*(Z$8-Z$9)*1000)</f>
        <v>39345.880559806545</v>
      </c>
      <c r="AA149" s="46">
        <f>SUM(Z$149,'Statistics NZ'!AA$149-'Statistics NZ'!Z$149,$H$13/5*(AA$8-AA$9)*1000)</f>
        <v>37894.026070139058</v>
      </c>
      <c r="AB149" s="46">
        <f>SUM(AA$149,'Statistics NZ'!AB$149-'Statistics NZ'!AA$149,$H$13/5*(AB$8-AB$9)*1000)</f>
        <v>37717.160641627561</v>
      </c>
      <c r="AC149" s="46">
        <f>SUM(AB$149,'Statistics NZ'!AC$149-'Statistics NZ'!AB$149,$H$13/5*(AC$8-AC$9)*1000)</f>
        <v>37017.160641627561</v>
      </c>
      <c r="AD149" s="46">
        <f>SUM(AC$149,'Statistics NZ'!AD$149-'Statistics NZ'!AC$149,$H$13/5*(AD$8-AD$9)*1000)</f>
        <v>37997.160641627561</v>
      </c>
      <c r="AE149" s="46">
        <f>SUM(AD$149,'Statistics NZ'!AE$149-'Statistics NZ'!AD$149,$H$13/5*(AE$8-AE$9)*1000)</f>
        <v>37617.160641627561</v>
      </c>
      <c r="AF149" s="46">
        <f>SUM(AE$149,'Statistics NZ'!AF$149-'Statistics NZ'!AE$149,$H$13/5*(AF$8-AF$9)*1000)</f>
        <v>36867.160641627561</v>
      </c>
      <c r="AG149" s="46">
        <f>SUM(AF$149,'Statistics NZ'!AG$149-'Statistics NZ'!AF$149,$H$13/5*(AG$8-AG$9)*1000)</f>
        <v>37587.160641627561</v>
      </c>
      <c r="AH149" s="46">
        <f>SUM(AG$149,'Statistics NZ'!AH$149-'Statistics NZ'!AG$149,$H$13/5*(AH$8-AH$9)*1000)</f>
        <v>38597.160641627561</v>
      </c>
      <c r="AI149" s="46">
        <f>SUM(AH$149,'Statistics NZ'!AI$149-'Statistics NZ'!AH$149,$H$13/5*(AI$8-AI$9)*1000)</f>
        <v>38987.160641627561</v>
      </c>
      <c r="AJ149" s="46">
        <f>SUM(AI$149,'Statistics NZ'!AJ$149-'Statistics NZ'!AI$149,$H$13/5*(AJ$8-AJ$9)*1000)</f>
        <v>39907.160641627561</v>
      </c>
      <c r="AK149" s="46">
        <f>SUM(AJ$149,'Statistics NZ'!AK$149-'Statistics NZ'!AJ$149,$H$13/5*(AK$8-AK$9)*1000)</f>
        <v>42707.160641627561</v>
      </c>
      <c r="AL149" s="46">
        <f>SUM(AK$149,'Statistics NZ'!AL$149-'Statistics NZ'!AK$149,$H$13/5*(AL$8-AL$9)*1000)</f>
        <v>44487.160641627561</v>
      </c>
      <c r="AM149" s="46">
        <f>SUM(AL$149,'Statistics NZ'!AM$149-'Statistics NZ'!AL$149,$H$13/5*(AM$8-AM$9)*1000)</f>
        <v>44687.160641627561</v>
      </c>
      <c r="AN149" s="46">
        <f>SUM(AM$149,'Statistics NZ'!AN$149-'Statistics NZ'!AM$149,$H$13/5*(AN$8-AN$9)*1000)</f>
        <v>45307.160641627561</v>
      </c>
      <c r="AO149" s="46">
        <f>SUM(AN$149,'Statistics NZ'!AO$149-'Statistics NZ'!AN$149,$H$13/5*(AO$8-AO$9)*1000)</f>
        <v>45337.160641627561</v>
      </c>
      <c r="AP149" s="46">
        <f>SUM(AO$149,'Statistics NZ'!AP$149-'Statistics NZ'!AO$149,$H$13/5*(AP$8-AP$9)*1000)</f>
        <v>45327.160641627561</v>
      </c>
      <c r="AQ149" s="46">
        <f>SUM(AP$149,'Statistics NZ'!AQ$149-'Statistics NZ'!AP$149,$H$13/5*(AQ$8-AQ$9)*1000)</f>
        <v>45407.160641627561</v>
      </c>
      <c r="AR149" s="46">
        <f>SUM(AQ$149,'Statistics NZ'!AR$149-'Statistics NZ'!AQ$149,$H$13/5*(AR$8-AR$9)*1000)</f>
        <v>45187.160641627561</v>
      </c>
      <c r="AS149" s="46">
        <f>SUM(AR$149,'Statistics NZ'!AS$149-'Statistics NZ'!AR$149,$H$13/5*(AS$8-AS$9)*1000)</f>
        <v>45347.160641627561</v>
      </c>
      <c r="AT149" s="46">
        <f>SUM(AS$149,'Statistics NZ'!AT$149-'Statistics NZ'!AS$149,$H$13/5*(AT$8-AT$9)*1000)</f>
        <v>45207.160641627561</v>
      </c>
      <c r="AU149" s="46">
        <f>SUM(AT$149,'Statistics NZ'!AU$149-'Statistics NZ'!AT$149,$H$13/5*(AU$8-AU$9)*1000)</f>
        <v>45017.160641627561</v>
      </c>
      <c r="AV149" s="46">
        <f>SUM(AU$149,'Statistics NZ'!AV$149-'Statistics NZ'!AU$149,$H$13/5*(AV$8-AV$9)*1000)</f>
        <v>44847.160641627561</v>
      </c>
      <c r="AW149" s="46">
        <f>SUM(AV$149,'Statistics NZ'!AW$149-'Statistics NZ'!AV$149,$H$13/5*(AW$8-AW$9)*1000)</f>
        <v>45247.160641627561</v>
      </c>
      <c r="AX149" s="46">
        <f>SUM(AW$149,'Statistics NZ'!AX$149-'Statistics NZ'!AW$149,$H$13/5*(AX$8-AX$9)*1000)</f>
        <v>44537.160641627561</v>
      </c>
      <c r="AY149" s="46">
        <f>SUM(AX$149,'Statistics NZ'!AY$149-'Statistics NZ'!AX$149,$H$13/5*(AY$8-AY$9)*1000)</f>
        <v>45257.160641627561</v>
      </c>
      <c r="AZ149" s="46">
        <f>SUM(AY$149,'Statistics NZ'!AZ$149-'Statistics NZ'!AY$149,$H$13/5*(AZ$8-AZ$9)*1000)</f>
        <v>44647.160641627561</v>
      </c>
      <c r="BA149" s="46">
        <f>SUM(AZ$149,'Statistics NZ'!BA$149-'Statistics NZ'!AZ$149,$H$13/5*(BA$8-BA$9)*1000)</f>
        <v>43167.160641627561</v>
      </c>
      <c r="BB149" s="46">
        <f>SUM(BA$149,'Statistics NZ'!BB$149-'Statistics NZ'!BA$149,$H$13/5*(BB$8-BB$9)*1000)</f>
        <v>43077.160641627561</v>
      </c>
      <c r="BC149" s="46">
        <f>SUM(BB$149,'Statistics NZ'!BC$149-'Statistics NZ'!BB$149,$H$13/5*(BC$8-BC$9)*1000)</f>
        <v>43817.160641627561</v>
      </c>
      <c r="BD149" s="46">
        <f>SUM(BC$149,'Statistics NZ'!BD$149-'Statistics NZ'!BC$149,$H$13/5*(BD$8-BD$9)*1000)</f>
        <v>43957.160641627561</v>
      </c>
      <c r="BE149" s="46">
        <f>SUM(BD$149,'Statistics NZ'!BE$149-'Statistics NZ'!BD$149,$H$13/5*(BE$8-BE$9)*1000)</f>
        <v>44067.160641627561</v>
      </c>
      <c r="BF149" s="46">
        <f>SUM(BE$149,'Statistics NZ'!BF$149-'Statistics NZ'!BE$149,$H$13/5*(BF$8-BF$9)*1000)</f>
        <v>44157.160641627561</v>
      </c>
      <c r="BG149" s="46">
        <f>SUM(BF$149,'Statistics NZ'!BG$149-'Statistics NZ'!BF$149,$H$13/5*(BG$8-BG$9)*1000)</f>
        <v>44247.160641627561</v>
      </c>
      <c r="BH149" s="46">
        <f>SUM(BG$149,'Statistics NZ'!BH$149-'Statistics NZ'!BG$149,$H$13/5*(BH$8-BH$9)*1000)</f>
        <v>44327.160641627561</v>
      </c>
      <c r="BI149" s="46">
        <f>SUM(BH$149,'Statistics NZ'!BI$149-'Statistics NZ'!BH$149,$H$13/5*(BI$8-BI$9)*1000)</f>
        <v>44427.160641627561</v>
      </c>
    </row>
    <row r="150" spans="1:61" x14ac:dyDescent="0.25">
      <c r="A150" s="11">
        <f>$A$50</f>
        <v>35</v>
      </c>
      <c r="B150" s="44">
        <f>'Statistics NZ'!B$150*'Economic Forecasts'!D$9*1000000/SUM('Statistics NZ'!B$30:B$110,'Statistics NZ'!B$130:B$210)</f>
        <v>29488.797810892145</v>
      </c>
      <c r="C150" s="44">
        <f>'Statistics NZ'!C$150*'Economic Forecasts'!E$9*1000000/SUM('Statistics NZ'!C$30:C$110,'Statistics NZ'!C$130:C$210)</f>
        <v>29371.854070144269</v>
      </c>
      <c r="D150" s="44">
        <f>'Statistics NZ'!D$150*'Economic Forecasts'!F$9*1000000/SUM('Statistics NZ'!D$30:D$110,'Statistics NZ'!D$130:D$210)</f>
        <v>28132.280693410692</v>
      </c>
      <c r="E150" s="44">
        <f>'Statistics NZ'!E$150*'Economic Forecasts'!G$9*1000000/SUM('Statistics NZ'!E$30:E$110,'Statistics NZ'!E$130:E$210)</f>
        <v>27214.488569547018</v>
      </c>
      <c r="F150" s="44">
        <f>'Statistics NZ'!F$150*'Economic Forecasts'!H$9*1000000/SUM('Statistics NZ'!F$30:F$110,'Statistics NZ'!F$130:F$210)</f>
        <v>26268.050346985194</v>
      </c>
      <c r="G150" s="44">
        <f>'Statistics NZ'!G$150*'Economic Forecasts'!I$9*1000000/SUM('Statistics NZ'!G$30:G$110,'Statistics NZ'!G$130:G$210)</f>
        <v>25273.221123670559</v>
      </c>
      <c r="H150" s="44">
        <f>'Statistics NZ'!H$150*'Economic Forecasts'!J$9*1000000/SUM('Statistics NZ'!H$30:H$110,'Statistics NZ'!H$130:H$210)</f>
        <v>25221.127046427133</v>
      </c>
      <c r="I150" s="44">
        <f>'Statistics NZ'!I$150*'Economic Forecasts'!K$9*1000000/SUM('Statistics NZ'!I$30:I$110,'Statistics NZ'!I$130:I$210)</f>
        <v>24479.477600323775</v>
      </c>
      <c r="J150" s="44">
        <f>'Statistics NZ'!J$150*'Economic Forecasts'!L$9*1000000/SUM('Statistics NZ'!J$30:J$110,'Statistics NZ'!J$130:J$210)</f>
        <v>25335.390069741508</v>
      </c>
      <c r="K150" s="44">
        <f>'Statistics NZ'!K$150*'Economic Forecasts'!M$9*1000000/SUM('Statistics NZ'!K$30:K$110,'Statistics NZ'!K$130:K$210)</f>
        <v>26472.780392178098</v>
      </c>
      <c r="L150" s="44">
        <f>'Statistics NZ'!L$150*'Economic Forecasts'!N$9*1000000/SUM('Statistics NZ'!L$30:L$110,'Statistics NZ'!L$130:L$210)</f>
        <v>27924.61188913606</v>
      </c>
      <c r="M150" s="44">
        <f>'Statistics NZ'!M$150*'Economic Forecasts'!O$9*1000000/SUM('Statistics NZ'!M$30:M$110,'Statistics NZ'!M$130:M$210)</f>
        <v>29347.799820983149</v>
      </c>
      <c r="N150" s="44">
        <f>'Statistics NZ'!N$150*'Economic Forecasts'!P$9*1000000/SUM('Statistics NZ'!N$30:N$110,'Statistics NZ'!N$130:N$210)</f>
        <v>31028.02657467869</v>
      </c>
      <c r="O150" s="44">
        <f>'Statistics NZ'!O$150*'Economic Forecasts'!Q$9*1000000/SUM('Statistics NZ'!O$30:O$110,'Statistics NZ'!O$130:O$210)</f>
        <v>32408.902486726744</v>
      </c>
      <c r="P150" s="44">
        <f>'Statistics NZ'!P$150*'Economic Forecasts'!R$9*1000000/SUM('Statistics NZ'!P$30:P$110,'Statistics NZ'!P$130:P$210)</f>
        <v>33465.704966591395</v>
      </c>
      <c r="Q150" s="44">
        <f>'Statistics NZ'!Q$150*'Economic Forecasts'!S$9*1000000/SUM('Statistics NZ'!Q$30:Q$110,'Statistics NZ'!Q$130:Q$210)</f>
        <v>34630.748711819193</v>
      </c>
      <c r="R150" s="44">
        <f>'Statistics NZ'!R$150*'Economic Forecasts'!T$9*1000000/SUM('Statistics NZ'!R$30:R$110,'Statistics NZ'!R$130:R$210)</f>
        <v>35978.393814593212</v>
      </c>
      <c r="S150" s="44">
        <f>'Statistics NZ'!S$150*'Economic Forecasts'!U$9*1000000/SUM('Statistics NZ'!S$30:S$110,'Statistics NZ'!S$130:S$210)</f>
        <v>38626.206224853078</v>
      </c>
      <c r="T150" s="44">
        <f>'Statistics NZ'!T$150*'Economic Forecasts'!V$9*1000000/SUM('Statistics NZ'!T$30:T$110,'Statistics NZ'!T$130:T$210)</f>
        <v>40468.865240827683</v>
      </c>
      <c r="U150" s="45">
        <f>SUM('Statistics NZ'!U$150,$I$13/5*(U$8-U$9)*1000)*'Economic Forecasts'!W$9*1000000/SUM('Statistics NZ'!U$30:U$110,'Statistics NZ'!U$130:U$210,SUM($E$12:$T$13)*(U$8-U$9)*1000)</f>
        <v>42187.345066109956</v>
      </c>
      <c r="V150" s="45">
        <f>SUM('Statistics NZ'!V$150,$I$13/5*(V$8-V$9)*1000)*'Economic Forecasts'!X$9*1000000/SUM('Statistics NZ'!V$30:V$110,'Statistics NZ'!V$130:V$210,SUM($E$12:$T$13)*(V$8-V$9)*1000)</f>
        <v>42876.929985800132</v>
      </c>
      <c r="W150" s="45">
        <f>SUM('Statistics NZ'!W$150,$I$13/5*(W$8-W$9)*1000)*'Economic Forecasts'!Y$9*1000000/SUM('Statistics NZ'!W$30:W$110,'Statistics NZ'!W$130:W$210,SUM($E$12:$T$13)*(W$8-W$9)*1000)</f>
        <v>42780.35702536608</v>
      </c>
      <c r="X150" s="45">
        <f>SUM('Statistics NZ'!X$150,$I$13/5*(X$8-X$9)*1000)*'Economic Forecasts'!Z$9*1000000/SUM('Statistics NZ'!X$30:X$110,'Statistics NZ'!X$130:X$210,SUM($E$12:$T$13)*(X$8-X$9)*1000)</f>
        <v>41846.447356555742</v>
      </c>
      <c r="Y150" s="45">
        <f>SUM('Statistics NZ'!Y$150,$I$13/5*(Y$8-Y$9)*1000)*'Economic Forecasts'!AA$9*1000000/SUM('Statistics NZ'!Y$30:Y$110,'Statistics NZ'!Y$130:Y$210,SUM($E$12:$T$13)*(Y$8-Y$9)*1000)</f>
        <v>40692.689728960853</v>
      </c>
      <c r="Z150" s="46">
        <f>SUM(Y$150,'Statistics NZ'!Z$150-'Statistics NZ'!Y$150,$I$13/5*(Z$8-Z$9)*1000)</f>
        <v>40318.193318842415</v>
      </c>
      <c r="AA150" s="46">
        <f>SUM(Z$150,'Statistics NZ'!AA$150-'Statistics NZ'!Z$150,$I$13/5*(AA$8-AA$9)*1000)</f>
        <v>39819.495472771348</v>
      </c>
      <c r="AB150" s="46">
        <f>SUM(AA$150,'Statistics NZ'!AB$150-'Statistics NZ'!AA$150,$I$13/5*(AB$8-AB$9)*1000)</f>
        <v>38359.436477938187</v>
      </c>
      <c r="AC150" s="46">
        <f>SUM(AB$150,'Statistics NZ'!AC$150-'Statistics NZ'!AB$150,$I$13/5*(AC$8-AC$9)*1000)</f>
        <v>38169.436477938187</v>
      </c>
      <c r="AD150" s="46">
        <f>SUM(AC$150,'Statistics NZ'!AD$150-'Statistics NZ'!AC$150,$I$13/5*(AD$8-AD$9)*1000)</f>
        <v>37479.436477938187</v>
      </c>
      <c r="AE150" s="46">
        <f>SUM(AD$150,'Statistics NZ'!AE$150-'Statistics NZ'!AD$150,$I$13/5*(AE$8-AE$9)*1000)</f>
        <v>38459.436477938187</v>
      </c>
      <c r="AF150" s="46">
        <f>SUM(AE$150,'Statistics NZ'!AF$150-'Statistics NZ'!AE$150,$I$13/5*(AF$8-AF$9)*1000)</f>
        <v>38079.436477938187</v>
      </c>
      <c r="AG150" s="46">
        <f>SUM(AF$150,'Statistics NZ'!AG$150-'Statistics NZ'!AF$150,$I$13/5*(AG$8-AG$9)*1000)</f>
        <v>37339.436477938187</v>
      </c>
      <c r="AH150" s="46">
        <f>SUM(AG$150,'Statistics NZ'!AH$150-'Statistics NZ'!AG$150,$I$13/5*(AH$8-AH$9)*1000)</f>
        <v>38059.436477938187</v>
      </c>
      <c r="AI150" s="46">
        <f>SUM(AH$150,'Statistics NZ'!AI$150-'Statistics NZ'!AH$150,$I$13/5*(AI$8-AI$9)*1000)</f>
        <v>39069.436477938187</v>
      </c>
      <c r="AJ150" s="46">
        <f>SUM(AI$150,'Statistics NZ'!AJ$150-'Statistics NZ'!AI$150,$I$13/5*(AJ$8-AJ$9)*1000)</f>
        <v>39459.436477938187</v>
      </c>
      <c r="AK150" s="46">
        <f>SUM(AJ$150,'Statistics NZ'!AK$150-'Statistics NZ'!AJ$150,$I$13/5*(AK$8-AK$9)*1000)</f>
        <v>40389.436477938187</v>
      </c>
      <c r="AL150" s="46">
        <f>SUM(AK$150,'Statistics NZ'!AL$150-'Statistics NZ'!AK$150,$I$13/5*(AL$8-AL$9)*1000)</f>
        <v>43189.436477938187</v>
      </c>
      <c r="AM150" s="46">
        <f>SUM(AL$150,'Statistics NZ'!AM$150-'Statistics NZ'!AL$150,$I$13/5*(AM$8-AM$9)*1000)</f>
        <v>44969.436477938187</v>
      </c>
      <c r="AN150" s="46">
        <f>SUM(AM$150,'Statistics NZ'!AN$150-'Statistics NZ'!AM$150,$I$13/5*(AN$8-AN$9)*1000)</f>
        <v>45169.436477938187</v>
      </c>
      <c r="AO150" s="46">
        <f>SUM(AN$150,'Statistics NZ'!AO$150-'Statistics NZ'!AN$150,$I$13/5*(AO$8-AO$9)*1000)</f>
        <v>45799.436477938187</v>
      </c>
      <c r="AP150" s="46">
        <f>SUM(AO$150,'Statistics NZ'!AP$150-'Statistics NZ'!AO$150,$I$13/5*(AP$8-AP$9)*1000)</f>
        <v>45819.436477938187</v>
      </c>
      <c r="AQ150" s="46">
        <f>SUM(AP$150,'Statistics NZ'!AQ$150-'Statistics NZ'!AP$150,$I$13/5*(AQ$8-AQ$9)*1000)</f>
        <v>45819.436477938187</v>
      </c>
      <c r="AR150" s="46">
        <f>SUM(AQ$150,'Statistics NZ'!AR$150-'Statistics NZ'!AQ$150,$I$13/5*(AR$8-AR$9)*1000)</f>
        <v>45899.436477938187</v>
      </c>
      <c r="AS150" s="46">
        <f>SUM(AR$150,'Statistics NZ'!AS$150-'Statistics NZ'!AR$150,$I$13/5*(AS$8-AS$9)*1000)</f>
        <v>45679.436477938187</v>
      </c>
      <c r="AT150" s="46">
        <f>SUM(AS$150,'Statistics NZ'!AT$150-'Statistics NZ'!AS$150,$I$13/5*(AT$8-AT$9)*1000)</f>
        <v>45849.436477938187</v>
      </c>
      <c r="AU150" s="46">
        <f>SUM(AT$150,'Statistics NZ'!AU$150-'Statistics NZ'!AT$150,$I$13/5*(AU$8-AU$9)*1000)</f>
        <v>45709.436477938187</v>
      </c>
      <c r="AV150" s="46">
        <f>SUM(AU$150,'Statistics NZ'!AV$150-'Statistics NZ'!AU$150,$I$13/5*(AV$8-AV$9)*1000)</f>
        <v>45529.436477938187</v>
      </c>
      <c r="AW150" s="46">
        <f>SUM(AV$150,'Statistics NZ'!AW$150-'Statistics NZ'!AV$150,$I$13/5*(AW$8-AW$9)*1000)</f>
        <v>45359.436477938187</v>
      </c>
      <c r="AX150" s="46">
        <f>SUM(AW$150,'Statistics NZ'!AX$150-'Statistics NZ'!AW$150,$I$13/5*(AX$8-AX$9)*1000)</f>
        <v>45759.436477938187</v>
      </c>
      <c r="AY150" s="46">
        <f>SUM(AX$150,'Statistics NZ'!AY$150-'Statistics NZ'!AX$150,$I$13/5*(AY$8-AY$9)*1000)</f>
        <v>45059.436477938187</v>
      </c>
      <c r="AZ150" s="46">
        <f>SUM(AY$150,'Statistics NZ'!AZ$150-'Statistics NZ'!AY$150,$I$13/5*(AZ$8-AZ$9)*1000)</f>
        <v>45769.436477938187</v>
      </c>
      <c r="BA150" s="46">
        <f>SUM(AZ$150,'Statistics NZ'!BA$150-'Statistics NZ'!AZ$150,$I$13/5*(BA$8-BA$9)*1000)</f>
        <v>45169.436477938187</v>
      </c>
      <c r="BB150" s="46">
        <f>SUM(BA$150,'Statistics NZ'!BB$150-'Statistics NZ'!BA$150,$I$13/5*(BB$8-BB$9)*1000)</f>
        <v>43689.436477938187</v>
      </c>
      <c r="BC150" s="46">
        <f>SUM(BB$150,'Statistics NZ'!BC$150-'Statistics NZ'!BB$150,$I$13/5*(BC$8-BC$9)*1000)</f>
        <v>43609.436477938187</v>
      </c>
      <c r="BD150" s="46">
        <f>SUM(BC$150,'Statistics NZ'!BD$150-'Statistics NZ'!BC$150,$I$13/5*(BD$8-BD$9)*1000)</f>
        <v>44339.436477938187</v>
      </c>
      <c r="BE150" s="46">
        <f>SUM(BD$150,'Statistics NZ'!BE$150-'Statistics NZ'!BD$150,$I$13/5*(BE$8-BE$9)*1000)</f>
        <v>44489.436477938187</v>
      </c>
      <c r="BF150" s="46">
        <f>SUM(BE$150,'Statistics NZ'!BF$150-'Statistics NZ'!BE$150,$I$13/5*(BF$8-BF$9)*1000)</f>
        <v>44609.436477938187</v>
      </c>
      <c r="BG150" s="46">
        <f>SUM(BF$150,'Statistics NZ'!BG$150-'Statistics NZ'!BF$150,$I$13/5*(BG$8-BG$9)*1000)</f>
        <v>44699.436477938187</v>
      </c>
      <c r="BH150" s="46">
        <f>SUM(BG$150,'Statistics NZ'!BH$150-'Statistics NZ'!BG$150,$I$13/5*(BH$8-BH$9)*1000)</f>
        <v>44789.436477938187</v>
      </c>
      <c r="BI150" s="46">
        <f>SUM(BH$150,'Statistics NZ'!BI$150-'Statistics NZ'!BH$150,$I$13/5*(BI$8-BI$9)*1000)</f>
        <v>44879.436477938187</v>
      </c>
    </row>
    <row r="151" spans="1:61" x14ac:dyDescent="0.25">
      <c r="A151" s="11">
        <f>$A$51</f>
        <v>36</v>
      </c>
      <c r="B151" s="44">
        <f>'Statistics NZ'!B$151*'Economic Forecasts'!D$9*1000000/SUM('Statistics NZ'!B$30:B$110,'Statistics NZ'!B$130:B$210)</f>
        <v>29038.73653043394</v>
      </c>
      <c r="C151" s="44">
        <f>'Statistics NZ'!C$151*'Economic Forecasts'!E$9*1000000/SUM('Statistics NZ'!C$30:C$110,'Statistics NZ'!C$130:C$210)</f>
        <v>29774.47727872866</v>
      </c>
      <c r="D151" s="44">
        <f>'Statistics NZ'!D$151*'Economic Forecasts'!F$9*1000000/SUM('Statistics NZ'!D$30:D$110,'Statistics NZ'!D$130:D$210)</f>
        <v>29536.930183340068</v>
      </c>
      <c r="E151" s="44">
        <f>'Statistics NZ'!E$151*'Economic Forecasts'!G$9*1000000/SUM('Statistics NZ'!E$30:E$110,'Statistics NZ'!E$130:E$210)</f>
        <v>28234.418951973286</v>
      </c>
      <c r="F151" s="44">
        <f>'Statistics NZ'!F$151*'Economic Forecasts'!H$9*1000000/SUM('Statistics NZ'!F$30:F$110,'Statistics NZ'!F$130:F$210)</f>
        <v>27356.830626490555</v>
      </c>
      <c r="G151" s="44">
        <f>'Statistics NZ'!G$151*'Economic Forecasts'!I$9*1000000/SUM('Statistics NZ'!G$30:G$110,'Statistics NZ'!G$130:G$210)</f>
        <v>26324.225655436105</v>
      </c>
      <c r="H151" s="44">
        <f>'Statistics NZ'!H$151*'Economic Forecasts'!J$9*1000000/SUM('Statistics NZ'!H$30:H$110,'Statistics NZ'!H$130:H$210)</f>
        <v>25260.427594999666</v>
      </c>
      <c r="I151" s="44">
        <f>'Statistics NZ'!I$151*'Economic Forecasts'!K$9*1000000/SUM('Statistics NZ'!I$30:I$110,'Statistics NZ'!I$130:I$210)</f>
        <v>25234.351358924068</v>
      </c>
      <c r="J151" s="44">
        <f>'Statistics NZ'!J$151*'Economic Forecasts'!L$9*1000000/SUM('Statistics NZ'!J$30:J$110,'Statistics NZ'!J$130:J$210)</f>
        <v>24935.562897740198</v>
      </c>
      <c r="K151" s="44">
        <f>'Statistics NZ'!K$151*'Economic Forecasts'!M$9*1000000/SUM('Statistics NZ'!K$30:K$110,'Statistics NZ'!K$130:K$210)</f>
        <v>26122.27649584915</v>
      </c>
      <c r="L151" s="44">
        <f>'Statistics NZ'!L$151*'Economic Forecasts'!N$9*1000000/SUM('Statistics NZ'!L$30:L$110,'Statistics NZ'!L$130:L$210)</f>
        <v>27359.888217737913</v>
      </c>
      <c r="M151" s="44">
        <f>'Statistics NZ'!M$151*'Economic Forecasts'!O$9*1000000/SUM('Statistics NZ'!M$30:M$110,'Statistics NZ'!M$130:M$210)</f>
        <v>28986.32558883389</v>
      </c>
      <c r="N151" s="44">
        <f>'Statistics NZ'!N$151*'Economic Forecasts'!P$9*1000000/SUM('Statistics NZ'!N$30:N$110,'Statistics NZ'!N$130:N$210)</f>
        <v>30421.360649850536</v>
      </c>
      <c r="O151" s="44">
        <f>'Statistics NZ'!O$151*'Economic Forecasts'!Q$9*1000000/SUM('Statistics NZ'!O$30:O$110,'Statistics NZ'!O$130:O$210)</f>
        <v>32005.757765259572</v>
      </c>
      <c r="P151" s="44">
        <f>'Statistics NZ'!P$151*'Economic Forecasts'!R$9*1000000/SUM('Statistics NZ'!P$30:P$110,'Statistics NZ'!P$130:P$210)</f>
        <v>33318.322237730892</v>
      </c>
      <c r="Q151" s="44">
        <f>'Statistics NZ'!Q$151*'Economic Forecasts'!S$9*1000000/SUM('Statistics NZ'!Q$30:Q$110,'Statistics NZ'!Q$130:Q$210)</f>
        <v>33816.141312401764</v>
      </c>
      <c r="R151" s="44">
        <f>'Statistics NZ'!R$151*'Economic Forecasts'!T$9*1000000/SUM('Statistics NZ'!R$30:R$110,'Statistics NZ'!R$130:R$210)</f>
        <v>34703.764861294585</v>
      </c>
      <c r="S151" s="44">
        <f>'Statistics NZ'!S$151*'Economic Forecasts'!U$9*1000000/SUM('Statistics NZ'!S$30:S$110,'Statistics NZ'!S$130:S$210)</f>
        <v>37810.851413901197</v>
      </c>
      <c r="T151" s="44">
        <f>'Statistics NZ'!T$151*'Economic Forecasts'!V$9*1000000/SUM('Statistics NZ'!T$30:T$110,'Statistics NZ'!T$130:T$210)</f>
        <v>40141.784037558689</v>
      </c>
      <c r="U151" s="45">
        <f>SUM('Statistics NZ'!U$151,$I$13/5*(U$8-U$9)*1000)*'Economic Forecasts'!W$9*1000000/SUM('Statistics NZ'!U$30:U$110,'Statistics NZ'!U$130:U$210,SUM($E$12:$T$13)*(U$8-U$9)*1000)</f>
        <v>40899.701795000459</v>
      </c>
      <c r="V151" s="45">
        <f>SUM('Statistics NZ'!V$151,$I$13/5*(V$8-V$9)*1000)*'Economic Forecasts'!X$9*1000000/SUM('Statistics NZ'!V$30:V$110,'Statistics NZ'!V$130:V$210,SUM($E$12:$T$13)*(V$8-V$9)*1000)</f>
        <v>42570.004625931957</v>
      </c>
      <c r="W151" s="45">
        <f>SUM('Statistics NZ'!W$151,$I$13/5*(W$8-W$9)*1000)*'Economic Forecasts'!Y$9*1000000/SUM('Statistics NZ'!W$30:W$110,'Statistics NZ'!W$130:W$210,SUM($E$12:$T$13)*(W$8-W$9)*1000)</f>
        <v>43305.215795342927</v>
      </c>
      <c r="X151" s="45">
        <f>SUM('Statistics NZ'!X$151,$I$13/5*(X$8-X$9)*1000)*'Economic Forecasts'!Z$9*1000000/SUM('Statistics NZ'!X$30:X$110,'Statistics NZ'!X$130:X$210,SUM($E$12:$T$13)*(X$8-X$9)*1000)</f>
        <v>43213.373390807559</v>
      </c>
      <c r="Y151" s="45">
        <f>SUM('Statistics NZ'!Y$151,$I$13/5*(Y$8-Y$9)*1000)*'Economic Forecasts'!AA$9*1000000/SUM('Statistics NZ'!Y$30:Y$110,'Statistics NZ'!Y$130:Y$210,SUM($E$12:$T$13)*(Y$8-Y$9)*1000)</f>
        <v>42317.749432211676</v>
      </c>
      <c r="Z151" s="46">
        <f>SUM(Y$151,'Statistics NZ'!Z$151-'Statistics NZ'!Y$151,$I$13/5*(Z$8-Z$9)*1000)</f>
        <v>41203.253022093239</v>
      </c>
      <c r="AA151" s="46">
        <f>SUM(Z$151,'Statistics NZ'!AA$151-'Statistics NZ'!Z$151,$I$13/5*(AA$8-AA$9)*1000)</f>
        <v>40814.555176022172</v>
      </c>
      <c r="AB151" s="46">
        <f>SUM(AA$151,'Statistics NZ'!AB$151-'Statistics NZ'!AA$151,$I$13/5*(AB$8-AB$9)*1000)</f>
        <v>40304.49618118901</v>
      </c>
      <c r="AC151" s="46">
        <f>SUM(AB$151,'Statistics NZ'!AC$151-'Statistics NZ'!AB$151,$I$13/5*(AC$8-AC$9)*1000)</f>
        <v>38844.49618118901</v>
      </c>
      <c r="AD151" s="46">
        <f>SUM(AC$151,'Statistics NZ'!AD$151-'Statistics NZ'!AC$151,$I$13/5*(AD$8-AD$9)*1000)</f>
        <v>38664.49618118901</v>
      </c>
      <c r="AE151" s="46">
        <f>SUM(AD$151,'Statistics NZ'!AE$151-'Statistics NZ'!AD$151,$I$13/5*(AE$8-AE$9)*1000)</f>
        <v>37974.49618118901</v>
      </c>
      <c r="AF151" s="46">
        <f>SUM(AE$151,'Statistics NZ'!AF$151-'Statistics NZ'!AE$151,$I$13/5*(AF$8-AF$9)*1000)</f>
        <v>38954.49618118901</v>
      </c>
      <c r="AG151" s="46">
        <f>SUM(AF$151,'Statistics NZ'!AG$151-'Statistics NZ'!AF$151,$I$13/5*(AG$8-AG$9)*1000)</f>
        <v>38584.49618118901</v>
      </c>
      <c r="AH151" s="46">
        <f>SUM(AG$151,'Statistics NZ'!AH$151-'Statistics NZ'!AG$151,$I$13/5*(AH$8-AH$9)*1000)</f>
        <v>37844.49618118901</v>
      </c>
      <c r="AI151" s="46">
        <f>SUM(AH$151,'Statistics NZ'!AI$151-'Statistics NZ'!AH$151,$I$13/5*(AI$8-AI$9)*1000)</f>
        <v>38564.49618118901</v>
      </c>
      <c r="AJ151" s="46">
        <f>SUM(AI$151,'Statistics NZ'!AJ$151-'Statistics NZ'!AI$151,$I$13/5*(AJ$8-AJ$9)*1000)</f>
        <v>39574.49618118901</v>
      </c>
      <c r="AK151" s="46">
        <f>SUM(AJ$151,'Statistics NZ'!AK$151-'Statistics NZ'!AJ$151,$I$13/5*(AK$8-AK$9)*1000)</f>
        <v>39974.49618118901</v>
      </c>
      <c r="AL151" s="46">
        <f>SUM(AK$151,'Statistics NZ'!AL$151-'Statistics NZ'!AK$151,$I$13/5*(AL$8-AL$9)*1000)</f>
        <v>40904.49618118901</v>
      </c>
      <c r="AM151" s="46">
        <f>SUM(AL$151,'Statistics NZ'!AM$151-'Statistics NZ'!AL$151,$I$13/5*(AM$8-AM$9)*1000)</f>
        <v>43704.49618118901</v>
      </c>
      <c r="AN151" s="46">
        <f>SUM(AM$151,'Statistics NZ'!AN$151-'Statistics NZ'!AM$151,$I$13/5*(AN$8-AN$9)*1000)</f>
        <v>45484.49618118901</v>
      </c>
      <c r="AO151" s="46">
        <f>SUM(AN$151,'Statistics NZ'!AO$151-'Statistics NZ'!AN$151,$I$13/5*(AO$8-AO$9)*1000)</f>
        <v>45694.49618118901</v>
      </c>
      <c r="AP151" s="46">
        <f>SUM(AO$151,'Statistics NZ'!AP$151-'Statistics NZ'!AO$151,$I$13/5*(AP$8-AP$9)*1000)</f>
        <v>46314.49618118901</v>
      </c>
      <c r="AQ151" s="46">
        <f>SUM(AP$151,'Statistics NZ'!AQ$151-'Statistics NZ'!AP$151,$I$13/5*(AQ$8-AQ$9)*1000)</f>
        <v>46354.49618118901</v>
      </c>
      <c r="AR151" s="46">
        <f>SUM(AQ$151,'Statistics NZ'!AR$151-'Statistics NZ'!AQ$151,$I$13/5*(AR$8-AR$9)*1000)</f>
        <v>46344.49618118901</v>
      </c>
      <c r="AS151" s="46">
        <f>SUM(AR$151,'Statistics NZ'!AS$151-'Statistics NZ'!AR$151,$I$13/5*(AS$8-AS$9)*1000)</f>
        <v>46434.49618118901</v>
      </c>
      <c r="AT151" s="46">
        <f>SUM(AS$151,'Statistics NZ'!AT$151-'Statistics NZ'!AS$151,$I$13/5*(AT$8-AT$9)*1000)</f>
        <v>46214.49618118901</v>
      </c>
      <c r="AU151" s="46">
        <f>SUM(AT$151,'Statistics NZ'!AU$151-'Statistics NZ'!AT$151,$I$13/5*(AU$8-AU$9)*1000)</f>
        <v>46384.49618118901</v>
      </c>
      <c r="AV151" s="46">
        <f>SUM(AU$151,'Statistics NZ'!AV$151-'Statistics NZ'!AU$151,$I$13/5*(AV$8-AV$9)*1000)</f>
        <v>46254.49618118901</v>
      </c>
      <c r="AW151" s="46">
        <f>SUM(AV$151,'Statistics NZ'!AW$151-'Statistics NZ'!AV$151,$I$13/5*(AW$8-AW$9)*1000)</f>
        <v>46074.49618118901</v>
      </c>
      <c r="AX151" s="46">
        <f>SUM(AW$151,'Statistics NZ'!AX$151-'Statistics NZ'!AW$151,$I$13/5*(AX$8-AX$9)*1000)</f>
        <v>45914.49618118901</v>
      </c>
      <c r="AY151" s="46">
        <f>SUM(AX$151,'Statistics NZ'!AY$151-'Statistics NZ'!AX$151,$I$13/5*(AY$8-AY$9)*1000)</f>
        <v>46304.49618118901</v>
      </c>
      <c r="AZ151" s="46">
        <f>SUM(AY$151,'Statistics NZ'!AZ$151-'Statistics NZ'!AY$151,$I$13/5*(AZ$8-AZ$9)*1000)</f>
        <v>45614.49618118901</v>
      </c>
      <c r="BA151" s="46">
        <f>SUM(AZ$151,'Statistics NZ'!BA$151-'Statistics NZ'!AZ$151,$I$13/5*(BA$8-BA$9)*1000)</f>
        <v>46334.49618118901</v>
      </c>
      <c r="BB151" s="46">
        <f>SUM(BA$151,'Statistics NZ'!BB$151-'Statistics NZ'!BA$151,$I$13/5*(BB$8-BB$9)*1000)</f>
        <v>45734.49618118901</v>
      </c>
      <c r="BC151" s="46">
        <f>SUM(BB$151,'Statistics NZ'!BC$151-'Statistics NZ'!BB$151,$I$13/5*(BC$8-BC$9)*1000)</f>
        <v>44254.49618118901</v>
      </c>
      <c r="BD151" s="46">
        <f>SUM(BC$151,'Statistics NZ'!BD$151-'Statistics NZ'!BC$151,$I$13/5*(BD$8-BD$9)*1000)</f>
        <v>44174.49618118901</v>
      </c>
      <c r="BE151" s="46">
        <f>SUM(BD$151,'Statistics NZ'!BE$151-'Statistics NZ'!BD$151,$I$13/5*(BE$8-BE$9)*1000)</f>
        <v>44914.49618118901</v>
      </c>
      <c r="BF151" s="46">
        <f>SUM(BE$151,'Statistics NZ'!BF$151-'Statistics NZ'!BE$151,$I$13/5*(BF$8-BF$9)*1000)</f>
        <v>45064.49618118901</v>
      </c>
      <c r="BG151" s="46">
        <f>SUM(BF$151,'Statistics NZ'!BG$151-'Statistics NZ'!BF$151,$I$13/5*(BG$8-BG$9)*1000)</f>
        <v>45184.49618118901</v>
      </c>
      <c r="BH151" s="46">
        <f>SUM(BG$151,'Statistics NZ'!BH$151-'Statistics NZ'!BG$151,$I$13/5*(BH$8-BH$9)*1000)</f>
        <v>45284.49618118901</v>
      </c>
      <c r="BI151" s="46">
        <f>SUM(BH$151,'Statistics NZ'!BI$151-'Statistics NZ'!BH$151,$I$13/5*(BI$8-BI$9)*1000)</f>
        <v>45374.49618118901</v>
      </c>
    </row>
    <row r="152" spans="1:61" x14ac:dyDescent="0.25">
      <c r="A152" s="11">
        <f>$A$52</f>
        <v>37</v>
      </c>
      <c r="B152" s="44">
        <f>'Statistics NZ'!B$152*'Economic Forecasts'!D$9*1000000/SUM('Statistics NZ'!B$30:B$110,'Statistics NZ'!B$130:B$210)</f>
        <v>29390.958402096883</v>
      </c>
      <c r="C152" s="44">
        <f>'Statistics NZ'!C$152*'Economic Forecasts'!E$9*1000000/SUM('Statistics NZ'!C$30:C$110,'Statistics NZ'!C$130:C$210)</f>
        <v>29322.753678853493</v>
      </c>
      <c r="D152" s="44">
        <f>'Statistics NZ'!D$152*'Economic Forecasts'!F$9*1000000/SUM('Statistics NZ'!D$30:D$110,'Statistics NZ'!D$130:D$210)</f>
        <v>29939.661855277864</v>
      </c>
      <c r="E152" s="44">
        <f>'Statistics NZ'!E$152*'Economic Forecasts'!G$9*1000000/SUM('Statistics NZ'!E$30:E$110,'Statistics NZ'!E$130:E$210)</f>
        <v>29617.209181993509</v>
      </c>
      <c r="F152" s="44">
        <f>'Statistics NZ'!F$152*'Economic Forecasts'!H$9*1000000/SUM('Statistics NZ'!F$30:F$110,'Statistics NZ'!F$130:F$210)</f>
        <v>28367.140255220755</v>
      </c>
      <c r="G152" s="44">
        <f>'Statistics NZ'!G$152*'Economic Forecasts'!I$9*1000000/SUM('Statistics NZ'!G$30:G$110,'Statistics NZ'!G$130:G$210)</f>
        <v>27463.632437537068</v>
      </c>
      <c r="H152" s="44">
        <f>'Statistics NZ'!H$152*'Economic Forecasts'!J$9*1000000/SUM('Statistics NZ'!H$30:H$110,'Statistics NZ'!H$130:H$210)</f>
        <v>26301.892132171961</v>
      </c>
      <c r="I152" s="44">
        <f>'Statistics NZ'!I$152*'Economic Forecasts'!K$9*1000000/SUM('Statistics NZ'!I$30:I$110,'Statistics NZ'!I$130:I$210)</f>
        <v>25322.583356682549</v>
      </c>
      <c r="J152" s="44">
        <f>'Statistics NZ'!J$152*'Economic Forecasts'!L$9*1000000/SUM('Statistics NZ'!J$30:J$110,'Statistics NZ'!J$130:J$210)</f>
        <v>25579.187125839868</v>
      </c>
      <c r="K152" s="44">
        <f>'Statistics NZ'!K$152*'Economic Forecasts'!M$9*1000000/SUM('Statistics NZ'!K$30:K$110,'Statistics NZ'!K$130:K$210)</f>
        <v>25586.784432013257</v>
      </c>
      <c r="L152" s="44">
        <f>'Statistics NZ'!L$152*'Economic Forecasts'!N$9*1000000/SUM('Statistics NZ'!L$30:L$110,'Statistics NZ'!L$130:L$210)</f>
        <v>26989.896846821885</v>
      </c>
      <c r="M152" s="44">
        <f>'Statistics NZ'!M$152*'Economic Forecasts'!O$9*1000000/SUM('Statistics NZ'!M$30:M$110,'Statistics NZ'!M$130:M$210)</f>
        <v>28468.538175214679</v>
      </c>
      <c r="N152" s="44">
        <f>'Statistics NZ'!N$152*'Economic Forecasts'!P$9*1000000/SUM('Statistics NZ'!N$30:N$110,'Statistics NZ'!N$130:N$210)</f>
        <v>29941.898870550867</v>
      </c>
      <c r="O152" s="44">
        <f>'Statistics NZ'!O$152*'Economic Forecasts'!Q$9*1000000/SUM('Statistics NZ'!O$30:O$110,'Statistics NZ'!O$130:O$210)</f>
        <v>31366.625889762843</v>
      </c>
      <c r="P152" s="44">
        <f>'Statistics NZ'!P$152*'Economic Forecasts'!R$9*1000000/SUM('Statistics NZ'!P$30:P$110,'Statistics NZ'!P$130:P$210)</f>
        <v>32935.127142693585</v>
      </c>
      <c r="Q152" s="44">
        <f>'Statistics NZ'!Q$152*'Economic Forecasts'!S$9*1000000/SUM('Statistics NZ'!Q$30:Q$110,'Statistics NZ'!Q$130:Q$210)</f>
        <v>33706.864710040885</v>
      </c>
      <c r="R152" s="44">
        <f>'Statistics NZ'!R$152*'Economic Forecasts'!T$9*1000000/SUM('Statistics NZ'!R$30:R$110,'Statistics NZ'!R$130:R$210)</f>
        <v>33867.289610692358</v>
      </c>
      <c r="S152" s="44">
        <f>'Statistics NZ'!S$152*'Economic Forecasts'!U$9*1000000/SUM('Statistics NZ'!S$30:S$110,'Statistics NZ'!S$130:S$210)</f>
        <v>36366.789278841832</v>
      </c>
      <c r="T152" s="44">
        <f>'Statistics NZ'!T$152*'Economic Forecasts'!V$9*1000000/SUM('Statistics NZ'!T$30:T$110,'Statistics NZ'!T$130:T$210)</f>
        <v>39329.036805193296</v>
      </c>
      <c r="U152" s="45">
        <f>SUM('Statistics NZ'!U$152,$I$13/5*(U$8-U$9)*1000)*'Economic Forecasts'!W$9*1000000/SUM('Statistics NZ'!U$30:U$110,'Statistics NZ'!U$130:U$210,SUM($E$12:$T$13)*(U$8-U$9)*1000)</f>
        <v>40553.028606624823</v>
      </c>
      <c r="V152" s="45">
        <f>SUM('Statistics NZ'!V$152,$I$13/5*(V$8-V$9)*1000)*'Economic Forecasts'!X$9*1000000/SUM('Statistics NZ'!V$30:V$110,'Statistics NZ'!V$130:V$210,SUM($E$12:$T$13)*(V$8-V$9)*1000)</f>
        <v>41263.096641977121</v>
      </c>
      <c r="W152" s="45">
        <f>SUM('Statistics NZ'!W$152,$I$13/5*(W$8-W$9)*1000)*'Economic Forecasts'!Y$9*1000000/SUM('Statistics NZ'!W$30:W$110,'Statistics NZ'!W$130:W$210,SUM($E$12:$T$13)*(W$8-W$9)*1000)</f>
        <v>42968.513942904952</v>
      </c>
      <c r="X152" s="45">
        <f>SUM('Statistics NZ'!X$152,$I$13/5*(X$8-X$9)*1000)*'Economic Forecasts'!Z$9*1000000/SUM('Statistics NZ'!X$30:X$110,'Statistics NZ'!X$130:X$210,SUM($E$12:$T$13)*(X$8-X$9)*1000)</f>
        <v>43718.54170781366</v>
      </c>
      <c r="Y152" s="45">
        <f>SUM('Statistics NZ'!Y$152,$I$13/5*(Y$8-Y$9)*1000)*'Economic Forecasts'!AA$9*1000000/SUM('Statistics NZ'!Y$30:Y$110,'Statistics NZ'!Y$130:Y$210,SUM($E$12:$T$13)*(Y$8-Y$9)*1000)</f>
        <v>43655.45101720473</v>
      </c>
      <c r="Z152" s="46">
        <f>SUM(Y$152,'Statistics NZ'!Z$152-'Statistics NZ'!Y$152,$I$13/5*(Z$8-Z$9)*1000)</f>
        <v>42800.954607086293</v>
      </c>
      <c r="AA152" s="46">
        <f>SUM(Z$152,'Statistics NZ'!AA$152-'Statistics NZ'!Z$152,$I$13/5*(AA$8-AA$9)*1000)</f>
        <v>41672.256761015225</v>
      </c>
      <c r="AB152" s="46">
        <f>SUM(AA$152,'Statistics NZ'!AB$152-'Statistics NZ'!AA$152,$I$13/5*(AB$8-AB$9)*1000)</f>
        <v>41282.197766182064</v>
      </c>
      <c r="AC152" s="46">
        <f>SUM(AB$152,'Statistics NZ'!AC$152-'Statistics NZ'!AB$152,$I$13/5*(AC$8-AC$9)*1000)</f>
        <v>40772.197766182064</v>
      </c>
      <c r="AD152" s="46">
        <f>SUM(AC$152,'Statistics NZ'!AD$152-'Statistics NZ'!AC$152,$I$13/5*(AD$8-AD$9)*1000)</f>
        <v>39312.197766182064</v>
      </c>
      <c r="AE152" s="46">
        <f>SUM(AD$152,'Statistics NZ'!AE$152-'Statistics NZ'!AD$152,$I$13/5*(AE$8-AE$9)*1000)</f>
        <v>39132.197766182064</v>
      </c>
      <c r="AF152" s="46">
        <f>SUM(AE$152,'Statistics NZ'!AF$152-'Statistics NZ'!AE$152,$I$13/5*(AF$8-AF$9)*1000)</f>
        <v>38442.197766182064</v>
      </c>
      <c r="AG152" s="46">
        <f>SUM(AF$152,'Statistics NZ'!AG$152-'Statistics NZ'!AF$152,$I$13/5*(AG$8-AG$9)*1000)</f>
        <v>39432.197766182064</v>
      </c>
      <c r="AH152" s="46">
        <f>SUM(AG$152,'Statistics NZ'!AH$152-'Statistics NZ'!AG$152,$I$13/5*(AH$8-AH$9)*1000)</f>
        <v>39062.197766182064</v>
      </c>
      <c r="AI152" s="46">
        <f>SUM(AH$152,'Statistics NZ'!AI$152-'Statistics NZ'!AH$152,$I$13/5*(AI$8-AI$9)*1000)</f>
        <v>38322.197766182064</v>
      </c>
      <c r="AJ152" s="46">
        <f>SUM(AI$152,'Statistics NZ'!AJ$152-'Statistics NZ'!AI$152,$I$13/5*(AJ$8-AJ$9)*1000)</f>
        <v>39052.197766182064</v>
      </c>
      <c r="AK152" s="46">
        <f>SUM(AJ$152,'Statistics NZ'!AK$152-'Statistics NZ'!AJ$152,$I$13/5*(AK$8-AK$9)*1000)</f>
        <v>40062.197766182064</v>
      </c>
      <c r="AL152" s="46">
        <f>SUM(AK$152,'Statistics NZ'!AL$152-'Statistics NZ'!AK$152,$I$13/5*(AL$8-AL$9)*1000)</f>
        <v>40462.197766182064</v>
      </c>
      <c r="AM152" s="46">
        <f>SUM(AL$152,'Statistics NZ'!AM$152-'Statistics NZ'!AL$152,$I$13/5*(AM$8-AM$9)*1000)</f>
        <v>41392.197766182064</v>
      </c>
      <c r="AN152" s="46">
        <f>SUM(AM$152,'Statistics NZ'!AN$152-'Statistics NZ'!AM$152,$I$13/5*(AN$8-AN$9)*1000)</f>
        <v>44192.197766182064</v>
      </c>
      <c r="AO152" s="46">
        <f>SUM(AN$152,'Statistics NZ'!AO$152-'Statistics NZ'!AN$152,$I$13/5*(AO$8-AO$9)*1000)</f>
        <v>45982.197766182064</v>
      </c>
      <c r="AP152" s="46">
        <f>SUM(AO$152,'Statistics NZ'!AP$152-'Statistics NZ'!AO$152,$I$13/5*(AP$8-AP$9)*1000)</f>
        <v>46192.197766182064</v>
      </c>
      <c r="AQ152" s="46">
        <f>SUM(AP$152,'Statistics NZ'!AQ$152-'Statistics NZ'!AP$152,$I$13/5*(AQ$8-AQ$9)*1000)</f>
        <v>46822.197766182064</v>
      </c>
      <c r="AR152" s="46">
        <f>SUM(AQ$152,'Statistics NZ'!AR$152-'Statistics NZ'!AQ$152,$I$13/5*(AR$8-AR$9)*1000)</f>
        <v>46852.197766182064</v>
      </c>
      <c r="AS152" s="46">
        <f>SUM(AR$152,'Statistics NZ'!AS$152-'Statistics NZ'!AR$152,$I$13/5*(AS$8-AS$9)*1000)</f>
        <v>46852.197766182064</v>
      </c>
      <c r="AT152" s="46">
        <f>SUM(AS$152,'Statistics NZ'!AT$152-'Statistics NZ'!AS$152,$I$13/5*(AT$8-AT$9)*1000)</f>
        <v>46942.197766182064</v>
      </c>
      <c r="AU152" s="46">
        <f>SUM(AT$152,'Statistics NZ'!AU$152-'Statistics NZ'!AT$152,$I$13/5*(AU$8-AU$9)*1000)</f>
        <v>46732.197766182064</v>
      </c>
      <c r="AV152" s="46">
        <f>SUM(AU$152,'Statistics NZ'!AV$152-'Statistics NZ'!AU$152,$I$13/5*(AV$8-AV$9)*1000)</f>
        <v>46902.197766182064</v>
      </c>
      <c r="AW152" s="46">
        <f>SUM(AV$152,'Statistics NZ'!AW$152-'Statistics NZ'!AV$152,$I$13/5*(AW$8-AW$9)*1000)</f>
        <v>46772.197766182064</v>
      </c>
      <c r="AX152" s="46">
        <f>SUM(AW$152,'Statistics NZ'!AX$152-'Statistics NZ'!AW$152,$I$13/5*(AX$8-AX$9)*1000)</f>
        <v>46592.197766182064</v>
      </c>
      <c r="AY152" s="46">
        <f>SUM(AX$152,'Statistics NZ'!AY$152-'Statistics NZ'!AX$152,$I$13/5*(AY$8-AY$9)*1000)</f>
        <v>46432.197766182064</v>
      </c>
      <c r="AZ152" s="46">
        <f>SUM(AY$152,'Statistics NZ'!AZ$152-'Statistics NZ'!AY$152,$I$13/5*(AZ$8-AZ$9)*1000)</f>
        <v>46832.197766182064</v>
      </c>
      <c r="BA152" s="46">
        <f>SUM(AZ$152,'Statistics NZ'!BA$152-'Statistics NZ'!AZ$152,$I$13/5*(BA$8-BA$9)*1000)</f>
        <v>46142.197766182064</v>
      </c>
      <c r="BB152" s="46">
        <f>SUM(BA$152,'Statistics NZ'!BB$152-'Statistics NZ'!BA$152,$I$13/5*(BB$8-BB$9)*1000)</f>
        <v>46862.197766182064</v>
      </c>
      <c r="BC152" s="46">
        <f>SUM(BB$152,'Statistics NZ'!BC$152-'Statistics NZ'!BB$152,$I$13/5*(BC$8-BC$9)*1000)</f>
        <v>46272.197766182064</v>
      </c>
      <c r="BD152" s="46">
        <f>SUM(BC$152,'Statistics NZ'!BD$152-'Statistics NZ'!BC$152,$I$13/5*(BD$8-BD$9)*1000)</f>
        <v>44802.197766182064</v>
      </c>
      <c r="BE152" s="46">
        <f>SUM(BD$152,'Statistics NZ'!BE$152-'Statistics NZ'!BD$152,$I$13/5*(BE$8-BE$9)*1000)</f>
        <v>44722.197766182064</v>
      </c>
      <c r="BF152" s="46">
        <f>SUM(BE$152,'Statistics NZ'!BF$152-'Statistics NZ'!BE$152,$I$13/5*(BF$8-BF$9)*1000)</f>
        <v>45462.197766182064</v>
      </c>
      <c r="BG152" s="46">
        <f>SUM(BF$152,'Statistics NZ'!BG$152-'Statistics NZ'!BF$152,$I$13/5*(BG$8-BG$9)*1000)</f>
        <v>45612.197766182064</v>
      </c>
      <c r="BH152" s="46">
        <f>SUM(BG$152,'Statistics NZ'!BH$152-'Statistics NZ'!BG$152,$I$13/5*(BH$8-BH$9)*1000)</f>
        <v>45732.197766182064</v>
      </c>
      <c r="BI152" s="46">
        <f>SUM(BH$152,'Statistics NZ'!BI$152-'Statistics NZ'!BH$152,$I$13/5*(BI$8-BI$9)*1000)</f>
        <v>45842.197766182064</v>
      </c>
    </row>
    <row r="153" spans="1:61" x14ac:dyDescent="0.25">
      <c r="A153" s="11">
        <f>$A$53</f>
        <v>38</v>
      </c>
      <c r="B153" s="44">
        <f>'Statistics NZ'!B$153*'Economic Forecasts'!D$9*1000000/SUM('Statistics NZ'!B$30:B$110,'Statistics NZ'!B$130:B$210)</f>
        <v>29068.088353072511</v>
      </c>
      <c r="C153" s="44">
        <f>'Statistics NZ'!C$153*'Economic Forecasts'!E$9*1000000/SUM('Statistics NZ'!C$30:C$110,'Statistics NZ'!C$130:C$210)</f>
        <v>29676.276496147108</v>
      </c>
      <c r="D153" s="44">
        <f>'Statistics NZ'!D$153*'Economic Forecasts'!F$9*1000000/SUM('Statistics NZ'!D$30:D$110,'Statistics NZ'!D$130:D$210)</f>
        <v>29379.766604047272</v>
      </c>
      <c r="E153" s="44">
        <f>'Statistics NZ'!E$153*'Economic Forecasts'!G$9*1000000/SUM('Statistics NZ'!E$30:E$110,'Statistics NZ'!E$130:E$210)</f>
        <v>30019.29712121925</v>
      </c>
      <c r="F153" s="44">
        <f>'Statistics NZ'!F$153*'Economic Forecasts'!H$9*1000000/SUM('Statistics NZ'!F$30:F$110,'Statistics NZ'!F$130:F$210)</f>
        <v>29720.758981092284</v>
      </c>
      <c r="G153" s="44">
        <f>'Statistics NZ'!G$153*'Economic Forecasts'!I$9*1000000/SUM('Statistics NZ'!G$30:G$110,'Statistics NZ'!G$130:G$210)</f>
        <v>28396.76730218872</v>
      </c>
      <c r="H153" s="44">
        <f>'Statistics NZ'!H$153*'Economic Forecasts'!J$9*1000000/SUM('Statistics NZ'!H$30:H$110,'Statistics NZ'!H$130:H$210)</f>
        <v>27451.433177918741</v>
      </c>
      <c r="I153" s="44">
        <f>'Statistics NZ'!I$153*'Economic Forecasts'!K$9*1000000/SUM('Statistics NZ'!I$30:I$110,'Statistics NZ'!I$130:I$210)</f>
        <v>26312.742442638773</v>
      </c>
      <c r="J153" s="44">
        <f>'Statistics NZ'!J$153*'Economic Forecasts'!L$9*1000000/SUM('Statistics NZ'!J$30:J$110,'Statistics NZ'!J$130:J$210)</f>
        <v>25705.961595011013</v>
      </c>
      <c r="K153" s="44">
        <f>'Statistics NZ'!K$153*'Economic Forecasts'!M$9*1000000/SUM('Statistics NZ'!K$30:K$110,'Statistics NZ'!K$130:K$210)</f>
        <v>26170.957592561506</v>
      </c>
      <c r="L153" s="44">
        <f>'Statistics NZ'!L$153*'Economic Forecasts'!N$9*1000000/SUM('Statistics NZ'!L$30:L$110,'Statistics NZ'!L$130:L$210)</f>
        <v>26366.753485279096</v>
      </c>
      <c r="M153" s="44">
        <f>'Statistics NZ'!M$153*'Economic Forecasts'!O$9*1000000/SUM('Statistics NZ'!M$30:M$110,'Statistics NZ'!M$130:M$210)</f>
        <v>27980.059483121084</v>
      </c>
      <c r="N153" s="44">
        <f>'Statistics NZ'!N$153*'Economic Forecasts'!P$9*1000000/SUM('Statistics NZ'!N$30:N$110,'Statistics NZ'!N$130:N$210)</f>
        <v>29393.942551351243</v>
      </c>
      <c r="O153" s="44">
        <f>'Statistics NZ'!O$153*'Economic Forecasts'!Q$9*1000000/SUM('Statistics NZ'!O$30:O$110,'Statistics NZ'!O$130:O$210)</f>
        <v>30697.995620012407</v>
      </c>
      <c r="P153" s="44">
        <f>'Statistics NZ'!P$153*'Economic Forecasts'!R$9*1000000/SUM('Statistics NZ'!P$30:P$110,'Statistics NZ'!P$130:P$210)</f>
        <v>32070.481800045309</v>
      </c>
      <c r="Q153" s="44">
        <f>'Statistics NZ'!Q$153*'Economic Forecasts'!S$9*1000000/SUM('Statistics NZ'!Q$30:Q$110,'Statistics NZ'!Q$130:Q$210)</f>
        <v>33299.561010332167</v>
      </c>
      <c r="R153" s="44">
        <f>'Statistics NZ'!R$153*'Economic Forecasts'!T$9*1000000/SUM('Statistics NZ'!R$30:R$110,'Statistics NZ'!R$130:R$210)</f>
        <v>33767.709223715916</v>
      </c>
      <c r="S153" s="44">
        <f>'Statistics NZ'!S$153*'Economic Forecasts'!U$9*1000000/SUM('Statistics NZ'!S$30:S$110,'Statistics NZ'!S$130:S$210)</f>
        <v>35512.140260133237</v>
      </c>
      <c r="T153" s="44">
        <f>'Statistics NZ'!T$153*'Economic Forecasts'!V$9*1000000/SUM('Statistics NZ'!T$30:T$110,'Statistics NZ'!T$130:T$210)</f>
        <v>37624.24992754883</v>
      </c>
      <c r="U153" s="45">
        <f>SUM('Statistics NZ'!U$153,$I$13/5*(U$8-U$9)*1000)*'Economic Forecasts'!W$9*1000000/SUM('Statistics NZ'!U$30:U$110,'Statistics NZ'!U$130:U$210,SUM($E$12:$T$13)*(U$8-U$9)*1000)</f>
        <v>39721.012954523292</v>
      </c>
      <c r="V153" s="45">
        <f>SUM('Statistics NZ'!V$153,$I$13/5*(V$8-V$9)*1000)*'Economic Forecasts'!X$9*1000000/SUM('Statistics NZ'!V$30:V$110,'Statistics NZ'!V$130:V$210,SUM($E$12:$T$13)*(V$8-V$9)*1000)</f>
        <v>40906.667191807617</v>
      </c>
      <c r="W153" s="45">
        <f>SUM('Statistics NZ'!W$153,$I$13/5*(W$8-W$9)*1000)*'Economic Forecasts'!Y$9*1000000/SUM('Statistics NZ'!W$30:W$110,'Statistics NZ'!W$130:W$210,SUM($E$12:$T$13)*(W$8-W$9)*1000)</f>
        <v>41651.415520132869</v>
      </c>
      <c r="X153" s="45">
        <f>SUM('Statistics NZ'!X$153,$I$13/5*(X$8-X$9)*1000)*'Economic Forecasts'!Z$9*1000000/SUM('Statistics NZ'!X$30:X$110,'Statistics NZ'!X$130:X$210,SUM($E$12:$T$13)*(X$8-X$9)*1000)</f>
        <v>43371.857568691827</v>
      </c>
      <c r="Y153" s="45">
        <f>SUM('Statistics NZ'!Y$153,$I$13/5*(Y$8-Y$9)*1000)*'Economic Forecasts'!AA$9*1000000/SUM('Statistics NZ'!Y$30:Y$110,'Statistics NZ'!Y$130:Y$210,SUM($E$12:$T$13)*(Y$8-Y$9)*1000)</f>
        <v>44140.987148054061</v>
      </c>
      <c r="Z153" s="46">
        <f>SUM(Y$153,'Statistics NZ'!Z$153-'Statistics NZ'!Y$153,$I$13/5*(Z$8-Z$9)*1000)</f>
        <v>44126.490737935623</v>
      </c>
      <c r="AA153" s="46">
        <f>SUM(Z$153,'Statistics NZ'!AA$153-'Statistics NZ'!Z$153,$I$13/5*(AA$8-AA$9)*1000)</f>
        <v>43257.792891864556</v>
      </c>
      <c r="AB153" s="46">
        <f>SUM(AA$153,'Statistics NZ'!AB$153-'Statistics NZ'!AA$153,$I$13/5*(AB$8-AB$9)*1000)</f>
        <v>42127.733897031394</v>
      </c>
      <c r="AC153" s="46">
        <f>SUM(AB$153,'Statistics NZ'!AC$153-'Statistics NZ'!AB$153,$I$13/5*(AC$8-AC$9)*1000)</f>
        <v>41737.733897031394</v>
      </c>
      <c r="AD153" s="46">
        <f>SUM(AC$153,'Statistics NZ'!AD$153-'Statistics NZ'!AC$153,$I$13/5*(AD$8-AD$9)*1000)</f>
        <v>41227.733897031394</v>
      </c>
      <c r="AE153" s="46">
        <f>SUM(AD$153,'Statistics NZ'!AE$153-'Statistics NZ'!AD$153,$I$13/5*(AE$8-AE$9)*1000)</f>
        <v>39767.733897031394</v>
      </c>
      <c r="AF153" s="46">
        <f>SUM(AE$153,'Statistics NZ'!AF$153-'Statistics NZ'!AE$153,$I$13/5*(AF$8-AF$9)*1000)</f>
        <v>39597.733897031394</v>
      </c>
      <c r="AG153" s="46">
        <f>SUM(AF$153,'Statistics NZ'!AG$153-'Statistics NZ'!AF$153,$I$13/5*(AG$8-AG$9)*1000)</f>
        <v>38907.733897031394</v>
      </c>
      <c r="AH153" s="46">
        <f>SUM(AG$153,'Statistics NZ'!AH$153-'Statistics NZ'!AG$153,$I$13/5*(AH$8-AH$9)*1000)</f>
        <v>39897.733897031394</v>
      </c>
      <c r="AI153" s="46">
        <f>SUM(AH$153,'Statistics NZ'!AI$153-'Statistics NZ'!AH$153,$I$13/5*(AI$8-AI$9)*1000)</f>
        <v>39527.733897031394</v>
      </c>
      <c r="AJ153" s="46">
        <f>SUM(AI$153,'Statistics NZ'!AJ$153-'Statistics NZ'!AI$153,$I$13/5*(AJ$8-AJ$9)*1000)</f>
        <v>38797.733897031394</v>
      </c>
      <c r="AK153" s="46">
        <f>SUM(AJ$153,'Statistics NZ'!AK$153-'Statistics NZ'!AJ$153,$I$13/5*(AK$8-AK$9)*1000)</f>
        <v>39527.733897031394</v>
      </c>
      <c r="AL153" s="46">
        <f>SUM(AK$153,'Statistics NZ'!AL$153-'Statistics NZ'!AK$153,$I$13/5*(AL$8-AL$9)*1000)</f>
        <v>40537.733897031394</v>
      </c>
      <c r="AM153" s="46">
        <f>SUM(AL$153,'Statistics NZ'!AM$153-'Statistics NZ'!AL$153,$I$13/5*(AM$8-AM$9)*1000)</f>
        <v>40947.733897031394</v>
      </c>
      <c r="AN153" s="46">
        <f>SUM(AM$153,'Statistics NZ'!AN$153-'Statistics NZ'!AM$153,$I$13/5*(AN$8-AN$9)*1000)</f>
        <v>41877.733897031394</v>
      </c>
      <c r="AO153" s="46">
        <f>SUM(AN$153,'Statistics NZ'!AO$153-'Statistics NZ'!AN$153,$I$13/5*(AO$8-AO$9)*1000)</f>
        <v>44677.733897031394</v>
      </c>
      <c r="AP153" s="46">
        <f>SUM(AO$153,'Statistics NZ'!AP$153-'Statistics NZ'!AO$153,$I$13/5*(AP$8-AP$9)*1000)</f>
        <v>46467.733897031394</v>
      </c>
      <c r="AQ153" s="46">
        <f>SUM(AP$153,'Statistics NZ'!AQ$153-'Statistics NZ'!AP$153,$I$13/5*(AQ$8-AQ$9)*1000)</f>
        <v>46687.733897031394</v>
      </c>
      <c r="AR153" s="46">
        <f>SUM(AQ$153,'Statistics NZ'!AR$153-'Statistics NZ'!AQ$153,$I$13/5*(AR$8-AR$9)*1000)</f>
        <v>47317.733897031394</v>
      </c>
      <c r="AS153" s="46">
        <f>SUM(AR$153,'Statistics NZ'!AS$153-'Statistics NZ'!AR$153,$I$13/5*(AS$8-AS$9)*1000)</f>
        <v>47357.733897031394</v>
      </c>
      <c r="AT153" s="46">
        <f>SUM(AS$153,'Statistics NZ'!AT$153-'Statistics NZ'!AS$153,$I$13/5*(AT$8-AT$9)*1000)</f>
        <v>47357.733897031394</v>
      </c>
      <c r="AU153" s="46">
        <f>SUM(AT$153,'Statistics NZ'!AU$153-'Statistics NZ'!AT$153,$I$13/5*(AU$8-AU$9)*1000)</f>
        <v>47447.733897031394</v>
      </c>
      <c r="AV153" s="46">
        <f>SUM(AU$153,'Statistics NZ'!AV$153-'Statistics NZ'!AU$153,$I$13/5*(AV$8-AV$9)*1000)</f>
        <v>47237.733897031394</v>
      </c>
      <c r="AW153" s="46">
        <f>SUM(AV$153,'Statistics NZ'!AW$153-'Statistics NZ'!AV$153,$I$13/5*(AW$8-AW$9)*1000)</f>
        <v>47417.733897031394</v>
      </c>
      <c r="AX153" s="46">
        <f>SUM(AW$153,'Statistics NZ'!AX$153-'Statistics NZ'!AW$153,$I$13/5*(AX$8-AX$9)*1000)</f>
        <v>47287.733897031394</v>
      </c>
      <c r="AY153" s="46">
        <f>SUM(AX$153,'Statistics NZ'!AY$153-'Statistics NZ'!AX$153,$I$13/5*(AY$8-AY$9)*1000)</f>
        <v>47117.733897031394</v>
      </c>
      <c r="AZ153" s="46">
        <f>SUM(AY$153,'Statistics NZ'!AZ$153-'Statistics NZ'!AY$153,$I$13/5*(AZ$8-AZ$9)*1000)</f>
        <v>46957.733897031394</v>
      </c>
      <c r="BA153" s="46">
        <f>SUM(AZ$153,'Statistics NZ'!BA$153-'Statistics NZ'!AZ$153,$I$13/5*(BA$8-BA$9)*1000)</f>
        <v>47357.733897031394</v>
      </c>
      <c r="BB153" s="46">
        <f>SUM(BA$153,'Statistics NZ'!BB$153-'Statistics NZ'!BA$153,$I$13/5*(BB$8-BB$9)*1000)</f>
        <v>46667.733897031394</v>
      </c>
      <c r="BC153" s="46">
        <f>SUM(BB$153,'Statistics NZ'!BC$153-'Statistics NZ'!BB$153,$I$13/5*(BC$8-BC$9)*1000)</f>
        <v>47397.733897031394</v>
      </c>
      <c r="BD153" s="46">
        <f>SUM(BC$153,'Statistics NZ'!BD$153-'Statistics NZ'!BC$153,$I$13/5*(BD$8-BD$9)*1000)</f>
        <v>46797.733897031394</v>
      </c>
      <c r="BE153" s="46">
        <f>SUM(BD$153,'Statistics NZ'!BE$153-'Statistics NZ'!BD$153,$I$13/5*(BE$8-BE$9)*1000)</f>
        <v>45337.733897031394</v>
      </c>
      <c r="BF153" s="46">
        <f>SUM(BE$153,'Statistics NZ'!BF$153-'Statistics NZ'!BE$153,$I$13/5*(BF$8-BF$9)*1000)</f>
        <v>45267.733897031394</v>
      </c>
      <c r="BG153" s="46">
        <f>SUM(BF$153,'Statistics NZ'!BG$153-'Statistics NZ'!BF$153,$I$13/5*(BG$8-BG$9)*1000)</f>
        <v>46007.733897031394</v>
      </c>
      <c r="BH153" s="46">
        <f>SUM(BG$153,'Statistics NZ'!BH$153-'Statistics NZ'!BG$153,$I$13/5*(BH$8-BH$9)*1000)</f>
        <v>46157.733897031394</v>
      </c>
      <c r="BI153" s="46">
        <f>SUM(BH$153,'Statistics NZ'!BI$153-'Statistics NZ'!BH$153,$I$13/5*(BI$8-BI$9)*1000)</f>
        <v>46287.733897031394</v>
      </c>
    </row>
    <row r="154" spans="1:61" x14ac:dyDescent="0.25">
      <c r="A154" s="11">
        <f>$A$54</f>
        <v>39</v>
      </c>
      <c r="B154" s="44">
        <f>'Statistics NZ'!B$154*'Economic Forecasts'!D$9*1000000/SUM('Statistics NZ'!B$30:B$110,'Statistics NZ'!B$130:B$210)</f>
        <v>28931.113180759148</v>
      </c>
      <c r="C154" s="44">
        <f>'Statistics NZ'!C$154*'Economic Forecasts'!E$9*1000000/SUM('Statistics NZ'!C$30:C$110,'Statistics NZ'!C$130:C$210)</f>
        <v>29352.213913627962</v>
      </c>
      <c r="D154" s="44">
        <f>'Statistics NZ'!D$154*'Economic Forecasts'!F$9*1000000/SUM('Statistics NZ'!D$30:D$110,'Statistics NZ'!D$130:D$210)</f>
        <v>29723.561933750269</v>
      </c>
      <c r="E154" s="44">
        <f>'Statistics NZ'!E$154*'Economic Forecasts'!G$9*1000000/SUM('Statistics NZ'!E$30:E$110,'Statistics NZ'!E$130:E$210)</f>
        <v>29450.489792558452</v>
      </c>
      <c r="F154" s="44">
        <f>'Statistics NZ'!F$154*'Economic Forecasts'!H$9*1000000/SUM('Statistics NZ'!F$30:F$110,'Statistics NZ'!F$130:F$210)</f>
        <v>30054.259246886719</v>
      </c>
      <c r="G154" s="44">
        <f>'Statistics NZ'!G$154*'Economic Forecasts'!I$9*1000000/SUM('Statistics NZ'!G$30:G$110,'Statistics NZ'!G$130:G$210)</f>
        <v>29712.978584960529</v>
      </c>
      <c r="H154" s="44">
        <f>'Statistics NZ'!H$154*'Economic Forecasts'!J$9*1000000/SUM('Statistics NZ'!H$30:H$110,'Statistics NZ'!H$130:H$210)</f>
        <v>28404.471480802818</v>
      </c>
      <c r="I154" s="44">
        <f>'Statistics NZ'!I$154*'Economic Forecasts'!K$9*1000000/SUM('Statistics NZ'!I$30:I$110,'Statistics NZ'!I$130:I$210)</f>
        <v>27567.597521870426</v>
      </c>
      <c r="J154" s="44">
        <f>'Statistics NZ'!J$154*'Economic Forecasts'!L$9*1000000/SUM('Statistics NZ'!J$30:J$110,'Statistics NZ'!J$130:J$210)</f>
        <v>26632.390408184783</v>
      </c>
      <c r="K154" s="44">
        <f>'Statistics NZ'!K$154*'Economic Forecasts'!M$9*1000000/SUM('Statistics NZ'!K$30:K$110,'Statistics NZ'!K$130:K$210)</f>
        <v>26297.528444013624</v>
      </c>
      <c r="L154" s="44">
        <f>'Statistics NZ'!L$154*'Economic Forecasts'!N$9*1000000/SUM('Statistics NZ'!L$30:L$110,'Statistics NZ'!L$130:L$210)</f>
        <v>26853.584236484396</v>
      </c>
      <c r="M154" s="44">
        <f>'Statistics NZ'!M$154*'Economic Forecasts'!O$9*1000000/SUM('Statistics NZ'!M$30:M$110,'Statistics NZ'!M$130:M$210)</f>
        <v>27227.802297296948</v>
      </c>
      <c r="N154" s="44">
        <f>'Statistics NZ'!N$154*'Economic Forecasts'!P$9*1000000/SUM('Statistics NZ'!N$30:N$110,'Statistics NZ'!N$130:N$210)</f>
        <v>28865.556100694463</v>
      </c>
      <c r="O154" s="44">
        <f>'Statistics NZ'!O$154*'Economic Forecasts'!Q$9*1000000/SUM('Statistics NZ'!O$30:O$110,'Statistics NZ'!O$130:O$210)</f>
        <v>30216.188513868714</v>
      </c>
      <c r="P154" s="44">
        <f>'Statistics NZ'!P$154*'Economic Forecasts'!R$9*1000000/SUM('Statistics NZ'!P$30:P$110,'Statistics NZ'!P$130:P$210)</f>
        <v>31451.474338831198</v>
      </c>
      <c r="Q154" s="44">
        <f>'Statistics NZ'!Q$154*'Economic Forecasts'!S$9*1000000/SUM('Statistics NZ'!Q$30:Q$110,'Statistics NZ'!Q$130:Q$210)</f>
        <v>32365.742771975598</v>
      </c>
      <c r="R154" s="44">
        <f>'Statistics NZ'!R$154*'Economic Forecasts'!T$9*1000000/SUM('Statistics NZ'!R$30:R$110,'Statistics NZ'!R$130:R$210)</f>
        <v>33220.017095345414</v>
      </c>
      <c r="S154" s="44">
        <f>'Statistics NZ'!S$154*'Economic Forecasts'!U$9*1000000/SUM('Statistics NZ'!S$30:S$110,'Statistics NZ'!S$130:S$210)</f>
        <v>35296.022117471286</v>
      </c>
      <c r="T154" s="44">
        <f>'Statistics NZ'!T$154*'Economic Forecasts'!V$9*1000000/SUM('Statistics NZ'!T$30:T$110,'Statistics NZ'!T$130:T$210)</f>
        <v>36791.67959195502</v>
      </c>
      <c r="U154" s="45">
        <f>SUM('Statistics NZ'!U$154,$I$13/5*(U$8-U$9)*1000)*'Economic Forecasts'!W$9*1000000/SUM('Statistics NZ'!U$30:U$110,'Statistics NZ'!U$130:U$210,SUM($E$12:$T$13)*(U$8-U$9)*1000)</f>
        <v>37987.647012645124</v>
      </c>
      <c r="V154" s="45">
        <f>SUM('Statistics NZ'!V$154,$I$13/5*(V$8-V$9)*1000)*'Economic Forecasts'!X$9*1000000/SUM('Statistics NZ'!V$30:V$110,'Statistics NZ'!V$130:V$210,SUM($E$12:$T$13)*(V$8-V$9)*1000)</f>
        <v>40045.29602056466</v>
      </c>
      <c r="W154" s="45">
        <f>SUM('Statistics NZ'!W$154,$I$13/5*(W$8-W$9)*1000)*'Economic Forecasts'!Y$9*1000000/SUM('Statistics NZ'!W$30:W$110,'Statistics NZ'!W$130:W$210,SUM($E$12:$T$13)*(W$8-W$9)*1000)</f>
        <v>41255.295693735257</v>
      </c>
      <c r="X154" s="45">
        <f>SUM('Statistics NZ'!X$154,$I$13/5*(X$8-X$9)*1000)*'Economic Forecasts'!Z$9*1000000/SUM('Statistics NZ'!X$30:X$110,'Statistics NZ'!X$130:X$210,SUM($E$12:$T$13)*(X$8-X$9)*1000)</f>
        <v>42014.836795557778</v>
      </c>
      <c r="Y154" s="45">
        <f>SUM('Statistics NZ'!Y$154,$I$13/5*(Y$8-Y$9)*1000)*'Economic Forecasts'!AA$9*1000000/SUM('Statistics NZ'!Y$30:Y$110,'Statistics NZ'!Y$130:Y$210,SUM($E$12:$T$13)*(Y$8-Y$9)*1000)</f>
        <v>43754.540023500507</v>
      </c>
      <c r="Z154" s="46">
        <f>SUM(Y$154,'Statistics NZ'!Z$154-'Statistics NZ'!Y$154,$I$13/5*(Z$8-Z$9)*1000)</f>
        <v>44580.043613382069</v>
      </c>
      <c r="AA154" s="46">
        <f>SUM(Z$154,'Statistics NZ'!AA$154-'Statistics NZ'!Z$154,$I$13/5*(AA$8-AA$9)*1000)</f>
        <v>44561.345767311002</v>
      </c>
      <c r="AB154" s="46">
        <f>SUM(AA$154,'Statistics NZ'!AB$154-'Statistics NZ'!AA$154,$I$13/5*(AB$8-AB$9)*1000)</f>
        <v>43691.286772477841</v>
      </c>
      <c r="AC154" s="46">
        <f>SUM(AB$154,'Statistics NZ'!AC$154-'Statistics NZ'!AB$154,$I$13/5*(AC$8-AC$9)*1000)</f>
        <v>42551.286772477841</v>
      </c>
      <c r="AD154" s="46">
        <f>SUM(AC$154,'Statistics NZ'!AD$154-'Statistics NZ'!AC$154,$I$13/5*(AD$8-AD$9)*1000)</f>
        <v>42161.286772477841</v>
      </c>
      <c r="AE154" s="46">
        <f>SUM(AD$154,'Statistics NZ'!AE$154-'Statistics NZ'!AD$154,$I$13/5*(AE$8-AE$9)*1000)</f>
        <v>41651.286772477841</v>
      </c>
      <c r="AF154" s="46">
        <f>SUM(AE$154,'Statistics NZ'!AF$154-'Statistics NZ'!AE$154,$I$13/5*(AF$8-AF$9)*1000)</f>
        <v>40211.286772477841</v>
      </c>
      <c r="AG154" s="46">
        <f>SUM(AF$154,'Statistics NZ'!AG$154-'Statistics NZ'!AF$154,$I$13/5*(AG$8-AG$9)*1000)</f>
        <v>40031.286772477841</v>
      </c>
      <c r="AH154" s="46">
        <f>SUM(AG$154,'Statistics NZ'!AH$154-'Statistics NZ'!AG$154,$I$13/5*(AH$8-AH$9)*1000)</f>
        <v>39351.286772477841</v>
      </c>
      <c r="AI154" s="46">
        <f>SUM(AH$154,'Statistics NZ'!AI$154-'Statistics NZ'!AH$154,$I$13/5*(AI$8-AI$9)*1000)</f>
        <v>40341.286772477841</v>
      </c>
      <c r="AJ154" s="46">
        <f>SUM(AI$154,'Statistics NZ'!AJ$154-'Statistics NZ'!AI$154,$I$13/5*(AJ$8-AJ$9)*1000)</f>
        <v>39981.286772477841</v>
      </c>
      <c r="AK154" s="46">
        <f>SUM(AJ$154,'Statistics NZ'!AK$154-'Statistics NZ'!AJ$154,$I$13/5*(AK$8-AK$9)*1000)</f>
        <v>39251.286772477841</v>
      </c>
      <c r="AL154" s="46">
        <f>SUM(AK$154,'Statistics NZ'!AL$154-'Statistics NZ'!AK$154,$I$13/5*(AL$8-AL$9)*1000)</f>
        <v>39981.286772477841</v>
      </c>
      <c r="AM154" s="46">
        <f>SUM(AL$154,'Statistics NZ'!AM$154-'Statistics NZ'!AL$154,$I$13/5*(AM$8-AM$9)*1000)</f>
        <v>41001.286772477841</v>
      </c>
      <c r="AN154" s="46">
        <f>SUM(AM$154,'Statistics NZ'!AN$154-'Statistics NZ'!AM$154,$I$13/5*(AN$8-AN$9)*1000)</f>
        <v>41401.286772477841</v>
      </c>
      <c r="AO154" s="46">
        <f>SUM(AN$154,'Statistics NZ'!AO$154-'Statistics NZ'!AN$154,$I$13/5*(AO$8-AO$9)*1000)</f>
        <v>42341.286772477841</v>
      </c>
      <c r="AP154" s="46">
        <f>SUM(AO$154,'Statistics NZ'!AP$154-'Statistics NZ'!AO$154,$I$13/5*(AP$8-AP$9)*1000)</f>
        <v>45141.286772477841</v>
      </c>
      <c r="AQ154" s="46">
        <f>SUM(AP$154,'Statistics NZ'!AQ$154-'Statistics NZ'!AP$154,$I$13/5*(AQ$8-AQ$9)*1000)</f>
        <v>46931.286772477841</v>
      </c>
      <c r="AR154" s="46">
        <f>SUM(AQ$154,'Statistics NZ'!AR$154-'Statistics NZ'!AQ$154,$I$13/5*(AR$8-AR$9)*1000)</f>
        <v>47151.286772477841</v>
      </c>
      <c r="AS154" s="46">
        <f>SUM(AR$154,'Statistics NZ'!AS$154-'Statistics NZ'!AR$154,$I$13/5*(AS$8-AS$9)*1000)</f>
        <v>47781.286772477841</v>
      </c>
      <c r="AT154" s="46">
        <f>SUM(AS$154,'Statistics NZ'!AT$154-'Statistics NZ'!AS$154,$I$13/5*(AT$8-AT$9)*1000)</f>
        <v>47821.286772477841</v>
      </c>
      <c r="AU154" s="46">
        <f>SUM(AT$154,'Statistics NZ'!AU$154-'Statistics NZ'!AT$154,$I$13/5*(AU$8-AU$9)*1000)</f>
        <v>47831.286772477841</v>
      </c>
      <c r="AV154" s="46">
        <f>SUM(AU$154,'Statistics NZ'!AV$154-'Statistics NZ'!AU$154,$I$13/5*(AV$8-AV$9)*1000)</f>
        <v>47931.286772477841</v>
      </c>
      <c r="AW154" s="46">
        <f>SUM(AV$154,'Statistics NZ'!AW$154-'Statistics NZ'!AV$154,$I$13/5*(AW$8-AW$9)*1000)</f>
        <v>47721.286772477841</v>
      </c>
      <c r="AX154" s="46">
        <f>SUM(AW$154,'Statistics NZ'!AX$154-'Statistics NZ'!AW$154,$I$13/5*(AX$8-AX$9)*1000)</f>
        <v>47901.286772477841</v>
      </c>
      <c r="AY154" s="46">
        <f>SUM(AX$154,'Statistics NZ'!AY$154-'Statistics NZ'!AX$154,$I$13/5*(AY$8-AY$9)*1000)</f>
        <v>47771.286772477841</v>
      </c>
      <c r="AZ154" s="46">
        <f>SUM(AY$154,'Statistics NZ'!AZ$154-'Statistics NZ'!AY$154,$I$13/5*(AZ$8-AZ$9)*1000)</f>
        <v>47601.286772477841</v>
      </c>
      <c r="BA154" s="46">
        <f>SUM(AZ$154,'Statistics NZ'!BA$154-'Statistics NZ'!AZ$154,$I$13/5*(BA$8-BA$9)*1000)</f>
        <v>47451.286772477841</v>
      </c>
      <c r="BB154" s="46">
        <f>SUM(BA$154,'Statistics NZ'!BB$154-'Statistics NZ'!BA$154,$I$13/5*(BB$8-BB$9)*1000)</f>
        <v>47851.286772477841</v>
      </c>
      <c r="BC154" s="46">
        <f>SUM(BB$154,'Statistics NZ'!BC$154-'Statistics NZ'!BB$154,$I$13/5*(BC$8-BC$9)*1000)</f>
        <v>47171.286772477841</v>
      </c>
      <c r="BD154" s="46">
        <f>SUM(BC$154,'Statistics NZ'!BD$154-'Statistics NZ'!BC$154,$I$13/5*(BD$8-BD$9)*1000)</f>
        <v>47901.286772477841</v>
      </c>
      <c r="BE154" s="46">
        <f>SUM(BD$154,'Statistics NZ'!BE$154-'Statistics NZ'!BD$154,$I$13/5*(BE$8-BE$9)*1000)</f>
        <v>47311.286772477841</v>
      </c>
      <c r="BF154" s="46">
        <f>SUM(BE$154,'Statistics NZ'!BF$154-'Statistics NZ'!BE$154,$I$13/5*(BF$8-BF$9)*1000)</f>
        <v>45841.286772477841</v>
      </c>
      <c r="BG154" s="46">
        <f>SUM(BF$154,'Statistics NZ'!BG$154-'Statistics NZ'!BF$154,$I$13/5*(BG$8-BG$9)*1000)</f>
        <v>45781.286772477841</v>
      </c>
      <c r="BH154" s="46">
        <f>SUM(BG$154,'Statistics NZ'!BH$154-'Statistics NZ'!BG$154,$I$13/5*(BH$8-BH$9)*1000)</f>
        <v>46521.286772477841</v>
      </c>
      <c r="BI154" s="46">
        <f>SUM(BH$154,'Statistics NZ'!BI$154-'Statistics NZ'!BH$154,$I$13/5*(BI$8-BI$9)*1000)</f>
        <v>46681.286772477841</v>
      </c>
    </row>
    <row r="155" spans="1:61" x14ac:dyDescent="0.25">
      <c r="A155" s="11">
        <f>$A$55</f>
        <v>40</v>
      </c>
      <c r="B155" s="44">
        <f>'Statistics NZ'!B$155*'Economic Forecasts'!D$9*1000000/SUM('Statistics NZ'!B$30:B$110,'Statistics NZ'!B$130:B$210)</f>
        <v>29273.551111542569</v>
      </c>
      <c r="C155" s="44">
        <f>'Statistics NZ'!C$155*'Economic Forecasts'!E$9*1000000/SUM('Statistics NZ'!C$30:C$110,'Statistics NZ'!C$130:C$210)</f>
        <v>29214.732818013774</v>
      </c>
      <c r="D155" s="44">
        <f>'Statistics NZ'!D$155*'Economic Forecasts'!F$9*1000000/SUM('Statistics NZ'!D$30:D$110,'Statistics NZ'!D$130:D$210)</f>
        <v>29419.057498870468</v>
      </c>
      <c r="E155" s="44">
        <f>'Statistics NZ'!E$155*'Economic Forecasts'!G$9*1000000/SUM('Statistics NZ'!E$30:E$110,'Statistics NZ'!E$130:E$210)</f>
        <v>29774.121548520627</v>
      </c>
      <c r="F155" s="44">
        <f>'Statistics NZ'!F$155*'Economic Forecasts'!H$9*1000000/SUM('Statistics NZ'!F$30:F$110,'Statistics NZ'!F$130:F$210)</f>
        <v>29475.538197419904</v>
      </c>
      <c r="G155" s="44">
        <f>'Statistics NZ'!G$155*'Economic Forecasts'!I$9*1000000/SUM('Statistics NZ'!G$30:G$110,'Statistics NZ'!G$130:G$210)</f>
        <v>30066.587586302205</v>
      </c>
      <c r="H155" s="44">
        <f>'Statistics NZ'!H$155*'Economic Forecasts'!J$9*1000000/SUM('Statistics NZ'!H$30:H$110,'Statistics NZ'!H$130:H$210)</f>
        <v>29681.739309410343</v>
      </c>
      <c r="I155" s="44">
        <f>'Statistics NZ'!I$155*'Economic Forecasts'!K$9*1000000/SUM('Statistics NZ'!I$30:I$110,'Statistics NZ'!I$130:I$210)</f>
        <v>28430.31038884219</v>
      </c>
      <c r="J155" s="44">
        <f>'Statistics NZ'!J$155*'Economic Forecasts'!L$9*1000000/SUM('Statistics NZ'!J$30:J$110,'Statistics NZ'!J$130:J$210)</f>
        <v>27831.871924188712</v>
      </c>
      <c r="K155" s="44">
        <f>'Statistics NZ'!K$155*'Economic Forecasts'!M$9*1000000/SUM('Statistics NZ'!K$30:K$110,'Statistics NZ'!K$130:K$210)</f>
        <v>27144.579526808589</v>
      </c>
      <c r="L155" s="44">
        <f>'Statistics NZ'!L$155*'Economic Forecasts'!N$9*1000000/SUM('Statistics NZ'!L$30:L$110,'Statistics NZ'!L$130:L$210)</f>
        <v>26999.633461845991</v>
      </c>
      <c r="M155" s="44">
        <f>'Statistics NZ'!M$155*'Economic Forecasts'!O$9*1000000/SUM('Statistics NZ'!M$30:M$110,'Statistics NZ'!M$130:M$210)</f>
        <v>27686.972267864927</v>
      </c>
      <c r="N155" s="44">
        <f>'Statistics NZ'!N$155*'Economic Forecasts'!P$9*1000000/SUM('Statistics NZ'!N$30:N$110,'Statistics NZ'!N$130:N$210)</f>
        <v>28053.406556166447</v>
      </c>
      <c r="O155" s="44">
        <f>'Statistics NZ'!O$155*'Economic Forecasts'!Q$9*1000000/SUM('Statistics NZ'!O$30:O$110,'Statistics NZ'!O$130:O$210)</f>
        <v>29586.889436456546</v>
      </c>
      <c r="P155" s="44">
        <f>'Statistics NZ'!P$155*'Economic Forecasts'!R$9*1000000/SUM('Statistics NZ'!P$30:P$110,'Statistics NZ'!P$130:P$210)</f>
        <v>30891.419969161285</v>
      </c>
      <c r="Q155" s="44">
        <f>'Statistics NZ'!Q$155*'Economic Forecasts'!S$9*1000000/SUM('Statistics NZ'!Q$30:Q$110,'Statistics NZ'!Q$130:Q$210)</f>
        <v>31859.09670648427</v>
      </c>
      <c r="R155" s="44">
        <f>'Statistics NZ'!R$155*'Economic Forecasts'!T$9*1000000/SUM('Statistics NZ'!R$30:R$110,'Statistics NZ'!R$130:R$210)</f>
        <v>32293.919496464376</v>
      </c>
      <c r="S155" s="44">
        <f>'Statistics NZ'!S$155*'Economic Forecasts'!U$9*1000000/SUM('Statistics NZ'!S$30:S$110,'Statistics NZ'!S$130:S$210)</f>
        <v>34588.726377850377</v>
      </c>
      <c r="T155" s="44">
        <f>'Statistics NZ'!T$155*'Economic Forecasts'!V$9*1000000/SUM('Statistics NZ'!T$30:T$110,'Statistics NZ'!T$130:T$210)</f>
        <v>36504.244595142874</v>
      </c>
      <c r="U155" s="45">
        <f>SUM('Statistics NZ'!U$155,$J$13/5*(U$8-U$9)*1000)*'Economic Forecasts'!W$9*1000000/SUM('Statistics NZ'!U$30:U$110,'Statistics NZ'!U$130:U$210,SUM($E$12:$T$13)*(U$8-U$9)*1000)</f>
        <v>37078.173408697498</v>
      </c>
      <c r="V155" s="45">
        <f>SUM('Statistics NZ'!V$155,$J$13/5*(V$8-V$9)*1000)*'Economic Forecasts'!X$9*1000000/SUM('Statistics NZ'!V$30:V$110,'Statistics NZ'!V$130:V$210,SUM($E$12:$T$13)*(V$8-V$9)*1000)</f>
        <v>38223.890095683746</v>
      </c>
      <c r="W155" s="45">
        <f>SUM('Statistics NZ'!W$155,$J$13/5*(W$8-W$9)*1000)*'Economic Forecasts'!Y$9*1000000/SUM('Statistics NZ'!W$30:W$110,'Statistics NZ'!W$130:W$210,SUM($E$12:$T$13)*(W$8-W$9)*1000)</f>
        <v>40310.699219790848</v>
      </c>
      <c r="X155" s="45">
        <f>SUM('Statistics NZ'!X$155,$J$13/5*(X$8-X$9)*1000)*'Economic Forecasts'!Z$9*1000000/SUM('Statistics NZ'!X$30:X$110,'Statistics NZ'!X$130:X$210,SUM($E$12:$T$13)*(X$8-X$9)*1000)</f>
        <v>41543.235170287226</v>
      </c>
      <c r="Y155" s="45">
        <f>SUM('Statistics NZ'!Y$155,$J$13/5*(Y$8-Y$9)*1000)*'Economic Forecasts'!AA$9*1000000/SUM('Statistics NZ'!Y$30:Y$110,'Statistics NZ'!Y$130:Y$210,SUM($E$12:$T$13)*(Y$8-Y$9)*1000)</f>
        <v>42328.309927760572</v>
      </c>
      <c r="Z155" s="46">
        <f>SUM(Y$155,'Statistics NZ'!Z$155-'Statistics NZ'!Y$155,$J$13/5*(Z$8-Z$9)*1000)</f>
        <v>44121.724508568172</v>
      </c>
      <c r="AA155" s="46">
        <f>SUM(Z$155,'Statistics NZ'!AA$155-'Statistics NZ'!Z$155,$J$13/5*(AA$8-AA$9)*1000)</f>
        <v>44935.77325705273</v>
      </c>
      <c r="AB155" s="46">
        <f>SUM(AA$155,'Statistics NZ'!AB$155-'Statistics NZ'!AA$155,$J$13/5*(AB$8-AB$9)*1000)</f>
        <v>44902.329339678858</v>
      </c>
      <c r="AC155" s="46">
        <f>SUM(AB$155,'Statistics NZ'!AC$155-'Statistics NZ'!AB$155,$J$13/5*(AC$8-AC$9)*1000)</f>
        <v>44022.329339678858</v>
      </c>
      <c r="AD155" s="46">
        <f>SUM(AC$155,'Statistics NZ'!AD$155-'Statistics NZ'!AC$155,$J$13/5*(AD$8-AD$9)*1000)</f>
        <v>42892.329339678858</v>
      </c>
      <c r="AE155" s="46">
        <f>SUM(AD$155,'Statistics NZ'!AE$155-'Statistics NZ'!AD$155,$J$13/5*(AE$8-AE$9)*1000)</f>
        <v>42502.329339678858</v>
      </c>
      <c r="AF155" s="46">
        <f>SUM(AE$155,'Statistics NZ'!AF$155-'Statistics NZ'!AE$155,$J$13/5*(AF$8-AF$9)*1000)</f>
        <v>42002.329339678858</v>
      </c>
      <c r="AG155" s="46">
        <f>SUM(AF$155,'Statistics NZ'!AG$155-'Statistics NZ'!AF$155,$J$13/5*(AG$8-AG$9)*1000)</f>
        <v>40552.329339678858</v>
      </c>
      <c r="AH155" s="46">
        <f>SUM(AG$155,'Statistics NZ'!AH$155-'Statistics NZ'!AG$155,$J$13/5*(AH$8-AH$9)*1000)</f>
        <v>40382.329339678858</v>
      </c>
      <c r="AI155" s="46">
        <f>SUM(AH$155,'Statistics NZ'!AI$155-'Statistics NZ'!AH$155,$J$13/5*(AI$8-AI$9)*1000)</f>
        <v>39702.329339678858</v>
      </c>
      <c r="AJ155" s="46">
        <f>SUM(AI$155,'Statistics NZ'!AJ$155-'Statistics NZ'!AI$155,$J$13/5*(AJ$8-AJ$9)*1000)</f>
        <v>40702.329339678858</v>
      </c>
      <c r="AK155" s="46">
        <f>SUM(AJ$155,'Statistics NZ'!AK$155-'Statistics NZ'!AJ$155,$J$13/5*(AK$8-AK$9)*1000)</f>
        <v>40342.329339678858</v>
      </c>
      <c r="AL155" s="46">
        <f>SUM(AK$155,'Statistics NZ'!AL$155-'Statistics NZ'!AK$155,$J$13/5*(AL$8-AL$9)*1000)</f>
        <v>39612.329339678858</v>
      </c>
      <c r="AM155" s="46">
        <f>SUM(AL$155,'Statistics NZ'!AM$155-'Statistics NZ'!AL$155,$J$13/5*(AM$8-AM$9)*1000)</f>
        <v>40342.329339678858</v>
      </c>
      <c r="AN155" s="46">
        <f>SUM(AM$155,'Statistics NZ'!AN$155-'Statistics NZ'!AM$155,$J$13/5*(AN$8-AN$9)*1000)</f>
        <v>41362.329339678858</v>
      </c>
      <c r="AO155" s="46">
        <f>SUM(AN$155,'Statistics NZ'!AO$155-'Statistics NZ'!AN$155,$J$13/5*(AO$8-AO$9)*1000)</f>
        <v>41772.329339678858</v>
      </c>
      <c r="AP155" s="46">
        <f>SUM(AO$155,'Statistics NZ'!AP$155-'Statistics NZ'!AO$155,$J$13/5*(AP$8-AP$9)*1000)</f>
        <v>42712.329339678858</v>
      </c>
      <c r="AQ155" s="46">
        <f>SUM(AP$155,'Statistics NZ'!AQ$155-'Statistics NZ'!AP$155,$J$13/5*(AQ$8-AQ$9)*1000)</f>
        <v>45512.329339678858</v>
      </c>
      <c r="AR155" s="46">
        <f>SUM(AQ$155,'Statistics NZ'!AR$155-'Statistics NZ'!AQ$155,$J$13/5*(AR$8-AR$9)*1000)</f>
        <v>47312.329339678858</v>
      </c>
      <c r="AS155" s="46">
        <f>SUM(AR$155,'Statistics NZ'!AS$155-'Statistics NZ'!AR$155,$J$13/5*(AS$8-AS$9)*1000)</f>
        <v>47532.329339678858</v>
      </c>
      <c r="AT155" s="46">
        <f>SUM(AS$155,'Statistics NZ'!AT$155-'Statistics NZ'!AS$155,$J$13/5*(AT$8-AT$9)*1000)</f>
        <v>48162.329339678858</v>
      </c>
      <c r="AU155" s="46">
        <f>SUM(AT$155,'Statistics NZ'!AU$155-'Statistics NZ'!AT$155,$J$13/5*(AU$8-AU$9)*1000)</f>
        <v>48212.329339678858</v>
      </c>
      <c r="AV155" s="46">
        <f>SUM(AU$155,'Statistics NZ'!AV$155-'Statistics NZ'!AU$155,$J$13/5*(AV$8-AV$9)*1000)</f>
        <v>48222.329339678858</v>
      </c>
      <c r="AW155" s="46">
        <f>SUM(AV$155,'Statistics NZ'!AW$155-'Statistics NZ'!AV$155,$J$13/5*(AW$8-AW$9)*1000)</f>
        <v>48322.329339678858</v>
      </c>
      <c r="AX155" s="46">
        <f>SUM(AW$155,'Statistics NZ'!AX$155-'Statistics NZ'!AW$155,$J$13/5*(AX$8-AX$9)*1000)</f>
        <v>48112.329339678858</v>
      </c>
      <c r="AY155" s="46">
        <f>SUM(AX$155,'Statistics NZ'!AY$155-'Statistics NZ'!AX$155,$J$13/5*(AY$8-AY$9)*1000)</f>
        <v>48292.329339678858</v>
      </c>
      <c r="AZ155" s="46">
        <f>SUM(AY$155,'Statistics NZ'!AZ$155-'Statistics NZ'!AY$155,$J$13/5*(AZ$8-AZ$9)*1000)</f>
        <v>48172.329339678858</v>
      </c>
      <c r="BA155" s="46">
        <f>SUM(AZ$155,'Statistics NZ'!BA$155-'Statistics NZ'!AZ$155,$J$13/5*(BA$8-BA$9)*1000)</f>
        <v>48002.329339678858</v>
      </c>
      <c r="BB155" s="46">
        <f>SUM(BA$155,'Statistics NZ'!BB$155-'Statistics NZ'!BA$155,$J$13/5*(BB$8-BB$9)*1000)</f>
        <v>47852.329339678858</v>
      </c>
      <c r="BC155" s="46">
        <f>SUM(BB$155,'Statistics NZ'!BC$155-'Statistics NZ'!BB$155,$J$13/5*(BC$8-BC$9)*1000)</f>
        <v>48262.329339678858</v>
      </c>
      <c r="BD155" s="46">
        <f>SUM(BC$155,'Statistics NZ'!BD$155-'Statistics NZ'!BC$155,$J$13/5*(BD$8-BD$9)*1000)</f>
        <v>47582.329339678858</v>
      </c>
      <c r="BE155" s="46">
        <f>SUM(BD$155,'Statistics NZ'!BE$155-'Statistics NZ'!BD$155,$J$13/5*(BE$8-BE$9)*1000)</f>
        <v>48312.329339678858</v>
      </c>
      <c r="BF155" s="46">
        <f>SUM(BE$155,'Statistics NZ'!BF$155-'Statistics NZ'!BE$155,$J$13/5*(BF$8-BF$9)*1000)</f>
        <v>47722.329339678858</v>
      </c>
      <c r="BG155" s="46">
        <f>SUM(BF$155,'Statistics NZ'!BG$155-'Statistics NZ'!BF$155,$J$13/5*(BG$8-BG$9)*1000)</f>
        <v>46262.329339678858</v>
      </c>
      <c r="BH155" s="46">
        <f>SUM(BG$155,'Statistics NZ'!BH$155-'Statistics NZ'!BG$155,$J$13/5*(BH$8-BH$9)*1000)</f>
        <v>46202.329339678858</v>
      </c>
      <c r="BI155" s="46">
        <f>SUM(BH$155,'Statistics NZ'!BI$155-'Statistics NZ'!BH$155,$J$13/5*(BI$8-BI$9)*1000)</f>
        <v>46942.329339678858</v>
      </c>
    </row>
    <row r="156" spans="1:61" x14ac:dyDescent="0.25">
      <c r="A156" s="11">
        <f>$A$56</f>
        <v>41</v>
      </c>
      <c r="B156" s="44">
        <f>'Statistics NZ'!B$156*'Economic Forecasts'!D$9*1000000/SUM('Statistics NZ'!B$30:B$110,'Statistics NZ'!B$130:B$210)</f>
        <v>29723.612392000778</v>
      </c>
      <c r="C156" s="44">
        <f>'Statistics NZ'!C$156*'Economic Forecasts'!E$9*1000000/SUM('Statistics NZ'!C$30:C$110,'Statistics NZ'!C$130:C$210)</f>
        <v>29499.515087500302</v>
      </c>
      <c r="D156" s="44">
        <f>'Statistics NZ'!D$156*'Economic Forecasts'!F$9*1000000/SUM('Statistics NZ'!D$30:D$110,'Statistics NZ'!D$130:D$210)</f>
        <v>29252.071195871875</v>
      </c>
      <c r="E156" s="44">
        <f>'Statistics NZ'!E$156*'Economic Forecasts'!G$9*1000000/SUM('Statistics NZ'!E$30:E$110,'Statistics NZ'!E$130:E$210)</f>
        <v>29430.875746742557</v>
      </c>
      <c r="F156" s="44">
        <f>'Statistics NZ'!F$156*'Economic Forecasts'!H$9*1000000/SUM('Statistics NZ'!F$30:F$110,'Statistics NZ'!F$130:F$210)</f>
        <v>29838.464957255026</v>
      </c>
      <c r="G156" s="44">
        <f>'Statistics NZ'!G$156*'Economic Forecasts'!I$9*1000000/SUM('Statistics NZ'!G$30:G$110,'Statistics NZ'!G$130:G$210)</f>
        <v>29477.239250732742</v>
      </c>
      <c r="H156" s="44">
        <f>'Statistics NZ'!H$156*'Economic Forecasts'!J$9*1000000/SUM('Statistics NZ'!H$30:H$110,'Statistics NZ'!H$130:H$210)</f>
        <v>30045.269383706334</v>
      </c>
      <c r="I156" s="44">
        <f>'Statistics NZ'!I$156*'Economic Forecasts'!K$9*1000000/SUM('Statistics NZ'!I$30:I$110,'Statistics NZ'!I$130:I$210)</f>
        <v>29675.361912767352</v>
      </c>
      <c r="J156" s="44">
        <f>'Statistics NZ'!J$156*'Economic Forecasts'!L$9*1000000/SUM('Statistics NZ'!J$30:J$110,'Statistics NZ'!J$130:J$210)</f>
        <v>28836.315795313949</v>
      </c>
      <c r="K156" s="44">
        <f>'Statistics NZ'!K$156*'Economic Forecasts'!M$9*1000000/SUM('Statistics NZ'!K$30:K$110,'Statistics NZ'!K$130:K$210)</f>
        <v>28283.717189877669</v>
      </c>
      <c r="L156" s="44">
        <f>'Statistics NZ'!L$156*'Economic Forecasts'!N$9*1000000/SUM('Statistics NZ'!L$30:L$110,'Statistics NZ'!L$130:L$210)</f>
        <v>27749.352818702155</v>
      </c>
      <c r="M156" s="44">
        <f>'Statistics NZ'!M$156*'Economic Forecasts'!O$9*1000000/SUM('Statistics NZ'!M$30:M$110,'Statistics NZ'!M$130:M$210)</f>
        <v>27745.58971091616</v>
      </c>
      <c r="N156" s="44">
        <f>'Statistics NZ'!N$156*'Economic Forecasts'!P$9*1000000/SUM('Statistics NZ'!N$30:N$110,'Statistics NZ'!N$130:N$210)</f>
        <v>28395.879255666212</v>
      </c>
      <c r="O156" s="44">
        <f>'Statistics NZ'!O$156*'Economic Forecasts'!Q$9*1000000/SUM('Statistics NZ'!O$30:O$110,'Statistics NZ'!O$130:O$210)</f>
        <v>28672.439214591985</v>
      </c>
      <c r="P156" s="44">
        <f>'Statistics NZ'!P$156*'Economic Forecasts'!R$9*1000000/SUM('Statistics NZ'!P$30:P$110,'Statistics NZ'!P$130:P$210)</f>
        <v>30144.68080960141</v>
      </c>
      <c r="Q156" s="44">
        <f>'Statistics NZ'!Q$156*'Economic Forecasts'!S$9*1000000/SUM('Statistics NZ'!Q$30:Q$110,'Statistics NZ'!Q$130:Q$210)</f>
        <v>31243.174038632063</v>
      </c>
      <c r="R156" s="44">
        <f>'Statistics NZ'!R$156*'Economic Forecasts'!T$9*1000000/SUM('Statistics NZ'!R$30:R$110,'Statistics NZ'!R$130:R$210)</f>
        <v>31815.933638977393</v>
      </c>
      <c r="S156" s="44">
        <f>'Statistics NZ'!S$156*'Economic Forecasts'!U$9*1000000/SUM('Statistics NZ'!S$30:S$110,'Statistics NZ'!S$130:S$210)</f>
        <v>33537.606320358194</v>
      </c>
      <c r="T156" s="44">
        <f>'Statistics NZ'!T$156*'Economic Forecasts'!V$9*1000000/SUM('Statistics NZ'!T$30:T$110,'Statistics NZ'!T$130:T$210)</f>
        <v>35770.789775691184</v>
      </c>
      <c r="U156" s="45">
        <f>SUM('Statistics NZ'!U$156,$J$13/5*(U$8-U$9)*1000)*'Economic Forecasts'!W$9*1000000/SUM('Statistics NZ'!U$30:U$110,'Statistics NZ'!U$130:U$210,SUM($E$12:$T$13)*(U$8-U$9)*1000)</f>
        <v>36771.120013279084</v>
      </c>
      <c r="V156" s="45">
        <f>SUM('Statistics NZ'!V$156,$J$13/5*(V$8-V$9)*1000)*'Economic Forecasts'!X$9*1000000/SUM('Statistics NZ'!V$30:V$110,'Statistics NZ'!V$130:V$210,SUM($E$12:$T$13)*(V$8-V$9)*1000)</f>
        <v>37322.915652199721</v>
      </c>
      <c r="W156" s="45">
        <f>SUM('Statistics NZ'!W$156,$J$13/5*(W$8-W$9)*1000)*'Economic Forecasts'!Y$9*1000000/SUM('Statistics NZ'!W$30:W$110,'Statistics NZ'!W$130:W$210,SUM($E$12:$T$13)*(W$8-W$9)*1000)</f>
        <v>38498.451014021739</v>
      </c>
      <c r="X156" s="45">
        <f>SUM('Statistics NZ'!X$156,$J$13/5*(X$8-X$9)*1000)*'Economic Forecasts'!Z$9*1000000/SUM('Statistics NZ'!X$30:X$110,'Statistics NZ'!X$130:X$210,SUM($E$12:$T$13)*(X$8-X$9)*1000)</f>
        <v>40602.235364099375</v>
      </c>
      <c r="Y156" s="45">
        <f>SUM('Statistics NZ'!Y$156,$J$13/5*(Y$8-Y$9)*1000)*'Economic Forecasts'!AA$9*1000000/SUM('Statistics NZ'!Y$30:Y$110,'Statistics NZ'!Y$130:Y$210,SUM($E$12:$T$13)*(Y$8-Y$9)*1000)</f>
        <v>41852.682697540826</v>
      </c>
      <c r="Z156" s="46">
        <f>SUM(Y$156,'Statistics NZ'!Z$156-'Statistics NZ'!Y$156,$J$13/5*(Z$8-Z$9)*1000)</f>
        <v>42676.097278348425</v>
      </c>
      <c r="AA156" s="46">
        <f>SUM(Z$156,'Statistics NZ'!AA$156-'Statistics NZ'!Z$156,$J$13/5*(AA$8-AA$9)*1000)</f>
        <v>44470.146026832983</v>
      </c>
      <c r="AB156" s="46">
        <f>SUM(AA$156,'Statistics NZ'!AB$156-'Statistics NZ'!AA$156,$J$13/5*(AB$8-AB$9)*1000)</f>
        <v>45266.702109459111</v>
      </c>
      <c r="AC156" s="46">
        <f>SUM(AB$156,'Statistics NZ'!AC$156-'Statistics NZ'!AB$156,$J$13/5*(AC$8-AC$9)*1000)</f>
        <v>45236.702109459111</v>
      </c>
      <c r="AD156" s="46">
        <f>SUM(AC$156,'Statistics NZ'!AD$156-'Statistics NZ'!AC$156,$J$13/5*(AD$8-AD$9)*1000)</f>
        <v>44366.702109459111</v>
      </c>
      <c r="AE156" s="46">
        <f>SUM(AD$156,'Statistics NZ'!AE$156-'Statistics NZ'!AD$156,$J$13/5*(AE$8-AE$9)*1000)</f>
        <v>43236.702109459111</v>
      </c>
      <c r="AF156" s="46">
        <f>SUM(AE$156,'Statistics NZ'!AF$156-'Statistics NZ'!AE$156,$J$13/5*(AF$8-AF$9)*1000)</f>
        <v>42846.702109459111</v>
      </c>
      <c r="AG156" s="46">
        <f>SUM(AF$156,'Statistics NZ'!AG$156-'Statistics NZ'!AF$156,$J$13/5*(AG$8-AG$9)*1000)</f>
        <v>42346.702109459111</v>
      </c>
      <c r="AH156" s="46">
        <f>SUM(AG$156,'Statistics NZ'!AH$156-'Statistics NZ'!AG$156,$J$13/5*(AH$8-AH$9)*1000)</f>
        <v>40906.702109459111</v>
      </c>
      <c r="AI156" s="46">
        <f>SUM(AH$156,'Statistics NZ'!AI$156-'Statistics NZ'!AH$156,$J$13/5*(AI$8-AI$9)*1000)</f>
        <v>40736.702109459111</v>
      </c>
      <c r="AJ156" s="46">
        <f>SUM(AI$156,'Statistics NZ'!AJ$156-'Statistics NZ'!AI$156,$J$13/5*(AJ$8-AJ$9)*1000)</f>
        <v>40066.702109459111</v>
      </c>
      <c r="AK156" s="46">
        <f>SUM(AJ$156,'Statistics NZ'!AK$156-'Statistics NZ'!AJ$156,$J$13/5*(AK$8-AK$9)*1000)</f>
        <v>41056.702109459111</v>
      </c>
      <c r="AL156" s="46">
        <f>SUM(AK$156,'Statistics NZ'!AL$156-'Statistics NZ'!AK$156,$J$13/5*(AL$8-AL$9)*1000)</f>
        <v>40706.702109459111</v>
      </c>
      <c r="AM156" s="46">
        <f>SUM(AL$156,'Statistics NZ'!AM$156-'Statistics NZ'!AL$156,$J$13/5*(AM$8-AM$9)*1000)</f>
        <v>39986.702109459111</v>
      </c>
      <c r="AN156" s="46">
        <f>SUM(AM$156,'Statistics NZ'!AN$156-'Statistics NZ'!AM$156,$J$13/5*(AN$8-AN$9)*1000)</f>
        <v>40716.702109459111</v>
      </c>
      <c r="AO156" s="46">
        <f>SUM(AN$156,'Statistics NZ'!AO$156-'Statistics NZ'!AN$156,$J$13/5*(AO$8-AO$9)*1000)</f>
        <v>41736.702109459111</v>
      </c>
      <c r="AP156" s="46">
        <f>SUM(AO$156,'Statistics NZ'!AP$156-'Statistics NZ'!AO$156,$J$13/5*(AP$8-AP$9)*1000)</f>
        <v>42146.702109459111</v>
      </c>
      <c r="AQ156" s="46">
        <f>SUM(AP$156,'Statistics NZ'!AQ$156-'Statistics NZ'!AP$156,$J$13/5*(AQ$8-AQ$9)*1000)</f>
        <v>43096.702109459111</v>
      </c>
      <c r="AR156" s="46">
        <f>SUM(AQ$156,'Statistics NZ'!AR$156-'Statistics NZ'!AQ$156,$J$13/5*(AR$8-AR$9)*1000)</f>
        <v>45896.702109459111</v>
      </c>
      <c r="AS156" s="46">
        <f>SUM(AR$156,'Statistics NZ'!AS$156-'Statistics NZ'!AR$156,$J$13/5*(AS$8-AS$9)*1000)</f>
        <v>47686.702109459111</v>
      </c>
      <c r="AT156" s="46">
        <f>SUM(AS$156,'Statistics NZ'!AT$156-'Statistics NZ'!AS$156,$J$13/5*(AT$8-AT$9)*1000)</f>
        <v>47916.702109459111</v>
      </c>
      <c r="AU156" s="46">
        <f>SUM(AT$156,'Statistics NZ'!AU$156-'Statistics NZ'!AT$156,$J$13/5*(AU$8-AU$9)*1000)</f>
        <v>48546.702109459111</v>
      </c>
      <c r="AV156" s="46">
        <f>SUM(AU$156,'Statistics NZ'!AV$156-'Statistics NZ'!AU$156,$J$13/5*(AV$8-AV$9)*1000)</f>
        <v>48596.702109459111</v>
      </c>
      <c r="AW156" s="46">
        <f>SUM(AV$156,'Statistics NZ'!AW$156-'Statistics NZ'!AV$156,$J$13/5*(AW$8-AW$9)*1000)</f>
        <v>48606.702109459111</v>
      </c>
      <c r="AX156" s="46">
        <f>SUM(AW$156,'Statistics NZ'!AX$156-'Statistics NZ'!AW$156,$J$13/5*(AX$8-AX$9)*1000)</f>
        <v>48716.702109459111</v>
      </c>
      <c r="AY156" s="46">
        <f>SUM(AX$156,'Statistics NZ'!AY$156-'Statistics NZ'!AX$156,$J$13/5*(AY$8-AY$9)*1000)</f>
        <v>48506.702109459111</v>
      </c>
      <c r="AZ156" s="46">
        <f>SUM(AY$156,'Statistics NZ'!AZ$156-'Statistics NZ'!AY$156,$J$13/5*(AZ$8-AZ$9)*1000)</f>
        <v>48696.702109459111</v>
      </c>
      <c r="BA156" s="46">
        <f>SUM(AZ$156,'Statistics NZ'!BA$156-'Statistics NZ'!AZ$156,$J$13/5*(BA$8-BA$9)*1000)</f>
        <v>48576.702109459111</v>
      </c>
      <c r="BB156" s="46">
        <f>SUM(BA$156,'Statistics NZ'!BB$156-'Statistics NZ'!BA$156,$J$13/5*(BB$8-BB$9)*1000)</f>
        <v>48406.702109459111</v>
      </c>
      <c r="BC156" s="46">
        <f>SUM(BB$156,'Statistics NZ'!BC$156-'Statistics NZ'!BB$156,$J$13/5*(BC$8-BC$9)*1000)</f>
        <v>48266.702109459111</v>
      </c>
      <c r="BD156" s="46">
        <f>SUM(BC$156,'Statistics NZ'!BD$156-'Statistics NZ'!BC$156,$J$13/5*(BD$8-BD$9)*1000)</f>
        <v>48676.702109459111</v>
      </c>
      <c r="BE156" s="46">
        <f>SUM(BD$156,'Statistics NZ'!BE$156-'Statistics NZ'!BD$156,$J$13/5*(BE$8-BE$9)*1000)</f>
        <v>47996.702109459111</v>
      </c>
      <c r="BF156" s="46">
        <f>SUM(BE$156,'Statistics NZ'!BF$156-'Statistics NZ'!BE$156,$J$13/5*(BF$8-BF$9)*1000)</f>
        <v>48726.702109459111</v>
      </c>
      <c r="BG156" s="46">
        <f>SUM(BF$156,'Statistics NZ'!BG$156-'Statistics NZ'!BF$156,$J$13/5*(BG$8-BG$9)*1000)</f>
        <v>48146.702109459111</v>
      </c>
      <c r="BH156" s="46">
        <f>SUM(BG$156,'Statistics NZ'!BH$156-'Statistics NZ'!BG$156,$J$13/5*(BH$8-BH$9)*1000)</f>
        <v>46686.702109459111</v>
      </c>
      <c r="BI156" s="46">
        <f>SUM(BH$156,'Statistics NZ'!BI$156-'Statistics NZ'!BH$156,$J$13/5*(BI$8-BI$9)*1000)</f>
        <v>46626.702109459111</v>
      </c>
    </row>
    <row r="157" spans="1:61" x14ac:dyDescent="0.25">
      <c r="A157" s="11">
        <f>$A$57</f>
        <v>42</v>
      </c>
      <c r="B157" s="44">
        <f>'Statistics NZ'!B$157*'Economic Forecasts'!D$9*1000000/SUM('Statistics NZ'!B$30:B$110,'Statistics NZ'!B$130:B$210)</f>
        <v>30917.253179302974</v>
      </c>
      <c r="C157" s="44">
        <f>'Statistics NZ'!C$157*'Economic Forecasts'!E$9*1000000/SUM('Statistics NZ'!C$30:C$110,'Statistics NZ'!C$130:C$210)</f>
        <v>29931.598530859159</v>
      </c>
      <c r="D157" s="44">
        <f>'Statistics NZ'!D$157*'Economic Forecasts'!F$9*1000000/SUM('Statistics NZ'!D$30:D$110,'Statistics NZ'!D$130:D$210)</f>
        <v>29507.46201222267</v>
      </c>
      <c r="E157" s="44">
        <f>'Statistics NZ'!E$157*'Economic Forecasts'!G$9*1000000/SUM('Statistics NZ'!E$30:E$110,'Statistics NZ'!E$130:E$210)</f>
        <v>29234.735288583659</v>
      </c>
      <c r="F157" s="44">
        <f>'Statistics NZ'!F$157*'Economic Forecasts'!H$9*1000000/SUM('Statistics NZ'!F$30:F$110,'Statistics NZ'!F$130:F$210)</f>
        <v>29485.347028766802</v>
      </c>
      <c r="G157" s="44">
        <f>'Statistics NZ'!G$157*'Economic Forecasts'!I$9*1000000/SUM('Statistics NZ'!G$30:G$110,'Statistics NZ'!G$130:G$210)</f>
        <v>29860.315668852894</v>
      </c>
      <c r="H157" s="44">
        <f>'Statistics NZ'!H$157*'Economic Forecasts'!J$9*1000000/SUM('Statistics NZ'!H$30:H$110,'Statistics NZ'!H$130:H$210)</f>
        <v>29416.460606545708</v>
      </c>
      <c r="I157" s="44">
        <f>'Statistics NZ'!I$157*'Economic Forecasts'!K$9*1000000/SUM('Statistics NZ'!I$30:I$110,'Statistics NZ'!I$130:I$210)</f>
        <v>30047.897014414248</v>
      </c>
      <c r="J157" s="44">
        <f>'Statistics NZ'!J$157*'Economic Forecasts'!L$9*1000000/SUM('Statistics NZ'!J$30:J$110,'Statistics NZ'!J$130:J$210)</f>
        <v>29967.534135610338</v>
      </c>
      <c r="K157" s="44">
        <f>'Statistics NZ'!K$157*'Economic Forecasts'!M$9*1000000/SUM('Statistics NZ'!K$30:K$110,'Statistics NZ'!K$130:K$210)</f>
        <v>29344.965098206983</v>
      </c>
      <c r="L157" s="44">
        <f>'Statistics NZ'!L$157*'Economic Forecasts'!N$9*1000000/SUM('Statistics NZ'!L$30:L$110,'Statistics NZ'!L$130:L$210)</f>
        <v>28859.326931450239</v>
      </c>
      <c r="M157" s="44">
        <f>'Statistics NZ'!M$157*'Economic Forecasts'!O$9*1000000/SUM('Statistics NZ'!M$30:M$110,'Statistics NZ'!M$130:M$210)</f>
        <v>28488.077322898422</v>
      </c>
      <c r="N157" s="44">
        <f>'Statistics NZ'!N$157*'Economic Forecasts'!P$9*1000000/SUM('Statistics NZ'!N$30:N$110,'Statistics NZ'!N$130:N$210)</f>
        <v>28425.234058480477</v>
      </c>
      <c r="O157" s="44">
        <f>'Statistics NZ'!O$157*'Economic Forecasts'!Q$9*1000000/SUM('Statistics NZ'!O$30:O$110,'Statistics NZ'!O$130:O$210)</f>
        <v>29095.249532228288</v>
      </c>
      <c r="P157" s="44">
        <f>'Statistics NZ'!P$157*'Economic Forecasts'!R$9*1000000/SUM('Statistics NZ'!P$30:P$110,'Statistics NZ'!P$130:P$210)</f>
        <v>29211.256860151563</v>
      </c>
      <c r="Q157" s="44">
        <f>'Statistics NZ'!Q$157*'Economic Forecasts'!S$9*1000000/SUM('Statistics NZ'!Q$30:Q$110,'Statistics NZ'!Q$130:Q$210)</f>
        <v>30458.369348949414</v>
      </c>
      <c r="R157" s="44">
        <f>'Statistics NZ'!R$157*'Economic Forecasts'!T$9*1000000/SUM('Statistics NZ'!R$30:R$110,'Statistics NZ'!R$130:R$210)</f>
        <v>31168.661123630434</v>
      </c>
      <c r="S157" s="44">
        <f>'Statistics NZ'!S$157*'Economic Forecasts'!U$9*1000000/SUM('Statistics NZ'!S$30:S$110,'Statistics NZ'!S$130:S$210)</f>
        <v>32869.604788493998</v>
      </c>
      <c r="T157" s="44">
        <f>'Statistics NZ'!T$157*'Economic Forecasts'!V$9*1000000/SUM('Statistics NZ'!T$30:T$110,'Statistics NZ'!T$130:T$210)</f>
        <v>34581.403581985738</v>
      </c>
      <c r="U157" s="45">
        <f>SUM('Statistics NZ'!U$157,$J$13/5*(U$8-U$9)*1000)*'Economic Forecasts'!W$9*1000000/SUM('Statistics NZ'!U$30:U$110,'Statistics NZ'!U$130:U$210,SUM($E$12:$T$13)*(U$8-U$9)*1000)</f>
        <v>35998.53405061338</v>
      </c>
      <c r="V157" s="45">
        <f>SUM('Statistics NZ'!V$157,$J$13/5*(V$8-V$9)*1000)*'Economic Forecasts'!X$9*1000000/SUM('Statistics NZ'!V$30:V$110,'Statistics NZ'!V$130:V$210,SUM($E$12:$T$13)*(V$8-V$9)*1000)</f>
        <v>36966.486202030217</v>
      </c>
      <c r="W157" s="45">
        <f>SUM('Statistics NZ'!W$157,$J$13/5*(W$8-W$9)*1000)*'Economic Forecasts'!Y$9*1000000/SUM('Statistics NZ'!W$30:W$110,'Statistics NZ'!W$130:W$210,SUM($E$12:$T$13)*(W$8-W$9)*1000)</f>
        <v>37557.666426327392</v>
      </c>
      <c r="X157" s="45">
        <f>SUM('Statistics NZ'!X$157,$J$13/5*(X$8-X$9)*1000)*'Economic Forecasts'!Z$9*1000000/SUM('Statistics NZ'!X$30:X$110,'Statistics NZ'!X$130:X$210,SUM($E$12:$T$13)*(X$8-X$9)*1000)</f>
        <v>38749.951535076994</v>
      </c>
      <c r="Y157" s="45">
        <f>SUM('Statistics NZ'!Y$157,$J$13/5*(Y$8-Y$9)*1000)*'Economic Forecasts'!AA$9*1000000/SUM('Statistics NZ'!Y$30:Y$110,'Statistics NZ'!Y$130:Y$210,SUM($E$12:$T$13)*(Y$8-Y$9)*1000)</f>
        <v>40861.792634583006</v>
      </c>
      <c r="Z157" s="46">
        <f>SUM(Y$157,'Statistics NZ'!Z$157-'Statistics NZ'!Y$157,$J$13/5*(Z$8-Z$9)*1000)</f>
        <v>42155.207215390605</v>
      </c>
      <c r="AA157" s="46">
        <f>SUM(Z$157,'Statistics NZ'!AA$157-'Statistics NZ'!Z$157,$J$13/5*(AA$8-AA$9)*1000)</f>
        <v>42979.255963875163</v>
      </c>
      <c r="AB157" s="46">
        <f>SUM(AA$157,'Statistics NZ'!AB$157-'Statistics NZ'!AA$157,$J$13/5*(AB$8-AB$9)*1000)</f>
        <v>44755.812046501291</v>
      </c>
      <c r="AC157" s="46">
        <f>SUM(AB$157,'Statistics NZ'!AC$157-'Statistics NZ'!AB$157,$J$13/5*(AC$8-AC$9)*1000)</f>
        <v>45555.812046501291</v>
      </c>
      <c r="AD157" s="46">
        <f>SUM(AC$157,'Statistics NZ'!AD$157-'Statistics NZ'!AC$157,$J$13/5*(AD$8-AD$9)*1000)</f>
        <v>45525.812046501291</v>
      </c>
      <c r="AE157" s="46">
        <f>SUM(AD$157,'Statistics NZ'!AE$157-'Statistics NZ'!AD$157,$J$13/5*(AE$8-AE$9)*1000)</f>
        <v>44655.812046501291</v>
      </c>
      <c r="AF157" s="46">
        <f>SUM(AE$157,'Statistics NZ'!AF$157-'Statistics NZ'!AE$157,$J$13/5*(AF$8-AF$9)*1000)</f>
        <v>43535.812046501291</v>
      </c>
      <c r="AG157" s="46">
        <f>SUM(AF$157,'Statistics NZ'!AG$157-'Statistics NZ'!AF$157,$J$13/5*(AG$8-AG$9)*1000)</f>
        <v>43145.812046501291</v>
      </c>
      <c r="AH157" s="46">
        <f>SUM(AG$157,'Statistics NZ'!AH$157-'Statistics NZ'!AG$157,$J$13/5*(AH$8-AH$9)*1000)</f>
        <v>42655.812046501291</v>
      </c>
      <c r="AI157" s="46">
        <f>SUM(AH$157,'Statistics NZ'!AI$157-'Statistics NZ'!AH$157,$J$13/5*(AI$8-AI$9)*1000)</f>
        <v>41215.812046501291</v>
      </c>
      <c r="AJ157" s="46">
        <f>SUM(AI$157,'Statistics NZ'!AJ$157-'Statistics NZ'!AI$157,$J$13/5*(AJ$8-AJ$9)*1000)</f>
        <v>41055.812046501291</v>
      </c>
      <c r="AK157" s="46">
        <f>SUM(AJ$157,'Statistics NZ'!AK$157-'Statistics NZ'!AJ$157,$J$13/5*(AK$8-AK$9)*1000)</f>
        <v>40385.812046501291</v>
      </c>
      <c r="AL157" s="46">
        <f>SUM(AK$157,'Statistics NZ'!AL$157-'Statistics NZ'!AK$157,$J$13/5*(AL$8-AL$9)*1000)</f>
        <v>41375.812046501291</v>
      </c>
      <c r="AM157" s="46">
        <f>SUM(AL$157,'Statistics NZ'!AM$157-'Statistics NZ'!AL$157,$J$13/5*(AM$8-AM$9)*1000)</f>
        <v>41025.812046501291</v>
      </c>
      <c r="AN157" s="46">
        <f>SUM(AM$157,'Statistics NZ'!AN$157-'Statistics NZ'!AM$157,$J$13/5*(AN$8-AN$9)*1000)</f>
        <v>40305.812046501291</v>
      </c>
      <c r="AO157" s="46">
        <f>SUM(AN$157,'Statistics NZ'!AO$157-'Statistics NZ'!AN$157,$J$13/5*(AO$8-AO$9)*1000)</f>
        <v>41045.812046501291</v>
      </c>
      <c r="AP157" s="46">
        <f>SUM(AO$157,'Statistics NZ'!AP$157-'Statistics NZ'!AO$157,$J$13/5*(AP$8-AP$9)*1000)</f>
        <v>42065.812046501291</v>
      </c>
      <c r="AQ157" s="46">
        <f>SUM(AP$157,'Statistics NZ'!AQ$157-'Statistics NZ'!AP$157,$J$13/5*(AQ$8-AQ$9)*1000)</f>
        <v>42485.812046501291</v>
      </c>
      <c r="AR157" s="46">
        <f>SUM(AQ$157,'Statistics NZ'!AR$157-'Statistics NZ'!AQ$157,$J$13/5*(AR$8-AR$9)*1000)</f>
        <v>43425.812046501291</v>
      </c>
      <c r="AS157" s="46">
        <f>SUM(AR$157,'Statistics NZ'!AS$157-'Statistics NZ'!AR$157,$J$13/5*(AS$8-AS$9)*1000)</f>
        <v>46225.812046501291</v>
      </c>
      <c r="AT157" s="46">
        <f>SUM(AS$157,'Statistics NZ'!AT$157-'Statistics NZ'!AS$157,$J$13/5*(AT$8-AT$9)*1000)</f>
        <v>48025.812046501291</v>
      </c>
      <c r="AU157" s="46">
        <f>SUM(AT$157,'Statistics NZ'!AU$157-'Statistics NZ'!AT$157,$J$13/5*(AU$8-AU$9)*1000)</f>
        <v>48245.812046501291</v>
      </c>
      <c r="AV157" s="46">
        <f>SUM(AU$157,'Statistics NZ'!AV$157-'Statistics NZ'!AU$157,$J$13/5*(AV$8-AV$9)*1000)</f>
        <v>48885.812046501291</v>
      </c>
      <c r="AW157" s="46">
        <f>SUM(AV$157,'Statistics NZ'!AW$157-'Statistics NZ'!AV$157,$J$13/5*(AW$8-AW$9)*1000)</f>
        <v>48935.812046501291</v>
      </c>
      <c r="AX157" s="46">
        <f>SUM(AW$157,'Statistics NZ'!AX$157-'Statistics NZ'!AW$157,$J$13/5*(AX$8-AX$9)*1000)</f>
        <v>48955.812046501291</v>
      </c>
      <c r="AY157" s="46">
        <f>SUM(AX$157,'Statistics NZ'!AY$157-'Statistics NZ'!AX$157,$J$13/5*(AY$8-AY$9)*1000)</f>
        <v>49055.812046501291</v>
      </c>
      <c r="AZ157" s="46">
        <f>SUM(AY$157,'Statistics NZ'!AZ$157-'Statistics NZ'!AY$157,$J$13/5*(AZ$8-AZ$9)*1000)</f>
        <v>48855.812046501291</v>
      </c>
      <c r="BA157" s="46">
        <f>SUM(AZ$157,'Statistics NZ'!BA$157-'Statistics NZ'!AZ$157,$J$13/5*(BA$8-BA$9)*1000)</f>
        <v>49045.812046501291</v>
      </c>
      <c r="BB157" s="46">
        <f>SUM(BA$157,'Statistics NZ'!BB$157-'Statistics NZ'!BA$157,$J$13/5*(BB$8-BB$9)*1000)</f>
        <v>48925.812046501291</v>
      </c>
      <c r="BC157" s="46">
        <f>SUM(BB$157,'Statistics NZ'!BC$157-'Statistics NZ'!BB$157,$J$13/5*(BC$8-BC$9)*1000)</f>
        <v>48765.812046501291</v>
      </c>
      <c r="BD157" s="46">
        <f>SUM(BC$157,'Statistics NZ'!BD$157-'Statistics NZ'!BC$157,$J$13/5*(BD$8-BD$9)*1000)</f>
        <v>48625.812046501291</v>
      </c>
      <c r="BE157" s="46">
        <f>SUM(BD$157,'Statistics NZ'!BE$157-'Statistics NZ'!BD$157,$J$13/5*(BE$8-BE$9)*1000)</f>
        <v>49035.812046501291</v>
      </c>
      <c r="BF157" s="46">
        <f>SUM(BE$157,'Statistics NZ'!BF$157-'Statistics NZ'!BE$157,$J$13/5*(BF$8-BF$9)*1000)</f>
        <v>48365.812046501291</v>
      </c>
      <c r="BG157" s="46">
        <f>SUM(BF$157,'Statistics NZ'!BG$157-'Statistics NZ'!BF$157,$J$13/5*(BG$8-BG$9)*1000)</f>
        <v>49095.812046501291</v>
      </c>
      <c r="BH157" s="46">
        <f>SUM(BG$157,'Statistics NZ'!BH$157-'Statistics NZ'!BG$157,$J$13/5*(BH$8-BH$9)*1000)</f>
        <v>48515.812046501291</v>
      </c>
      <c r="BI157" s="46">
        <f>SUM(BH$157,'Statistics NZ'!BI$157-'Statistics NZ'!BH$157,$J$13/5*(BI$8-BI$9)*1000)</f>
        <v>47065.812046501291</v>
      </c>
    </row>
    <row r="158" spans="1:61" x14ac:dyDescent="0.25">
      <c r="A158" s="11">
        <f>$A$58</f>
        <v>43</v>
      </c>
      <c r="B158" s="44">
        <f>'Statistics NZ'!B$158*'Economic Forecasts'!D$9*1000000/SUM('Statistics NZ'!B$30:B$110,'Statistics NZ'!B$130:B$210)</f>
        <v>31249.907169206868</v>
      </c>
      <c r="C158" s="44">
        <f>'Statistics NZ'!C$158*'Economic Forecasts'!E$9*1000000/SUM('Statistics NZ'!C$30:C$110,'Statistics NZ'!C$130:C$210)</f>
        <v>31060.907530547083</v>
      </c>
      <c r="D158" s="44">
        <f>'Statistics NZ'!D$158*'Economic Forecasts'!F$9*1000000/SUM('Statistics NZ'!D$30:D$110,'Statistics NZ'!D$130:D$210)</f>
        <v>29929.839131572066</v>
      </c>
      <c r="E158" s="44">
        <f>'Statistics NZ'!E$158*'Economic Forecasts'!G$9*1000000/SUM('Statistics NZ'!E$30:E$110,'Statistics NZ'!E$130:E$210)</f>
        <v>29460.296815466394</v>
      </c>
      <c r="F158" s="44">
        <f>'Statistics NZ'!F$158*'Economic Forecasts'!H$9*1000000/SUM('Statistics NZ'!F$30:F$110,'Statistics NZ'!F$130:F$210)</f>
        <v>29191.082088359948</v>
      </c>
      <c r="G158" s="44">
        <f>'Statistics NZ'!G$158*'Economic Forecasts'!I$9*1000000/SUM('Statistics NZ'!G$30:G$110,'Statistics NZ'!G$130:G$210)</f>
        <v>29477.239250732742</v>
      </c>
      <c r="H158" s="44">
        <f>'Statistics NZ'!H$158*'Economic Forecasts'!J$9*1000000/SUM('Statistics NZ'!H$30:H$110,'Statistics NZ'!H$130:H$210)</f>
        <v>29770.165543698557</v>
      </c>
      <c r="I158" s="44">
        <f>'Statistics NZ'!I$158*'Economic Forecasts'!K$9*1000000/SUM('Statistics NZ'!I$30:I$110,'Statistics NZ'!I$130:I$210)</f>
        <v>29400.862364185425</v>
      </c>
      <c r="J158" s="44">
        <f>'Statistics NZ'!J$158*'Economic Forecasts'!L$9*1000000/SUM('Statistics NZ'!J$30:J$110,'Statistics NZ'!J$130:J$210)</f>
        <v>30338.105660879843</v>
      </c>
      <c r="K158" s="44">
        <f>'Statistics NZ'!K$158*'Economic Forecasts'!M$9*1000000/SUM('Statistics NZ'!K$30:K$110,'Statistics NZ'!K$130:K$210)</f>
        <v>30484.102761276066</v>
      </c>
      <c r="L158" s="44">
        <f>'Statistics NZ'!L$158*'Economic Forecasts'!N$9*1000000/SUM('Statistics NZ'!L$30:L$110,'Statistics NZ'!L$130:L$210)</f>
        <v>30008.247504294748</v>
      </c>
      <c r="M158" s="44">
        <f>'Statistics NZ'!M$158*'Economic Forecasts'!O$9*1000000/SUM('Statistics NZ'!M$30:M$110,'Statistics NZ'!M$130:M$210)</f>
        <v>29543.191297820587</v>
      </c>
      <c r="N158" s="44">
        <f>'Statistics NZ'!N$158*'Economic Forecasts'!P$9*1000000/SUM('Statistics NZ'!N$30:N$110,'Statistics NZ'!N$130:N$210)</f>
        <v>29129.749326022851</v>
      </c>
      <c r="O158" s="44">
        <f>'Statistics NZ'!O$158*'Economic Forecasts'!Q$9*1000000/SUM('Statistics NZ'!O$30:O$110,'Statistics NZ'!O$130:O$210)</f>
        <v>29006.754349467203</v>
      </c>
      <c r="P158" s="44">
        <f>'Statistics NZ'!P$158*'Economic Forecasts'!R$9*1000000/SUM('Statistics NZ'!P$30:P$110,'Statistics NZ'!P$130:P$210)</f>
        <v>29574.800924674135</v>
      </c>
      <c r="Q158" s="44">
        <f>'Statistics NZ'!Q$158*'Economic Forecasts'!S$9*1000000/SUM('Statistics NZ'!Q$30:Q$110,'Statistics NZ'!Q$130:Q$210)</f>
        <v>29474.879927701535</v>
      </c>
      <c r="R158" s="44">
        <f>'Statistics NZ'!R$158*'Economic Forecasts'!T$9*1000000/SUM('Statistics NZ'!R$30:R$110,'Statistics NZ'!R$130:R$210)</f>
        <v>30352.101950423501</v>
      </c>
      <c r="S158" s="44">
        <f>'Statistics NZ'!S$158*'Economic Forecasts'!U$9*1000000/SUM('Statistics NZ'!S$30:S$110,'Statistics NZ'!S$130:S$210)</f>
        <v>32142.661944994725</v>
      </c>
      <c r="T158" s="44">
        <f>'Statistics NZ'!T$158*'Economic Forecasts'!V$9*1000000/SUM('Statistics NZ'!T$30:T$110,'Statistics NZ'!T$130:T$210)</f>
        <v>33818.214107691419</v>
      </c>
      <c r="U158" s="45">
        <f>SUM('Statistics NZ'!U$158,$J$13/5*(U$8-U$9)*1000)*'Economic Forecasts'!W$9*1000000/SUM('Statistics NZ'!U$30:U$110,'Statistics NZ'!U$130:U$210,SUM($E$12:$T$13)*(U$8-U$9)*1000)</f>
        <v>34770.320468939703</v>
      </c>
      <c r="V158" s="45">
        <f>SUM('Statistics NZ'!V$158,$J$13/5*(V$8-V$9)*1000)*'Economic Forecasts'!X$9*1000000/SUM('Statistics NZ'!V$30:V$110,'Statistics NZ'!V$130:V$210,SUM($E$12:$T$13)*(V$8-V$9)*1000)</f>
        <v>36154.619121088581</v>
      </c>
      <c r="W158" s="45">
        <f>SUM('Statistics NZ'!W$158,$J$13/5*(W$8-W$9)*1000)*'Economic Forecasts'!Y$9*1000000/SUM('Statistics NZ'!W$30:W$110,'Statistics NZ'!W$130:W$210,SUM($E$12:$T$13)*(W$8-W$9)*1000)</f>
        <v>37161.546599929774</v>
      </c>
      <c r="X158" s="45">
        <f>SUM('Statistics NZ'!X$158,$J$13/5*(X$8-X$9)*1000)*'Economic Forecasts'!Z$9*1000000/SUM('Statistics NZ'!X$30:X$110,'Statistics NZ'!X$130:X$210,SUM($E$12:$T$13)*(X$8-X$9)*1000)</f>
        <v>37759.425423300316</v>
      </c>
      <c r="Y158" s="45">
        <f>SUM('Statistics NZ'!Y$158,$J$13/5*(Y$8-Y$9)*1000)*'Economic Forecasts'!AA$9*1000000/SUM('Statistics NZ'!Y$30:Y$110,'Statistics NZ'!Y$130:Y$210,SUM($E$12:$T$13)*(Y$8-Y$9)*1000)</f>
        <v>38969.192614333573</v>
      </c>
      <c r="Z158" s="46">
        <f>SUM(Y$158,'Statistics NZ'!Z$158-'Statistics NZ'!Y$158,$J$13/5*(Z$8-Z$9)*1000)</f>
        <v>41132.607195141172</v>
      </c>
      <c r="AA158" s="46">
        <f>SUM(Z$158,'Statistics NZ'!AA$158-'Statistics NZ'!Z$158,$J$13/5*(AA$8-AA$9)*1000)</f>
        <v>42416.65594362573</v>
      </c>
      <c r="AB158" s="46">
        <f>SUM(AA$158,'Statistics NZ'!AB$158-'Statistics NZ'!AA$158,$J$13/5*(AB$8-AB$9)*1000)</f>
        <v>43233.212026251858</v>
      </c>
      <c r="AC158" s="46">
        <f>SUM(AB$158,'Statistics NZ'!AC$158-'Statistics NZ'!AB$158,$J$13/5*(AC$8-AC$9)*1000)</f>
        <v>45013.212026251858</v>
      </c>
      <c r="AD158" s="46">
        <f>SUM(AC$158,'Statistics NZ'!AD$158-'Statistics NZ'!AC$158,$J$13/5*(AD$8-AD$9)*1000)</f>
        <v>45813.212026251858</v>
      </c>
      <c r="AE158" s="46">
        <f>SUM(AD$158,'Statistics NZ'!AE$158-'Statistics NZ'!AD$158,$J$13/5*(AE$8-AE$9)*1000)</f>
        <v>45783.212026251858</v>
      </c>
      <c r="AF158" s="46">
        <f>SUM(AE$158,'Statistics NZ'!AF$158-'Statistics NZ'!AE$158,$J$13/5*(AF$8-AF$9)*1000)</f>
        <v>44913.212026251858</v>
      </c>
      <c r="AG158" s="46">
        <f>SUM(AF$158,'Statistics NZ'!AG$158-'Statistics NZ'!AF$158,$J$13/5*(AG$8-AG$9)*1000)</f>
        <v>43793.212026251858</v>
      </c>
      <c r="AH158" s="46">
        <f>SUM(AG$158,'Statistics NZ'!AH$158-'Statistics NZ'!AG$158,$J$13/5*(AH$8-AH$9)*1000)</f>
        <v>43413.212026251858</v>
      </c>
      <c r="AI158" s="46">
        <f>SUM(AH$158,'Statistics NZ'!AI$158-'Statistics NZ'!AH$158,$J$13/5*(AI$8-AI$9)*1000)</f>
        <v>42923.212026251858</v>
      </c>
      <c r="AJ158" s="46">
        <f>SUM(AI$158,'Statistics NZ'!AJ$158-'Statistics NZ'!AI$158,$J$13/5*(AJ$8-AJ$9)*1000)</f>
        <v>41493.212026251858</v>
      </c>
      <c r="AK158" s="46">
        <f>SUM(AJ$158,'Statistics NZ'!AK$158-'Statistics NZ'!AJ$158,$J$13/5*(AK$8-AK$9)*1000)</f>
        <v>41323.212026251858</v>
      </c>
      <c r="AL158" s="46">
        <f>SUM(AK$158,'Statistics NZ'!AL$158-'Statistics NZ'!AK$158,$J$13/5*(AL$8-AL$9)*1000)</f>
        <v>40663.212026251858</v>
      </c>
      <c r="AM158" s="46">
        <f>SUM(AL$158,'Statistics NZ'!AM$158-'Statistics NZ'!AL$158,$J$13/5*(AM$8-AM$9)*1000)</f>
        <v>41663.212026251858</v>
      </c>
      <c r="AN158" s="46">
        <f>SUM(AM$158,'Statistics NZ'!AN$158-'Statistics NZ'!AM$158,$J$13/5*(AN$8-AN$9)*1000)</f>
        <v>41313.212026251858</v>
      </c>
      <c r="AO158" s="46">
        <f>SUM(AN$158,'Statistics NZ'!AO$158-'Statistics NZ'!AN$158,$J$13/5*(AO$8-AO$9)*1000)</f>
        <v>40593.212026251858</v>
      </c>
      <c r="AP158" s="46">
        <f>SUM(AO$158,'Statistics NZ'!AP$158-'Statistics NZ'!AO$158,$J$13/5*(AP$8-AP$9)*1000)</f>
        <v>41333.212026251858</v>
      </c>
      <c r="AQ158" s="46">
        <f>SUM(AP$158,'Statistics NZ'!AQ$158-'Statistics NZ'!AP$158,$J$13/5*(AQ$8-AQ$9)*1000)</f>
        <v>42353.212026251858</v>
      </c>
      <c r="AR158" s="46">
        <f>SUM(AQ$158,'Statistics NZ'!AR$158-'Statistics NZ'!AQ$158,$J$13/5*(AR$8-AR$9)*1000)</f>
        <v>42773.212026251858</v>
      </c>
      <c r="AS158" s="46">
        <f>SUM(AR$158,'Statistics NZ'!AS$158-'Statistics NZ'!AR$158,$J$13/5*(AS$8-AS$9)*1000)</f>
        <v>43713.212026251858</v>
      </c>
      <c r="AT158" s="46">
        <f>SUM(AS$158,'Statistics NZ'!AT$158-'Statistics NZ'!AS$158,$J$13/5*(AT$8-AT$9)*1000)</f>
        <v>46523.212026251858</v>
      </c>
      <c r="AU158" s="46">
        <f>SUM(AT$158,'Statistics NZ'!AU$158-'Statistics NZ'!AT$158,$J$13/5*(AU$8-AU$9)*1000)</f>
        <v>48323.212026251858</v>
      </c>
      <c r="AV158" s="46">
        <f>SUM(AU$158,'Statistics NZ'!AV$158-'Statistics NZ'!AU$158,$J$13/5*(AV$8-AV$9)*1000)</f>
        <v>48543.212026251858</v>
      </c>
      <c r="AW158" s="46">
        <f>SUM(AV$158,'Statistics NZ'!AW$158-'Statistics NZ'!AV$158,$J$13/5*(AW$8-AW$9)*1000)</f>
        <v>49193.212026251858</v>
      </c>
      <c r="AX158" s="46">
        <f>SUM(AW$158,'Statistics NZ'!AX$158-'Statistics NZ'!AW$158,$J$13/5*(AX$8-AX$9)*1000)</f>
        <v>49243.212026251858</v>
      </c>
      <c r="AY158" s="46">
        <f>SUM(AX$158,'Statistics NZ'!AY$158-'Statistics NZ'!AX$158,$J$13/5*(AY$8-AY$9)*1000)</f>
        <v>49263.212026251858</v>
      </c>
      <c r="AZ158" s="46">
        <f>SUM(AY$158,'Statistics NZ'!AZ$158-'Statistics NZ'!AY$158,$J$13/5*(AZ$8-AZ$9)*1000)</f>
        <v>49363.212026251858</v>
      </c>
      <c r="BA158" s="46">
        <f>SUM(AZ$158,'Statistics NZ'!BA$158-'Statistics NZ'!AZ$158,$J$13/5*(BA$8-BA$9)*1000)</f>
        <v>49163.212026251858</v>
      </c>
      <c r="BB158" s="46">
        <f>SUM(BA$158,'Statistics NZ'!BB$158-'Statistics NZ'!BA$158,$J$13/5*(BB$8-BB$9)*1000)</f>
        <v>49353.212026251858</v>
      </c>
      <c r="BC158" s="46">
        <f>SUM(BB$158,'Statistics NZ'!BC$158-'Statistics NZ'!BB$158,$J$13/5*(BC$8-BC$9)*1000)</f>
        <v>49243.212026251858</v>
      </c>
      <c r="BD158" s="46">
        <f>SUM(BC$158,'Statistics NZ'!BD$158-'Statistics NZ'!BC$158,$J$13/5*(BD$8-BD$9)*1000)</f>
        <v>49083.212026251858</v>
      </c>
      <c r="BE158" s="46">
        <f>SUM(BD$158,'Statistics NZ'!BE$158-'Statistics NZ'!BD$158,$J$13/5*(BE$8-BE$9)*1000)</f>
        <v>48943.212026251858</v>
      </c>
      <c r="BF158" s="46">
        <f>SUM(BE$158,'Statistics NZ'!BF$158-'Statistics NZ'!BE$158,$J$13/5*(BF$8-BF$9)*1000)</f>
        <v>49363.212026251858</v>
      </c>
      <c r="BG158" s="46">
        <f>SUM(BF$158,'Statistics NZ'!BG$158-'Statistics NZ'!BF$158,$J$13/5*(BG$8-BG$9)*1000)</f>
        <v>48683.212026251858</v>
      </c>
      <c r="BH158" s="46">
        <f>SUM(BG$158,'Statistics NZ'!BH$158-'Statistics NZ'!BG$158,$J$13/5*(BH$8-BH$9)*1000)</f>
        <v>49423.212026251858</v>
      </c>
      <c r="BI158" s="46">
        <f>SUM(BH$158,'Statistics NZ'!BI$158-'Statistics NZ'!BH$158,$J$13/5*(BI$8-BI$9)*1000)</f>
        <v>48843.212026251858</v>
      </c>
    </row>
    <row r="159" spans="1:61" x14ac:dyDescent="0.25">
      <c r="A159" s="11">
        <f>$A$59</f>
        <v>44</v>
      </c>
      <c r="B159" s="44">
        <f>'Statistics NZ'!B$159*'Economic Forecasts'!D$9*1000000/SUM('Statistics NZ'!B$30:B$110,'Statistics NZ'!B$130:B$210)</f>
        <v>31416.234164158821</v>
      </c>
      <c r="C159" s="44">
        <f>'Statistics NZ'!C$159*'Economic Forecasts'!E$9*1000000/SUM('Statistics NZ'!C$30:C$110,'Statistics NZ'!C$130:C$210)</f>
        <v>31394.790191324388</v>
      </c>
      <c r="D159" s="44">
        <f>'Statistics NZ'!D$159*'Economic Forecasts'!F$9*1000000/SUM('Statistics NZ'!D$30:D$110,'Statistics NZ'!D$130:D$210)</f>
        <v>30980.87056809264</v>
      </c>
      <c r="E159" s="44">
        <f>'Statistics NZ'!E$159*'Economic Forecasts'!G$9*1000000/SUM('Statistics NZ'!E$30:E$110,'Statistics NZ'!E$130:E$210)</f>
        <v>29832.963685968294</v>
      </c>
      <c r="F159" s="44">
        <f>'Statistics NZ'!F$159*'Economic Forecasts'!H$9*1000000/SUM('Statistics NZ'!F$30:F$110,'Statistics NZ'!F$130:F$210)</f>
        <v>29485.347028766802</v>
      </c>
      <c r="G159" s="44">
        <f>'Statistics NZ'!G$159*'Economic Forecasts'!I$9*1000000/SUM('Statistics NZ'!G$30:G$110,'Statistics NZ'!G$130:G$210)</f>
        <v>29143.275193910045</v>
      </c>
      <c r="H159" s="44">
        <f>'Statistics NZ'!H$159*'Economic Forecasts'!J$9*1000000/SUM('Statistics NZ'!H$30:H$110,'Statistics NZ'!H$130:H$210)</f>
        <v>29396.81033225944</v>
      </c>
      <c r="I159" s="44">
        <f>'Statistics NZ'!I$159*'Economic Forecasts'!K$9*1000000/SUM('Statistics NZ'!I$30:I$110,'Statistics NZ'!I$130:I$210)</f>
        <v>29665.55835746085</v>
      </c>
      <c r="J159" s="44">
        <f>'Statistics NZ'!J$159*'Economic Forecasts'!L$9*1000000/SUM('Statistics NZ'!J$30:J$110,'Statistics NZ'!J$130:J$210)</f>
        <v>29713.985197268041</v>
      </c>
      <c r="K159" s="44">
        <f>'Statistics NZ'!K$159*'Economic Forecasts'!M$9*1000000/SUM('Statistics NZ'!K$30:K$110,'Statistics NZ'!K$130:K$210)</f>
        <v>30737.244464180309</v>
      </c>
      <c r="L159" s="44">
        <f>'Statistics NZ'!L$159*'Economic Forecasts'!N$9*1000000/SUM('Statistics NZ'!L$30:L$110,'Statistics NZ'!L$130:L$210)</f>
        <v>31089.011771970519</v>
      </c>
      <c r="M159" s="44">
        <f>'Statistics NZ'!M$159*'Economic Forecasts'!O$9*1000000/SUM('Statistics NZ'!M$30:M$110,'Statistics NZ'!M$130:M$210)</f>
        <v>30705.770585003338</v>
      </c>
      <c r="N159" s="44">
        <f>'Statistics NZ'!N$159*'Economic Forecasts'!P$9*1000000/SUM('Statistics NZ'!N$30:N$110,'Statistics NZ'!N$130:N$210)</f>
        <v>30127.812621707882</v>
      </c>
      <c r="O159" s="44">
        <f>'Statistics NZ'!O$159*'Economic Forecasts'!Q$9*1000000/SUM('Statistics NZ'!O$30:O$110,'Statistics NZ'!O$130:O$210)</f>
        <v>29626.220628794807</v>
      </c>
      <c r="P159" s="44">
        <f>'Statistics NZ'!P$159*'Economic Forecasts'!R$9*1000000/SUM('Statistics NZ'!P$30:P$110,'Statistics NZ'!P$130:P$210)</f>
        <v>29437.243711070998</v>
      </c>
      <c r="Q159" s="44">
        <f>'Statistics NZ'!Q$159*'Economic Forecasts'!S$9*1000000/SUM('Statistics NZ'!Q$30:Q$110,'Statistics NZ'!Q$130:Q$210)</f>
        <v>29931.85481030156</v>
      </c>
      <c r="R159" s="44">
        <f>'Statistics NZ'!R$159*'Economic Forecasts'!T$9*1000000/SUM('Statistics NZ'!R$30:R$110,'Statistics NZ'!R$130:R$210)</f>
        <v>29366.256119356596</v>
      </c>
      <c r="S159" s="44">
        <f>'Statistics NZ'!S$159*'Economic Forecasts'!U$9*1000000/SUM('Statistics NZ'!S$30:S$110,'Statistics NZ'!S$130:S$210)</f>
        <v>31160.306751076794</v>
      </c>
      <c r="T159" s="44">
        <f>'Statistics NZ'!T$159*'Economic Forecasts'!V$9*1000000/SUM('Statistics NZ'!T$30:T$110,'Statistics NZ'!T$130:T$210)</f>
        <v>32955.909117254967</v>
      </c>
      <c r="U159" s="45">
        <f>SUM('Statistics NZ'!U$159,$J$13/5*(U$8-U$9)*1000)*'Economic Forecasts'!W$9*1000000/SUM('Statistics NZ'!U$30:U$110,'Statistics NZ'!U$130:U$210,SUM($E$12:$T$13)*(U$8-U$9)*1000)</f>
        <v>33958.114713316791</v>
      </c>
      <c r="V159" s="45">
        <f>SUM('Statistics NZ'!V$159,$J$13/5*(V$8-V$9)*1000)*'Economic Forecasts'!X$9*1000000/SUM('Statistics NZ'!V$30:V$110,'Statistics NZ'!V$130:V$210,SUM($E$12:$T$13)*(V$8-V$9)*1000)</f>
        <v>34877.413591314536</v>
      </c>
      <c r="W159" s="45">
        <f>SUM('Statistics NZ'!W$159,$J$13/5*(W$8-W$9)*1000)*'Economic Forecasts'!Y$9*1000000/SUM('Statistics NZ'!W$30:W$110,'Statistics NZ'!W$130:W$210,SUM($E$12:$T$13)*(W$8-W$9)*1000)</f>
        <v>36290.082981855005</v>
      </c>
      <c r="X159" s="45">
        <f>SUM('Statistics NZ'!X$159,$J$13/5*(X$8-X$9)*1000)*'Economic Forecasts'!Z$9*1000000/SUM('Statistics NZ'!X$30:X$110,'Statistics NZ'!X$130:X$210,SUM($E$12:$T$13)*(X$8-X$9)*1000)</f>
        <v>37303.783411883051</v>
      </c>
      <c r="Y159" s="45">
        <f>SUM('Statistics NZ'!Y$159,$J$13/5*(Y$8-Y$9)*1000)*'Economic Forecasts'!AA$9*1000000/SUM('Statistics NZ'!Y$30:Y$110,'Statistics NZ'!Y$130:Y$210,SUM($E$12:$T$13)*(Y$8-Y$9)*1000)</f>
        <v>37918.849147598288</v>
      </c>
      <c r="Z159" s="46">
        <f>SUM(Y$159,'Statistics NZ'!Z$159-'Statistics NZ'!Y$159,$J$13/5*(Z$8-Z$9)*1000)</f>
        <v>39162.263728405887</v>
      </c>
      <c r="AA159" s="46">
        <f>SUM(Z$159,'Statistics NZ'!AA$159-'Statistics NZ'!Z$159,$J$13/5*(AA$8-AA$9)*1000)</f>
        <v>41326.312476890445</v>
      </c>
      <c r="AB159" s="46">
        <f>SUM(AA$159,'Statistics NZ'!AB$159-'Statistics NZ'!AA$159,$J$13/5*(AB$8-AB$9)*1000)</f>
        <v>42602.868559516573</v>
      </c>
      <c r="AC159" s="46">
        <f>SUM(AB$159,'Statistics NZ'!AC$159-'Statistics NZ'!AB$159,$J$13/5*(AC$8-AC$9)*1000)</f>
        <v>43412.868559516573</v>
      </c>
      <c r="AD159" s="46">
        <f>SUM(AC$159,'Statistics NZ'!AD$159-'Statistics NZ'!AC$159,$J$13/5*(AD$8-AD$9)*1000)</f>
        <v>45192.868559516573</v>
      </c>
      <c r="AE159" s="46">
        <f>SUM(AD$159,'Statistics NZ'!AE$159-'Statistics NZ'!AD$159,$J$13/5*(AE$8-AE$9)*1000)</f>
        <v>45992.868559516573</v>
      </c>
      <c r="AF159" s="46">
        <f>SUM(AE$159,'Statistics NZ'!AF$159-'Statistics NZ'!AE$159,$J$13/5*(AF$8-AF$9)*1000)</f>
        <v>45972.868559516573</v>
      </c>
      <c r="AG159" s="46">
        <f>SUM(AF$159,'Statistics NZ'!AG$159-'Statistics NZ'!AF$159,$J$13/5*(AG$8-AG$9)*1000)</f>
        <v>45102.868559516573</v>
      </c>
      <c r="AH159" s="46">
        <f>SUM(AG$159,'Statistics NZ'!AH$159-'Statistics NZ'!AG$159,$J$13/5*(AH$8-AH$9)*1000)</f>
        <v>43992.868559516573</v>
      </c>
      <c r="AI159" s="46">
        <f>SUM(AH$159,'Statistics NZ'!AI$159-'Statistics NZ'!AH$159,$J$13/5*(AI$8-AI$9)*1000)</f>
        <v>43612.868559516573</v>
      </c>
      <c r="AJ159" s="46">
        <f>SUM(AI$159,'Statistics NZ'!AJ$159-'Statistics NZ'!AI$159,$J$13/5*(AJ$8-AJ$9)*1000)</f>
        <v>43122.868559516573</v>
      </c>
      <c r="AK159" s="46">
        <f>SUM(AJ$159,'Statistics NZ'!AK$159-'Statistics NZ'!AJ$159,$J$13/5*(AK$8-AK$9)*1000)</f>
        <v>41692.868559516573</v>
      </c>
      <c r="AL159" s="46">
        <f>SUM(AK$159,'Statistics NZ'!AL$159-'Statistics NZ'!AK$159,$J$13/5*(AL$8-AL$9)*1000)</f>
        <v>41532.868559516573</v>
      </c>
      <c r="AM159" s="46">
        <f>SUM(AL$159,'Statistics NZ'!AM$159-'Statistics NZ'!AL$159,$J$13/5*(AM$8-AM$9)*1000)</f>
        <v>40872.868559516573</v>
      </c>
      <c r="AN159" s="46">
        <f>SUM(AM$159,'Statistics NZ'!AN$159-'Statistics NZ'!AM$159,$J$13/5*(AN$8-AN$9)*1000)</f>
        <v>41872.868559516573</v>
      </c>
      <c r="AO159" s="46">
        <f>SUM(AN$159,'Statistics NZ'!AO$159-'Statistics NZ'!AN$159,$J$13/5*(AO$8-AO$9)*1000)</f>
        <v>41522.868559516573</v>
      </c>
      <c r="AP159" s="46">
        <f>SUM(AO$159,'Statistics NZ'!AP$159-'Statistics NZ'!AO$159,$J$13/5*(AP$8-AP$9)*1000)</f>
        <v>40812.868559516573</v>
      </c>
      <c r="AQ159" s="46">
        <f>SUM(AP$159,'Statistics NZ'!AQ$159-'Statistics NZ'!AP$159,$J$13/5*(AQ$8-AQ$9)*1000)</f>
        <v>41552.868559516573</v>
      </c>
      <c r="AR159" s="46">
        <f>SUM(AQ$159,'Statistics NZ'!AR$159-'Statistics NZ'!AQ$159,$J$13/5*(AR$8-AR$9)*1000)</f>
        <v>42582.868559516573</v>
      </c>
      <c r="AS159" s="46">
        <f>SUM(AR$159,'Statistics NZ'!AS$159-'Statistics NZ'!AR$159,$J$13/5*(AS$8-AS$9)*1000)</f>
        <v>42992.868559516573</v>
      </c>
      <c r="AT159" s="46">
        <f>SUM(AS$159,'Statistics NZ'!AT$159-'Statistics NZ'!AS$159,$J$13/5*(AT$8-AT$9)*1000)</f>
        <v>43942.868559516573</v>
      </c>
      <c r="AU159" s="46">
        <f>SUM(AT$159,'Statistics NZ'!AU$159-'Statistics NZ'!AT$159,$J$13/5*(AU$8-AU$9)*1000)</f>
        <v>46742.868559516573</v>
      </c>
      <c r="AV159" s="46">
        <f>SUM(AU$159,'Statistics NZ'!AV$159-'Statistics NZ'!AU$159,$J$13/5*(AV$8-AV$9)*1000)</f>
        <v>48542.868559516573</v>
      </c>
      <c r="AW159" s="46">
        <f>SUM(AV$159,'Statistics NZ'!AW$159-'Statistics NZ'!AV$159,$J$13/5*(AW$8-AW$9)*1000)</f>
        <v>48772.868559516573</v>
      </c>
      <c r="AX159" s="46">
        <f>SUM(AW$159,'Statistics NZ'!AX$159-'Statistics NZ'!AW$159,$J$13/5*(AX$8-AX$9)*1000)</f>
        <v>49422.868559516573</v>
      </c>
      <c r="AY159" s="46">
        <f>SUM(AX$159,'Statistics NZ'!AY$159-'Statistics NZ'!AX$159,$J$13/5*(AY$8-AY$9)*1000)</f>
        <v>49472.868559516573</v>
      </c>
      <c r="AZ159" s="46">
        <f>SUM(AY$159,'Statistics NZ'!AZ$159-'Statistics NZ'!AY$159,$J$13/5*(AZ$8-AZ$9)*1000)</f>
        <v>49492.868559516573</v>
      </c>
      <c r="BA159" s="46">
        <f>SUM(AZ$159,'Statistics NZ'!BA$159-'Statistics NZ'!AZ$159,$J$13/5*(BA$8-BA$9)*1000)</f>
        <v>49602.868559516573</v>
      </c>
      <c r="BB159" s="46">
        <f>SUM(BA$159,'Statistics NZ'!BB$159-'Statistics NZ'!BA$159,$J$13/5*(BB$8-BB$9)*1000)</f>
        <v>49402.868559516573</v>
      </c>
      <c r="BC159" s="46">
        <f>SUM(BB$159,'Statistics NZ'!BC$159-'Statistics NZ'!BB$159,$J$13/5*(BC$8-BC$9)*1000)</f>
        <v>49602.868559516573</v>
      </c>
      <c r="BD159" s="46">
        <f>SUM(BC$159,'Statistics NZ'!BD$159-'Statistics NZ'!BC$159,$J$13/5*(BD$8-BD$9)*1000)</f>
        <v>49482.868559516573</v>
      </c>
      <c r="BE159" s="46">
        <f>SUM(BD$159,'Statistics NZ'!BE$159-'Statistics NZ'!BD$159,$J$13/5*(BE$8-BE$9)*1000)</f>
        <v>49332.868559516573</v>
      </c>
      <c r="BF159" s="46">
        <f>SUM(BE$159,'Statistics NZ'!BF$159-'Statistics NZ'!BE$159,$J$13/5*(BF$8-BF$9)*1000)</f>
        <v>49192.868559516573</v>
      </c>
      <c r="BG159" s="46">
        <f>SUM(BF$159,'Statistics NZ'!BG$159-'Statistics NZ'!BF$159,$J$13/5*(BG$8-BG$9)*1000)</f>
        <v>49612.868559516573</v>
      </c>
      <c r="BH159" s="46">
        <f>SUM(BG$159,'Statistics NZ'!BH$159-'Statistics NZ'!BG$159,$J$13/5*(BH$8-BH$9)*1000)</f>
        <v>48942.868559516573</v>
      </c>
      <c r="BI159" s="46">
        <f>SUM(BH$159,'Statistics NZ'!BI$159-'Statistics NZ'!BH$159,$J$13/5*(BI$8-BI$9)*1000)</f>
        <v>49682.868559516573</v>
      </c>
    </row>
    <row r="160" spans="1:61" x14ac:dyDescent="0.25">
      <c r="A160" s="11">
        <f>$A$60</f>
        <v>45</v>
      </c>
      <c r="B160" s="44">
        <f>'Statistics NZ'!B$160*'Economic Forecasts'!D$9*1000000/SUM('Statistics NZ'!B$30:B$110,'Statistics NZ'!B$130:B$210)</f>
        <v>30809.629829628186</v>
      </c>
      <c r="C160" s="44">
        <f>'Statistics NZ'!C$160*'Economic Forecasts'!E$9*1000000/SUM('Statistics NZ'!C$30:C$110,'Statistics NZ'!C$130:C$210)</f>
        <v>31561.731521713034</v>
      </c>
      <c r="D160" s="44">
        <f>'Statistics NZ'!D$160*'Economic Forecasts'!F$9*1000000/SUM('Statistics NZ'!D$30:D$110,'Statistics NZ'!D$130:D$210)</f>
        <v>31354.134068913037</v>
      </c>
      <c r="E160" s="44">
        <f>'Statistics NZ'!E$160*'Economic Forecasts'!G$9*1000000/SUM('Statistics NZ'!E$30:E$110,'Statistics NZ'!E$130:E$210)</f>
        <v>30921.543228750175</v>
      </c>
      <c r="F160" s="44">
        <f>'Statistics NZ'!F$160*'Economic Forecasts'!H$9*1000000/SUM('Statistics NZ'!F$30:F$110,'Statistics NZ'!F$130:F$210)</f>
        <v>29818.847294561238</v>
      </c>
      <c r="G160" s="44">
        <f>'Statistics NZ'!G$160*'Economic Forecasts'!I$9*1000000/SUM('Statistics NZ'!G$30:G$110,'Statistics NZ'!G$130:G$210)</f>
        <v>29437.949361694777</v>
      </c>
      <c r="H160" s="44">
        <f>'Statistics NZ'!H$160*'Economic Forecasts'!J$9*1000000/SUM('Statistics NZ'!H$30:H$110,'Statistics NZ'!H$130:H$210)</f>
        <v>29013.62998367718</v>
      </c>
      <c r="I160" s="44">
        <f>'Statistics NZ'!I$160*'Economic Forecasts'!K$9*1000000/SUM('Statistics NZ'!I$30:I$110,'Statistics NZ'!I$130:I$210)</f>
        <v>29342.041032346438</v>
      </c>
      <c r="J160" s="44">
        <f>'Statistics NZ'!J$160*'Economic Forecasts'!L$9*1000000/SUM('Statistics NZ'!J$30:J$110,'Statistics NZ'!J$130:J$210)</f>
        <v>29889.519077658861</v>
      </c>
      <c r="K160" s="44">
        <f>'Statistics NZ'!K$160*'Economic Forecasts'!M$9*1000000/SUM('Statistics NZ'!K$30:K$110,'Statistics NZ'!K$130:K$210)</f>
        <v>30123.862645604648</v>
      </c>
      <c r="L160" s="44">
        <f>'Statistics NZ'!L$160*'Economic Forecasts'!N$9*1000000/SUM('Statistics NZ'!L$30:L$110,'Statistics NZ'!L$130:L$210)</f>
        <v>31215.587767283894</v>
      </c>
      <c r="M160" s="44">
        <f>'Statistics NZ'!M$160*'Economic Forecasts'!O$9*1000000/SUM('Statistics NZ'!M$30:M$110,'Statistics NZ'!M$130:M$210)</f>
        <v>31751.114986083634</v>
      </c>
      <c r="N160" s="44">
        <f>'Statistics NZ'!N$160*'Economic Forecasts'!P$9*1000000/SUM('Statistics NZ'!N$30:N$110,'Statistics NZ'!N$130:N$210)</f>
        <v>31341.14447136419</v>
      </c>
      <c r="O160" s="44">
        <f>'Statistics NZ'!O$160*'Economic Forecasts'!Q$9*1000000/SUM('Statistics NZ'!O$30:O$110,'Statistics NZ'!O$130:O$210)</f>
        <v>30589.834841082196</v>
      </c>
      <c r="P160" s="44">
        <f>'Statistics NZ'!P$160*'Economic Forecasts'!R$9*1000000/SUM('Statistics NZ'!P$30:P$110,'Statistics NZ'!P$130:P$210)</f>
        <v>29948.170504454076</v>
      </c>
      <c r="Q160" s="44">
        <f>'Statistics NZ'!Q$160*'Economic Forecasts'!S$9*1000000/SUM('Statistics NZ'!Q$30:Q$110,'Statistics NZ'!Q$130:Q$210)</f>
        <v>29743.104315314595</v>
      </c>
      <c r="R160" s="44">
        <f>'Statistics NZ'!R$160*'Economic Forecasts'!T$9*1000000/SUM('Statistics NZ'!R$30:R$110,'Statistics NZ'!R$130:R$210)</f>
        <v>29844.241976843583</v>
      </c>
      <c r="S160" s="44">
        <f>'Statistics NZ'!S$160*'Economic Forecasts'!U$9*1000000/SUM('Statistics NZ'!S$30:S$110,'Statistics NZ'!S$130:S$210)</f>
        <v>29971.656966436098</v>
      </c>
      <c r="T160" s="44">
        <f>'Statistics NZ'!T$160*'Economic Forecasts'!V$9*1000000/SUM('Statistics NZ'!T$30:T$110,'Statistics NZ'!T$130:T$210)</f>
        <v>31905.284646148495</v>
      </c>
      <c r="U160" s="45">
        <f>SUM('Statistics NZ'!U$160,$K$13/5*(U$8-U$9)*1000)*'Economic Forecasts'!W$9*1000000/SUM('Statistics NZ'!U$30:U$110,'Statistics NZ'!U$130:U$210,SUM($E$12:$T$13)*(U$8-U$9)*1000)</f>
        <v>33012.105746442321</v>
      </c>
      <c r="V160" s="45">
        <f>SUM('Statistics NZ'!V$160,$K$13/5*(V$8-V$9)*1000)*'Economic Forecasts'!X$9*1000000/SUM('Statistics NZ'!V$30:V$110,'Statistics NZ'!V$130:V$210,SUM($E$12:$T$13)*(V$8-V$9)*1000)</f>
        <v>33979.607990899152</v>
      </c>
      <c r="W160" s="45">
        <f>SUM('Statistics NZ'!W$160,$K$13/5*(W$8-W$9)*1000)*'Economic Forecasts'!Y$9*1000000/SUM('Statistics NZ'!W$30:W$110,'Statistics NZ'!W$130:W$210,SUM($E$12:$T$13)*(W$8-W$9)*1000)</f>
        <v>34923.518384410876</v>
      </c>
      <c r="X160" s="45">
        <f>SUM('Statistics NZ'!X$160,$K$13/5*(X$8-X$9)*1000)*'Economic Forecasts'!Z$9*1000000/SUM('Statistics NZ'!X$30:X$110,'Statistics NZ'!X$130:X$210,SUM($E$12:$T$13)*(X$8-X$9)*1000)</f>
        <v>36361.972240439092</v>
      </c>
      <c r="Y160" s="45">
        <f>SUM('Statistics NZ'!Y$160,$K$13/5*(Y$8-Y$9)*1000)*'Economic Forecasts'!AA$9*1000000/SUM('Statistics NZ'!Y$30:Y$110,'Statistics NZ'!Y$130:Y$210,SUM($E$12:$T$13)*(Y$8-Y$9)*1000)</f>
        <v>37390.874204181237</v>
      </c>
      <c r="Z160" s="46">
        <f>SUM(Y$160,'Statistics NZ'!Z$160-'Statistics NZ'!Y$160,$K$13/5*(Z$8-Z$9)*1000)</f>
        <v>38030.020671303602</v>
      </c>
      <c r="AA160" s="46">
        <f>SUM(Z$160,'Statistics NZ'!AA$160-'Statistics NZ'!Z$160,$K$13/5*(AA$8-AA$9)*1000)</f>
        <v>39265.508551577019</v>
      </c>
      <c r="AB160" s="46">
        <f>SUM(AA$160,'Statistics NZ'!AB$160-'Statistics NZ'!AA$160,$K$13/5*(AB$8-AB$9)*1000)</f>
        <v>41408.069562371282</v>
      </c>
      <c r="AC160" s="46">
        <f>SUM(AB$160,'Statistics NZ'!AC$160-'Statistics NZ'!AB$160,$K$13/5*(AC$8-AC$9)*1000)</f>
        <v>42678.069562371282</v>
      </c>
      <c r="AD160" s="46">
        <f>SUM(AC$160,'Statistics NZ'!AD$160-'Statistics NZ'!AC$160,$K$13/5*(AD$8-AD$9)*1000)</f>
        <v>43498.069562371282</v>
      </c>
      <c r="AE160" s="46">
        <f>SUM(AD$160,'Statistics NZ'!AE$160-'Statistics NZ'!AD$160,$K$13/5*(AE$8-AE$9)*1000)</f>
        <v>45268.069562371282</v>
      </c>
      <c r="AF160" s="46">
        <f>SUM(AE$160,'Statistics NZ'!AF$160-'Statistics NZ'!AE$160,$K$13/5*(AF$8-AF$9)*1000)</f>
        <v>46078.069562371282</v>
      </c>
      <c r="AG160" s="46">
        <f>SUM(AF$160,'Statistics NZ'!AG$160-'Statistics NZ'!AF$160,$K$13/5*(AG$8-AG$9)*1000)</f>
        <v>46058.069562371282</v>
      </c>
      <c r="AH160" s="46">
        <f>SUM(AG$160,'Statistics NZ'!AH$160-'Statistics NZ'!AG$160,$K$13/5*(AH$8-AH$9)*1000)</f>
        <v>45188.069562371282</v>
      </c>
      <c r="AI160" s="46">
        <f>SUM(AH$160,'Statistics NZ'!AI$160-'Statistics NZ'!AH$160,$K$13/5*(AI$8-AI$9)*1000)</f>
        <v>44078.069562371282</v>
      </c>
      <c r="AJ160" s="46">
        <f>SUM(AI$160,'Statistics NZ'!AJ$160-'Statistics NZ'!AI$160,$K$13/5*(AJ$8-AJ$9)*1000)</f>
        <v>43708.069562371282</v>
      </c>
      <c r="AK160" s="46">
        <f>SUM(AJ$160,'Statistics NZ'!AK$160-'Statistics NZ'!AJ$160,$K$13/5*(AK$8-AK$9)*1000)</f>
        <v>43218.069562371282</v>
      </c>
      <c r="AL160" s="46">
        <f>SUM(AK$160,'Statistics NZ'!AL$160-'Statistics NZ'!AK$160,$K$13/5*(AL$8-AL$9)*1000)</f>
        <v>41798.069562371282</v>
      </c>
      <c r="AM160" s="46">
        <f>SUM(AL$160,'Statistics NZ'!AM$160-'Statistics NZ'!AL$160,$K$13/5*(AM$8-AM$9)*1000)</f>
        <v>41638.069562371282</v>
      </c>
      <c r="AN160" s="46">
        <f>SUM(AM$160,'Statistics NZ'!AN$160-'Statistics NZ'!AM$160,$K$13/5*(AN$8-AN$9)*1000)</f>
        <v>40978.069562371282</v>
      </c>
      <c r="AO160" s="46">
        <f>SUM(AN$160,'Statistics NZ'!AO$160-'Statistics NZ'!AN$160,$K$13/5*(AO$8-AO$9)*1000)</f>
        <v>41978.069562371282</v>
      </c>
      <c r="AP160" s="46">
        <f>SUM(AO$160,'Statistics NZ'!AP$160-'Statistics NZ'!AO$160,$K$13/5*(AP$8-AP$9)*1000)</f>
        <v>41638.069562371282</v>
      </c>
      <c r="AQ160" s="46">
        <f>SUM(AP$160,'Statistics NZ'!AQ$160-'Statistics NZ'!AP$160,$K$13/5*(AQ$8-AQ$9)*1000)</f>
        <v>40928.069562371282</v>
      </c>
      <c r="AR160" s="46">
        <f>SUM(AQ$160,'Statistics NZ'!AR$160-'Statistics NZ'!AQ$160,$K$13/5*(AR$8-AR$9)*1000)</f>
        <v>41668.069562371282</v>
      </c>
      <c r="AS160" s="46">
        <f>SUM(AR$160,'Statistics NZ'!AS$160-'Statistics NZ'!AR$160,$K$13/5*(AS$8-AS$9)*1000)</f>
        <v>42698.069562371282</v>
      </c>
      <c r="AT160" s="46">
        <f>SUM(AS$160,'Statistics NZ'!AT$160-'Statistics NZ'!AS$160,$K$13/5*(AT$8-AT$9)*1000)</f>
        <v>43118.069562371282</v>
      </c>
      <c r="AU160" s="46">
        <f>SUM(AT$160,'Statistics NZ'!AU$160-'Statistics NZ'!AT$160,$K$13/5*(AU$8-AU$9)*1000)</f>
        <v>44068.069562371282</v>
      </c>
      <c r="AV160" s="46">
        <f>SUM(AU$160,'Statistics NZ'!AV$160-'Statistics NZ'!AU$160,$K$13/5*(AV$8-AV$9)*1000)</f>
        <v>46868.069562371282</v>
      </c>
      <c r="AW160" s="46">
        <f>SUM(AV$160,'Statistics NZ'!AW$160-'Statistics NZ'!AV$160,$K$13/5*(AW$8-AW$9)*1000)</f>
        <v>48668.069562371282</v>
      </c>
      <c r="AX160" s="46">
        <f>SUM(AW$160,'Statistics NZ'!AX$160-'Statistics NZ'!AW$160,$K$13/5*(AX$8-AX$9)*1000)</f>
        <v>48898.069562371282</v>
      </c>
      <c r="AY160" s="46">
        <f>SUM(AX$160,'Statistics NZ'!AY$160-'Statistics NZ'!AX$160,$K$13/5*(AY$8-AY$9)*1000)</f>
        <v>49538.069562371282</v>
      </c>
      <c r="AZ160" s="46">
        <f>SUM(AY$160,'Statistics NZ'!AZ$160-'Statistics NZ'!AY$160,$K$13/5*(AZ$8-AZ$9)*1000)</f>
        <v>49598.069562371282</v>
      </c>
      <c r="BA160" s="46">
        <f>SUM(AZ$160,'Statistics NZ'!BA$160-'Statistics NZ'!AZ$160,$K$13/5*(BA$8-BA$9)*1000)</f>
        <v>49618.069562371282</v>
      </c>
      <c r="BB160" s="46">
        <f>SUM(BA$160,'Statistics NZ'!BB$160-'Statistics NZ'!BA$160,$K$13/5*(BB$8-BB$9)*1000)</f>
        <v>49738.069562371282</v>
      </c>
      <c r="BC160" s="46">
        <f>SUM(BB$160,'Statistics NZ'!BC$160-'Statistics NZ'!BB$160,$K$13/5*(BC$8-BC$9)*1000)</f>
        <v>49538.069562371282</v>
      </c>
      <c r="BD160" s="46">
        <f>SUM(BC$160,'Statistics NZ'!BD$160-'Statistics NZ'!BC$160,$K$13/5*(BD$8-BD$9)*1000)</f>
        <v>49738.069562371282</v>
      </c>
      <c r="BE160" s="46">
        <f>SUM(BD$160,'Statistics NZ'!BE$160-'Statistics NZ'!BD$160,$K$13/5*(BE$8-BE$9)*1000)</f>
        <v>49628.069562371282</v>
      </c>
      <c r="BF160" s="46">
        <f>SUM(BE$160,'Statistics NZ'!BF$160-'Statistics NZ'!BE$160,$K$13/5*(BF$8-BF$9)*1000)</f>
        <v>49468.069562371282</v>
      </c>
      <c r="BG160" s="46">
        <f>SUM(BF$160,'Statistics NZ'!BG$160-'Statistics NZ'!BF$160,$K$13/5*(BG$8-BG$9)*1000)</f>
        <v>49338.069562371282</v>
      </c>
      <c r="BH160" s="46">
        <f>SUM(BG$160,'Statistics NZ'!BH$160-'Statistics NZ'!BG$160,$K$13/5*(BH$8-BH$9)*1000)</f>
        <v>49758.069562371282</v>
      </c>
      <c r="BI160" s="46">
        <f>SUM(BH$160,'Statistics NZ'!BI$160-'Statistics NZ'!BH$160,$K$13/5*(BI$8-BI$9)*1000)</f>
        <v>49088.069562371282</v>
      </c>
    </row>
    <row r="161" spans="1:61" x14ac:dyDescent="0.25">
      <c r="A161" s="11">
        <f>$A$61</f>
        <v>46</v>
      </c>
      <c r="B161" s="44">
        <f>'Statistics NZ'!B$161*'Economic Forecasts'!D$9*1000000/SUM('Statistics NZ'!B$30:B$110,'Statistics NZ'!B$130:B$210)</f>
        <v>29880.155446073193</v>
      </c>
      <c r="C161" s="44">
        <f>'Statistics NZ'!C$161*'Economic Forecasts'!E$9*1000000/SUM('Statistics NZ'!C$30:C$110,'Statistics NZ'!C$130:C$210)</f>
        <v>30854.685887125808</v>
      </c>
      <c r="D161" s="44">
        <f>'Statistics NZ'!D$161*'Economic Forecasts'!F$9*1000000/SUM('Statistics NZ'!D$30:D$110,'Statistics NZ'!D$130:D$210)</f>
        <v>31501.474924500035</v>
      </c>
      <c r="E161" s="44">
        <f>'Statistics NZ'!E$161*'Economic Forecasts'!G$9*1000000/SUM('Statistics NZ'!E$30:E$110,'Statistics NZ'!E$130:E$210)</f>
        <v>31254.982007620307</v>
      </c>
      <c r="F161" s="44">
        <f>'Statistics NZ'!F$161*'Economic Forecasts'!H$9*1000000/SUM('Statistics NZ'!F$30:F$110,'Statistics NZ'!F$130:F$210)</f>
        <v>30858.58341733212</v>
      </c>
      <c r="G161" s="44">
        <f>'Statistics NZ'!G$161*'Economic Forecasts'!I$9*1000000/SUM('Statistics NZ'!G$30:G$110,'Statistics NZ'!G$130:G$210)</f>
        <v>29752.268473998491</v>
      </c>
      <c r="H161" s="44">
        <f>'Statistics NZ'!H$161*'Economic Forecasts'!J$9*1000000/SUM('Statistics NZ'!H$30:H$110,'Statistics NZ'!H$130:H$210)</f>
        <v>29298.55896082809</v>
      </c>
      <c r="I161" s="44">
        <f>'Statistics NZ'!I$161*'Economic Forecasts'!K$9*1000000/SUM('Statistics NZ'!I$30:I$110,'Statistics NZ'!I$130:I$210)</f>
        <v>28940.095264780055</v>
      </c>
      <c r="J161" s="44">
        <f>'Statistics NZ'!J$161*'Economic Forecasts'!L$9*1000000/SUM('Statistics NZ'!J$30:J$110,'Statistics NZ'!J$130:J$210)</f>
        <v>29479.940023413619</v>
      </c>
      <c r="K161" s="44">
        <f>'Statistics NZ'!K$161*'Economic Forecasts'!M$9*1000000/SUM('Statistics NZ'!K$30:K$110,'Statistics NZ'!K$130:K$210)</f>
        <v>30269.90593574171</v>
      </c>
      <c r="L161" s="44">
        <f>'Statistics NZ'!L$161*'Economic Forecasts'!N$9*1000000/SUM('Statistics NZ'!L$30:L$110,'Statistics NZ'!L$130:L$210)</f>
        <v>30631.390865837537</v>
      </c>
      <c r="M161" s="44">
        <f>'Statistics NZ'!M$161*'Economic Forecasts'!O$9*1000000/SUM('Statistics NZ'!M$30:M$110,'Statistics NZ'!M$130:M$210)</f>
        <v>31809.73242913486</v>
      </c>
      <c r="N161" s="44">
        <f>'Statistics NZ'!N$161*'Economic Forecasts'!P$9*1000000/SUM('Statistics NZ'!N$30:N$110,'Statistics NZ'!N$130:N$210)</f>
        <v>32290.28309569211</v>
      </c>
      <c r="O161" s="44">
        <f>'Statistics NZ'!O$161*'Economic Forecasts'!Q$9*1000000/SUM('Statistics NZ'!O$30:O$110,'Statistics NZ'!O$130:O$210)</f>
        <v>31710.773822722618</v>
      </c>
      <c r="P161" s="44">
        <f>'Statistics NZ'!P$161*'Economic Forecasts'!R$9*1000000/SUM('Statistics NZ'!P$30:P$110,'Statistics NZ'!P$130:P$210)</f>
        <v>30920.896514933389</v>
      </c>
      <c r="Q161" s="44">
        <f>'Statistics NZ'!Q$161*'Economic Forecasts'!S$9*1000000/SUM('Statistics NZ'!Q$30:Q$110,'Statistics NZ'!Q$130:Q$210)</f>
        <v>30200.079197914616</v>
      </c>
      <c r="R161" s="44">
        <f>'Statistics NZ'!R$161*'Economic Forecasts'!T$9*1000000/SUM('Statistics NZ'!R$30:R$110,'Statistics NZ'!R$130:R$210)</f>
        <v>29605.24904810009</v>
      </c>
      <c r="S161" s="44">
        <f>'Statistics NZ'!S$161*'Economic Forecasts'!U$9*1000000/SUM('Statistics NZ'!S$30:S$110,'Statistics NZ'!S$130:S$210)</f>
        <v>30276.187076550657</v>
      </c>
      <c r="T161" s="44">
        <f>'Statistics NZ'!T$161*'Economic Forecasts'!V$9*1000000/SUM('Statistics NZ'!T$30:T$110,'Statistics NZ'!T$130:T$210)</f>
        <v>30587.048281458301</v>
      </c>
      <c r="U161" s="45">
        <f>SUM('Statistics NZ'!U$161,$K$13/5*(U$8-U$9)*1000)*'Economic Forecasts'!W$9*1000000/SUM('Statistics NZ'!U$30:U$110,'Statistics NZ'!U$130:U$210,SUM($E$12:$T$13)*(U$8-U$9)*1000)</f>
        <v>31922.561440118898</v>
      </c>
      <c r="V161" s="45">
        <f>SUM('Statistics NZ'!V$161,$K$13/5*(V$8-V$9)*1000)*'Economic Forecasts'!X$9*1000000/SUM('Statistics NZ'!V$30:V$110,'Statistics NZ'!V$130:V$210,SUM($E$12:$T$13)*(V$8-V$9)*1000)</f>
        <v>33029.129457113821</v>
      </c>
      <c r="W161" s="45">
        <f>SUM('Statistics NZ'!W$161,$K$13/5*(W$8-W$9)*1000)*'Economic Forecasts'!Y$9*1000000/SUM('Statistics NZ'!W$30:W$110,'Statistics NZ'!W$130:W$210,SUM($E$12:$T$13)*(W$8-W$9)*1000)</f>
        <v>34022.345779356299</v>
      </c>
      <c r="X161" s="45">
        <f>SUM('Statistics NZ'!X$161,$K$13/5*(X$8-X$9)*1000)*'Economic Forecasts'!Z$9*1000000/SUM('Statistics NZ'!X$30:X$110,'Statistics NZ'!X$130:X$210,SUM($E$12:$T$13)*(X$8-X$9)*1000)</f>
        <v>34985.140945069514</v>
      </c>
      <c r="Y161" s="45">
        <f>SUM('Statistics NZ'!Y$161,$K$13/5*(Y$8-Y$9)*1000)*'Economic Forecasts'!AA$9*1000000/SUM('Statistics NZ'!Y$30:Y$110,'Statistics NZ'!Y$130:Y$210,SUM($E$12:$T$13)*(Y$8-Y$9)*1000)</f>
        <v>36429.710843112152</v>
      </c>
      <c r="Z161" s="46">
        <f>SUM(Y$161,'Statistics NZ'!Z$161-'Statistics NZ'!Y$161,$K$13/5*(Z$8-Z$9)*1000)</f>
        <v>37478.857310234518</v>
      </c>
      <c r="AA161" s="46">
        <f>SUM(Z$161,'Statistics NZ'!AA$161-'Statistics NZ'!Z$161,$K$13/5*(AA$8-AA$9)*1000)</f>
        <v>38114.345190507935</v>
      </c>
      <c r="AB161" s="46">
        <f>SUM(AA$161,'Statistics NZ'!AB$161-'Statistics NZ'!AA$161,$K$13/5*(AB$8-AB$9)*1000)</f>
        <v>39346.906201302198</v>
      </c>
      <c r="AC161" s="46">
        <f>SUM(AB$161,'Statistics NZ'!AC$161-'Statistics NZ'!AB$161,$K$13/5*(AC$8-AC$9)*1000)</f>
        <v>41486.906201302198</v>
      </c>
      <c r="AD161" s="46">
        <f>SUM(AC$161,'Statistics NZ'!AD$161-'Statistics NZ'!AC$161,$K$13/5*(AD$8-AD$9)*1000)</f>
        <v>42756.906201302198</v>
      </c>
      <c r="AE161" s="46">
        <f>SUM(AD$161,'Statistics NZ'!AE$161-'Statistics NZ'!AD$161,$K$13/5*(AE$8-AE$9)*1000)</f>
        <v>43576.906201302198</v>
      </c>
      <c r="AF161" s="46">
        <f>SUM(AE$161,'Statistics NZ'!AF$161-'Statistics NZ'!AE$161,$K$13/5*(AF$8-AF$9)*1000)</f>
        <v>45356.906201302198</v>
      </c>
      <c r="AG161" s="46">
        <f>SUM(AF$161,'Statistics NZ'!AG$161-'Statistics NZ'!AF$161,$K$13/5*(AG$8-AG$9)*1000)</f>
        <v>46156.906201302198</v>
      </c>
      <c r="AH161" s="46">
        <f>SUM(AG$161,'Statistics NZ'!AH$161-'Statistics NZ'!AG$161,$K$13/5*(AH$8-AH$9)*1000)</f>
        <v>46136.906201302198</v>
      </c>
      <c r="AI161" s="46">
        <f>SUM(AH$161,'Statistics NZ'!AI$161-'Statistics NZ'!AH$161,$K$13/5*(AI$8-AI$9)*1000)</f>
        <v>45276.906201302198</v>
      </c>
      <c r="AJ161" s="46">
        <f>SUM(AI$161,'Statistics NZ'!AJ$161-'Statistics NZ'!AI$161,$K$13/5*(AJ$8-AJ$9)*1000)</f>
        <v>44176.906201302198</v>
      </c>
      <c r="AK161" s="46">
        <f>SUM(AJ$161,'Statistics NZ'!AK$161-'Statistics NZ'!AJ$161,$K$13/5*(AK$8-AK$9)*1000)</f>
        <v>43796.906201302198</v>
      </c>
      <c r="AL161" s="46">
        <f>SUM(AK$161,'Statistics NZ'!AL$161-'Statistics NZ'!AK$161,$K$13/5*(AL$8-AL$9)*1000)</f>
        <v>43316.906201302198</v>
      </c>
      <c r="AM161" s="46">
        <f>SUM(AL$161,'Statistics NZ'!AM$161-'Statistics NZ'!AL$161,$K$13/5*(AM$8-AM$9)*1000)</f>
        <v>41896.906201302198</v>
      </c>
      <c r="AN161" s="46">
        <f>SUM(AM$161,'Statistics NZ'!AN$161-'Statistics NZ'!AM$161,$K$13/5*(AN$8-AN$9)*1000)</f>
        <v>41746.906201302198</v>
      </c>
      <c r="AO161" s="46">
        <f>SUM(AN$161,'Statistics NZ'!AO$161-'Statistics NZ'!AN$161,$K$13/5*(AO$8-AO$9)*1000)</f>
        <v>41086.906201302198</v>
      </c>
      <c r="AP161" s="46">
        <f>SUM(AO$161,'Statistics NZ'!AP$161-'Statistics NZ'!AO$161,$K$13/5*(AP$8-AP$9)*1000)</f>
        <v>42086.906201302198</v>
      </c>
      <c r="AQ161" s="46">
        <f>SUM(AP$161,'Statistics NZ'!AQ$161-'Statistics NZ'!AP$161,$K$13/5*(AQ$8-AQ$9)*1000)</f>
        <v>41746.906201302198</v>
      </c>
      <c r="AR161" s="46">
        <f>SUM(AQ$161,'Statistics NZ'!AR$161-'Statistics NZ'!AQ$161,$K$13/5*(AR$8-AR$9)*1000)</f>
        <v>41046.906201302198</v>
      </c>
      <c r="AS161" s="46">
        <f>SUM(AR$161,'Statistics NZ'!AS$161-'Statistics NZ'!AR$161,$K$13/5*(AS$8-AS$9)*1000)</f>
        <v>41786.906201302198</v>
      </c>
      <c r="AT161" s="46">
        <f>SUM(AS$161,'Statistics NZ'!AT$161-'Statistics NZ'!AS$161,$K$13/5*(AT$8-AT$9)*1000)</f>
        <v>42816.906201302198</v>
      </c>
      <c r="AU161" s="46">
        <f>SUM(AT$161,'Statistics NZ'!AU$161-'Statistics NZ'!AT$161,$K$13/5*(AU$8-AU$9)*1000)</f>
        <v>43236.906201302198</v>
      </c>
      <c r="AV161" s="46">
        <f>SUM(AU$161,'Statistics NZ'!AV$161-'Statistics NZ'!AU$161,$K$13/5*(AV$8-AV$9)*1000)</f>
        <v>44186.906201302198</v>
      </c>
      <c r="AW161" s="46">
        <f>SUM(AV$161,'Statistics NZ'!AW$161-'Statistics NZ'!AV$161,$K$13/5*(AW$8-AW$9)*1000)</f>
        <v>46986.906201302198</v>
      </c>
      <c r="AX161" s="46">
        <f>SUM(AW$161,'Statistics NZ'!AX$161-'Statistics NZ'!AW$161,$K$13/5*(AX$8-AX$9)*1000)</f>
        <v>48786.906201302198</v>
      </c>
      <c r="AY161" s="46">
        <f>SUM(AX$161,'Statistics NZ'!AY$161-'Statistics NZ'!AX$161,$K$13/5*(AY$8-AY$9)*1000)</f>
        <v>49016.906201302198</v>
      </c>
      <c r="AZ161" s="46">
        <f>SUM(AY$161,'Statistics NZ'!AZ$161-'Statistics NZ'!AY$161,$K$13/5*(AZ$8-AZ$9)*1000)</f>
        <v>49666.906201302198</v>
      </c>
      <c r="BA161" s="46">
        <f>SUM(AZ$161,'Statistics NZ'!BA$161-'Statistics NZ'!AZ$161,$K$13/5*(BA$8-BA$9)*1000)</f>
        <v>49726.906201302198</v>
      </c>
      <c r="BB161" s="46">
        <f>SUM(BA$161,'Statistics NZ'!BB$161-'Statistics NZ'!BA$161,$K$13/5*(BB$8-BB$9)*1000)</f>
        <v>49746.906201302198</v>
      </c>
      <c r="BC161" s="46">
        <f>SUM(BB$161,'Statistics NZ'!BC$161-'Statistics NZ'!BB$161,$K$13/5*(BC$8-BC$9)*1000)</f>
        <v>49866.906201302198</v>
      </c>
      <c r="BD161" s="46">
        <f>SUM(BC$161,'Statistics NZ'!BD$161-'Statistics NZ'!BC$161,$K$13/5*(BD$8-BD$9)*1000)</f>
        <v>49676.906201302198</v>
      </c>
      <c r="BE161" s="46">
        <f>SUM(BD$161,'Statistics NZ'!BE$161-'Statistics NZ'!BD$161,$K$13/5*(BE$8-BE$9)*1000)</f>
        <v>49866.906201302198</v>
      </c>
      <c r="BF161" s="46">
        <f>SUM(BE$161,'Statistics NZ'!BF$161-'Statistics NZ'!BE$161,$K$13/5*(BF$8-BF$9)*1000)</f>
        <v>49766.906201302198</v>
      </c>
      <c r="BG161" s="46">
        <f>SUM(BF$161,'Statistics NZ'!BG$161-'Statistics NZ'!BF$161,$K$13/5*(BG$8-BG$9)*1000)</f>
        <v>49616.906201302198</v>
      </c>
      <c r="BH161" s="46">
        <f>SUM(BG$161,'Statistics NZ'!BH$161-'Statistics NZ'!BG$161,$K$13/5*(BH$8-BH$9)*1000)</f>
        <v>49476.906201302198</v>
      </c>
      <c r="BI161" s="46">
        <f>SUM(BH$161,'Statistics NZ'!BI$161-'Statistics NZ'!BH$161,$K$13/5*(BI$8-BI$9)*1000)</f>
        <v>49896.906201302198</v>
      </c>
    </row>
    <row r="162" spans="1:61" x14ac:dyDescent="0.25">
      <c r="A162" s="11">
        <f>$A$62</f>
        <v>47</v>
      </c>
      <c r="B162" s="44">
        <f>'Statistics NZ'!B$162*'Economic Forecasts'!D$9*1000000/SUM('Statistics NZ'!B$30:B$110,'Statistics NZ'!B$130:B$210)</f>
        <v>29430.094165614988</v>
      </c>
      <c r="C162" s="44">
        <f>'Statistics NZ'!C$162*'Economic Forecasts'!E$9*1000000/SUM('Statistics NZ'!C$30:C$110,'Statistics NZ'!C$130:C$210)</f>
        <v>29921.778452601</v>
      </c>
      <c r="D162" s="44">
        <f>'Statistics NZ'!D$162*'Economic Forecasts'!F$9*1000000/SUM('Statistics NZ'!D$30:D$110,'Statistics NZ'!D$130:D$210)</f>
        <v>30715.657028036047</v>
      </c>
      <c r="E162" s="44">
        <f>'Statistics NZ'!E$162*'Economic Forecasts'!G$9*1000000/SUM('Statistics NZ'!E$30:E$110,'Statistics NZ'!E$130:E$210)</f>
        <v>31343.245213791804</v>
      </c>
      <c r="F162" s="44">
        <f>'Statistics NZ'!F$162*'Economic Forecasts'!H$9*1000000/SUM('Statistics NZ'!F$30:F$110,'Statistics NZ'!F$130:F$210)</f>
        <v>31113.613032351393</v>
      </c>
      <c r="G162" s="44">
        <f>'Statistics NZ'!G$162*'Economic Forecasts'!I$9*1000000/SUM('Statistics NZ'!G$30:G$110,'Statistics NZ'!G$130:G$210)</f>
        <v>30744.338172207092</v>
      </c>
      <c r="H162" s="44">
        <f>'Statistics NZ'!H$162*'Economic Forecasts'!J$9*1000000/SUM('Statistics NZ'!H$30:H$110,'Statistics NZ'!H$130:H$210)</f>
        <v>29622.788486551537</v>
      </c>
      <c r="I162" s="44">
        <f>'Statistics NZ'!I$162*'Economic Forecasts'!K$9*1000000/SUM('Statistics NZ'!I$30:I$110,'Statistics NZ'!I$130:I$210)</f>
        <v>29096.952149684013</v>
      </c>
      <c r="J162" s="44">
        <f>'Statistics NZ'!J$162*'Economic Forecasts'!L$9*1000000/SUM('Statistics NZ'!J$30:J$110,'Statistics NZ'!J$130:J$210)</f>
        <v>29041.105322436571</v>
      </c>
      <c r="K162" s="44">
        <f>'Statistics NZ'!K$162*'Economic Forecasts'!M$9*1000000/SUM('Statistics NZ'!K$30:K$110,'Statistics NZ'!K$130:K$210)</f>
        <v>29783.09496861817</v>
      </c>
      <c r="L162" s="44">
        <f>'Statistics NZ'!L$162*'Economic Forecasts'!N$9*1000000/SUM('Statistics NZ'!L$30:L$110,'Statistics NZ'!L$130:L$210)</f>
        <v>30660.60071090985</v>
      </c>
      <c r="M162" s="44">
        <f>'Statistics NZ'!M$162*'Economic Forecasts'!O$9*1000000/SUM('Statistics NZ'!M$30:M$110,'Statistics NZ'!M$130:M$210)</f>
        <v>31184.47970325506</v>
      </c>
      <c r="N162" s="44">
        <f>'Statistics NZ'!N$162*'Economic Forecasts'!P$9*1000000/SUM('Statistics NZ'!N$30:N$110,'Statistics NZ'!N$130:N$210)</f>
        <v>32290.28309569211</v>
      </c>
      <c r="O162" s="44">
        <f>'Statistics NZ'!O$162*'Economic Forecasts'!Q$9*1000000/SUM('Statistics NZ'!O$30:O$110,'Statistics NZ'!O$130:O$210)</f>
        <v>32644.889640756312</v>
      </c>
      <c r="P162" s="44">
        <f>'Statistics NZ'!P$162*'Economic Forecasts'!R$9*1000000/SUM('Statistics NZ'!P$30:P$110,'Statistics NZ'!P$130:P$210)</f>
        <v>31923.099071184803</v>
      </c>
      <c r="Q162" s="44">
        <f>'Statistics NZ'!Q$162*'Economic Forecasts'!S$9*1000000/SUM('Statistics NZ'!Q$30:Q$110,'Statistics NZ'!Q$130:Q$210)</f>
        <v>31163.700146005973</v>
      </c>
      <c r="R162" s="44">
        <f>'Statistics NZ'!R$162*'Economic Forecasts'!T$9*1000000/SUM('Statistics NZ'!R$30:R$110,'Statistics NZ'!R$130:R$210)</f>
        <v>30043.402750796493</v>
      </c>
      <c r="S162" s="44">
        <f>'Statistics NZ'!S$162*'Economic Forecasts'!U$9*1000000/SUM('Statistics NZ'!S$30:S$110,'Statistics NZ'!S$130:S$210)</f>
        <v>29912.715654801024</v>
      </c>
      <c r="T162" s="44">
        <f>'Statistics NZ'!T$162*'Economic Forecasts'!V$9*1000000/SUM('Statistics NZ'!T$30:T$110,'Statistics NZ'!T$130:T$210)</f>
        <v>30834.837071813599</v>
      </c>
      <c r="U162" s="45">
        <f>SUM('Statistics NZ'!U$162,$K$13/5*(U$8-U$9)*1000)*'Economic Forecasts'!W$9*1000000/SUM('Statistics NZ'!U$30:U$110,'Statistics NZ'!U$130:U$210,SUM($E$12:$T$13)*(U$8-U$9)*1000)</f>
        <v>30565.583531334276</v>
      </c>
      <c r="V162" s="45">
        <f>SUM('Statistics NZ'!V$162,$K$13/5*(V$8-V$9)*1000)*'Economic Forecasts'!X$9*1000000/SUM('Statistics NZ'!V$30:V$110,'Statistics NZ'!V$130:V$210,SUM($E$12:$T$13)*(V$8-V$9)*1000)</f>
        <v>31910.337016304002</v>
      </c>
      <c r="W162" s="45">
        <f>SUM('Statistics NZ'!W$162,$K$13/5*(W$8-W$9)*1000)*'Economic Forecasts'!Y$9*1000000/SUM('Statistics NZ'!W$30:W$110,'Statistics NZ'!W$130:W$210,SUM($E$12:$T$13)*(W$8-W$9)*1000)</f>
        <v>33041.94920902219</v>
      </c>
      <c r="X162" s="45">
        <f>SUM('Statistics NZ'!X$162,$K$13/5*(X$8-X$9)*1000)*'Economic Forecasts'!Z$9*1000000/SUM('Statistics NZ'!X$30:X$110,'Statistics NZ'!X$130:X$210,SUM($E$12:$T$13)*(X$8-X$9)*1000)</f>
        <v>34044.141138881678</v>
      </c>
      <c r="Y162" s="45">
        <f>SUM('Statistics NZ'!Y$162,$K$13/5*(Y$8-Y$9)*1000)*'Economic Forecasts'!AA$9*1000000/SUM('Statistics NZ'!Y$30:Y$110,'Statistics NZ'!Y$130:Y$210,SUM($E$12:$T$13)*(Y$8-Y$9)*1000)</f>
        <v>35022.646953712057</v>
      </c>
      <c r="Z162" s="46">
        <f>SUM(Y$162,'Statistics NZ'!Z$162-'Statistics NZ'!Y$162,$K$13/5*(Z$8-Z$9)*1000)</f>
        <v>36481.793420834423</v>
      </c>
      <c r="AA162" s="46">
        <f>SUM(Z$162,'Statistics NZ'!AA$162-'Statistics NZ'!Z$162,$K$13/5*(AA$8-AA$9)*1000)</f>
        <v>37527.28130110784</v>
      </c>
      <c r="AB162" s="46">
        <f>SUM(AA$162,'Statistics NZ'!AB$162-'Statistics NZ'!AA$162,$K$13/5*(AB$8-AB$9)*1000)</f>
        <v>38159.842311902103</v>
      </c>
      <c r="AC162" s="46">
        <f>SUM(AB$162,'Statistics NZ'!AC$162-'Statistics NZ'!AB$162,$K$13/5*(AC$8-AC$9)*1000)</f>
        <v>39389.842311902103</v>
      </c>
      <c r="AD162" s="46">
        <f>SUM(AC$162,'Statistics NZ'!AD$162-'Statistics NZ'!AC$162,$K$13/5*(AD$8-AD$9)*1000)</f>
        <v>41529.842311902103</v>
      </c>
      <c r="AE162" s="46">
        <f>SUM(AD$162,'Statistics NZ'!AE$162-'Statistics NZ'!AD$162,$K$13/5*(AE$8-AE$9)*1000)</f>
        <v>42809.842311902103</v>
      </c>
      <c r="AF162" s="46">
        <f>SUM(AE$162,'Statistics NZ'!AF$162-'Statistics NZ'!AE$162,$K$13/5*(AF$8-AF$9)*1000)</f>
        <v>43619.842311902103</v>
      </c>
      <c r="AG162" s="46">
        <f>SUM(AF$162,'Statistics NZ'!AG$162-'Statistics NZ'!AF$162,$K$13/5*(AG$8-AG$9)*1000)</f>
        <v>45399.842311902103</v>
      </c>
      <c r="AH162" s="46">
        <f>SUM(AG$162,'Statistics NZ'!AH$162-'Statistics NZ'!AG$162,$K$13/5*(AH$8-AH$9)*1000)</f>
        <v>46209.842311902103</v>
      </c>
      <c r="AI162" s="46">
        <f>SUM(AH$162,'Statistics NZ'!AI$162-'Statistics NZ'!AH$162,$K$13/5*(AI$8-AI$9)*1000)</f>
        <v>46189.842311902103</v>
      </c>
      <c r="AJ162" s="46">
        <f>SUM(AI$162,'Statistics NZ'!AJ$162-'Statistics NZ'!AI$162,$K$13/5*(AJ$8-AJ$9)*1000)</f>
        <v>45339.842311902103</v>
      </c>
      <c r="AK162" s="46">
        <f>SUM(AJ$162,'Statistics NZ'!AK$162-'Statistics NZ'!AJ$162,$K$13/5*(AK$8-AK$9)*1000)</f>
        <v>44229.842311902103</v>
      </c>
      <c r="AL162" s="46">
        <f>SUM(AK$162,'Statistics NZ'!AL$162-'Statistics NZ'!AK$162,$K$13/5*(AL$8-AL$9)*1000)</f>
        <v>43859.842311902103</v>
      </c>
      <c r="AM162" s="46">
        <f>SUM(AL$162,'Statistics NZ'!AM$162-'Statistics NZ'!AL$162,$K$13/5*(AM$8-AM$9)*1000)</f>
        <v>43389.842311902103</v>
      </c>
      <c r="AN162" s="46">
        <f>SUM(AM$162,'Statistics NZ'!AN$162-'Statistics NZ'!AM$162,$K$13/5*(AN$8-AN$9)*1000)</f>
        <v>41969.842311902103</v>
      </c>
      <c r="AO162" s="46">
        <f>SUM(AN$162,'Statistics NZ'!AO$162-'Statistics NZ'!AN$162,$K$13/5*(AO$8-AO$9)*1000)</f>
        <v>41819.842311902103</v>
      </c>
      <c r="AP162" s="46">
        <f>SUM(AO$162,'Statistics NZ'!AP$162-'Statistics NZ'!AO$162,$K$13/5*(AP$8-AP$9)*1000)</f>
        <v>41169.842311902103</v>
      </c>
      <c r="AQ162" s="46">
        <f>SUM(AP$162,'Statistics NZ'!AQ$162-'Statistics NZ'!AP$162,$K$13/5*(AQ$8-AQ$9)*1000)</f>
        <v>42169.842311902103</v>
      </c>
      <c r="AR162" s="46">
        <f>SUM(AQ$162,'Statistics NZ'!AR$162-'Statistics NZ'!AQ$162,$K$13/5*(AR$8-AR$9)*1000)</f>
        <v>41829.842311902103</v>
      </c>
      <c r="AS162" s="46">
        <f>SUM(AR$162,'Statistics NZ'!AS$162-'Statistics NZ'!AR$162,$K$13/5*(AS$8-AS$9)*1000)</f>
        <v>41129.842311902103</v>
      </c>
      <c r="AT162" s="46">
        <f>SUM(AS$162,'Statistics NZ'!AT$162-'Statistics NZ'!AS$162,$K$13/5*(AT$8-AT$9)*1000)</f>
        <v>41869.842311902103</v>
      </c>
      <c r="AU162" s="46">
        <f>SUM(AT$162,'Statistics NZ'!AU$162-'Statistics NZ'!AT$162,$K$13/5*(AU$8-AU$9)*1000)</f>
        <v>42899.842311902103</v>
      </c>
      <c r="AV162" s="46">
        <f>SUM(AU$162,'Statistics NZ'!AV$162-'Statistics NZ'!AU$162,$K$13/5*(AV$8-AV$9)*1000)</f>
        <v>43319.842311902103</v>
      </c>
      <c r="AW162" s="46">
        <f>SUM(AV$162,'Statistics NZ'!AW$162-'Statistics NZ'!AV$162,$K$13/5*(AW$8-AW$9)*1000)</f>
        <v>44269.842311902103</v>
      </c>
      <c r="AX162" s="46">
        <f>SUM(AW$162,'Statistics NZ'!AX$162-'Statistics NZ'!AW$162,$K$13/5*(AX$8-AX$9)*1000)</f>
        <v>47069.842311902103</v>
      </c>
      <c r="AY162" s="46">
        <f>SUM(AX$162,'Statistics NZ'!AY$162-'Statistics NZ'!AX$162,$K$13/5*(AY$8-AY$9)*1000)</f>
        <v>48869.842311902103</v>
      </c>
      <c r="AZ162" s="46">
        <f>SUM(AY$162,'Statistics NZ'!AZ$162-'Statistics NZ'!AY$162,$K$13/5*(AZ$8-AZ$9)*1000)</f>
        <v>49109.842311902103</v>
      </c>
      <c r="BA162" s="46">
        <f>SUM(AZ$162,'Statistics NZ'!BA$162-'Statistics NZ'!AZ$162,$K$13/5*(BA$8-BA$9)*1000)</f>
        <v>49759.842311902103</v>
      </c>
      <c r="BB162" s="46">
        <f>SUM(BA$162,'Statistics NZ'!BB$162-'Statistics NZ'!BA$162,$K$13/5*(BB$8-BB$9)*1000)</f>
        <v>49819.842311902103</v>
      </c>
      <c r="BC162" s="46">
        <f>SUM(BB$162,'Statistics NZ'!BC$162-'Statistics NZ'!BB$162,$K$13/5*(BC$8-BC$9)*1000)</f>
        <v>49849.842311902103</v>
      </c>
      <c r="BD162" s="46">
        <f>SUM(BC$162,'Statistics NZ'!BD$162-'Statistics NZ'!BC$162,$K$13/5*(BD$8-BD$9)*1000)</f>
        <v>49959.842311902103</v>
      </c>
      <c r="BE162" s="46">
        <f>SUM(BD$162,'Statistics NZ'!BE$162-'Statistics NZ'!BD$162,$K$13/5*(BE$8-BE$9)*1000)</f>
        <v>49769.842311902103</v>
      </c>
      <c r="BF162" s="46">
        <f>SUM(BE$162,'Statistics NZ'!BF$162-'Statistics NZ'!BE$162,$K$13/5*(BF$8-BF$9)*1000)</f>
        <v>49969.842311902103</v>
      </c>
      <c r="BG162" s="46">
        <f>SUM(BF$162,'Statistics NZ'!BG$162-'Statistics NZ'!BF$162,$K$13/5*(BG$8-BG$9)*1000)</f>
        <v>49869.842311902103</v>
      </c>
      <c r="BH162" s="46">
        <f>SUM(BG$162,'Statistics NZ'!BH$162-'Statistics NZ'!BG$162,$K$13/5*(BH$8-BH$9)*1000)</f>
        <v>49719.842311902103</v>
      </c>
      <c r="BI162" s="46">
        <f>SUM(BH$162,'Statistics NZ'!BI$162-'Statistics NZ'!BH$162,$K$13/5*(BI$8-BI$9)*1000)</f>
        <v>49589.842311902103</v>
      </c>
    </row>
    <row r="163" spans="1:61" x14ac:dyDescent="0.25">
      <c r="A163" s="11">
        <f>$A$63</f>
        <v>48</v>
      </c>
      <c r="B163" s="44">
        <f>'Statistics NZ'!B$163*'Economic Forecasts'!D$9*1000000/SUM('Statistics NZ'!B$30:B$110,'Statistics NZ'!B$130:B$210)</f>
        <v>27991.854856324622</v>
      </c>
      <c r="C163" s="44">
        <f>'Statistics NZ'!C$163*'Economic Forecasts'!E$9*1000000/SUM('Statistics NZ'!C$30:C$110,'Statistics NZ'!C$130:C$210)</f>
        <v>29470.054852725832</v>
      </c>
      <c r="D163" s="44">
        <f>'Statistics NZ'!D$163*'Economic Forecasts'!F$9*1000000/SUM('Statistics NZ'!D$30:D$110,'Statistics NZ'!D$130:D$210)</f>
        <v>29802.143723396664</v>
      </c>
      <c r="E163" s="44">
        <f>'Statistics NZ'!E$163*'Economic Forecasts'!G$9*1000000/SUM('Statistics NZ'!E$30:E$110,'Statistics NZ'!E$130:E$210)</f>
        <v>30637.139564419776</v>
      </c>
      <c r="F163" s="44">
        <f>'Statistics NZ'!F$163*'Economic Forecasts'!H$9*1000000/SUM('Statistics NZ'!F$30:F$110,'Statistics NZ'!F$130:F$210)</f>
        <v>31280.363165248611</v>
      </c>
      <c r="G163" s="44">
        <f>'Statistics NZ'!G$163*'Economic Forecasts'!I$9*1000000/SUM('Statistics NZ'!G$30:G$110,'Statistics NZ'!G$130:G$210)</f>
        <v>30970.255034175381</v>
      </c>
      <c r="H163" s="44">
        <f>'Statistics NZ'!H$163*'Economic Forecasts'!J$9*1000000/SUM('Statistics NZ'!H$30:H$110,'Statistics NZ'!H$130:H$210)</f>
        <v>30566.001652292485</v>
      </c>
      <c r="I163" s="44">
        <f>'Statistics NZ'!I$163*'Economic Forecasts'!K$9*1000000/SUM('Statistics NZ'!I$30:I$110,'Statistics NZ'!I$130:I$210)</f>
        <v>29410.665919491923</v>
      </c>
      <c r="J163" s="44">
        <f>'Statistics NZ'!J$163*'Economic Forecasts'!L$9*1000000/SUM('Statistics NZ'!J$30:J$110,'Statistics NZ'!J$130:J$210)</f>
        <v>29158.127909363786</v>
      </c>
      <c r="K163" s="44">
        <f>'Statistics NZ'!K$163*'Economic Forecasts'!M$9*1000000/SUM('Statistics NZ'!K$30:K$110,'Statistics NZ'!K$130:K$210)</f>
        <v>29286.54778215216</v>
      </c>
      <c r="L163" s="44">
        <f>'Statistics NZ'!L$163*'Economic Forecasts'!N$9*1000000/SUM('Statistics NZ'!L$30:L$110,'Statistics NZ'!L$130:L$210)</f>
        <v>30212.716419800974</v>
      </c>
      <c r="M163" s="44">
        <f>'Statistics NZ'!M$163*'Economic Forecasts'!O$9*1000000/SUM('Statistics NZ'!M$30:M$110,'Statistics NZ'!M$130:M$210)</f>
        <v>31164.94055557132</v>
      </c>
      <c r="N163" s="44">
        <f>'Statistics NZ'!N$163*'Economic Forecasts'!P$9*1000000/SUM('Statistics NZ'!N$30:N$110,'Statistics NZ'!N$130:N$210)</f>
        <v>31595.552762421157</v>
      </c>
      <c r="O163" s="44">
        <f>'Statistics NZ'!O$163*'Economic Forecasts'!Q$9*1000000/SUM('Statistics NZ'!O$30:O$110,'Statistics NZ'!O$130:O$210)</f>
        <v>32635.056842671747</v>
      </c>
      <c r="P163" s="44">
        <f>'Statistics NZ'!P$163*'Economic Forecasts'!R$9*1000000/SUM('Statistics NZ'!P$30:P$110,'Statistics NZ'!P$130:P$210)</f>
        <v>32777.918898575721</v>
      </c>
      <c r="Q163" s="44">
        <f>'Statistics NZ'!Q$163*'Economic Forecasts'!S$9*1000000/SUM('Statistics NZ'!Q$30:Q$110,'Statistics NZ'!Q$130:Q$210)</f>
        <v>32186.92651356689</v>
      </c>
      <c r="R163" s="44">
        <f>'Statistics NZ'!R$163*'Economic Forecasts'!T$9*1000000/SUM('Statistics NZ'!R$30:R$110,'Statistics NZ'!R$130:R$210)</f>
        <v>31069.080736653978</v>
      </c>
      <c r="S163" s="44">
        <f>'Statistics NZ'!S$163*'Economic Forecasts'!U$9*1000000/SUM('Statistics NZ'!S$30:S$110,'Statistics NZ'!S$130:S$210)</f>
        <v>30099.36314164543</v>
      </c>
      <c r="T163" s="44">
        <f>'Statistics NZ'!T$163*'Economic Forecasts'!V$9*1000000/SUM('Statistics NZ'!T$30:T$110,'Statistics NZ'!T$130:T$210)</f>
        <v>30398.728800788271</v>
      </c>
      <c r="U163" s="45">
        <f>SUM('Statistics NZ'!U$163,$K$13/5*(U$8-U$9)*1000)*'Economic Forecasts'!W$9*1000000/SUM('Statistics NZ'!U$30:U$110,'Statistics NZ'!U$130:U$210,SUM($E$12:$T$13)*(U$8-U$9)*1000)</f>
        <v>30773.587444359659</v>
      </c>
      <c r="V163" s="45">
        <f>SUM('Statistics NZ'!V$163,$K$13/5*(V$8-V$9)*1000)*'Economic Forecasts'!X$9*1000000/SUM('Statistics NZ'!V$30:V$110,'Statistics NZ'!V$130:V$210,SUM($E$12:$T$13)*(V$8-V$9)*1000)</f>
        <v>30514.321669806792</v>
      </c>
      <c r="W163" s="45">
        <f>SUM('Statistics NZ'!W$163,$K$13/5*(W$8-W$9)*1000)*'Economic Forecasts'!Y$9*1000000/SUM('Statistics NZ'!W$30:W$110,'Statistics NZ'!W$130:W$210,SUM($E$12:$T$13)*(W$8-W$9)*1000)</f>
        <v>31883.298716809153</v>
      </c>
      <c r="X163" s="45">
        <f>SUM('Statistics NZ'!X$163,$K$13/5*(X$8-X$9)*1000)*'Economic Forecasts'!Z$9*1000000/SUM('Statistics NZ'!X$30:X$110,'Statistics NZ'!X$130:X$210,SUM($E$12:$T$13)*(X$8-X$9)*1000)</f>
        <v>33023.899243751694</v>
      </c>
      <c r="Y163" s="45">
        <f>SUM('Statistics NZ'!Y$163,$K$13/5*(Y$8-Y$9)*1000)*'Economic Forecasts'!AA$9*1000000/SUM('Statistics NZ'!Y$30:Y$110,'Statistics NZ'!Y$130:Y$210,SUM($E$12:$T$13)*(Y$8-Y$9)*1000)</f>
        <v>34041.665791383813</v>
      </c>
      <c r="Z163" s="46">
        <f>SUM(Y$163,'Statistics NZ'!Z$163-'Statistics NZ'!Y$163,$K$13/5*(Z$8-Z$9)*1000)</f>
        <v>35030.812258506179</v>
      </c>
      <c r="AA163" s="46">
        <f>SUM(Z$163,'Statistics NZ'!AA$163-'Statistics NZ'!Z$163,$K$13/5*(AA$8-AA$9)*1000)</f>
        <v>36486.300138779596</v>
      </c>
      <c r="AB163" s="46">
        <f>SUM(AA$163,'Statistics NZ'!AB$163-'Statistics NZ'!AA$163,$K$13/5*(AB$8-AB$9)*1000)</f>
        <v>37538.861149573859</v>
      </c>
      <c r="AC163" s="46">
        <f>SUM(AB$163,'Statistics NZ'!AC$163-'Statistics NZ'!AB$163,$K$13/5*(AC$8-AC$9)*1000)</f>
        <v>38168.861149573859</v>
      </c>
      <c r="AD163" s="46">
        <f>SUM(AC$163,'Statistics NZ'!AD$163-'Statistics NZ'!AC$163,$K$13/5*(AD$8-AD$9)*1000)</f>
        <v>39398.861149573859</v>
      </c>
      <c r="AE163" s="46">
        <f>SUM(AD$163,'Statistics NZ'!AE$163-'Statistics NZ'!AD$163,$K$13/5*(AE$8-AE$9)*1000)</f>
        <v>41528.861149573859</v>
      </c>
      <c r="AF163" s="46">
        <f>SUM(AE$163,'Statistics NZ'!AF$163-'Statistics NZ'!AE$163,$K$13/5*(AF$8-AF$9)*1000)</f>
        <v>42808.861149573859</v>
      </c>
      <c r="AG163" s="46">
        <f>SUM(AF$163,'Statistics NZ'!AG$163-'Statistics NZ'!AF$163,$K$13/5*(AG$8-AG$9)*1000)</f>
        <v>43628.861149573859</v>
      </c>
      <c r="AH163" s="46">
        <f>SUM(AG$163,'Statistics NZ'!AH$163-'Statistics NZ'!AG$163,$K$13/5*(AH$8-AH$9)*1000)</f>
        <v>45398.861149573859</v>
      </c>
      <c r="AI163" s="46">
        <f>SUM(AH$163,'Statistics NZ'!AI$163-'Statistics NZ'!AH$163,$K$13/5*(AI$8-AI$9)*1000)</f>
        <v>46208.861149573859</v>
      </c>
      <c r="AJ163" s="46">
        <f>SUM(AI$163,'Statistics NZ'!AJ$163-'Statistics NZ'!AI$163,$K$13/5*(AJ$8-AJ$9)*1000)</f>
        <v>46198.861149573859</v>
      </c>
      <c r="AK163" s="46">
        <f>SUM(AJ$163,'Statistics NZ'!AK$163-'Statistics NZ'!AJ$163,$K$13/5*(AK$8-AK$9)*1000)</f>
        <v>45348.861149573859</v>
      </c>
      <c r="AL163" s="46">
        <f>SUM(AK$163,'Statistics NZ'!AL$163-'Statistics NZ'!AK$163,$K$13/5*(AL$8-AL$9)*1000)</f>
        <v>44248.861149573859</v>
      </c>
      <c r="AM163" s="46">
        <f>SUM(AL$163,'Statistics NZ'!AM$163-'Statistics NZ'!AL$163,$K$13/5*(AM$8-AM$9)*1000)</f>
        <v>43878.861149573859</v>
      </c>
      <c r="AN163" s="46">
        <f>SUM(AM$163,'Statistics NZ'!AN$163-'Statistics NZ'!AM$163,$K$13/5*(AN$8-AN$9)*1000)</f>
        <v>43408.861149573859</v>
      </c>
      <c r="AO163" s="46">
        <f>SUM(AN$163,'Statistics NZ'!AO$163-'Statistics NZ'!AN$163,$K$13/5*(AO$8-AO$9)*1000)</f>
        <v>41998.861149573859</v>
      </c>
      <c r="AP163" s="46">
        <f>SUM(AO$163,'Statistics NZ'!AP$163-'Statistics NZ'!AO$163,$K$13/5*(AP$8-AP$9)*1000)</f>
        <v>41848.861149573859</v>
      </c>
      <c r="AQ163" s="46">
        <f>SUM(AP$163,'Statistics NZ'!AQ$163-'Statistics NZ'!AP$163,$K$13/5*(AQ$8-AQ$9)*1000)</f>
        <v>41198.861149573859</v>
      </c>
      <c r="AR163" s="46">
        <f>SUM(AQ$163,'Statistics NZ'!AR$163-'Statistics NZ'!AQ$163,$K$13/5*(AR$8-AR$9)*1000)</f>
        <v>42198.861149573859</v>
      </c>
      <c r="AS163" s="46">
        <f>SUM(AR$163,'Statistics NZ'!AS$163-'Statistics NZ'!AR$163,$K$13/5*(AS$8-AS$9)*1000)</f>
        <v>41858.861149573859</v>
      </c>
      <c r="AT163" s="46">
        <f>SUM(AS$163,'Statistics NZ'!AT$163-'Statistics NZ'!AS$163,$K$13/5*(AT$8-AT$9)*1000)</f>
        <v>41158.861149573859</v>
      </c>
      <c r="AU163" s="46">
        <f>SUM(AT$163,'Statistics NZ'!AU$163-'Statistics NZ'!AT$163,$K$13/5*(AU$8-AU$9)*1000)</f>
        <v>41908.861149573859</v>
      </c>
      <c r="AV163" s="46">
        <f>SUM(AU$163,'Statistics NZ'!AV$163-'Statistics NZ'!AU$163,$K$13/5*(AV$8-AV$9)*1000)</f>
        <v>42938.861149573859</v>
      </c>
      <c r="AW163" s="46">
        <f>SUM(AV$163,'Statistics NZ'!AW$163-'Statistics NZ'!AV$163,$K$13/5*(AW$8-AW$9)*1000)</f>
        <v>43368.861149573859</v>
      </c>
      <c r="AX163" s="46">
        <f>SUM(AW$163,'Statistics NZ'!AX$163-'Statistics NZ'!AW$163,$K$13/5*(AX$8-AX$9)*1000)</f>
        <v>44318.861149573859</v>
      </c>
      <c r="AY163" s="46">
        <f>SUM(AX$163,'Statistics NZ'!AY$163-'Statistics NZ'!AX$163,$K$13/5*(AY$8-AY$9)*1000)</f>
        <v>47118.861149573859</v>
      </c>
      <c r="AZ163" s="46">
        <f>SUM(AY$163,'Statistics NZ'!AZ$163-'Statistics NZ'!AY$163,$K$13/5*(AZ$8-AZ$9)*1000)</f>
        <v>48918.861149573859</v>
      </c>
      <c r="BA163" s="46">
        <f>SUM(AZ$163,'Statistics NZ'!BA$163-'Statistics NZ'!AZ$163,$K$13/5*(BA$8-BA$9)*1000)</f>
        <v>49148.861149573859</v>
      </c>
      <c r="BB163" s="46">
        <f>SUM(BA$163,'Statistics NZ'!BB$163-'Statistics NZ'!BA$163,$K$13/5*(BB$8-BB$9)*1000)</f>
        <v>49798.861149573859</v>
      </c>
      <c r="BC163" s="46">
        <f>SUM(BB$163,'Statistics NZ'!BC$163-'Statistics NZ'!BB$163,$K$13/5*(BC$8-BC$9)*1000)</f>
        <v>49868.861149573859</v>
      </c>
      <c r="BD163" s="46">
        <f>SUM(BC$163,'Statistics NZ'!BD$163-'Statistics NZ'!BC$163,$K$13/5*(BD$8-BD$9)*1000)</f>
        <v>49898.861149573859</v>
      </c>
      <c r="BE163" s="46">
        <f>SUM(BD$163,'Statistics NZ'!BE$163-'Statistics NZ'!BD$163,$K$13/5*(BE$8-BE$9)*1000)</f>
        <v>50008.861149573859</v>
      </c>
      <c r="BF163" s="46">
        <f>SUM(BE$163,'Statistics NZ'!BF$163-'Statistics NZ'!BE$163,$K$13/5*(BF$8-BF$9)*1000)</f>
        <v>49828.861149573859</v>
      </c>
      <c r="BG163" s="46">
        <f>SUM(BF$163,'Statistics NZ'!BG$163-'Statistics NZ'!BF$163,$K$13/5*(BG$8-BG$9)*1000)</f>
        <v>50028.861149573859</v>
      </c>
      <c r="BH163" s="46">
        <f>SUM(BG$163,'Statistics NZ'!BH$163-'Statistics NZ'!BG$163,$K$13/5*(BH$8-BH$9)*1000)</f>
        <v>49928.861149573859</v>
      </c>
      <c r="BI163" s="46">
        <f>SUM(BH$163,'Statistics NZ'!BI$163-'Statistics NZ'!BH$163,$K$13/5*(BI$8-BI$9)*1000)</f>
        <v>49778.861149573859</v>
      </c>
    </row>
    <row r="164" spans="1:61" x14ac:dyDescent="0.25">
      <c r="A164" s="11">
        <f>$A$64</f>
        <v>49</v>
      </c>
      <c r="B164" s="44">
        <f>'Statistics NZ'!B$164*'Economic Forecasts'!D$9*1000000/SUM('Statistics NZ'!B$30:B$110,'Statistics NZ'!B$130:B$210)</f>
        <v>27786.392097854576</v>
      </c>
      <c r="C164" s="44">
        <f>'Statistics NZ'!C$164*'Economic Forecasts'!E$9*1000000/SUM('Statistics NZ'!C$30:C$110,'Statistics NZ'!C$130:C$210)</f>
        <v>27977.402957486138</v>
      </c>
      <c r="D164" s="44">
        <f>'Statistics NZ'!D$164*'Economic Forecasts'!F$9*1000000/SUM('Statistics NZ'!D$30:D$110,'Statistics NZ'!D$130:D$210)</f>
        <v>29330.652985518274</v>
      </c>
      <c r="E164" s="44">
        <f>'Statistics NZ'!E$164*'Economic Forecasts'!G$9*1000000/SUM('Statistics NZ'!E$30:E$110,'Statistics NZ'!E$130:E$210)</f>
        <v>29636.8232278094</v>
      </c>
      <c r="F164" s="44">
        <f>'Statistics NZ'!F$164*'Economic Forecasts'!H$9*1000000/SUM('Statistics NZ'!F$30:F$110,'Statistics NZ'!F$130:F$210)</f>
        <v>30534.891982884583</v>
      </c>
      <c r="G164" s="44">
        <f>'Statistics NZ'!G$164*'Economic Forecasts'!I$9*1000000/SUM('Statistics NZ'!G$30:G$110,'Statistics NZ'!G$130:G$210)</f>
        <v>31196.171896143682</v>
      </c>
      <c r="H164" s="44">
        <f>'Statistics NZ'!H$164*'Economic Forecasts'!J$9*1000000/SUM('Statistics NZ'!H$30:H$110,'Statistics NZ'!H$130:H$210)</f>
        <v>30782.154669441446</v>
      </c>
      <c r="I164" s="44">
        <f>'Statistics NZ'!I$164*'Economic Forecasts'!K$9*1000000/SUM('Statistics NZ'!I$30:I$110,'Statistics NZ'!I$130:I$210)</f>
        <v>30351.807228915666</v>
      </c>
      <c r="J164" s="44">
        <f>'Statistics NZ'!J$164*'Economic Forecasts'!L$9*1000000/SUM('Statistics NZ'!J$30:J$110,'Statistics NZ'!J$130:J$210)</f>
        <v>29450.684376681817</v>
      </c>
      <c r="K164" s="44">
        <f>'Statistics NZ'!K$164*'Economic Forecasts'!M$9*1000000/SUM('Statistics NZ'!K$30:K$110,'Statistics NZ'!K$130:K$210)</f>
        <v>29344.965098206983</v>
      </c>
      <c r="L164" s="44">
        <f>'Statistics NZ'!L$164*'Economic Forecasts'!N$9*1000000/SUM('Statistics NZ'!L$30:L$110,'Statistics NZ'!L$130:L$210)</f>
        <v>29560.363213185869</v>
      </c>
      <c r="M164" s="44">
        <f>'Statistics NZ'!M$164*'Economic Forecasts'!O$9*1000000/SUM('Statistics NZ'!M$30:M$110,'Statistics NZ'!M$130:M$210)</f>
        <v>30637.383568110236</v>
      </c>
      <c r="N164" s="44">
        <f>'Statistics NZ'!N$164*'Economic Forecasts'!P$9*1000000/SUM('Statistics NZ'!N$30:N$110,'Statistics NZ'!N$130:N$210)</f>
        <v>31595.552762421157</v>
      </c>
      <c r="O164" s="44">
        <f>'Statistics NZ'!O$164*'Economic Forecasts'!Q$9*1000000/SUM('Statistics NZ'!O$30:O$110,'Statistics NZ'!O$130:O$210)</f>
        <v>31877.931390160225</v>
      </c>
      <c r="P164" s="44">
        <f>'Statistics NZ'!P$164*'Economic Forecasts'!R$9*1000000/SUM('Statistics NZ'!P$30:P$110,'Statistics NZ'!P$130:P$210)</f>
        <v>32777.918898575721</v>
      </c>
      <c r="Q164" s="44">
        <f>'Statistics NZ'!Q$164*'Economic Forecasts'!S$9*1000000/SUM('Statistics NZ'!Q$30:Q$110,'Statistics NZ'!Q$130:Q$210)</f>
        <v>32981.665439827804</v>
      </c>
      <c r="R164" s="44">
        <f>'Statistics NZ'!R$164*'Economic Forecasts'!T$9*1000000/SUM('Statistics NZ'!R$30:R$110,'Statistics NZ'!R$130:R$210)</f>
        <v>31995.178335535013</v>
      </c>
      <c r="S164" s="44">
        <f>'Statistics NZ'!S$164*'Economic Forecasts'!U$9*1000000/SUM('Statistics NZ'!S$30:S$110,'Statistics NZ'!S$130:S$210)</f>
        <v>31012.953471989109</v>
      </c>
      <c r="T164" s="44">
        <f>'Statistics NZ'!T$164*'Economic Forecasts'!V$9*1000000/SUM('Statistics NZ'!T$30:T$110,'Statistics NZ'!T$130:T$210)</f>
        <v>30458.198110473542</v>
      </c>
      <c r="U164" s="45">
        <f>SUM('Statistics NZ'!U$164,$K$13/5*(U$8-U$9)*1000)*'Economic Forecasts'!W$9*1000000/SUM('Statistics NZ'!U$30:U$110,'Statistics NZ'!U$130:U$210,SUM($E$12:$T$13)*(U$8-U$9)*1000)</f>
        <v>30308.054877112379</v>
      </c>
      <c r="V164" s="45">
        <f>SUM('Statistics NZ'!V$164,$K$13/5*(V$8-V$9)*1000)*'Economic Forecasts'!X$9*1000000/SUM('Statistics NZ'!V$30:V$110,'Statistics NZ'!V$130:V$210,SUM($E$12:$T$13)*(V$8-V$9)*1000)</f>
        <v>30692.536394891536</v>
      </c>
      <c r="W164" s="45">
        <f>SUM('Statistics NZ'!W$164,$K$13/5*(W$8-W$9)*1000)*'Economic Forecasts'!Y$9*1000000/SUM('Statistics NZ'!W$30:W$110,'Statistics NZ'!W$130:W$210,SUM($E$12:$T$13)*(W$8-W$9)*1000)</f>
        <v>30457.267341777722</v>
      </c>
      <c r="X164" s="45">
        <f>SUM('Statistics NZ'!X$164,$K$13/5*(X$8-X$9)*1000)*'Economic Forecasts'!Z$9*1000000/SUM('Statistics NZ'!X$30:X$110,'Statistics NZ'!X$130:X$210,SUM($E$12:$T$13)*(X$8-X$9)*1000)</f>
        <v>31825.362648501923</v>
      </c>
      <c r="Y164" s="45">
        <f>SUM('Statistics NZ'!Y$164,$K$13/5*(Y$8-Y$9)*1000)*'Economic Forecasts'!AA$9*1000000/SUM('Statistics NZ'!Y$30:Y$110,'Statistics NZ'!Y$130:Y$210,SUM($E$12:$T$13)*(Y$8-Y$9)*1000)</f>
        <v>32981.413424018952</v>
      </c>
      <c r="Z164" s="46">
        <f>SUM(Y$164,'Statistics NZ'!Z$164-'Statistics NZ'!Y$164,$K$13/5*(Z$8-Z$9)*1000)</f>
        <v>34020.559891141318</v>
      </c>
      <c r="AA164" s="46">
        <f>SUM(Z$164,'Statistics NZ'!AA$164-'Statistics NZ'!Z$164,$K$13/5*(AA$8-AA$9)*1000)</f>
        <v>34996.047771414735</v>
      </c>
      <c r="AB164" s="46">
        <f>SUM(AA$164,'Statistics NZ'!AB$164-'Statistics NZ'!AA$164,$K$13/5*(AB$8-AB$9)*1000)</f>
        <v>36458.608782208998</v>
      </c>
      <c r="AC164" s="46">
        <f>SUM(AB$164,'Statistics NZ'!AC$164-'Statistics NZ'!AB$164,$K$13/5*(AC$8-AC$9)*1000)</f>
        <v>37498.608782208998</v>
      </c>
      <c r="AD164" s="46">
        <f>SUM(AC$164,'Statistics NZ'!AD$164-'Statistics NZ'!AC$164,$K$13/5*(AD$8-AD$9)*1000)</f>
        <v>38128.608782208998</v>
      </c>
      <c r="AE164" s="46">
        <f>SUM(AD$164,'Statistics NZ'!AE$164-'Statistics NZ'!AD$164,$K$13/5*(AE$8-AE$9)*1000)</f>
        <v>39358.608782208998</v>
      </c>
      <c r="AF164" s="46">
        <f>SUM(AE$164,'Statistics NZ'!AF$164-'Statistics NZ'!AE$164,$K$13/5*(AF$8-AF$9)*1000)</f>
        <v>41498.608782208998</v>
      </c>
      <c r="AG164" s="46">
        <f>SUM(AF$164,'Statistics NZ'!AG$164-'Statistics NZ'!AF$164,$K$13/5*(AG$8-AG$9)*1000)</f>
        <v>42778.608782208998</v>
      </c>
      <c r="AH164" s="46">
        <f>SUM(AG$164,'Statistics NZ'!AH$164-'Statistics NZ'!AG$164,$K$13/5*(AH$8-AH$9)*1000)</f>
        <v>43588.608782208998</v>
      </c>
      <c r="AI164" s="46">
        <f>SUM(AH$164,'Statistics NZ'!AI$164-'Statistics NZ'!AH$164,$K$13/5*(AI$8-AI$9)*1000)</f>
        <v>45368.608782208998</v>
      </c>
      <c r="AJ164" s="46">
        <f>SUM(AI$164,'Statistics NZ'!AJ$164-'Statistics NZ'!AI$164,$K$13/5*(AJ$8-AJ$9)*1000)</f>
        <v>46178.608782208998</v>
      </c>
      <c r="AK164" s="46">
        <f>SUM(AJ$164,'Statistics NZ'!AK$164-'Statistics NZ'!AJ$164,$K$13/5*(AK$8-AK$9)*1000)</f>
        <v>46168.608782208998</v>
      </c>
      <c r="AL164" s="46">
        <f>SUM(AK$164,'Statistics NZ'!AL$164-'Statistics NZ'!AK$164,$K$13/5*(AL$8-AL$9)*1000)</f>
        <v>45318.608782208998</v>
      </c>
      <c r="AM164" s="46">
        <f>SUM(AL$164,'Statistics NZ'!AM$164-'Statistics NZ'!AL$164,$K$13/5*(AM$8-AM$9)*1000)</f>
        <v>44228.608782208998</v>
      </c>
      <c r="AN164" s="46">
        <f>SUM(AM$164,'Statistics NZ'!AN$164-'Statistics NZ'!AM$164,$K$13/5*(AN$8-AN$9)*1000)</f>
        <v>43858.608782208998</v>
      </c>
      <c r="AO164" s="46">
        <f>SUM(AN$164,'Statistics NZ'!AO$164-'Statistics NZ'!AN$164,$K$13/5*(AO$8-AO$9)*1000)</f>
        <v>43388.608782208998</v>
      </c>
      <c r="AP164" s="46">
        <f>SUM(AO$164,'Statistics NZ'!AP$164-'Statistics NZ'!AO$164,$K$13/5*(AP$8-AP$9)*1000)</f>
        <v>41988.608782208998</v>
      </c>
      <c r="AQ164" s="46">
        <f>SUM(AP$164,'Statistics NZ'!AQ$164-'Statistics NZ'!AP$164,$K$13/5*(AQ$8-AQ$9)*1000)</f>
        <v>41838.608782208998</v>
      </c>
      <c r="AR164" s="46">
        <f>SUM(AQ$164,'Statistics NZ'!AR$164-'Statistics NZ'!AQ$164,$K$13/5*(AR$8-AR$9)*1000)</f>
        <v>41188.608782208998</v>
      </c>
      <c r="AS164" s="46">
        <f>SUM(AR$164,'Statistics NZ'!AS$164-'Statistics NZ'!AR$164,$K$13/5*(AS$8-AS$9)*1000)</f>
        <v>42198.608782208998</v>
      </c>
      <c r="AT164" s="46">
        <f>SUM(AS$164,'Statistics NZ'!AT$164-'Statistics NZ'!AS$164,$K$13/5*(AT$8-AT$9)*1000)</f>
        <v>41858.608782208998</v>
      </c>
      <c r="AU164" s="46">
        <f>SUM(AT$164,'Statistics NZ'!AU$164-'Statistics NZ'!AT$164,$K$13/5*(AU$8-AU$9)*1000)</f>
        <v>41168.608782208998</v>
      </c>
      <c r="AV164" s="46">
        <f>SUM(AU$164,'Statistics NZ'!AV$164-'Statistics NZ'!AU$164,$K$13/5*(AV$8-AV$9)*1000)</f>
        <v>41908.608782208998</v>
      </c>
      <c r="AW164" s="46">
        <f>SUM(AV$164,'Statistics NZ'!AW$164-'Statistics NZ'!AV$164,$K$13/5*(AW$8-AW$9)*1000)</f>
        <v>42938.608782208998</v>
      </c>
      <c r="AX164" s="46">
        <f>SUM(AW$164,'Statistics NZ'!AX$164-'Statistics NZ'!AW$164,$K$13/5*(AX$8-AX$9)*1000)</f>
        <v>43368.608782208998</v>
      </c>
      <c r="AY164" s="46">
        <f>SUM(AX$164,'Statistics NZ'!AY$164-'Statistics NZ'!AX$164,$K$13/5*(AY$8-AY$9)*1000)</f>
        <v>44318.608782208998</v>
      </c>
      <c r="AZ164" s="46">
        <f>SUM(AY$164,'Statistics NZ'!AZ$164-'Statistics NZ'!AY$164,$K$13/5*(AZ$8-AZ$9)*1000)</f>
        <v>47118.608782208998</v>
      </c>
      <c r="BA164" s="46">
        <f>SUM(AZ$164,'Statistics NZ'!BA$164-'Statistics NZ'!AZ$164,$K$13/5*(BA$8-BA$9)*1000)</f>
        <v>48918.608782208998</v>
      </c>
      <c r="BB164" s="46">
        <f>SUM(BA$164,'Statistics NZ'!BB$164-'Statistics NZ'!BA$164,$K$13/5*(BB$8-BB$9)*1000)</f>
        <v>49158.608782208998</v>
      </c>
      <c r="BC164" s="46">
        <f>SUM(BB$164,'Statistics NZ'!BC$164-'Statistics NZ'!BB$164,$K$13/5*(BC$8-BC$9)*1000)</f>
        <v>49808.608782208998</v>
      </c>
      <c r="BD164" s="46">
        <f>SUM(BC$164,'Statistics NZ'!BD$164-'Statistics NZ'!BC$164,$K$13/5*(BD$8-BD$9)*1000)</f>
        <v>49878.608782208998</v>
      </c>
      <c r="BE164" s="46">
        <f>SUM(BD$164,'Statistics NZ'!BE$164-'Statistics NZ'!BD$164,$K$13/5*(BE$8-BE$9)*1000)</f>
        <v>49908.608782208998</v>
      </c>
      <c r="BF164" s="46">
        <f>SUM(BE$164,'Statistics NZ'!BF$164-'Statistics NZ'!BE$164,$K$13/5*(BF$8-BF$9)*1000)</f>
        <v>50028.608782208998</v>
      </c>
      <c r="BG164" s="46">
        <f>SUM(BF$164,'Statistics NZ'!BG$164-'Statistics NZ'!BF$164,$K$13/5*(BG$8-BG$9)*1000)</f>
        <v>49848.608782208998</v>
      </c>
      <c r="BH164" s="46">
        <f>SUM(BG$164,'Statistics NZ'!BH$164-'Statistics NZ'!BG$164,$K$13/5*(BH$8-BH$9)*1000)</f>
        <v>50048.608782208998</v>
      </c>
      <c r="BI164" s="46">
        <f>SUM(BH$164,'Statistics NZ'!BI$164-'Statistics NZ'!BH$164,$K$13/5*(BI$8-BI$9)*1000)</f>
        <v>49948.608782208998</v>
      </c>
    </row>
    <row r="165" spans="1:61" x14ac:dyDescent="0.25">
      <c r="A165" s="11">
        <f>$A$65</f>
        <v>50</v>
      </c>
      <c r="B165" s="44">
        <f>'Statistics NZ'!B$165*'Economic Forecasts'!D$9*1000000/SUM('Statistics NZ'!B$30:B$110,'Statistics NZ'!B$130:B$210)</f>
        <v>27150.435940685369</v>
      </c>
      <c r="C165" s="44">
        <f>'Statistics NZ'!C$165*'Economic Forecasts'!E$9*1000000/SUM('Statistics NZ'!C$30:C$110,'Statistics NZ'!C$130:C$210)</f>
        <v>27790.82147058117</v>
      </c>
      <c r="D165" s="44">
        <f>'Statistics NZ'!D$165*'Economic Forecasts'!F$9*1000000/SUM('Statistics NZ'!D$30:D$110,'Statistics NZ'!D$130:D$210)</f>
        <v>27827.776258530903</v>
      </c>
      <c r="E165" s="44">
        <f>'Statistics NZ'!E$165*'Economic Forecasts'!G$9*1000000/SUM('Statistics NZ'!E$30:E$110,'Statistics NZ'!E$130:E$210)</f>
        <v>29156.2791053201</v>
      </c>
      <c r="F165" s="44">
        <f>'Statistics NZ'!F$165*'Economic Forecasts'!H$9*1000000/SUM('Statistics NZ'!F$30:F$110,'Statistics NZ'!F$130:F$210)</f>
        <v>29504.964691460591</v>
      </c>
      <c r="G165" s="44">
        <f>'Statistics NZ'!G$165*'Economic Forecasts'!I$9*1000000/SUM('Statistics NZ'!G$30:G$110,'Statistics NZ'!G$130:G$210)</f>
        <v>30390.729170865412</v>
      </c>
      <c r="H165" s="44">
        <f>'Statistics NZ'!H$165*'Economic Forecasts'!J$9*1000000/SUM('Statistics NZ'!H$30:H$110,'Statistics NZ'!H$130:H$210)</f>
        <v>30968.832275161007</v>
      </c>
      <c r="I165" s="44">
        <f>'Statistics NZ'!I$165*'Economic Forecasts'!K$9*1000000/SUM('Statistics NZ'!I$30:I$110,'Statistics NZ'!I$130:I$210)</f>
        <v>30587.092556271597</v>
      </c>
      <c r="J165" s="44">
        <f>'Statistics NZ'!J$165*'Economic Forecasts'!L$9*1000000/SUM('Statistics NZ'!J$30:J$110,'Statistics NZ'!J$130:J$210)</f>
        <v>30377.113189855583</v>
      </c>
      <c r="K165" s="44">
        <f>'Statistics NZ'!K$165*'Economic Forecasts'!M$9*1000000/SUM('Statistics NZ'!K$30:K$110,'Statistics NZ'!K$130:K$210)</f>
        <v>29666.26033650852</v>
      </c>
      <c r="L165" s="44">
        <f>'Statistics NZ'!L$165*'Economic Forecasts'!N$9*1000000/SUM('Statistics NZ'!L$30:L$110,'Statistics NZ'!L$130:L$210)</f>
        <v>29638.256133378723</v>
      </c>
      <c r="M165" s="44">
        <f>'Statistics NZ'!M$165*'Economic Forecasts'!O$9*1000000/SUM('Statistics NZ'!M$30:M$110,'Statistics NZ'!M$130:M$210)</f>
        <v>29933.97425149546</v>
      </c>
      <c r="N165" s="44">
        <f>'Statistics NZ'!N$165*'Economic Forecasts'!P$9*1000000/SUM('Statistics NZ'!N$30:N$110,'Statistics NZ'!N$130:N$210)</f>
        <v>30979.101903321582</v>
      </c>
      <c r="O165" s="44">
        <f>'Statistics NZ'!O$165*'Economic Forecasts'!Q$9*1000000/SUM('Statistics NZ'!O$30:O$110,'Statistics NZ'!O$130:O$210)</f>
        <v>31759.937813145443</v>
      </c>
      <c r="P165" s="44">
        <f>'Statistics NZ'!P$165*'Economic Forecasts'!R$9*1000000/SUM('Statistics NZ'!P$30:P$110,'Statistics NZ'!P$130:P$210)</f>
        <v>31972.226647471634</v>
      </c>
      <c r="Q165" s="44">
        <f>'Statistics NZ'!Q$165*'Economic Forecasts'!S$9*1000000/SUM('Statistics NZ'!Q$30:Q$110,'Statistics NZ'!Q$130:Q$210)</f>
        <v>33090.942042188683</v>
      </c>
      <c r="R165" s="44">
        <f>'Statistics NZ'!R$165*'Economic Forecasts'!T$9*1000000/SUM('Statistics NZ'!R$30:R$110,'Statistics NZ'!R$130:R$210)</f>
        <v>32781.863392649007</v>
      </c>
      <c r="S165" s="44">
        <f>'Statistics NZ'!S$165*'Economic Forecasts'!U$9*1000000/SUM('Statistics NZ'!S$30:S$110,'Statistics NZ'!S$130:S$210)</f>
        <v>31798.837627123452</v>
      </c>
      <c r="T165" s="44">
        <f>'Statistics NZ'!T$165*'Economic Forecasts'!V$9*1000000/SUM('Statistics NZ'!T$30:T$110,'Statistics NZ'!T$130:T$210)</f>
        <v>31340.326204138415</v>
      </c>
      <c r="U165" s="45">
        <f>SUM('Statistics NZ'!U$165,$L$13/5*(U$8-U$9)*1000)*'Economic Forecasts'!W$9*1000000/SUM('Statistics NZ'!U$30:U$110,'Statistics NZ'!U$130:U$210,SUM($E$12:$T$13)*(U$8-U$9)*1000)</f>
        <v>30325.520250927148</v>
      </c>
      <c r="V165" s="45">
        <f>SUM('Statistics NZ'!V$165,$L$13/5*(V$8-V$9)*1000)*'Economic Forecasts'!X$9*1000000/SUM('Statistics NZ'!V$30:V$110,'Statistics NZ'!V$130:V$210,SUM($E$12:$T$13)*(V$8-V$9)*1000)</f>
        <v>30174.509354469625</v>
      </c>
      <c r="W165" s="45">
        <f>SUM('Statistics NZ'!W$165,$L$13/5*(W$8-W$9)*1000)*'Economic Forecasts'!Y$9*1000000/SUM('Statistics NZ'!W$30:W$110,'Statistics NZ'!W$130:W$210,SUM($E$12:$T$13)*(W$8-W$9)*1000)</f>
        <v>30586.185648496106</v>
      </c>
      <c r="X165" s="45">
        <f>SUM('Statistics NZ'!X$165,$L$13/5*(X$8-X$9)*1000)*'Economic Forecasts'!Z$9*1000000/SUM('Statistics NZ'!X$30:X$110,'Statistics NZ'!X$130:X$210,SUM($E$12:$T$13)*(X$8-X$9)*1000)</f>
        <v>30364.050519944019</v>
      </c>
      <c r="Y165" s="45">
        <f>SUM('Statistics NZ'!Y$165,$L$13/5*(Y$8-Y$9)*1000)*'Economic Forecasts'!AA$9*1000000/SUM('Statistics NZ'!Y$30:Y$110,'Statistics NZ'!Y$130:Y$210,SUM($E$12:$T$13)*(Y$8-Y$9)*1000)</f>
        <v>31751.396743055611</v>
      </c>
      <c r="Z165" s="46">
        <f>SUM(Y$165,'Statistics NZ'!Z$165-'Statistics NZ'!Y$165,$L$13/5*(Z$8-Z$9)*1000)</f>
        <v>32913.465038778886</v>
      </c>
      <c r="AA165" s="46">
        <f>SUM(Z$165,'Statistics NZ'!AA$165-'Statistics NZ'!Z$165,$L$13/5*(AA$8-AA$9)*1000)</f>
        <v>33944.706016212855</v>
      </c>
      <c r="AB165" s="46">
        <f>SUM(AA$165,'Statistics NZ'!AB$165-'Statistics NZ'!AA$165,$L$13/5*(AB$8-AB$9)*1000)</f>
        <v>34915.285139015374</v>
      </c>
      <c r="AC165" s="46">
        <f>SUM(AB$165,'Statistics NZ'!AC$165-'Statistics NZ'!AB$165,$L$13/5*(AC$8-AC$9)*1000)</f>
        <v>36375.285139015374</v>
      </c>
      <c r="AD165" s="46">
        <f>SUM(AC$165,'Statistics NZ'!AD$165-'Statistics NZ'!AC$165,$L$13/5*(AD$8-AD$9)*1000)</f>
        <v>37415.285139015374</v>
      </c>
      <c r="AE165" s="46">
        <f>SUM(AD$165,'Statistics NZ'!AE$165-'Statistics NZ'!AD$165,$L$13/5*(AE$8-AE$9)*1000)</f>
        <v>38055.285139015374</v>
      </c>
      <c r="AF165" s="46">
        <f>SUM(AE$165,'Statistics NZ'!AF$165-'Statistics NZ'!AE$165,$L$13/5*(AF$8-AF$9)*1000)</f>
        <v>39285.285139015374</v>
      </c>
      <c r="AG165" s="46">
        <f>SUM(AF$165,'Statistics NZ'!AG$165-'Statistics NZ'!AF$165,$L$13/5*(AG$8-AG$9)*1000)</f>
        <v>41415.285139015374</v>
      </c>
      <c r="AH165" s="46">
        <f>SUM(AG$165,'Statistics NZ'!AH$165-'Statistics NZ'!AG$165,$L$13/5*(AH$8-AH$9)*1000)</f>
        <v>42695.285139015374</v>
      </c>
      <c r="AI165" s="46">
        <f>SUM(AH$165,'Statistics NZ'!AI$165-'Statistics NZ'!AH$165,$L$13/5*(AI$8-AI$9)*1000)</f>
        <v>43515.285139015374</v>
      </c>
      <c r="AJ165" s="46">
        <f>SUM(AI$165,'Statistics NZ'!AJ$165-'Statistics NZ'!AI$165,$L$13/5*(AJ$8-AJ$9)*1000)</f>
        <v>45285.285139015374</v>
      </c>
      <c r="AK165" s="46">
        <f>SUM(AJ$165,'Statistics NZ'!AK$165-'Statistics NZ'!AJ$165,$L$13/5*(AK$8-AK$9)*1000)</f>
        <v>46095.285139015374</v>
      </c>
      <c r="AL165" s="46">
        <f>SUM(AK$165,'Statistics NZ'!AL$165-'Statistics NZ'!AK$165,$L$13/5*(AL$8-AL$9)*1000)</f>
        <v>46085.285139015374</v>
      </c>
      <c r="AM165" s="46">
        <f>SUM(AL$165,'Statistics NZ'!AM$165-'Statistics NZ'!AL$165,$L$13/5*(AM$8-AM$9)*1000)</f>
        <v>45245.285139015374</v>
      </c>
      <c r="AN165" s="46">
        <f>SUM(AM$165,'Statistics NZ'!AN$165-'Statistics NZ'!AM$165,$L$13/5*(AN$8-AN$9)*1000)</f>
        <v>44155.285139015374</v>
      </c>
      <c r="AO165" s="46">
        <f>SUM(AN$165,'Statistics NZ'!AO$165-'Statistics NZ'!AN$165,$L$13/5*(AO$8-AO$9)*1000)</f>
        <v>43795.285139015374</v>
      </c>
      <c r="AP165" s="46">
        <f>SUM(AO$165,'Statistics NZ'!AP$165-'Statistics NZ'!AO$165,$L$13/5*(AP$8-AP$9)*1000)</f>
        <v>43325.285139015374</v>
      </c>
      <c r="AQ165" s="46">
        <f>SUM(AP$165,'Statistics NZ'!AQ$165-'Statistics NZ'!AP$165,$L$13/5*(AQ$8-AQ$9)*1000)</f>
        <v>41925.285139015374</v>
      </c>
      <c r="AR165" s="46">
        <f>SUM(AQ$165,'Statistics NZ'!AR$165-'Statistics NZ'!AQ$165,$L$13/5*(AR$8-AR$9)*1000)</f>
        <v>41775.285139015374</v>
      </c>
      <c r="AS165" s="46">
        <f>SUM(AR$165,'Statistics NZ'!AS$165-'Statistics NZ'!AR$165,$L$13/5*(AS$8-AS$9)*1000)</f>
        <v>41135.285139015374</v>
      </c>
      <c r="AT165" s="46">
        <f>SUM(AS$165,'Statistics NZ'!AT$165-'Statistics NZ'!AS$165,$L$13/5*(AT$8-AT$9)*1000)</f>
        <v>42145.285139015374</v>
      </c>
      <c r="AU165" s="46">
        <f>SUM(AT$165,'Statistics NZ'!AU$165-'Statistics NZ'!AT$165,$L$13/5*(AU$8-AU$9)*1000)</f>
        <v>41815.285139015374</v>
      </c>
      <c r="AV165" s="46">
        <f>SUM(AU$165,'Statistics NZ'!AV$165-'Statistics NZ'!AU$165,$L$13/5*(AV$8-AV$9)*1000)</f>
        <v>41115.285139015374</v>
      </c>
      <c r="AW165" s="46">
        <f>SUM(AV$165,'Statistics NZ'!AW$165-'Statistics NZ'!AV$165,$L$13/5*(AW$8-AW$9)*1000)</f>
        <v>41865.285139015374</v>
      </c>
      <c r="AX165" s="46">
        <f>SUM(AW$165,'Statistics NZ'!AX$165-'Statistics NZ'!AW$165,$L$13/5*(AX$8-AX$9)*1000)</f>
        <v>42895.285139015374</v>
      </c>
      <c r="AY165" s="46">
        <f>SUM(AX$165,'Statistics NZ'!AY$165-'Statistics NZ'!AX$165,$L$13/5*(AY$8-AY$9)*1000)</f>
        <v>43325.285139015374</v>
      </c>
      <c r="AZ165" s="46">
        <f>SUM(AY$165,'Statistics NZ'!AZ$165-'Statistics NZ'!AY$165,$L$13/5*(AZ$8-AZ$9)*1000)</f>
        <v>44275.285139015374</v>
      </c>
      <c r="BA165" s="46">
        <f>SUM(AZ$165,'Statistics NZ'!BA$165-'Statistics NZ'!AZ$165,$L$13/5*(BA$8-BA$9)*1000)</f>
        <v>47075.285139015374</v>
      </c>
      <c r="BB165" s="46">
        <f>SUM(BA$165,'Statistics NZ'!BB$165-'Statistics NZ'!BA$165,$L$13/5*(BB$8-BB$9)*1000)</f>
        <v>48875.285139015374</v>
      </c>
      <c r="BC165" s="46">
        <f>SUM(BB$165,'Statistics NZ'!BC$165-'Statistics NZ'!BB$165,$L$13/5*(BC$8-BC$9)*1000)</f>
        <v>49115.285139015374</v>
      </c>
      <c r="BD165" s="46">
        <f>SUM(BC$165,'Statistics NZ'!BD$165-'Statistics NZ'!BC$165,$L$13/5*(BD$8-BD$9)*1000)</f>
        <v>49765.285139015374</v>
      </c>
      <c r="BE165" s="46">
        <f>SUM(BD$165,'Statistics NZ'!BE$165-'Statistics NZ'!BD$165,$L$13/5*(BE$8-BE$9)*1000)</f>
        <v>49835.285139015374</v>
      </c>
      <c r="BF165" s="46">
        <f>SUM(BE$165,'Statistics NZ'!BF$165-'Statistics NZ'!BE$165,$L$13/5*(BF$8-BF$9)*1000)</f>
        <v>49865.285139015374</v>
      </c>
      <c r="BG165" s="46">
        <f>SUM(BF$165,'Statistics NZ'!BG$165-'Statistics NZ'!BF$165,$L$13/5*(BG$8-BG$9)*1000)</f>
        <v>49995.285139015374</v>
      </c>
      <c r="BH165" s="46">
        <f>SUM(BG$165,'Statistics NZ'!BH$165-'Statistics NZ'!BG$165,$L$13/5*(BH$8-BH$9)*1000)</f>
        <v>49805.285139015374</v>
      </c>
      <c r="BI165" s="46">
        <f>SUM(BH$165,'Statistics NZ'!BI$165-'Statistics NZ'!BH$165,$L$13/5*(BI$8-BI$9)*1000)</f>
        <v>50015.285139015374</v>
      </c>
    </row>
    <row r="166" spans="1:61" x14ac:dyDescent="0.25">
      <c r="A166" s="11">
        <f>$A$66</f>
        <v>51</v>
      </c>
      <c r="B166" s="44">
        <f>'Statistics NZ'!B$166*'Economic Forecasts'!D$9*1000000/SUM('Statistics NZ'!B$30:B$110,'Statistics NZ'!B$130:B$210)</f>
        <v>25976.363035142218</v>
      </c>
      <c r="C166" s="44">
        <f>'Statistics NZ'!C$166*'Economic Forecasts'!E$9*1000000/SUM('Statistics NZ'!C$30:C$110,'Statistics NZ'!C$130:C$210)</f>
        <v>27132.876227284731</v>
      </c>
      <c r="D166" s="44">
        <f>'Statistics NZ'!D$166*'Economic Forecasts'!F$9*1000000/SUM('Statistics NZ'!D$30:D$110,'Statistics NZ'!D$130:D$210)</f>
        <v>27660.789955532306</v>
      </c>
      <c r="E166" s="44">
        <f>'Statistics NZ'!E$166*'Economic Forecasts'!G$9*1000000/SUM('Statistics NZ'!E$30:E$110,'Statistics NZ'!E$130:E$210)</f>
        <v>27645.99757749659</v>
      </c>
      <c r="F166" s="44">
        <f>'Statistics NZ'!F$166*'Economic Forecasts'!H$9*1000000/SUM('Statistics NZ'!F$30:F$110,'Statistics NZ'!F$130:F$210)</f>
        <v>29063.567280850311</v>
      </c>
      <c r="G166" s="44">
        <f>'Statistics NZ'!G$166*'Economic Forecasts'!I$9*1000000/SUM('Statistics NZ'!G$30:G$110,'Statistics NZ'!G$130:G$210)</f>
        <v>29349.547111359356</v>
      </c>
      <c r="H166" s="44">
        <f>'Statistics NZ'!H$166*'Economic Forecasts'!J$9*1000000/SUM('Statistics NZ'!H$30:H$110,'Statistics NZ'!H$130:H$210)</f>
        <v>30202.47157799649</v>
      </c>
      <c r="I166" s="44">
        <f>'Statistics NZ'!I$166*'Economic Forecasts'!K$9*1000000/SUM('Statistics NZ'!I$30:I$110,'Statistics NZ'!I$130:I$210)</f>
        <v>30753.752996482053</v>
      </c>
      <c r="J166" s="44">
        <f>'Statistics NZ'!J$166*'Economic Forecasts'!L$9*1000000/SUM('Statistics NZ'!J$30:J$110,'Statistics NZ'!J$130:J$210)</f>
        <v>30591.65459922214</v>
      </c>
      <c r="K166" s="44">
        <f>'Statistics NZ'!K$166*'Economic Forecasts'!M$9*1000000/SUM('Statistics NZ'!K$30:K$110,'Statistics NZ'!K$130:K$210)</f>
        <v>30484.102761276066</v>
      </c>
      <c r="L166" s="44">
        <f>'Statistics NZ'!L$166*'Economic Forecasts'!N$9*1000000/SUM('Statistics NZ'!L$30:L$110,'Statistics NZ'!L$130:L$210)</f>
        <v>29891.408124005477</v>
      </c>
      <c r="M166" s="44">
        <f>'Statistics NZ'!M$166*'Economic Forecasts'!O$9*1000000/SUM('Statistics NZ'!M$30:M$110,'Statistics NZ'!M$130:M$210)</f>
        <v>29953.513399179206</v>
      </c>
      <c r="N166" s="44">
        <f>'Statistics NZ'!N$166*'Economic Forecasts'!P$9*1000000/SUM('Statistics NZ'!N$30:N$110,'Statistics NZ'!N$130:N$210)</f>
        <v>30235.446898693521</v>
      </c>
      <c r="O166" s="44">
        <f>'Statistics NZ'!O$166*'Economic Forecasts'!Q$9*1000000/SUM('Statistics NZ'!O$30:O$110,'Statistics NZ'!O$130:O$210)</f>
        <v>31071.641947225882</v>
      </c>
      <c r="P166" s="44">
        <f>'Statistics NZ'!P$166*'Economic Forecasts'!R$9*1000000/SUM('Statistics NZ'!P$30:P$110,'Statistics NZ'!P$130:P$210)</f>
        <v>31834.669433868505</v>
      </c>
      <c r="Q166" s="44">
        <f>'Statistics NZ'!Q$166*'Economic Forecasts'!S$9*1000000/SUM('Statistics NZ'!Q$30:Q$110,'Statistics NZ'!Q$130:Q$210)</f>
        <v>32137.255330675587</v>
      </c>
      <c r="R166" s="44">
        <f>'Statistics NZ'!R$166*'Economic Forecasts'!T$9*1000000/SUM('Statistics NZ'!R$30:R$110,'Statistics NZ'!R$130:R$210)</f>
        <v>32901.359857020747</v>
      </c>
      <c r="S166" s="44">
        <f>'Statistics NZ'!S$166*'Economic Forecasts'!U$9*1000000/SUM('Statistics NZ'!S$30:S$110,'Statistics NZ'!S$130:S$210)</f>
        <v>32447.192055109292</v>
      </c>
      <c r="T166" s="44">
        <f>'Statistics NZ'!T$166*'Economic Forecasts'!V$9*1000000/SUM('Statistics NZ'!T$30:T$110,'Statistics NZ'!T$130:T$210)</f>
        <v>31984.577059062191</v>
      </c>
      <c r="U166" s="45">
        <f>SUM('Statistics NZ'!U$166,$L$13/5*(U$8-U$9)*1000)*'Economic Forecasts'!W$9*1000000/SUM('Statistics NZ'!U$30:U$110,'Statistics NZ'!U$130:U$210,SUM($E$12:$T$13)*(U$8-U$9)*1000)</f>
        <v>31187.250747746581</v>
      </c>
      <c r="V166" s="45">
        <f>SUM('Statistics NZ'!V$166,$L$13/5*(V$8-V$9)*1000)*'Economic Forecasts'!X$9*1000000/SUM('Statistics NZ'!V$30:V$110,'Statistics NZ'!V$130:V$210,SUM($E$12:$T$13)*(V$8-V$9)*1000)</f>
        <v>30194.310990590151</v>
      </c>
      <c r="W166" s="45">
        <f>SUM('Statistics NZ'!W$166,$L$13/5*(W$8-W$9)*1000)*'Economic Forecasts'!Y$9*1000000/SUM('Statistics NZ'!W$30:W$110,'Statistics NZ'!W$130:W$210,SUM($E$12:$T$13)*(W$8-W$9)*1000)</f>
        <v>30071.2298741792</v>
      </c>
      <c r="X166" s="45">
        <f>SUM('Statistics NZ'!X$166,$L$13/5*(X$8-X$9)*1000)*'Economic Forecasts'!Z$9*1000000/SUM('Statistics NZ'!X$30:X$110,'Statistics NZ'!X$130:X$210,SUM($E$12:$T$13)*(X$8-X$9)*1000)</f>
        <v>30492.818914474989</v>
      </c>
      <c r="Y166" s="45">
        <f>SUM('Statistics NZ'!Y$166,$L$13/5*(Y$8-Y$9)*1000)*'Economic Forecasts'!AA$9*1000000/SUM('Statistics NZ'!Y$30:Y$110,'Statistics NZ'!Y$130:Y$210,SUM($E$12:$T$13)*(Y$8-Y$9)*1000)</f>
        <v>30284.879449878041</v>
      </c>
      <c r="Z166" s="46">
        <f>SUM(Y$166,'Statistics NZ'!Z$166-'Statistics NZ'!Y$166,$L$13/5*(Z$8-Z$9)*1000)</f>
        <v>31676.947745601319</v>
      </c>
      <c r="AA166" s="46">
        <f>SUM(Z$166,'Statistics NZ'!AA$166-'Statistics NZ'!Z$166,$L$13/5*(AA$8-AA$9)*1000)</f>
        <v>32838.188723035288</v>
      </c>
      <c r="AB166" s="46">
        <f>SUM(AA$166,'Statistics NZ'!AB$166-'Statistics NZ'!AA$166,$L$13/5*(AB$8-AB$9)*1000)</f>
        <v>33868.767845837807</v>
      </c>
      <c r="AC166" s="46">
        <f>SUM(AB$166,'Statistics NZ'!AC$166-'Statistics NZ'!AB$166,$L$13/5*(AC$8-AC$9)*1000)</f>
        <v>34838.767845837807</v>
      </c>
      <c r="AD166" s="46">
        <f>SUM(AC$166,'Statistics NZ'!AD$166-'Statistics NZ'!AC$166,$L$13/5*(AD$8-AD$9)*1000)</f>
        <v>36298.767845837807</v>
      </c>
      <c r="AE166" s="46">
        <f>SUM(AD$166,'Statistics NZ'!AE$166-'Statistics NZ'!AD$166,$L$13/5*(AE$8-AE$9)*1000)</f>
        <v>37338.767845837807</v>
      </c>
      <c r="AF166" s="46">
        <f>SUM(AE$166,'Statistics NZ'!AF$166-'Statistics NZ'!AE$166,$L$13/5*(AF$8-AF$9)*1000)</f>
        <v>37978.767845837807</v>
      </c>
      <c r="AG166" s="46">
        <f>SUM(AF$166,'Statistics NZ'!AG$166-'Statistics NZ'!AF$166,$L$13/5*(AG$8-AG$9)*1000)</f>
        <v>39208.767845837807</v>
      </c>
      <c r="AH166" s="46">
        <f>SUM(AG$166,'Statistics NZ'!AH$166-'Statistics NZ'!AG$166,$L$13/5*(AH$8-AH$9)*1000)</f>
        <v>41338.767845837807</v>
      </c>
      <c r="AI166" s="46">
        <f>SUM(AH$166,'Statistics NZ'!AI$166-'Statistics NZ'!AH$166,$L$13/5*(AI$8-AI$9)*1000)</f>
        <v>42608.767845837807</v>
      </c>
      <c r="AJ166" s="46">
        <f>SUM(AI$166,'Statistics NZ'!AJ$166-'Statistics NZ'!AI$166,$L$13/5*(AJ$8-AJ$9)*1000)</f>
        <v>43428.767845837807</v>
      </c>
      <c r="AK166" s="46">
        <f>SUM(AJ$166,'Statistics NZ'!AK$166-'Statistics NZ'!AJ$166,$L$13/5*(AK$8-AK$9)*1000)</f>
        <v>45208.767845837807</v>
      </c>
      <c r="AL166" s="46">
        <f>SUM(AK$166,'Statistics NZ'!AL$166-'Statistics NZ'!AK$166,$L$13/5*(AL$8-AL$9)*1000)</f>
        <v>46018.767845837807</v>
      </c>
      <c r="AM166" s="46">
        <f>SUM(AL$166,'Statistics NZ'!AM$166-'Statistics NZ'!AL$166,$L$13/5*(AM$8-AM$9)*1000)</f>
        <v>46008.767845837807</v>
      </c>
      <c r="AN166" s="46">
        <f>SUM(AM$166,'Statistics NZ'!AN$166-'Statistics NZ'!AM$166,$L$13/5*(AN$8-AN$9)*1000)</f>
        <v>45178.767845837807</v>
      </c>
      <c r="AO166" s="46">
        <f>SUM(AN$166,'Statistics NZ'!AO$166-'Statistics NZ'!AN$166,$L$13/5*(AO$8-AO$9)*1000)</f>
        <v>44088.767845837807</v>
      </c>
      <c r="AP166" s="46">
        <f>SUM(AO$166,'Statistics NZ'!AP$166-'Statistics NZ'!AO$166,$L$13/5*(AP$8-AP$9)*1000)</f>
        <v>43728.767845837807</v>
      </c>
      <c r="AQ166" s="46">
        <f>SUM(AP$166,'Statistics NZ'!AQ$166-'Statistics NZ'!AP$166,$L$13/5*(AQ$8-AQ$9)*1000)</f>
        <v>43268.767845837807</v>
      </c>
      <c r="AR166" s="46">
        <f>SUM(AQ$166,'Statistics NZ'!AR$166-'Statistics NZ'!AQ$166,$L$13/5*(AR$8-AR$9)*1000)</f>
        <v>41868.767845837807</v>
      </c>
      <c r="AS166" s="46">
        <f>SUM(AR$166,'Statistics NZ'!AS$166-'Statistics NZ'!AR$166,$L$13/5*(AS$8-AS$9)*1000)</f>
        <v>41728.767845837807</v>
      </c>
      <c r="AT166" s="46">
        <f>SUM(AS$166,'Statistics NZ'!AT$166-'Statistics NZ'!AS$166,$L$13/5*(AT$8-AT$9)*1000)</f>
        <v>41088.767845837807</v>
      </c>
      <c r="AU166" s="46">
        <f>SUM(AT$166,'Statistics NZ'!AU$166-'Statistics NZ'!AT$166,$L$13/5*(AU$8-AU$9)*1000)</f>
        <v>42088.767845837807</v>
      </c>
      <c r="AV166" s="46">
        <f>SUM(AU$166,'Statistics NZ'!AV$166-'Statistics NZ'!AU$166,$L$13/5*(AV$8-AV$9)*1000)</f>
        <v>41768.767845837807</v>
      </c>
      <c r="AW166" s="46">
        <f>SUM(AV$166,'Statistics NZ'!AW$166-'Statistics NZ'!AV$166,$L$13/5*(AW$8-AW$9)*1000)</f>
        <v>41078.767845837807</v>
      </c>
      <c r="AX166" s="46">
        <f>SUM(AW$166,'Statistics NZ'!AX$166-'Statistics NZ'!AW$166,$L$13/5*(AX$8-AX$9)*1000)</f>
        <v>41828.767845837807</v>
      </c>
      <c r="AY166" s="46">
        <f>SUM(AX$166,'Statistics NZ'!AY$166-'Statistics NZ'!AX$166,$L$13/5*(AY$8-AY$9)*1000)</f>
        <v>42858.767845837807</v>
      </c>
      <c r="AZ166" s="46">
        <f>SUM(AY$166,'Statistics NZ'!AZ$166-'Statistics NZ'!AY$166,$L$13/5*(AZ$8-AZ$9)*1000)</f>
        <v>43288.767845837807</v>
      </c>
      <c r="BA166" s="46">
        <f>SUM(AZ$166,'Statistics NZ'!BA$166-'Statistics NZ'!AZ$166,$L$13/5*(BA$8-BA$9)*1000)</f>
        <v>44238.767845837807</v>
      </c>
      <c r="BB166" s="46">
        <f>SUM(BA$166,'Statistics NZ'!BB$166-'Statistics NZ'!BA$166,$L$13/5*(BB$8-BB$9)*1000)</f>
        <v>47028.767845837807</v>
      </c>
      <c r="BC166" s="46">
        <f>SUM(BB$166,'Statistics NZ'!BC$166-'Statistics NZ'!BB$166,$L$13/5*(BC$8-BC$9)*1000)</f>
        <v>48828.767845837807</v>
      </c>
      <c r="BD166" s="46">
        <f>SUM(BC$166,'Statistics NZ'!BD$166-'Statistics NZ'!BC$166,$L$13/5*(BD$8-BD$9)*1000)</f>
        <v>49068.767845837807</v>
      </c>
      <c r="BE166" s="46">
        <f>SUM(BD$166,'Statistics NZ'!BE$166-'Statistics NZ'!BD$166,$L$13/5*(BE$8-BE$9)*1000)</f>
        <v>49728.767845837807</v>
      </c>
      <c r="BF166" s="46">
        <f>SUM(BE$166,'Statistics NZ'!BF$166-'Statistics NZ'!BE$166,$L$13/5*(BF$8-BF$9)*1000)</f>
        <v>49798.767845837807</v>
      </c>
      <c r="BG166" s="46">
        <f>SUM(BF$166,'Statistics NZ'!BG$166-'Statistics NZ'!BF$166,$L$13/5*(BG$8-BG$9)*1000)</f>
        <v>49838.767845837807</v>
      </c>
      <c r="BH166" s="46">
        <f>SUM(BG$166,'Statistics NZ'!BH$166-'Statistics NZ'!BG$166,$L$13/5*(BH$8-BH$9)*1000)</f>
        <v>49958.767845837807</v>
      </c>
      <c r="BI166" s="46">
        <f>SUM(BH$166,'Statistics NZ'!BI$166-'Statistics NZ'!BH$166,$L$13/5*(BI$8-BI$9)*1000)</f>
        <v>49778.767845837807</v>
      </c>
    </row>
    <row r="167" spans="1:61" x14ac:dyDescent="0.25">
      <c r="A167" s="11">
        <f>$A$67</f>
        <v>52</v>
      </c>
      <c r="B167" s="44">
        <f>'Statistics NZ'!B$167*'Economic Forecasts'!D$9*1000000/SUM('Statistics NZ'!B$30:B$110,'Statistics NZ'!B$130:B$210)</f>
        <v>25252.351410057272</v>
      </c>
      <c r="C167" s="44">
        <f>'Statistics NZ'!C$167*'Economic Forecasts'!E$9*1000000/SUM('Statistics NZ'!C$30:C$110,'Statistics NZ'!C$130:C$210)</f>
        <v>25974.10699282233</v>
      </c>
      <c r="D167" s="44">
        <f>'Statistics NZ'!D$167*'Economic Forecasts'!F$9*1000000/SUM('Statistics NZ'!D$30:D$110,'Statistics NZ'!D$130:D$210)</f>
        <v>26933.908401303117</v>
      </c>
      <c r="E167" s="44">
        <f>'Statistics NZ'!E$167*'Economic Forecasts'!G$9*1000000/SUM('Statistics NZ'!E$30:E$110,'Statistics NZ'!E$130:E$210)</f>
        <v>27440.050096429753</v>
      </c>
      <c r="F167" s="44">
        <f>'Statistics NZ'!F$167*'Economic Forecasts'!H$9*1000000/SUM('Statistics NZ'!F$30:F$110,'Statistics NZ'!F$130:F$210)</f>
        <v>27513.771928040878</v>
      </c>
      <c r="G167" s="44">
        <f>'Statistics NZ'!G$167*'Economic Forecasts'!I$9*1000000/SUM('Statistics NZ'!G$30:G$110,'Statistics NZ'!G$130:G$210)</f>
        <v>28907.535859682255</v>
      </c>
      <c r="H167" s="44">
        <f>'Statistics NZ'!H$167*'Economic Forecasts'!J$9*1000000/SUM('Statistics NZ'!H$30:H$110,'Statistics NZ'!H$130:H$210)</f>
        <v>29111.88135510853</v>
      </c>
      <c r="I167" s="44">
        <f>'Statistics NZ'!I$167*'Economic Forecasts'!K$9*1000000/SUM('Statistics NZ'!I$30:I$110,'Statistics NZ'!I$130:I$210)</f>
        <v>29969.468571962272</v>
      </c>
      <c r="J167" s="44">
        <f>'Statistics NZ'!J$167*'Economic Forecasts'!L$9*1000000/SUM('Statistics NZ'!J$30:J$110,'Statistics NZ'!J$130:J$210)</f>
        <v>30659.917774929676</v>
      </c>
      <c r="K167" s="44">
        <f>'Statistics NZ'!K$167*'Economic Forecasts'!M$9*1000000/SUM('Statistics NZ'!K$30:K$110,'Statistics NZ'!K$130:K$210)</f>
        <v>30785.925560892661</v>
      </c>
      <c r="L167" s="44">
        <f>'Statistics NZ'!L$167*'Economic Forecasts'!N$9*1000000/SUM('Statistics NZ'!L$30:L$110,'Statistics NZ'!L$130:L$210)</f>
        <v>30728.757016078591</v>
      </c>
      <c r="M167" s="44">
        <f>'Statistics NZ'!M$167*'Economic Forecasts'!O$9*1000000/SUM('Statistics NZ'!M$30:M$110,'Statistics NZ'!M$130:M$210)</f>
        <v>30246.600614435363</v>
      </c>
      <c r="N167" s="44">
        <f>'Statistics NZ'!N$167*'Economic Forecasts'!P$9*1000000/SUM('Statistics NZ'!N$30:N$110,'Statistics NZ'!N$130:N$210)</f>
        <v>30137.597555979304</v>
      </c>
      <c r="O167" s="44">
        <f>'Statistics NZ'!O$167*'Economic Forecasts'!Q$9*1000000/SUM('Statistics NZ'!O$30:O$110,'Statistics NZ'!O$130:O$210)</f>
        <v>30304.6836966298</v>
      </c>
      <c r="P167" s="44">
        <f>'Statistics NZ'!P$167*'Economic Forecasts'!R$9*1000000/SUM('Statistics NZ'!P$30:P$110,'Statistics NZ'!P$130:P$210)</f>
        <v>31048.62821327916</v>
      </c>
      <c r="Q167" s="44">
        <f>'Statistics NZ'!Q$167*'Economic Forecasts'!S$9*1000000/SUM('Statistics NZ'!Q$30:Q$110,'Statistics NZ'!Q$130:Q$210)</f>
        <v>32008.11025515819</v>
      </c>
      <c r="R167" s="44">
        <f>'Statistics NZ'!R$167*'Economic Forecasts'!T$9*1000000/SUM('Statistics NZ'!R$30:R$110,'Statistics NZ'!R$130:R$210)</f>
        <v>31925.472064651491</v>
      </c>
      <c r="S167" s="44">
        <f>'Statistics NZ'!S$167*'Economic Forecasts'!U$9*1000000/SUM('Statistics NZ'!S$30:S$110,'Statistics NZ'!S$130:S$210)</f>
        <v>32525.780470622722</v>
      </c>
      <c r="T167" s="44">
        <f>'Statistics NZ'!T$167*'Economic Forecasts'!V$9*1000000/SUM('Statistics NZ'!T$30:T$110,'Statistics NZ'!T$130:T$210)</f>
        <v>32688.297223671245</v>
      </c>
      <c r="U167" s="45">
        <f>SUM('Statistics NZ'!U$167,$L$13/5*(U$8-U$9)*1000)*'Economic Forecasts'!W$9*1000000/SUM('Statistics NZ'!U$30:U$110,'Statistics NZ'!U$130:U$210,SUM($E$12:$T$13)*(U$8-U$9)*1000)</f>
        <v>31811.262486822721</v>
      </c>
      <c r="V167" s="45">
        <f>SUM('Statistics NZ'!V$167,$L$13/5*(V$8-V$9)*1000)*'Economic Forecasts'!X$9*1000000/SUM('Statistics NZ'!V$30:V$110,'Statistics NZ'!V$130:V$210,SUM($E$12:$T$13)*(V$8-V$9)*1000)</f>
        <v>31045.781343772855</v>
      </c>
      <c r="W167" s="45">
        <f>SUM('Statistics NZ'!W$167,$L$13/5*(W$8-W$9)*1000)*'Economic Forecasts'!Y$9*1000000/SUM('Statistics NZ'!W$30:W$110,'Statistics NZ'!W$130:W$210,SUM($E$12:$T$13)*(W$8-W$9)*1000)</f>
        <v>30081.132869839137</v>
      </c>
      <c r="X167" s="45">
        <f>SUM('Statistics NZ'!X$167,$L$13/5*(X$8-X$9)*1000)*'Economic Forecasts'!Z$9*1000000/SUM('Statistics NZ'!X$30:X$110,'Statistics NZ'!X$130:X$210,SUM($E$12:$T$13)*(X$8-X$9)*1000)</f>
        <v>29967.840075233347</v>
      </c>
      <c r="Y167" s="45">
        <f>SUM('Statistics NZ'!Y$167,$L$13/5*(Y$8-Y$9)*1000)*'Economic Forecasts'!AA$9*1000000/SUM('Statistics NZ'!Y$30:Y$110,'Statistics NZ'!Y$130:Y$210,SUM($E$12:$T$13)*(Y$8-Y$9)*1000)</f>
        <v>30403.786257432981</v>
      </c>
      <c r="Z167" s="46">
        <f>SUM(Y$167,'Statistics NZ'!Z$167-'Statistics NZ'!Y$167,$L$13/5*(Z$8-Z$9)*1000)</f>
        <v>30185.854553156259</v>
      </c>
      <c r="AA167" s="46">
        <f>SUM(Z$167,'Statistics NZ'!AA$167-'Statistics NZ'!Z$167,$L$13/5*(AA$8-AA$9)*1000)</f>
        <v>31577.095530590228</v>
      </c>
      <c r="AB167" s="46">
        <f>SUM(AA$167,'Statistics NZ'!AB$167-'Statistics NZ'!AA$167,$L$13/5*(AB$8-AB$9)*1000)</f>
        <v>32737.674653392747</v>
      </c>
      <c r="AC167" s="46">
        <f>SUM(AB$167,'Statistics NZ'!AC$167-'Statistics NZ'!AB$167,$L$13/5*(AC$8-AC$9)*1000)</f>
        <v>33757.674653392751</v>
      </c>
      <c r="AD167" s="46">
        <f>SUM(AC$167,'Statistics NZ'!AD$167-'Statistics NZ'!AC$167,$L$13/5*(AD$8-AD$9)*1000)</f>
        <v>34737.674653392751</v>
      </c>
      <c r="AE167" s="46">
        <f>SUM(AD$167,'Statistics NZ'!AE$167-'Statistics NZ'!AD$167,$L$13/5*(AE$8-AE$9)*1000)</f>
        <v>36197.674653392751</v>
      </c>
      <c r="AF167" s="46">
        <f>SUM(AE$167,'Statistics NZ'!AF$167-'Statistics NZ'!AE$167,$L$13/5*(AF$8-AF$9)*1000)</f>
        <v>37237.674653392751</v>
      </c>
      <c r="AG167" s="46">
        <f>SUM(AF$167,'Statistics NZ'!AG$167-'Statistics NZ'!AF$167,$L$13/5*(AG$8-AG$9)*1000)</f>
        <v>37867.674653392751</v>
      </c>
      <c r="AH167" s="46">
        <f>SUM(AG$167,'Statistics NZ'!AH$167-'Statistics NZ'!AG$167,$L$13/5*(AH$8-AH$9)*1000)</f>
        <v>39097.674653392751</v>
      </c>
      <c r="AI167" s="46">
        <f>SUM(AH$167,'Statistics NZ'!AI$167-'Statistics NZ'!AH$167,$L$13/5*(AI$8-AI$9)*1000)</f>
        <v>41227.674653392751</v>
      </c>
      <c r="AJ167" s="46">
        <f>SUM(AI$167,'Statistics NZ'!AJ$167-'Statistics NZ'!AI$167,$L$13/5*(AJ$8-AJ$9)*1000)</f>
        <v>42507.674653392751</v>
      </c>
      <c r="AK167" s="46">
        <f>SUM(AJ$167,'Statistics NZ'!AK$167-'Statistics NZ'!AJ$167,$L$13/5*(AK$8-AK$9)*1000)</f>
        <v>43327.674653392751</v>
      </c>
      <c r="AL167" s="46">
        <f>SUM(AK$167,'Statistics NZ'!AL$167-'Statistics NZ'!AK$167,$L$13/5*(AL$8-AL$9)*1000)</f>
        <v>45097.674653392751</v>
      </c>
      <c r="AM167" s="46">
        <f>SUM(AL$167,'Statistics NZ'!AM$167-'Statistics NZ'!AL$167,$L$13/5*(AM$8-AM$9)*1000)</f>
        <v>45907.674653392751</v>
      </c>
      <c r="AN167" s="46">
        <f>SUM(AM$167,'Statistics NZ'!AN$167-'Statistics NZ'!AM$167,$L$13/5*(AN$8-AN$9)*1000)</f>
        <v>45907.674653392751</v>
      </c>
      <c r="AO167" s="46">
        <f>SUM(AN$167,'Statistics NZ'!AO$167-'Statistics NZ'!AN$167,$L$13/5*(AO$8-AO$9)*1000)</f>
        <v>45077.674653392751</v>
      </c>
      <c r="AP167" s="46">
        <f>SUM(AO$167,'Statistics NZ'!AP$167-'Statistics NZ'!AO$167,$L$13/5*(AP$8-AP$9)*1000)</f>
        <v>43997.674653392751</v>
      </c>
      <c r="AQ167" s="46">
        <f>SUM(AP$167,'Statistics NZ'!AQ$167-'Statistics NZ'!AP$167,$L$13/5*(AQ$8-AQ$9)*1000)</f>
        <v>43637.674653392751</v>
      </c>
      <c r="AR167" s="46">
        <f>SUM(AQ$167,'Statistics NZ'!AR$167-'Statistics NZ'!AQ$167,$L$13/5*(AR$8-AR$9)*1000)</f>
        <v>43177.674653392751</v>
      </c>
      <c r="AS167" s="46">
        <f>SUM(AR$167,'Statistics NZ'!AS$167-'Statistics NZ'!AR$167,$L$13/5*(AS$8-AS$9)*1000)</f>
        <v>41787.674653392751</v>
      </c>
      <c r="AT167" s="46">
        <f>SUM(AS$167,'Statistics NZ'!AT$167-'Statistics NZ'!AS$167,$L$13/5*(AT$8-AT$9)*1000)</f>
        <v>41647.674653392751</v>
      </c>
      <c r="AU167" s="46">
        <f>SUM(AT$167,'Statistics NZ'!AU$167-'Statistics NZ'!AT$167,$L$13/5*(AU$8-AU$9)*1000)</f>
        <v>41007.674653392751</v>
      </c>
      <c r="AV167" s="46">
        <f>SUM(AU$167,'Statistics NZ'!AV$167-'Statistics NZ'!AU$167,$L$13/5*(AV$8-AV$9)*1000)</f>
        <v>42017.674653392751</v>
      </c>
      <c r="AW167" s="46">
        <f>SUM(AV$167,'Statistics NZ'!AW$167-'Statistics NZ'!AV$167,$L$13/5*(AW$8-AW$9)*1000)</f>
        <v>41687.674653392751</v>
      </c>
      <c r="AX167" s="46">
        <f>SUM(AW$167,'Statistics NZ'!AX$167-'Statistics NZ'!AW$167,$L$13/5*(AX$8-AX$9)*1000)</f>
        <v>41007.674653392751</v>
      </c>
      <c r="AY167" s="46">
        <f>SUM(AX$167,'Statistics NZ'!AY$167-'Statistics NZ'!AX$167,$L$13/5*(AY$8-AY$9)*1000)</f>
        <v>41757.674653392751</v>
      </c>
      <c r="AZ167" s="46">
        <f>SUM(AY$167,'Statistics NZ'!AZ$167-'Statistics NZ'!AY$167,$L$13/5*(AZ$8-AZ$9)*1000)</f>
        <v>42787.674653392751</v>
      </c>
      <c r="BA167" s="46">
        <f>SUM(AZ$167,'Statistics NZ'!BA$167-'Statistics NZ'!AZ$167,$L$13/5*(BA$8-BA$9)*1000)</f>
        <v>43217.674653392751</v>
      </c>
      <c r="BB167" s="46">
        <f>SUM(BA$167,'Statistics NZ'!BB$167-'Statistics NZ'!BA$167,$L$13/5*(BB$8-BB$9)*1000)</f>
        <v>44167.674653392751</v>
      </c>
      <c r="BC167" s="46">
        <f>SUM(BB$167,'Statistics NZ'!BC$167-'Statistics NZ'!BB$167,$L$13/5*(BC$8-BC$9)*1000)</f>
        <v>46967.674653392751</v>
      </c>
      <c r="BD167" s="46">
        <f>SUM(BC$167,'Statistics NZ'!BD$167-'Statistics NZ'!BC$167,$L$13/5*(BD$8-BD$9)*1000)</f>
        <v>48757.674653392751</v>
      </c>
      <c r="BE167" s="46">
        <f>SUM(BD$167,'Statistics NZ'!BE$167-'Statistics NZ'!BD$167,$L$13/5*(BE$8-BE$9)*1000)</f>
        <v>49007.674653392751</v>
      </c>
      <c r="BF167" s="46">
        <f>SUM(BE$167,'Statistics NZ'!BF$167-'Statistics NZ'!BE$167,$L$13/5*(BF$8-BF$9)*1000)</f>
        <v>49657.674653392751</v>
      </c>
      <c r="BG167" s="46">
        <f>SUM(BF$167,'Statistics NZ'!BG$167-'Statistics NZ'!BF$167,$L$13/5*(BG$8-BG$9)*1000)</f>
        <v>49737.674653392751</v>
      </c>
      <c r="BH167" s="46">
        <f>SUM(BG$167,'Statistics NZ'!BH$167-'Statistics NZ'!BG$167,$L$13/5*(BH$8-BH$9)*1000)</f>
        <v>49767.674653392751</v>
      </c>
      <c r="BI167" s="46">
        <f>SUM(BH$167,'Statistics NZ'!BI$167-'Statistics NZ'!BH$167,$L$13/5*(BI$8-BI$9)*1000)</f>
        <v>49897.674653392751</v>
      </c>
    </row>
    <row r="168" spans="1:61" x14ac:dyDescent="0.25">
      <c r="A168" s="11">
        <f>$A$68</f>
        <v>53</v>
      </c>
      <c r="B168" s="44">
        <f>'Statistics NZ'!B$168*'Economic Forecasts'!D$9*1000000/SUM('Statistics NZ'!B$30:B$110,'Statistics NZ'!B$130:B$210)</f>
        <v>24528.339784972333</v>
      </c>
      <c r="C168" s="44">
        <f>'Statistics NZ'!C$168*'Economic Forecasts'!E$9*1000000/SUM('Statistics NZ'!C$30:C$110,'Statistics NZ'!C$130:C$210)</f>
        <v>25217.960966944327</v>
      </c>
      <c r="D168" s="44">
        <f>'Statistics NZ'!D$168*'Economic Forecasts'!F$9*1000000/SUM('Statistics NZ'!D$30:D$110,'Statistics NZ'!D$130:D$210)</f>
        <v>25804.295175136132</v>
      </c>
      <c r="E168" s="44">
        <f>'Statistics NZ'!E$168*'Economic Forecasts'!G$9*1000000/SUM('Statistics NZ'!E$30:E$110,'Statistics NZ'!E$130:E$210)</f>
        <v>26763.365515781552</v>
      </c>
      <c r="F168" s="44">
        <f>'Statistics NZ'!F$168*'Economic Forecasts'!H$9*1000000/SUM('Statistics NZ'!F$30:F$110,'Statistics NZ'!F$130:F$210)</f>
        <v>27337.212963796763</v>
      </c>
      <c r="G168" s="44">
        <f>'Statistics NZ'!G$168*'Economic Forecasts'!I$9*1000000/SUM('Statistics NZ'!G$30:G$110,'Statistics NZ'!G$130:G$210)</f>
        <v>27345.762770423175</v>
      </c>
      <c r="H168" s="44">
        <f>'Statistics NZ'!H$168*'Economic Forecasts'!J$9*1000000/SUM('Statistics NZ'!H$30:H$110,'Statistics NZ'!H$130:H$210)</f>
        <v>28679.575320810596</v>
      </c>
      <c r="I168" s="44">
        <f>'Statistics NZ'!I$168*'Economic Forecasts'!K$9*1000000/SUM('Statistics NZ'!I$30:I$110,'Statistics NZ'!I$130:I$210)</f>
        <v>28920.488154167055</v>
      </c>
      <c r="J168" s="44">
        <f>'Statistics NZ'!J$168*'Economic Forecasts'!L$9*1000000/SUM('Statistics NZ'!J$30:J$110,'Statistics NZ'!J$130:J$210)</f>
        <v>29831.007784195259</v>
      </c>
      <c r="K168" s="44">
        <f>'Statistics NZ'!K$168*'Economic Forecasts'!M$9*1000000/SUM('Statistics NZ'!K$30:K$110,'Statistics NZ'!K$130:K$210)</f>
        <v>30717.772025495367</v>
      </c>
      <c r="L168" s="44">
        <f>'Statistics NZ'!L$168*'Economic Forecasts'!N$9*1000000/SUM('Statistics NZ'!L$30:L$110,'Statistics NZ'!L$130:L$210)</f>
        <v>30972.172391681241</v>
      </c>
      <c r="M168" s="44">
        <f>'Statistics NZ'!M$168*'Economic Forecasts'!O$9*1000000/SUM('Statistics NZ'!M$30:M$110,'Statistics NZ'!M$130:M$210)</f>
        <v>31008.627374101368</v>
      </c>
      <c r="N168" s="44">
        <f>'Statistics NZ'!N$168*'Economic Forecasts'!P$9*1000000/SUM('Statistics NZ'!N$30:N$110,'Statistics NZ'!N$130:N$210)</f>
        <v>30480.070255479066</v>
      </c>
      <c r="O168" s="44">
        <f>'Statistics NZ'!O$168*'Economic Forecasts'!Q$9*1000000/SUM('Statistics NZ'!O$30:O$110,'Statistics NZ'!O$130:O$210)</f>
        <v>30255.519706206975</v>
      </c>
      <c r="P168" s="44">
        <f>'Statistics NZ'!P$168*'Economic Forecasts'!R$9*1000000/SUM('Statistics NZ'!P$30:P$110,'Statistics NZ'!P$130:P$210)</f>
        <v>30380.493175778214</v>
      </c>
      <c r="Q168" s="44">
        <f>'Statistics NZ'!Q$168*'Economic Forecasts'!S$9*1000000/SUM('Statistics NZ'!Q$30:Q$110,'Statistics NZ'!Q$130:Q$210)</f>
        <v>31233.239802053802</v>
      </c>
      <c r="R168" s="44">
        <f>'Statistics NZ'!R$168*'Economic Forecasts'!T$9*1000000/SUM('Statistics NZ'!R$30:R$110,'Statistics NZ'!R$130:R$210)</f>
        <v>31815.933638977393</v>
      </c>
      <c r="S168" s="44">
        <f>'Statistics NZ'!S$168*'Economic Forecasts'!U$9*1000000/SUM('Statistics NZ'!S$30:S$110,'Statistics NZ'!S$130:S$210)</f>
        <v>31445.189757312997</v>
      </c>
      <c r="T168" s="44">
        <f>'Statistics NZ'!T$168*'Economic Forecasts'!V$9*1000000/SUM('Statistics NZ'!T$30:T$110,'Statistics NZ'!T$130:T$210)</f>
        <v>32777.501188199152</v>
      </c>
      <c r="U168" s="45">
        <f>SUM('Statistics NZ'!U$168,$L$13/5*(U$8-U$9)*1000)*'Economic Forecasts'!W$9*1000000/SUM('Statistics NZ'!U$30:U$110,'Statistics NZ'!U$130:U$210,SUM($E$12:$T$13)*(U$8-U$9)*1000)</f>
        <v>32514.513811813293</v>
      </c>
      <c r="V168" s="45">
        <f>SUM('Statistics NZ'!V$168,$L$13/5*(V$8-V$9)*1000)*'Economic Forecasts'!X$9*1000000/SUM('Statistics NZ'!V$30:V$110,'Statistics NZ'!V$130:V$210,SUM($E$12:$T$13)*(V$8-V$9)*1000)</f>
        <v>31659.632063509216</v>
      </c>
      <c r="W168" s="45">
        <f>SUM('Statistics NZ'!W$168,$L$13/5*(W$8-W$9)*1000)*'Economic Forecasts'!Y$9*1000000/SUM('Statistics NZ'!W$30:W$110,'Statistics NZ'!W$130:W$210,SUM($E$12:$T$13)*(W$8-W$9)*1000)</f>
        <v>30922.887500934081</v>
      </c>
      <c r="X168" s="45">
        <f>SUM('Statistics NZ'!X$168,$L$13/5*(X$8-X$9)*1000)*'Economic Forecasts'!Z$9*1000000/SUM('Statistics NZ'!X$30:X$110,'Statistics NZ'!X$130:X$210,SUM($E$12:$T$13)*(X$8-X$9)*1000)</f>
        <v>29977.745336351112</v>
      </c>
      <c r="Y168" s="45">
        <f>SUM('Statistics NZ'!Y$168,$L$13/5*(Y$8-Y$9)*1000)*'Economic Forecasts'!AA$9*1000000/SUM('Statistics NZ'!Y$30:Y$110,'Statistics NZ'!Y$130:Y$210,SUM($E$12:$T$13)*(Y$8-Y$9)*1000)</f>
        <v>29868.705623435751</v>
      </c>
      <c r="Z168" s="46">
        <f>SUM(Y$168,'Statistics NZ'!Z$168-'Statistics NZ'!Y$168,$L$13/5*(Z$8-Z$9)*1000)</f>
        <v>30300.77391915903</v>
      </c>
      <c r="AA168" s="46">
        <f>SUM(Z$168,'Statistics NZ'!AA$168-'Statistics NZ'!Z$168,$L$13/5*(AA$8-AA$9)*1000)</f>
        <v>30092.014896592998</v>
      </c>
      <c r="AB168" s="46">
        <f>SUM(AA$168,'Statistics NZ'!AB$168-'Statistics NZ'!AA$168,$L$13/5*(AB$8-AB$9)*1000)</f>
        <v>31472.594019395518</v>
      </c>
      <c r="AC168" s="46">
        <f>SUM(AB$168,'Statistics NZ'!AC$168-'Statistics NZ'!AB$168,$L$13/5*(AC$8-AC$9)*1000)</f>
        <v>32642.594019395518</v>
      </c>
      <c r="AD168" s="46">
        <f>SUM(AC$168,'Statistics NZ'!AD$168-'Statistics NZ'!AC$168,$L$13/5*(AD$8-AD$9)*1000)</f>
        <v>33662.594019395518</v>
      </c>
      <c r="AE168" s="46">
        <f>SUM(AD$168,'Statistics NZ'!AE$168-'Statistics NZ'!AD$168,$L$13/5*(AE$8-AE$9)*1000)</f>
        <v>34642.594019395518</v>
      </c>
      <c r="AF168" s="46">
        <f>SUM(AE$168,'Statistics NZ'!AF$168-'Statistics NZ'!AE$168,$L$13/5*(AF$8-AF$9)*1000)</f>
        <v>36092.594019395518</v>
      </c>
      <c r="AG168" s="46">
        <f>SUM(AF$168,'Statistics NZ'!AG$168-'Statistics NZ'!AF$168,$L$13/5*(AG$8-AG$9)*1000)</f>
        <v>37132.594019395518</v>
      </c>
      <c r="AH168" s="46">
        <f>SUM(AG$168,'Statistics NZ'!AH$168-'Statistics NZ'!AG$168,$L$13/5*(AH$8-AH$9)*1000)</f>
        <v>37772.594019395518</v>
      </c>
      <c r="AI168" s="46">
        <f>SUM(AH$168,'Statistics NZ'!AI$168-'Statistics NZ'!AH$168,$L$13/5*(AI$8-AI$9)*1000)</f>
        <v>39002.594019395518</v>
      </c>
      <c r="AJ168" s="46">
        <f>SUM(AI$168,'Statistics NZ'!AJ$168-'Statistics NZ'!AI$168,$L$13/5*(AJ$8-AJ$9)*1000)</f>
        <v>41132.594019395518</v>
      </c>
      <c r="AK168" s="46">
        <f>SUM(AJ$168,'Statistics NZ'!AK$168-'Statistics NZ'!AJ$168,$L$13/5*(AK$8-AK$9)*1000)</f>
        <v>42402.594019395518</v>
      </c>
      <c r="AL168" s="46">
        <f>SUM(AK$168,'Statistics NZ'!AL$168-'Statistics NZ'!AK$168,$L$13/5*(AL$8-AL$9)*1000)</f>
        <v>43222.594019395518</v>
      </c>
      <c r="AM168" s="46">
        <f>SUM(AL$168,'Statistics NZ'!AM$168-'Statistics NZ'!AL$168,$L$13/5*(AM$8-AM$9)*1000)</f>
        <v>44992.594019395518</v>
      </c>
      <c r="AN168" s="46">
        <f>SUM(AM$168,'Statistics NZ'!AN$168-'Statistics NZ'!AM$168,$L$13/5*(AN$8-AN$9)*1000)</f>
        <v>45812.594019395518</v>
      </c>
      <c r="AO168" s="46">
        <f>SUM(AN$168,'Statistics NZ'!AO$168-'Statistics NZ'!AN$168,$L$13/5*(AO$8-AO$9)*1000)</f>
        <v>45812.594019395518</v>
      </c>
      <c r="AP168" s="46">
        <f>SUM(AO$168,'Statistics NZ'!AP$168-'Statistics NZ'!AO$168,$L$13/5*(AP$8-AP$9)*1000)</f>
        <v>44982.594019395518</v>
      </c>
      <c r="AQ168" s="46">
        <f>SUM(AP$168,'Statistics NZ'!AQ$168-'Statistics NZ'!AP$168,$L$13/5*(AQ$8-AQ$9)*1000)</f>
        <v>43902.594019395518</v>
      </c>
      <c r="AR168" s="46">
        <f>SUM(AQ$168,'Statistics NZ'!AR$168-'Statistics NZ'!AQ$168,$L$13/5*(AR$8-AR$9)*1000)</f>
        <v>43552.594019395518</v>
      </c>
      <c r="AS168" s="46">
        <f>SUM(AR$168,'Statistics NZ'!AS$168-'Statistics NZ'!AR$168,$L$13/5*(AS$8-AS$9)*1000)</f>
        <v>43092.594019395518</v>
      </c>
      <c r="AT168" s="46">
        <f>SUM(AS$168,'Statistics NZ'!AT$168-'Statistics NZ'!AS$168,$L$13/5*(AT$8-AT$9)*1000)</f>
        <v>41712.594019395518</v>
      </c>
      <c r="AU168" s="46">
        <f>SUM(AT$168,'Statistics NZ'!AU$168-'Statistics NZ'!AT$168,$L$13/5*(AU$8-AU$9)*1000)</f>
        <v>41572.594019395518</v>
      </c>
      <c r="AV168" s="46">
        <f>SUM(AU$168,'Statistics NZ'!AV$168-'Statistics NZ'!AU$168,$L$13/5*(AV$8-AV$9)*1000)</f>
        <v>40942.594019395518</v>
      </c>
      <c r="AW168" s="46">
        <f>SUM(AV$168,'Statistics NZ'!AW$168-'Statistics NZ'!AV$168,$L$13/5*(AW$8-AW$9)*1000)</f>
        <v>41942.594019395518</v>
      </c>
      <c r="AX168" s="46">
        <f>SUM(AW$168,'Statistics NZ'!AX$168-'Statistics NZ'!AW$168,$L$13/5*(AX$8-AX$9)*1000)</f>
        <v>41622.594019395518</v>
      </c>
      <c r="AY168" s="46">
        <f>SUM(AX$168,'Statistics NZ'!AY$168-'Statistics NZ'!AX$168,$L$13/5*(AY$8-AY$9)*1000)</f>
        <v>40942.594019395518</v>
      </c>
      <c r="AZ168" s="46">
        <f>SUM(AY$168,'Statistics NZ'!AZ$168-'Statistics NZ'!AY$168,$L$13/5*(AZ$8-AZ$9)*1000)</f>
        <v>41692.594019395518</v>
      </c>
      <c r="BA168" s="46">
        <f>SUM(AZ$168,'Statistics NZ'!BA$168-'Statistics NZ'!AZ$168,$L$13/5*(BA$8-BA$9)*1000)</f>
        <v>42722.594019395518</v>
      </c>
      <c r="BB168" s="46">
        <f>SUM(BA$168,'Statistics NZ'!BB$168-'Statistics NZ'!BA$168,$L$13/5*(BB$8-BB$9)*1000)</f>
        <v>43152.594019395518</v>
      </c>
      <c r="BC168" s="46">
        <f>SUM(BB$168,'Statistics NZ'!BC$168-'Statistics NZ'!BB$168,$L$13/5*(BC$8-BC$9)*1000)</f>
        <v>44112.594019395518</v>
      </c>
      <c r="BD168" s="46">
        <f>SUM(BC$168,'Statistics NZ'!BD$168-'Statistics NZ'!BC$168,$L$13/5*(BD$8-BD$9)*1000)</f>
        <v>46902.594019395518</v>
      </c>
      <c r="BE168" s="46">
        <f>SUM(BD$168,'Statistics NZ'!BE$168-'Statistics NZ'!BD$168,$L$13/5*(BE$8-BE$9)*1000)</f>
        <v>48692.594019395518</v>
      </c>
      <c r="BF168" s="46">
        <f>SUM(BE$168,'Statistics NZ'!BF$168-'Statistics NZ'!BE$168,$L$13/5*(BF$8-BF$9)*1000)</f>
        <v>48942.594019395518</v>
      </c>
      <c r="BG168" s="46">
        <f>SUM(BF$168,'Statistics NZ'!BG$168-'Statistics NZ'!BF$168,$L$13/5*(BG$8-BG$9)*1000)</f>
        <v>49602.594019395518</v>
      </c>
      <c r="BH168" s="46">
        <f>SUM(BG$168,'Statistics NZ'!BH$168-'Statistics NZ'!BG$168,$L$13/5*(BH$8-BH$9)*1000)</f>
        <v>49672.594019395518</v>
      </c>
      <c r="BI168" s="46">
        <f>SUM(BH$168,'Statistics NZ'!BI$168-'Statistics NZ'!BH$168,$L$13/5*(BI$8-BI$9)*1000)</f>
        <v>49712.594019395518</v>
      </c>
    </row>
    <row r="169" spans="1:61" x14ac:dyDescent="0.25">
      <c r="A169" s="11">
        <f>$A$69</f>
        <v>54</v>
      </c>
      <c r="B169" s="44">
        <f>'Statistics NZ'!B$169*'Economic Forecasts'!D$9*1000000/SUM('Statistics NZ'!B$30:B$110,'Statistics NZ'!B$130:B$210)</f>
        <v>24215.253676827488</v>
      </c>
      <c r="C169" s="44">
        <f>'Statistics NZ'!C$169*'Economic Forecasts'!E$9*1000000/SUM('Statistics NZ'!C$30:C$110,'Statistics NZ'!C$130:C$210)</f>
        <v>24461.814941066328</v>
      </c>
      <c r="D169" s="44">
        <f>'Statistics NZ'!D$169*'Economic Forecasts'!F$9*1000000/SUM('Statistics NZ'!D$30:D$110,'Statistics NZ'!D$130:D$210)</f>
        <v>25155.995410553351</v>
      </c>
      <c r="E169" s="44">
        <f>'Statistics NZ'!E$169*'Economic Forecasts'!G$9*1000000/SUM('Statistics NZ'!E$30:E$110,'Statistics NZ'!E$130:E$210)</f>
        <v>25664.978950091729</v>
      </c>
      <c r="F169" s="44">
        <f>'Statistics NZ'!F$169*'Economic Forecasts'!H$9*1000000/SUM('Statistics NZ'!F$30:F$110,'Statistics NZ'!F$130:F$210)</f>
        <v>26650.594769514104</v>
      </c>
      <c r="G169" s="44">
        <f>'Statistics NZ'!G$169*'Economic Forecasts'!I$9*1000000/SUM('Statistics NZ'!G$30:G$110,'Statistics NZ'!G$130:G$210)</f>
        <v>27208.248158790302</v>
      </c>
      <c r="H169" s="44">
        <f>'Statistics NZ'!H$169*'Economic Forecasts'!J$9*1000000/SUM('Statistics NZ'!H$30:H$110,'Statistics NZ'!H$130:H$210)</f>
        <v>27186.1544750541</v>
      </c>
      <c r="I169" s="44">
        <f>'Statistics NZ'!I$169*'Economic Forecasts'!K$9*1000000/SUM('Statistics NZ'!I$30:I$110,'Statistics NZ'!I$130:I$210)</f>
        <v>28459.721054761681</v>
      </c>
      <c r="J169" s="44">
        <f>'Statistics NZ'!J$169*'Economic Forecasts'!L$9*1000000/SUM('Statistics NZ'!J$30:J$110,'Statistics NZ'!J$130:J$210)</f>
        <v>28768.052619606406</v>
      </c>
      <c r="K169" s="44">
        <f>'Statistics NZ'!K$169*'Economic Forecasts'!M$9*1000000/SUM('Statistics NZ'!K$30:K$110,'Statistics NZ'!K$130:K$210)</f>
        <v>29851.248504015468</v>
      </c>
      <c r="L169" s="44">
        <f>'Statistics NZ'!L$169*'Economic Forecasts'!N$9*1000000/SUM('Statistics NZ'!L$30:L$110,'Statistics NZ'!L$130:L$210)</f>
        <v>30865.069626416076</v>
      </c>
      <c r="M169" s="44">
        <f>'Statistics NZ'!M$169*'Economic Forecasts'!O$9*1000000/SUM('Statistics NZ'!M$30:M$110,'Statistics NZ'!M$130:M$210)</f>
        <v>31243.097146306292</v>
      </c>
      <c r="N169" s="44">
        <f>'Statistics NZ'!N$169*'Economic Forecasts'!P$9*1000000/SUM('Statistics NZ'!N$30:N$110,'Statistics NZ'!N$130:N$210)</f>
        <v>31155.230720207175</v>
      </c>
      <c r="O169" s="44">
        <f>'Statistics NZ'!O$169*'Economic Forecasts'!Q$9*1000000/SUM('Statistics NZ'!O$30:O$110,'Statistics NZ'!O$130:O$210)</f>
        <v>30560.3364468285</v>
      </c>
      <c r="P169" s="44">
        <f>'Statistics NZ'!P$169*'Economic Forecasts'!R$9*1000000/SUM('Statistics NZ'!P$30:P$110,'Statistics NZ'!P$130:P$210)</f>
        <v>30311.714568976648</v>
      </c>
      <c r="Q169" s="44">
        <f>'Statistics NZ'!Q$169*'Economic Forecasts'!S$9*1000000/SUM('Statistics NZ'!Q$30:Q$110,'Statistics NZ'!Q$130:Q$210)</f>
        <v>30527.909004997244</v>
      </c>
      <c r="R169" s="44">
        <f>'Statistics NZ'!R$169*'Economic Forecasts'!T$9*1000000/SUM('Statistics NZ'!R$30:R$110,'Statistics NZ'!R$130:R$210)</f>
        <v>31019.290543165749</v>
      </c>
      <c r="S169" s="44">
        <f>'Statistics NZ'!S$169*'Economic Forecasts'!U$9*1000000/SUM('Statistics NZ'!S$30:S$110,'Statistics NZ'!S$130:S$210)</f>
        <v>31268.36582240777</v>
      </c>
      <c r="T169" s="44">
        <f>'Statistics NZ'!T$169*'Economic Forecasts'!V$9*1000000/SUM('Statistics NZ'!T$30:T$110,'Statistics NZ'!T$130:T$210)</f>
        <v>31488.99947835159</v>
      </c>
      <c r="U169" s="45">
        <f>SUM('Statistics NZ'!U$169,$L$13/5*(U$8-U$9)*1000)*'Economic Forecasts'!W$9*1000000/SUM('Statistics NZ'!U$30:U$110,'Statistics NZ'!U$130:U$210,SUM($E$12:$T$13)*(U$8-U$9)*1000)</f>
        <v>32603.658345967029</v>
      </c>
      <c r="V169" s="45">
        <f>SUM('Statistics NZ'!V$169,$L$13/5*(V$8-V$9)*1000)*'Economic Forecasts'!X$9*1000000/SUM('Statistics NZ'!V$30:V$110,'Statistics NZ'!V$130:V$210,SUM($E$12:$T$13)*(V$8-V$9)*1000)</f>
        <v>32362.590145787944</v>
      </c>
      <c r="W169" s="45">
        <f>SUM('Statistics NZ'!W$169,$L$13/5*(W$8-W$9)*1000)*'Economic Forecasts'!Y$9*1000000/SUM('Statistics NZ'!W$30:W$110,'Statistics NZ'!W$130:W$210,SUM($E$12:$T$13)*(W$8-W$9)*1000)</f>
        <v>31546.776227510323</v>
      </c>
      <c r="X169" s="45">
        <f>SUM('Statistics NZ'!X$169,$L$13/5*(X$8-X$9)*1000)*'Economic Forecasts'!Z$9*1000000/SUM('Statistics NZ'!X$30:X$110,'Statistics NZ'!X$130:X$210,SUM($E$12:$T$13)*(X$8-X$9)*1000)</f>
        <v>30819.692531361285</v>
      </c>
      <c r="Y169" s="45">
        <f>SUM('Statistics NZ'!Y$169,$L$13/5*(Y$8-Y$9)*1000)*'Economic Forecasts'!AA$9*1000000/SUM('Statistics NZ'!Y$30:Y$110,'Statistics NZ'!Y$130:Y$210,SUM($E$12:$T$13)*(Y$8-Y$9)*1000)</f>
        <v>29878.614524065331</v>
      </c>
      <c r="Z169" s="46">
        <f>SUM(Y$169,'Statistics NZ'!Z$169-'Statistics NZ'!Y$169,$L$13/5*(Z$8-Z$9)*1000)</f>
        <v>29770.68281978861</v>
      </c>
      <c r="AA169" s="46">
        <f>SUM(Z$169,'Statistics NZ'!AA$169-'Statistics NZ'!Z$169,$L$13/5*(AA$8-AA$9)*1000)</f>
        <v>30201.923797222578</v>
      </c>
      <c r="AB169" s="46">
        <f>SUM(AA$169,'Statistics NZ'!AB$169-'Statistics NZ'!AA$169,$L$13/5*(AB$8-AB$9)*1000)</f>
        <v>29992.502920025097</v>
      </c>
      <c r="AC169" s="46">
        <f>SUM(AB$169,'Statistics NZ'!AC$169-'Statistics NZ'!AB$169,$L$13/5*(AC$8-AC$9)*1000)</f>
        <v>31382.502920025097</v>
      </c>
      <c r="AD169" s="46">
        <f>SUM(AC$169,'Statistics NZ'!AD$169-'Statistics NZ'!AC$169,$L$13/5*(AD$8-AD$9)*1000)</f>
        <v>32542.502920025097</v>
      </c>
      <c r="AE169" s="46">
        <f>SUM(AD$169,'Statistics NZ'!AE$169-'Statistics NZ'!AD$169,$L$13/5*(AE$8-AE$9)*1000)</f>
        <v>33562.502920025101</v>
      </c>
      <c r="AF169" s="46">
        <f>SUM(AE$169,'Statistics NZ'!AF$169-'Statistics NZ'!AE$169,$L$13/5*(AF$8-AF$9)*1000)</f>
        <v>34542.502920025101</v>
      </c>
      <c r="AG169" s="46">
        <f>SUM(AF$169,'Statistics NZ'!AG$169-'Statistics NZ'!AF$169,$L$13/5*(AG$8-AG$9)*1000)</f>
        <v>35992.502920025101</v>
      </c>
      <c r="AH169" s="46">
        <f>SUM(AG$169,'Statistics NZ'!AH$169-'Statistics NZ'!AG$169,$L$13/5*(AH$8-AH$9)*1000)</f>
        <v>37042.502920025101</v>
      </c>
      <c r="AI169" s="46">
        <f>SUM(AH$169,'Statistics NZ'!AI$169-'Statistics NZ'!AH$169,$L$13/5*(AI$8-AI$9)*1000)</f>
        <v>37672.502920025101</v>
      </c>
      <c r="AJ169" s="46">
        <f>SUM(AI$169,'Statistics NZ'!AJ$169-'Statistics NZ'!AI$169,$L$13/5*(AJ$8-AJ$9)*1000)</f>
        <v>38902.502920025101</v>
      </c>
      <c r="AK169" s="46">
        <f>SUM(AJ$169,'Statistics NZ'!AK$169-'Statistics NZ'!AJ$169,$L$13/5*(AK$8-AK$9)*1000)</f>
        <v>41032.502920025101</v>
      </c>
      <c r="AL169" s="46">
        <f>SUM(AK$169,'Statistics NZ'!AL$169-'Statistics NZ'!AK$169,$L$13/5*(AL$8-AL$9)*1000)</f>
        <v>42302.502920025101</v>
      </c>
      <c r="AM169" s="46">
        <f>SUM(AL$169,'Statistics NZ'!AM$169-'Statistics NZ'!AL$169,$L$13/5*(AM$8-AM$9)*1000)</f>
        <v>43122.502920025101</v>
      </c>
      <c r="AN169" s="46">
        <f>SUM(AM$169,'Statistics NZ'!AN$169-'Statistics NZ'!AM$169,$L$13/5*(AN$8-AN$9)*1000)</f>
        <v>44892.502920025101</v>
      </c>
      <c r="AO169" s="46">
        <f>SUM(AN$169,'Statistics NZ'!AO$169-'Statistics NZ'!AN$169,$L$13/5*(AO$8-AO$9)*1000)</f>
        <v>45712.502920025101</v>
      </c>
      <c r="AP169" s="46">
        <f>SUM(AO$169,'Statistics NZ'!AP$169-'Statistics NZ'!AO$169,$L$13/5*(AP$8-AP$9)*1000)</f>
        <v>45712.502920025101</v>
      </c>
      <c r="AQ169" s="46">
        <f>SUM(AP$169,'Statistics NZ'!AQ$169-'Statistics NZ'!AP$169,$L$13/5*(AQ$8-AQ$9)*1000)</f>
        <v>44892.502920025101</v>
      </c>
      <c r="AR169" s="46">
        <f>SUM(AQ$169,'Statistics NZ'!AR$169-'Statistics NZ'!AQ$169,$L$13/5*(AR$8-AR$9)*1000)</f>
        <v>43822.502920025101</v>
      </c>
      <c r="AS169" s="46">
        <f>SUM(AR$169,'Statistics NZ'!AS$169-'Statistics NZ'!AR$169,$L$13/5*(AS$8-AS$9)*1000)</f>
        <v>43472.502920025101</v>
      </c>
      <c r="AT169" s="46">
        <f>SUM(AS$169,'Statistics NZ'!AT$169-'Statistics NZ'!AS$169,$L$13/5*(AT$8-AT$9)*1000)</f>
        <v>43012.502920025101</v>
      </c>
      <c r="AU169" s="46">
        <f>SUM(AT$169,'Statistics NZ'!AU$169-'Statistics NZ'!AT$169,$L$13/5*(AU$8-AU$9)*1000)</f>
        <v>41632.502920025101</v>
      </c>
      <c r="AV169" s="46">
        <f>SUM(AU$169,'Statistics NZ'!AV$169-'Statistics NZ'!AU$169,$L$13/5*(AV$8-AV$9)*1000)</f>
        <v>41502.502920025101</v>
      </c>
      <c r="AW169" s="46">
        <f>SUM(AV$169,'Statistics NZ'!AW$169-'Statistics NZ'!AV$169,$L$13/5*(AW$8-AW$9)*1000)</f>
        <v>40872.502920025101</v>
      </c>
      <c r="AX169" s="46">
        <f>SUM(AW$169,'Statistics NZ'!AX$169-'Statistics NZ'!AW$169,$L$13/5*(AX$8-AX$9)*1000)</f>
        <v>41872.502920025101</v>
      </c>
      <c r="AY169" s="46">
        <f>SUM(AX$169,'Statistics NZ'!AY$169-'Statistics NZ'!AX$169,$L$13/5*(AY$8-AY$9)*1000)</f>
        <v>41562.502920025101</v>
      </c>
      <c r="AZ169" s="46">
        <f>SUM(AY$169,'Statistics NZ'!AZ$169-'Statistics NZ'!AY$169,$L$13/5*(AZ$8-AZ$9)*1000)</f>
        <v>40882.502920025101</v>
      </c>
      <c r="BA169" s="46">
        <f>SUM(AZ$169,'Statistics NZ'!BA$169-'Statistics NZ'!AZ$169,$L$13/5*(BA$8-BA$9)*1000)</f>
        <v>41632.502920025101</v>
      </c>
      <c r="BB169" s="46">
        <f>SUM(BA$169,'Statistics NZ'!BB$169-'Statistics NZ'!BA$169,$L$13/5*(BB$8-BB$9)*1000)</f>
        <v>42662.502920025101</v>
      </c>
      <c r="BC169" s="46">
        <f>SUM(BB$169,'Statistics NZ'!BC$169-'Statistics NZ'!BB$169,$L$13/5*(BC$8-BC$9)*1000)</f>
        <v>43092.502920025101</v>
      </c>
      <c r="BD169" s="46">
        <f>SUM(BC$169,'Statistics NZ'!BD$169-'Statistics NZ'!BC$169,$L$13/5*(BD$8-BD$9)*1000)</f>
        <v>44052.502920025101</v>
      </c>
      <c r="BE169" s="46">
        <f>SUM(BD$169,'Statistics NZ'!BE$169-'Statistics NZ'!BD$169,$L$13/5*(BE$8-BE$9)*1000)</f>
        <v>46832.502920025101</v>
      </c>
      <c r="BF169" s="46">
        <f>SUM(BE$169,'Statistics NZ'!BF$169-'Statistics NZ'!BE$169,$L$13/5*(BF$8-BF$9)*1000)</f>
        <v>48632.502920025101</v>
      </c>
      <c r="BG169" s="46">
        <f>SUM(BF$169,'Statistics NZ'!BG$169-'Statistics NZ'!BF$169,$L$13/5*(BG$8-BG$9)*1000)</f>
        <v>48882.502920025101</v>
      </c>
      <c r="BH169" s="46">
        <f>SUM(BG$169,'Statistics NZ'!BH$169-'Statistics NZ'!BG$169,$L$13/5*(BH$8-BH$9)*1000)</f>
        <v>49542.502920025101</v>
      </c>
      <c r="BI169" s="46">
        <f>SUM(BH$169,'Statistics NZ'!BI$169-'Statistics NZ'!BH$169,$L$13/5*(BI$8-BI$9)*1000)</f>
        <v>49612.502920025101</v>
      </c>
    </row>
    <row r="170" spans="1:61" x14ac:dyDescent="0.25">
      <c r="A170" s="11">
        <f>$A$70</f>
        <v>55</v>
      </c>
      <c r="B170" s="44">
        <f>'Statistics NZ'!B$170*'Economic Forecasts'!D$9*1000000/SUM('Statistics NZ'!B$30:B$110,'Statistics NZ'!B$130:B$210)</f>
        <v>23638.001164935442</v>
      </c>
      <c r="C170" s="44">
        <f>'Statistics NZ'!C$170*'Economic Forecasts'!E$9*1000000/SUM('Statistics NZ'!C$30:C$110,'Statistics NZ'!C$130:C$210)</f>
        <v>24147.572436805338</v>
      </c>
      <c r="D170" s="44">
        <f>'Statistics NZ'!D$170*'Economic Forecasts'!F$9*1000000/SUM('Statistics NZ'!D$30:D$110,'Statistics NZ'!D$130:D$210)</f>
        <v>24271.950277031367</v>
      </c>
      <c r="E170" s="44">
        <f>'Statistics NZ'!E$170*'Economic Forecasts'!G$9*1000000/SUM('Statistics NZ'!E$30:E$110,'Statistics NZ'!E$130:E$210)</f>
        <v>25037.329483983252</v>
      </c>
      <c r="F170" s="44">
        <f>'Statistics NZ'!F$170*'Economic Forecasts'!H$9*1000000/SUM('Statistics NZ'!F$30:F$110,'Statistics NZ'!F$130:F$210)</f>
        <v>25532.38799596806</v>
      </c>
      <c r="G170" s="44">
        <f>'Statistics NZ'!G$170*'Economic Forecasts'!I$9*1000000/SUM('Statistics NZ'!G$30:G$110,'Statistics NZ'!G$130:G$210)</f>
        <v>26481.38521158796</v>
      </c>
      <c r="H170" s="44">
        <f>'Statistics NZ'!H$170*'Economic Forecasts'!J$9*1000000/SUM('Statistics NZ'!H$30:H$110,'Statistics NZ'!H$130:H$210)</f>
        <v>27038.777417907073</v>
      </c>
      <c r="I170" s="44">
        <f>'Statistics NZ'!I$170*'Economic Forecasts'!K$9*1000000/SUM('Statistics NZ'!I$30:I$110,'Statistics NZ'!I$130:I$210)</f>
        <v>26989.187758787088</v>
      </c>
      <c r="J170" s="44">
        <f>'Statistics NZ'!J$170*'Economic Forecasts'!L$9*1000000/SUM('Statistics NZ'!J$30:J$110,'Statistics NZ'!J$130:J$210)</f>
        <v>28348.721683117234</v>
      </c>
      <c r="K170" s="44">
        <f>'Statistics NZ'!K$170*'Economic Forecasts'!M$9*1000000/SUM('Statistics NZ'!K$30:K$110,'Statistics NZ'!K$130:K$210)</f>
        <v>28858.154131083444</v>
      </c>
      <c r="L170" s="44">
        <f>'Statistics NZ'!L$170*'Economic Forecasts'!N$9*1000000/SUM('Statistics NZ'!L$30:L$110,'Statistics NZ'!L$130:L$210)</f>
        <v>29901.14473902958</v>
      </c>
      <c r="M170" s="44">
        <f>'Statistics NZ'!M$170*'Economic Forecasts'!O$9*1000000/SUM('Statistics NZ'!M$30:M$110,'Statistics NZ'!M$130:M$210)</f>
        <v>31037.936095626981</v>
      </c>
      <c r="N170" s="44">
        <f>'Statistics NZ'!N$170*'Economic Forecasts'!P$9*1000000/SUM('Statistics NZ'!N$30:N$110,'Statistics NZ'!N$130:N$210)</f>
        <v>31419.423945535564</v>
      </c>
      <c r="O170" s="44">
        <f>'Statistics NZ'!O$170*'Economic Forecasts'!Q$9*1000000/SUM('Statistics NZ'!O$30:O$110,'Statistics NZ'!O$130:O$210)</f>
        <v>31199.468322325229</v>
      </c>
      <c r="P170" s="44">
        <f>'Statistics NZ'!P$170*'Economic Forecasts'!R$9*1000000/SUM('Statistics NZ'!P$30:P$110,'Statistics NZ'!P$130:P$210)</f>
        <v>30616.305541955018</v>
      </c>
      <c r="Q170" s="44">
        <f>'Statistics NZ'!Q$170*'Economic Forecasts'!S$9*1000000/SUM('Statistics NZ'!Q$30:Q$110,'Statistics NZ'!Q$130:Q$210)</f>
        <v>30478.237822105937</v>
      </c>
      <c r="R170" s="44">
        <f>'Statistics NZ'!R$170*'Economic Forecasts'!T$9*1000000/SUM('Statistics NZ'!R$30:R$110,'Statistics NZ'!R$130:R$210)</f>
        <v>30322.227834330566</v>
      </c>
      <c r="S170" s="44">
        <f>'Statistics NZ'!S$170*'Economic Forecasts'!U$9*1000000/SUM('Statistics NZ'!S$30:S$110,'Statistics NZ'!S$130:S$210)</f>
        <v>30482.481667273423</v>
      </c>
      <c r="T170" s="44">
        <f>'Statistics NZ'!T$170*'Economic Forecasts'!V$9*1000000/SUM('Statistics NZ'!T$30:T$110,'Statistics NZ'!T$130:T$210)</f>
        <v>31350.237755752623</v>
      </c>
      <c r="U170" s="45">
        <f>SUM('Statistics NZ'!U$170,$M$13/5*(U$8-U$9)*1000)*'Economic Forecasts'!W$9*1000000/SUM('Statistics NZ'!U$30:U$110,'Statistics NZ'!U$130:U$210,SUM($E$12:$T$13)*(U$8-U$9)*1000)</f>
        <v>31336.523702013736</v>
      </c>
      <c r="V170" s="45">
        <f>SUM('Statistics NZ'!V$170,$M$13/5*(V$8-V$9)*1000)*'Economic Forecasts'!X$9*1000000/SUM('Statistics NZ'!V$30:V$110,'Statistics NZ'!V$130:V$210,SUM($E$12:$T$13)*(V$8-V$9)*1000)</f>
        <v>32462.323288722648</v>
      </c>
      <c r="W170" s="45">
        <f>SUM('Statistics NZ'!W$170,$M$13/5*(W$8-W$9)*1000)*'Economic Forecasts'!Y$9*1000000/SUM('Statistics NZ'!W$30:W$110,'Statistics NZ'!W$130:W$210,SUM($E$12:$T$13)*(W$8-W$9)*1000)</f>
        <v>32250.507925764759</v>
      </c>
      <c r="X170" s="45">
        <f>SUM('Statistics NZ'!X$170,$M$13/5*(X$8-X$9)*1000)*'Economic Forecasts'!Z$9*1000000/SUM('Statistics NZ'!X$30:X$110,'Statistics NZ'!X$130:X$210,SUM($E$12:$T$13)*(X$8-X$9)*1000)</f>
        <v>31444.201610242057</v>
      </c>
      <c r="Y170" s="45">
        <f>SUM('Statistics NZ'!Y$170,$M$13/5*(Y$8-Y$9)*1000)*'Economic Forecasts'!AA$9*1000000/SUM('Statistics NZ'!Y$30:Y$110,'Statistics NZ'!Y$130:Y$210,SUM($E$12:$T$13)*(Y$8-Y$9)*1000)</f>
        <v>30721.225006436907</v>
      </c>
      <c r="Z170" s="46">
        <f>SUM(Y$170,'Statistics NZ'!Z$170-'Statistics NZ'!Y$170,$M$13/5*(Z$8-Z$9)*1000)</f>
        <v>29783.516541391422</v>
      </c>
      <c r="AA170" s="46">
        <f>SUM(Z$170,'Statistics NZ'!AA$170-'Statistics NZ'!Z$170,$M$13/5*(AA$8-AA$9)*1000)</f>
        <v>29674.891462364132</v>
      </c>
      <c r="AB170" s="46">
        <f>SUM(AA$170,'Statistics NZ'!AB$170-'Statistics NZ'!AA$170,$M$13/5*(AB$8-AB$9)*1000)</f>
        <v>30115.533092151396</v>
      </c>
      <c r="AC170" s="46">
        <f>SUM(AB$170,'Statistics NZ'!AC$170-'Statistics NZ'!AB$170,$M$13/5*(AC$8-AC$9)*1000)</f>
        <v>29905.533092151396</v>
      </c>
      <c r="AD170" s="46">
        <f>SUM(AC$170,'Statistics NZ'!AD$170-'Statistics NZ'!AC$170,$M$13/5*(AD$8-AD$9)*1000)</f>
        <v>31285.533092151396</v>
      </c>
      <c r="AE170" s="46">
        <f>SUM(AD$170,'Statistics NZ'!AE$170-'Statistics NZ'!AD$170,$M$13/5*(AE$8-AE$9)*1000)</f>
        <v>32455.533092151396</v>
      </c>
      <c r="AF170" s="46">
        <f>SUM(AE$170,'Statistics NZ'!AF$170-'Statistics NZ'!AE$170,$M$13/5*(AF$8-AF$9)*1000)</f>
        <v>33475.533092151396</v>
      </c>
      <c r="AG170" s="46">
        <f>SUM(AF$170,'Statistics NZ'!AG$170-'Statistics NZ'!AF$170,$M$13/5*(AG$8-AG$9)*1000)</f>
        <v>34455.533092151396</v>
      </c>
      <c r="AH170" s="46">
        <f>SUM(AG$170,'Statistics NZ'!AH$170-'Statistics NZ'!AG$170,$M$13/5*(AH$8-AH$9)*1000)</f>
        <v>35905.533092151396</v>
      </c>
      <c r="AI170" s="46">
        <f>SUM(AH$170,'Statistics NZ'!AI$170-'Statistics NZ'!AH$170,$M$13/5*(AI$8-AI$9)*1000)</f>
        <v>36945.533092151396</v>
      </c>
      <c r="AJ170" s="46">
        <f>SUM(AI$170,'Statistics NZ'!AJ$170-'Statistics NZ'!AI$170,$M$13/5*(AJ$8-AJ$9)*1000)</f>
        <v>37585.533092151396</v>
      </c>
      <c r="AK170" s="46">
        <f>SUM(AJ$170,'Statistics NZ'!AK$170-'Statistics NZ'!AJ$170,$M$13/5*(AK$8-AK$9)*1000)</f>
        <v>38805.533092151396</v>
      </c>
      <c r="AL170" s="46">
        <f>SUM(AK$170,'Statistics NZ'!AL$170-'Statistics NZ'!AK$170,$M$13/5*(AL$8-AL$9)*1000)</f>
        <v>40935.533092151396</v>
      </c>
      <c r="AM170" s="46">
        <f>SUM(AL$170,'Statistics NZ'!AM$170-'Statistics NZ'!AL$170,$M$13/5*(AM$8-AM$9)*1000)</f>
        <v>42205.533092151396</v>
      </c>
      <c r="AN170" s="46">
        <f>SUM(AM$170,'Statistics NZ'!AN$170-'Statistics NZ'!AM$170,$M$13/5*(AN$8-AN$9)*1000)</f>
        <v>43025.533092151396</v>
      </c>
      <c r="AO170" s="46">
        <f>SUM(AN$170,'Statistics NZ'!AO$170-'Statistics NZ'!AN$170,$M$13/5*(AO$8-AO$9)*1000)</f>
        <v>44795.533092151396</v>
      </c>
      <c r="AP170" s="46">
        <f>SUM(AO$170,'Statistics NZ'!AP$170-'Statistics NZ'!AO$170,$M$13/5*(AP$8-AP$9)*1000)</f>
        <v>45605.533092151396</v>
      </c>
      <c r="AQ170" s="46">
        <f>SUM(AP$170,'Statistics NZ'!AQ$170-'Statistics NZ'!AP$170,$M$13/5*(AQ$8-AQ$9)*1000)</f>
        <v>45615.533092151396</v>
      </c>
      <c r="AR170" s="46">
        <f>SUM(AQ$170,'Statistics NZ'!AR$170-'Statistics NZ'!AQ$170,$M$13/5*(AR$8-AR$9)*1000)</f>
        <v>44795.533092151396</v>
      </c>
      <c r="AS170" s="46">
        <f>SUM(AR$170,'Statistics NZ'!AS$170-'Statistics NZ'!AR$170,$M$13/5*(AS$8-AS$9)*1000)</f>
        <v>43735.533092151396</v>
      </c>
      <c r="AT170" s="46">
        <f>SUM(AS$170,'Statistics NZ'!AT$170-'Statistics NZ'!AS$170,$M$13/5*(AT$8-AT$9)*1000)</f>
        <v>43385.533092151396</v>
      </c>
      <c r="AU170" s="46">
        <f>SUM(AT$170,'Statistics NZ'!AU$170-'Statistics NZ'!AT$170,$M$13/5*(AU$8-AU$9)*1000)</f>
        <v>42935.533092151396</v>
      </c>
      <c r="AV170" s="46">
        <f>SUM(AU$170,'Statistics NZ'!AV$170-'Statistics NZ'!AU$170,$M$13/5*(AV$8-AV$9)*1000)</f>
        <v>41565.533092151396</v>
      </c>
      <c r="AW170" s="46">
        <f>SUM(AV$170,'Statistics NZ'!AW$170-'Statistics NZ'!AV$170,$M$13/5*(AW$8-AW$9)*1000)</f>
        <v>41425.533092151396</v>
      </c>
      <c r="AX170" s="46">
        <f>SUM(AW$170,'Statistics NZ'!AX$170-'Statistics NZ'!AW$170,$M$13/5*(AX$8-AX$9)*1000)</f>
        <v>40805.533092151396</v>
      </c>
      <c r="AY170" s="46">
        <f>SUM(AX$170,'Statistics NZ'!AY$170-'Statistics NZ'!AX$170,$M$13/5*(AY$8-AY$9)*1000)</f>
        <v>41805.533092151396</v>
      </c>
      <c r="AZ170" s="46">
        <f>SUM(AY$170,'Statistics NZ'!AZ$170-'Statistics NZ'!AY$170,$M$13/5*(AZ$8-AZ$9)*1000)</f>
        <v>41495.533092151396</v>
      </c>
      <c r="BA170" s="46">
        <f>SUM(AZ$170,'Statistics NZ'!BA$170-'Statistics NZ'!AZ$170,$M$13/5*(BA$8-BA$9)*1000)</f>
        <v>40815.533092151396</v>
      </c>
      <c r="BB170" s="46">
        <f>SUM(BA$170,'Statistics NZ'!BB$170-'Statistics NZ'!BA$170,$M$13/5*(BB$8-BB$9)*1000)</f>
        <v>41565.533092151396</v>
      </c>
      <c r="BC170" s="46">
        <f>SUM(BB$170,'Statistics NZ'!BC$170-'Statistics NZ'!BB$170,$M$13/5*(BC$8-BC$9)*1000)</f>
        <v>42605.533092151396</v>
      </c>
      <c r="BD170" s="46">
        <f>SUM(BC$170,'Statistics NZ'!BD$170-'Statistics NZ'!BC$170,$M$13/5*(BD$8-BD$9)*1000)</f>
        <v>43035.533092151396</v>
      </c>
      <c r="BE170" s="46">
        <f>SUM(BD$170,'Statistics NZ'!BE$170-'Statistics NZ'!BD$170,$M$13/5*(BE$8-BE$9)*1000)</f>
        <v>43995.533092151396</v>
      </c>
      <c r="BF170" s="46">
        <f>SUM(BE$170,'Statistics NZ'!BF$170-'Statistics NZ'!BE$170,$M$13/5*(BF$8-BF$9)*1000)</f>
        <v>46775.533092151396</v>
      </c>
      <c r="BG170" s="46">
        <f>SUM(BF$170,'Statistics NZ'!BG$170-'Statistics NZ'!BF$170,$M$13/5*(BG$8-BG$9)*1000)</f>
        <v>48575.533092151396</v>
      </c>
      <c r="BH170" s="46">
        <f>SUM(BG$170,'Statistics NZ'!BH$170-'Statistics NZ'!BG$170,$M$13/5*(BH$8-BH$9)*1000)</f>
        <v>48825.533092151396</v>
      </c>
      <c r="BI170" s="46">
        <f>SUM(BH$170,'Statistics NZ'!BI$170-'Statistics NZ'!BH$170,$M$13/5*(BI$8-BI$9)*1000)</f>
        <v>49485.533092151396</v>
      </c>
    </row>
    <row r="171" spans="1:61" x14ac:dyDescent="0.25">
      <c r="A171" s="11">
        <f>$A$71</f>
        <v>56</v>
      </c>
      <c r="B171" s="44">
        <f>'Statistics NZ'!B$171*'Economic Forecasts'!D$9*1000000/SUM('Statistics NZ'!B$30:B$110,'Statistics NZ'!B$130:B$210)</f>
        <v>23657.569046694491</v>
      </c>
      <c r="C171" s="44">
        <f>'Statistics NZ'!C$171*'Economic Forecasts'!E$9*1000000/SUM('Statistics NZ'!C$30:C$110,'Statistics NZ'!C$130:C$210)</f>
        <v>23666.388602155697</v>
      </c>
      <c r="D171" s="44">
        <f>'Statistics NZ'!D$171*'Economic Forecasts'!F$9*1000000/SUM('Statistics NZ'!D$30:D$110,'Statistics NZ'!D$130:D$210)</f>
        <v>24016.559460680568</v>
      </c>
      <c r="E171" s="44">
        <f>'Statistics NZ'!E$171*'Economic Forecasts'!G$9*1000000/SUM('Statistics NZ'!E$30:E$110,'Statistics NZ'!E$130:E$210)</f>
        <v>24095.855284820551</v>
      </c>
      <c r="F171" s="44">
        <f>'Statistics NZ'!F$171*'Economic Forecasts'!H$9*1000000/SUM('Statistics NZ'!F$30:F$110,'Statistics NZ'!F$130:F$210)</f>
        <v>24924.240452460559</v>
      </c>
      <c r="G171" s="44">
        <f>'Statistics NZ'!G$171*'Economic Forecasts'!I$9*1000000/SUM('Statistics NZ'!G$30:G$110,'Statistics NZ'!G$130:G$210)</f>
        <v>25410.735735303431</v>
      </c>
      <c r="H171" s="44">
        <f>'Statistics NZ'!H$171*'Economic Forecasts'!J$9*1000000/SUM('Statistics NZ'!H$30:H$110,'Statistics NZ'!H$130:H$210)</f>
        <v>26292.066995028828</v>
      </c>
      <c r="I171" s="44">
        <f>'Statistics NZ'!I$171*'Economic Forecasts'!K$9*1000000/SUM('Statistics NZ'!I$30:I$110,'Statistics NZ'!I$130:I$210)</f>
        <v>26842.134429189631</v>
      </c>
      <c r="J171" s="44">
        <f>'Statistics NZ'!J$171*'Economic Forecasts'!L$9*1000000/SUM('Statistics NZ'!J$30:J$110,'Statistics NZ'!J$130:J$210)</f>
        <v>26905.443111014945</v>
      </c>
      <c r="K171" s="44">
        <f>'Statistics NZ'!K$171*'Economic Forecasts'!M$9*1000000/SUM('Statistics NZ'!K$30:K$110,'Statistics NZ'!K$130:K$210)</f>
        <v>28381.079383302374</v>
      </c>
      <c r="L171" s="44">
        <f>'Statistics NZ'!L$171*'Economic Forecasts'!N$9*1000000/SUM('Statistics NZ'!L$30:L$110,'Statistics NZ'!L$130:L$210)</f>
        <v>28946.95646666719</v>
      </c>
      <c r="M171" s="44">
        <f>'Statistics NZ'!M$171*'Economic Forecasts'!O$9*1000000/SUM('Statistics NZ'!M$30:M$110,'Statistics NZ'!M$130:M$210)</f>
        <v>30021.900416072309</v>
      </c>
      <c r="N171" s="44">
        <f>'Statistics NZ'!N$171*'Economic Forecasts'!P$9*1000000/SUM('Statistics NZ'!N$30:N$110,'Statistics NZ'!N$130:N$210)</f>
        <v>31125.87591739291</v>
      </c>
      <c r="O171" s="44">
        <f>'Statistics NZ'!O$171*'Economic Forecasts'!Q$9*1000000/SUM('Statistics NZ'!O$30:O$110,'Statistics NZ'!O$130:O$210)</f>
        <v>31435.455476354797</v>
      </c>
      <c r="P171" s="44">
        <f>'Statistics NZ'!P$171*'Economic Forecasts'!R$9*1000000/SUM('Statistics NZ'!P$30:P$110,'Statistics NZ'!P$130:P$210)</f>
        <v>31215.661972654394</v>
      </c>
      <c r="Q171" s="44">
        <f>'Statistics NZ'!Q$171*'Economic Forecasts'!S$9*1000000/SUM('Statistics NZ'!Q$30:Q$110,'Statistics NZ'!Q$130:Q$210)</f>
        <v>30736.527973140732</v>
      </c>
      <c r="R171" s="44">
        <f>'Statistics NZ'!R$171*'Economic Forecasts'!T$9*1000000/SUM('Statistics NZ'!R$30:R$110,'Statistics NZ'!R$130:R$210)</f>
        <v>30222.647447354109</v>
      </c>
      <c r="S171" s="44">
        <f>'Statistics NZ'!S$171*'Economic Forecasts'!U$9*1000000/SUM('Statistics NZ'!S$30:S$110,'Statistics NZ'!S$130:S$210)</f>
        <v>29706.421064078258</v>
      </c>
      <c r="T171" s="44">
        <f>'Statistics NZ'!T$171*'Economic Forecasts'!V$9*1000000/SUM('Statistics NZ'!T$30:T$110,'Statistics NZ'!T$130:T$210)</f>
        <v>30517.667420158814</v>
      </c>
      <c r="U171" s="45">
        <f>SUM('Statistics NZ'!U$171,$M$13/5*(U$8-U$9)*1000)*'Economic Forecasts'!W$9*1000000/SUM('Statistics NZ'!U$30:U$110,'Statistics NZ'!U$130:U$210,SUM($E$12:$T$13)*(U$8-U$9)*1000)</f>
        <v>31197.854426663485</v>
      </c>
      <c r="V171" s="45">
        <f>SUM('Statistics NZ'!V$171,$M$13/5*(V$8-V$9)*1000)*'Economic Forecasts'!X$9*1000000/SUM('Statistics NZ'!V$30:V$110,'Statistics NZ'!V$130:V$210,SUM($E$12:$T$13)*(V$8-V$9)*1000)</f>
        <v>31195.018577008872</v>
      </c>
      <c r="W171" s="45">
        <f>SUM('Statistics NZ'!W$171,$M$13/5*(W$8-W$9)*1000)*'Economic Forecasts'!Y$9*1000000/SUM('Statistics NZ'!W$30:W$110,'Statistics NZ'!W$130:W$210,SUM($E$12:$T$13)*(W$8-W$9)*1000)</f>
        <v>32349.537882364166</v>
      </c>
      <c r="X171" s="45">
        <f>SUM('Statistics NZ'!X$171,$M$13/5*(X$8-X$9)*1000)*'Economic Forecasts'!Z$9*1000000/SUM('Statistics NZ'!X$30:X$110,'Statistics NZ'!X$130:X$210,SUM($E$12:$T$13)*(X$8-X$9)*1000)</f>
        <v>32147.475149603491</v>
      </c>
      <c r="Y171" s="45">
        <f>SUM('Statistics NZ'!Y$171,$M$13/5*(Y$8-Y$9)*1000)*'Economic Forecasts'!AA$9*1000000/SUM('Statistics NZ'!Y$30:Y$110,'Statistics NZ'!Y$130:Y$210,SUM($E$12:$T$13)*(Y$8-Y$9)*1000)</f>
        <v>31355.39464672991</v>
      </c>
      <c r="Z171" s="46">
        <f>SUM(Y$171,'Statistics NZ'!Z$171-'Statistics NZ'!Y$171,$M$13/5*(Z$8-Z$9)*1000)</f>
        <v>30627.686181684425</v>
      </c>
      <c r="AA171" s="46">
        <f>SUM(Z$171,'Statistics NZ'!AA$171-'Statistics NZ'!Z$171,$M$13/5*(AA$8-AA$9)*1000)</f>
        <v>29689.061102657135</v>
      </c>
      <c r="AB171" s="46">
        <f>SUM(AA$171,'Statistics NZ'!AB$171-'Statistics NZ'!AA$171,$M$13/5*(AB$8-AB$9)*1000)</f>
        <v>29589.702732444399</v>
      </c>
      <c r="AC171" s="46">
        <f>SUM(AB$171,'Statistics NZ'!AC$171-'Statistics NZ'!AB$171,$M$13/5*(AC$8-AC$9)*1000)</f>
        <v>30029.702732444399</v>
      </c>
      <c r="AD171" s="46">
        <f>SUM(AC$171,'Statistics NZ'!AD$171-'Statistics NZ'!AC$171,$M$13/5*(AD$8-AD$9)*1000)</f>
        <v>29819.702732444399</v>
      </c>
      <c r="AE171" s="46">
        <f>SUM(AD$171,'Statistics NZ'!AE$171-'Statistics NZ'!AD$171,$M$13/5*(AE$8-AE$9)*1000)</f>
        <v>31199.702732444399</v>
      </c>
      <c r="AF171" s="46">
        <f>SUM(AE$171,'Statistics NZ'!AF$171-'Statistics NZ'!AE$171,$M$13/5*(AF$8-AF$9)*1000)</f>
        <v>32369.702732444399</v>
      </c>
      <c r="AG171" s="46">
        <f>SUM(AF$171,'Statistics NZ'!AG$171-'Statistics NZ'!AF$171,$M$13/5*(AG$8-AG$9)*1000)</f>
        <v>33389.702732444399</v>
      </c>
      <c r="AH171" s="46">
        <f>SUM(AG$171,'Statistics NZ'!AH$171-'Statistics NZ'!AG$171,$M$13/5*(AH$8-AH$9)*1000)</f>
        <v>34369.702732444399</v>
      </c>
      <c r="AI171" s="46">
        <f>SUM(AH$171,'Statistics NZ'!AI$171-'Statistics NZ'!AH$171,$M$13/5*(AI$8-AI$9)*1000)</f>
        <v>35809.702732444399</v>
      </c>
      <c r="AJ171" s="46">
        <f>SUM(AI$171,'Statistics NZ'!AJ$171-'Statistics NZ'!AI$171,$M$13/5*(AJ$8-AJ$9)*1000)</f>
        <v>36849.702732444399</v>
      </c>
      <c r="AK171" s="46">
        <f>SUM(AJ$171,'Statistics NZ'!AK$171-'Statistics NZ'!AJ$171,$M$13/5*(AK$8-AK$9)*1000)</f>
        <v>37489.702732444399</v>
      </c>
      <c r="AL171" s="46">
        <f>SUM(AK$171,'Statistics NZ'!AL$171-'Statistics NZ'!AK$171,$M$13/5*(AL$8-AL$9)*1000)</f>
        <v>38719.702732444399</v>
      </c>
      <c r="AM171" s="46">
        <f>SUM(AL$171,'Statistics NZ'!AM$171-'Statistics NZ'!AL$171,$M$13/5*(AM$8-AM$9)*1000)</f>
        <v>40839.702732444399</v>
      </c>
      <c r="AN171" s="46">
        <f>SUM(AM$171,'Statistics NZ'!AN$171-'Statistics NZ'!AM$171,$M$13/5*(AN$8-AN$9)*1000)</f>
        <v>42109.702732444399</v>
      </c>
      <c r="AO171" s="46">
        <f>SUM(AN$171,'Statistics NZ'!AO$171-'Statistics NZ'!AN$171,$M$13/5*(AO$8-AO$9)*1000)</f>
        <v>42939.702732444399</v>
      </c>
      <c r="AP171" s="46">
        <f>SUM(AO$171,'Statistics NZ'!AP$171-'Statistics NZ'!AO$171,$M$13/5*(AP$8-AP$9)*1000)</f>
        <v>44699.702732444399</v>
      </c>
      <c r="AQ171" s="46">
        <f>SUM(AP$171,'Statistics NZ'!AQ$171-'Statistics NZ'!AP$171,$M$13/5*(AQ$8-AQ$9)*1000)</f>
        <v>45519.702732444399</v>
      </c>
      <c r="AR171" s="46">
        <f>SUM(AQ$171,'Statistics NZ'!AR$171-'Statistics NZ'!AQ$171,$M$13/5*(AR$8-AR$9)*1000)</f>
        <v>45529.702732444399</v>
      </c>
      <c r="AS171" s="46">
        <f>SUM(AR$171,'Statistics NZ'!AS$171-'Statistics NZ'!AR$171,$M$13/5*(AS$8-AS$9)*1000)</f>
        <v>44709.702732444399</v>
      </c>
      <c r="AT171" s="46">
        <f>SUM(AS$171,'Statistics NZ'!AT$171-'Statistics NZ'!AS$171,$M$13/5*(AT$8-AT$9)*1000)</f>
        <v>43649.702732444399</v>
      </c>
      <c r="AU171" s="46">
        <f>SUM(AT$171,'Statistics NZ'!AU$171-'Statistics NZ'!AT$171,$M$13/5*(AU$8-AU$9)*1000)</f>
        <v>43309.702732444399</v>
      </c>
      <c r="AV171" s="46">
        <f>SUM(AU$171,'Statistics NZ'!AV$171-'Statistics NZ'!AU$171,$M$13/5*(AV$8-AV$9)*1000)</f>
        <v>42869.702732444399</v>
      </c>
      <c r="AW171" s="46">
        <f>SUM(AV$171,'Statistics NZ'!AW$171-'Statistics NZ'!AV$171,$M$13/5*(AW$8-AW$9)*1000)</f>
        <v>41499.702732444399</v>
      </c>
      <c r="AX171" s="46">
        <f>SUM(AW$171,'Statistics NZ'!AX$171-'Statistics NZ'!AW$171,$M$13/5*(AX$8-AX$9)*1000)</f>
        <v>41369.702732444399</v>
      </c>
      <c r="AY171" s="46">
        <f>SUM(AX$171,'Statistics NZ'!AY$171-'Statistics NZ'!AX$171,$M$13/5*(AY$8-AY$9)*1000)</f>
        <v>40749.702732444399</v>
      </c>
      <c r="AZ171" s="46">
        <f>SUM(AY$171,'Statistics NZ'!AZ$171-'Statistics NZ'!AY$171,$M$13/5*(AZ$8-AZ$9)*1000)</f>
        <v>41749.702732444399</v>
      </c>
      <c r="BA171" s="46">
        <f>SUM(AZ$171,'Statistics NZ'!BA$171-'Statistics NZ'!AZ$171,$M$13/5*(BA$8-BA$9)*1000)</f>
        <v>41439.702732444399</v>
      </c>
      <c r="BB171" s="46">
        <f>SUM(BA$171,'Statistics NZ'!BB$171-'Statistics NZ'!BA$171,$M$13/5*(BB$8-BB$9)*1000)</f>
        <v>40769.702732444399</v>
      </c>
      <c r="BC171" s="46">
        <f>SUM(BB$171,'Statistics NZ'!BC$171-'Statistics NZ'!BB$171,$M$13/5*(BC$8-BC$9)*1000)</f>
        <v>41519.702732444399</v>
      </c>
      <c r="BD171" s="46">
        <f>SUM(BC$171,'Statistics NZ'!BD$171-'Statistics NZ'!BC$171,$M$13/5*(BD$8-BD$9)*1000)</f>
        <v>42549.702732444399</v>
      </c>
      <c r="BE171" s="46">
        <f>SUM(BD$171,'Statistics NZ'!BE$171-'Statistics NZ'!BD$171,$M$13/5*(BE$8-BE$9)*1000)</f>
        <v>42989.702732444399</v>
      </c>
      <c r="BF171" s="46">
        <f>SUM(BE$171,'Statistics NZ'!BF$171-'Statistics NZ'!BE$171,$M$13/5*(BF$8-BF$9)*1000)</f>
        <v>43939.702732444399</v>
      </c>
      <c r="BG171" s="46">
        <f>SUM(BF$171,'Statistics NZ'!BG$171-'Statistics NZ'!BF$171,$M$13/5*(BG$8-BG$9)*1000)</f>
        <v>46719.702732444399</v>
      </c>
      <c r="BH171" s="46">
        <f>SUM(BG$171,'Statistics NZ'!BH$171-'Statistics NZ'!BG$171,$M$13/5*(BH$8-BH$9)*1000)</f>
        <v>48519.702732444399</v>
      </c>
      <c r="BI171" s="46">
        <f>SUM(BH$171,'Statistics NZ'!BI$171-'Statistics NZ'!BH$171,$M$13/5*(BI$8-BI$9)*1000)</f>
        <v>48769.702732444399</v>
      </c>
    </row>
    <row r="172" spans="1:61" x14ac:dyDescent="0.25">
      <c r="A172" s="11">
        <f>$A$72</f>
        <v>57</v>
      </c>
      <c r="B172" s="44">
        <f>'Statistics NZ'!B$172*'Economic Forecasts'!D$9*1000000/SUM('Statistics NZ'!B$30:B$110,'Statistics NZ'!B$130:B$210)</f>
        <v>23315.131115911077</v>
      </c>
      <c r="C172" s="44">
        <f>'Statistics NZ'!C$172*'Economic Forecasts'!E$9*1000000/SUM('Statistics NZ'!C$30:C$110,'Statistics NZ'!C$130:C$210)</f>
        <v>23597.64805434861</v>
      </c>
      <c r="D172" s="44">
        <f>'Statistics NZ'!D$172*'Economic Forecasts'!F$9*1000000/SUM('Statistics NZ'!D$30:D$110,'Statistics NZ'!D$130:D$210)</f>
        <v>23545.068722802174</v>
      </c>
      <c r="E172" s="44">
        <f>'Statistics NZ'!E$172*'Economic Forecasts'!G$9*1000000/SUM('Statistics NZ'!E$30:E$110,'Statistics NZ'!E$130:E$210)</f>
        <v>23840.872689213986</v>
      </c>
      <c r="F172" s="44">
        <f>'Statistics NZ'!F$172*'Economic Forecasts'!H$9*1000000/SUM('Statistics NZ'!F$30:F$110,'Statistics NZ'!F$130:F$210)</f>
        <v>24012.01913719931</v>
      </c>
      <c r="G172" s="44">
        <f>'Statistics NZ'!G$172*'Economic Forecasts'!I$9*1000000/SUM('Statistics NZ'!G$30:G$110,'Statistics NZ'!G$130:G$210)</f>
        <v>24841.032344252948</v>
      </c>
      <c r="H172" s="44">
        <f>'Statistics NZ'!H$172*'Economic Forecasts'!J$9*1000000/SUM('Statistics NZ'!H$30:H$110,'Statistics NZ'!H$130:H$210)</f>
        <v>25280.077869285942</v>
      </c>
      <c r="I172" s="44">
        <f>'Statistics NZ'!I$172*'Economic Forecasts'!K$9*1000000/SUM('Statistics NZ'!I$30:I$110,'Statistics NZ'!I$130:I$210)</f>
        <v>26097.064225895836</v>
      </c>
      <c r="J172" s="44">
        <f>'Statistics NZ'!J$172*'Economic Forecasts'!L$9*1000000/SUM('Statistics NZ'!J$30:J$110,'Statistics NZ'!J$130:J$210)</f>
        <v>26651.894172672648</v>
      </c>
      <c r="K172" s="44">
        <f>'Statistics NZ'!K$172*'Economic Forecasts'!M$9*1000000/SUM('Statistics NZ'!K$30:K$110,'Statistics NZ'!K$130:K$210)</f>
        <v>26959.591359301638</v>
      </c>
      <c r="L172" s="44">
        <f>'Statistics NZ'!L$172*'Economic Forecasts'!N$9*1000000/SUM('Statistics NZ'!L$30:L$110,'Statistics NZ'!L$130:L$210)</f>
        <v>28479.598945510101</v>
      </c>
      <c r="M172" s="44">
        <f>'Statistics NZ'!M$172*'Economic Forecasts'!O$9*1000000/SUM('Statistics NZ'!M$30:M$110,'Statistics NZ'!M$130:M$210)</f>
        <v>29162.177917987581</v>
      </c>
      <c r="N172" s="44">
        <f>'Statistics NZ'!N$172*'Economic Forecasts'!P$9*1000000/SUM('Statistics NZ'!N$30:N$110,'Statistics NZ'!N$130:N$210)</f>
        <v>30108.242753165036</v>
      </c>
      <c r="O172" s="44">
        <f>'Statistics NZ'!O$172*'Economic Forecasts'!Q$9*1000000/SUM('Statistics NZ'!O$30:O$110,'Statistics NZ'!O$130:O$210)</f>
        <v>31110.973139564143</v>
      </c>
      <c r="P172" s="44">
        <f>'Statistics NZ'!P$172*'Economic Forecasts'!R$9*1000000/SUM('Statistics NZ'!P$30:P$110,'Statistics NZ'!P$130:P$210)</f>
        <v>31480.950884603299</v>
      </c>
      <c r="Q172" s="44">
        <f>'Statistics NZ'!Q$172*'Economic Forecasts'!S$9*1000000/SUM('Statistics NZ'!Q$30:Q$110,'Statistics NZ'!Q$130:Q$210)</f>
        <v>31362.384877571199</v>
      </c>
      <c r="R172" s="44">
        <f>'Statistics NZ'!R$172*'Economic Forecasts'!T$9*1000000/SUM('Statistics NZ'!R$30:R$110,'Statistics NZ'!R$130:R$210)</f>
        <v>30501.472530888186</v>
      </c>
      <c r="S172" s="44">
        <f>'Statistics NZ'!S$172*'Economic Forecasts'!U$9*1000000/SUM('Statistics NZ'!S$30:S$110,'Statistics NZ'!S$130:S$210)</f>
        <v>29618.009096625643</v>
      </c>
      <c r="T172" s="44">
        <f>'Statistics NZ'!T$172*'Economic Forecasts'!V$9*1000000/SUM('Statistics NZ'!T$30:T$110,'Statistics NZ'!T$130:T$210)</f>
        <v>29754.477945864492</v>
      </c>
      <c r="U172" s="45">
        <f>SUM('Statistics NZ'!U$172,$M$13/5*(U$8-U$9)*1000)*'Economic Forecasts'!W$9*1000000/SUM('Statistics NZ'!U$30:U$110,'Statistics NZ'!U$130:U$210,SUM($E$12:$T$13)*(U$8-U$9)*1000)</f>
        <v>30375.743722801264</v>
      </c>
      <c r="V172" s="45">
        <f>SUM('Statistics NZ'!V$172,$M$13/5*(V$8-V$9)*1000)*'Economic Forecasts'!X$9*1000000/SUM('Statistics NZ'!V$30:V$110,'Statistics NZ'!V$130:V$210,SUM($E$12:$T$13)*(V$8-V$9)*1000)</f>
        <v>31066.307942225441</v>
      </c>
      <c r="W172" s="45">
        <f>SUM('Statistics NZ'!W$172,$M$13/5*(W$8-W$9)*1000)*'Economic Forecasts'!Y$9*1000000/SUM('Statistics NZ'!W$30:W$110,'Statistics NZ'!W$130:W$210,SUM($E$12:$T$13)*(W$8-W$9)*1000)</f>
        <v>31091.857433551726</v>
      </c>
      <c r="X172" s="45">
        <f>SUM('Statistics NZ'!X$172,$M$13/5*(X$8-X$9)*1000)*'Economic Forecasts'!Z$9*1000000/SUM('Statistics NZ'!X$30:X$110,'Statistics NZ'!X$130:X$210,SUM($E$12:$T$13)*(X$8-X$9)*1000)</f>
        <v>32246.527760781159</v>
      </c>
      <c r="Y172" s="45">
        <f>SUM('Statistics NZ'!Y$172,$M$13/5*(Y$8-Y$9)*1000)*'Economic Forecasts'!AA$9*1000000/SUM('Statistics NZ'!Y$30:Y$110,'Statistics NZ'!Y$130:Y$210,SUM($E$12:$T$13)*(Y$8-Y$9)*1000)</f>
        <v>32049.017690800385</v>
      </c>
      <c r="Z172" s="46">
        <f>SUM(Y$172,'Statistics NZ'!Z$172-'Statistics NZ'!Y$172,$M$13/5*(Z$8-Z$9)*1000)</f>
        <v>31251.3092257549</v>
      </c>
      <c r="AA172" s="46">
        <f>SUM(Z$172,'Statistics NZ'!AA$172-'Statistics NZ'!Z$172,$M$13/5*(AA$8-AA$9)*1000)</f>
        <v>30542.68414672761</v>
      </c>
      <c r="AB172" s="46">
        <f>SUM(AA$172,'Statistics NZ'!AB$172-'Statistics NZ'!AA$172,$M$13/5*(AB$8-AB$9)*1000)</f>
        <v>29603.325776514874</v>
      </c>
      <c r="AC172" s="46">
        <f>SUM(AB$172,'Statistics NZ'!AC$172-'Statistics NZ'!AB$172,$M$13/5*(AC$8-AC$9)*1000)</f>
        <v>29513.325776514874</v>
      </c>
      <c r="AD172" s="46">
        <f>SUM(AC$172,'Statistics NZ'!AD$172-'Statistics NZ'!AC$172,$M$13/5*(AD$8-AD$9)*1000)</f>
        <v>29943.325776514874</v>
      </c>
      <c r="AE172" s="46">
        <f>SUM(AD$172,'Statistics NZ'!AE$172-'Statistics NZ'!AD$172,$M$13/5*(AE$8-AE$9)*1000)</f>
        <v>29743.325776514874</v>
      </c>
      <c r="AF172" s="46">
        <f>SUM(AE$172,'Statistics NZ'!AF$172-'Statistics NZ'!AE$172,$M$13/5*(AF$8-AF$9)*1000)</f>
        <v>31123.325776514874</v>
      </c>
      <c r="AG172" s="46">
        <f>SUM(AF$172,'Statistics NZ'!AG$172-'Statistics NZ'!AF$172,$M$13/5*(AG$8-AG$9)*1000)</f>
        <v>32283.325776514874</v>
      </c>
      <c r="AH172" s="46">
        <f>SUM(AG$172,'Statistics NZ'!AH$172-'Statistics NZ'!AG$172,$M$13/5*(AH$8-AH$9)*1000)</f>
        <v>33303.325776514874</v>
      </c>
      <c r="AI172" s="46">
        <f>SUM(AH$172,'Statistics NZ'!AI$172-'Statistics NZ'!AH$172,$M$13/5*(AI$8-AI$9)*1000)</f>
        <v>34283.325776514874</v>
      </c>
      <c r="AJ172" s="46">
        <f>SUM(AI$172,'Statistics NZ'!AJ$172-'Statistics NZ'!AI$172,$M$13/5*(AJ$8-AJ$9)*1000)</f>
        <v>35733.325776514874</v>
      </c>
      <c r="AK172" s="46">
        <f>SUM(AJ$172,'Statistics NZ'!AK$172-'Statistics NZ'!AJ$172,$M$13/5*(AK$8-AK$9)*1000)</f>
        <v>36773.325776514874</v>
      </c>
      <c r="AL172" s="46">
        <f>SUM(AK$172,'Statistics NZ'!AL$172-'Statistics NZ'!AK$172,$M$13/5*(AL$8-AL$9)*1000)</f>
        <v>37413.325776514874</v>
      </c>
      <c r="AM172" s="46">
        <f>SUM(AL$172,'Statistics NZ'!AM$172-'Statistics NZ'!AL$172,$M$13/5*(AM$8-AM$9)*1000)</f>
        <v>38643.325776514874</v>
      </c>
      <c r="AN172" s="46">
        <f>SUM(AM$172,'Statistics NZ'!AN$172-'Statistics NZ'!AM$172,$M$13/5*(AN$8-AN$9)*1000)</f>
        <v>40753.325776514874</v>
      </c>
      <c r="AO172" s="46">
        <f>SUM(AN$172,'Statistics NZ'!AO$172-'Statistics NZ'!AN$172,$M$13/5*(AO$8-AO$9)*1000)</f>
        <v>42023.325776514874</v>
      </c>
      <c r="AP172" s="46">
        <f>SUM(AO$172,'Statistics NZ'!AP$172-'Statistics NZ'!AO$172,$M$13/5*(AP$8-AP$9)*1000)</f>
        <v>42853.325776514874</v>
      </c>
      <c r="AQ172" s="46">
        <f>SUM(AP$172,'Statistics NZ'!AQ$172-'Statistics NZ'!AP$172,$M$13/5*(AQ$8-AQ$9)*1000)</f>
        <v>44613.325776514874</v>
      </c>
      <c r="AR172" s="46">
        <f>SUM(AQ$172,'Statistics NZ'!AR$172-'Statistics NZ'!AQ$172,$M$13/5*(AR$8-AR$9)*1000)</f>
        <v>45433.325776514874</v>
      </c>
      <c r="AS172" s="46">
        <f>SUM(AR$172,'Statistics NZ'!AS$172-'Statistics NZ'!AR$172,$M$13/5*(AS$8-AS$9)*1000)</f>
        <v>45443.325776514874</v>
      </c>
      <c r="AT172" s="46">
        <f>SUM(AS$172,'Statistics NZ'!AT$172-'Statistics NZ'!AS$172,$M$13/5*(AT$8-AT$9)*1000)</f>
        <v>44633.325776514874</v>
      </c>
      <c r="AU172" s="46">
        <f>SUM(AT$172,'Statistics NZ'!AU$172-'Statistics NZ'!AT$172,$M$13/5*(AU$8-AU$9)*1000)</f>
        <v>43583.325776514874</v>
      </c>
      <c r="AV172" s="46">
        <f>SUM(AU$172,'Statistics NZ'!AV$172-'Statistics NZ'!AU$172,$M$13/5*(AV$8-AV$9)*1000)</f>
        <v>43243.325776514874</v>
      </c>
      <c r="AW172" s="46">
        <f>SUM(AV$172,'Statistics NZ'!AW$172-'Statistics NZ'!AV$172,$M$13/5*(AW$8-AW$9)*1000)</f>
        <v>42803.325776514874</v>
      </c>
      <c r="AX172" s="46">
        <f>SUM(AW$172,'Statistics NZ'!AX$172-'Statistics NZ'!AW$172,$M$13/5*(AX$8-AX$9)*1000)</f>
        <v>41433.325776514874</v>
      </c>
      <c r="AY172" s="46">
        <f>SUM(AX$172,'Statistics NZ'!AY$172-'Statistics NZ'!AX$172,$M$13/5*(AY$8-AY$9)*1000)</f>
        <v>41313.325776514874</v>
      </c>
      <c r="AZ172" s="46">
        <f>SUM(AY$172,'Statistics NZ'!AZ$172-'Statistics NZ'!AY$172,$M$13/5*(AZ$8-AZ$9)*1000)</f>
        <v>40693.325776514874</v>
      </c>
      <c r="BA172" s="46">
        <f>SUM(AZ$172,'Statistics NZ'!BA$172-'Statistics NZ'!AZ$172,$M$13/5*(BA$8-BA$9)*1000)</f>
        <v>41703.325776514874</v>
      </c>
      <c r="BB172" s="46">
        <f>SUM(BA$172,'Statistics NZ'!BB$172-'Statistics NZ'!BA$172,$M$13/5*(BB$8-BB$9)*1000)</f>
        <v>41393.325776514874</v>
      </c>
      <c r="BC172" s="46">
        <f>SUM(BB$172,'Statistics NZ'!BC$172-'Statistics NZ'!BB$172,$M$13/5*(BC$8-BC$9)*1000)</f>
        <v>40723.325776514874</v>
      </c>
      <c r="BD172" s="46">
        <f>SUM(BC$172,'Statistics NZ'!BD$172-'Statistics NZ'!BC$172,$M$13/5*(BD$8-BD$9)*1000)</f>
        <v>41473.325776514874</v>
      </c>
      <c r="BE172" s="46">
        <f>SUM(BD$172,'Statistics NZ'!BE$172-'Statistics NZ'!BD$172,$M$13/5*(BE$8-BE$9)*1000)</f>
        <v>42503.325776514874</v>
      </c>
      <c r="BF172" s="46">
        <f>SUM(BE$172,'Statistics NZ'!BF$172-'Statistics NZ'!BE$172,$M$13/5*(BF$8-BF$9)*1000)</f>
        <v>42943.325776514874</v>
      </c>
      <c r="BG172" s="46">
        <f>SUM(BF$172,'Statistics NZ'!BG$172-'Statistics NZ'!BF$172,$M$13/5*(BG$8-BG$9)*1000)</f>
        <v>43903.325776514874</v>
      </c>
      <c r="BH172" s="46">
        <f>SUM(BG$172,'Statistics NZ'!BH$172-'Statistics NZ'!BG$172,$M$13/5*(BH$8-BH$9)*1000)</f>
        <v>46683.325776514874</v>
      </c>
      <c r="BI172" s="46">
        <f>SUM(BH$172,'Statistics NZ'!BI$172-'Statistics NZ'!BH$172,$M$13/5*(BI$8-BI$9)*1000)</f>
        <v>48473.325776514874</v>
      </c>
    </row>
    <row r="173" spans="1:61" x14ac:dyDescent="0.25">
      <c r="A173" s="11">
        <f>$A$73</f>
        <v>58</v>
      </c>
      <c r="B173" s="44">
        <f>'Statistics NZ'!B$173*'Economic Forecasts'!D$9*1000000/SUM('Statistics NZ'!B$30:B$110,'Statistics NZ'!B$130:B$210)</f>
        <v>23373.834761188235</v>
      </c>
      <c r="C173" s="44">
        <f>'Statistics NZ'!C$173*'Economic Forecasts'!E$9*1000000/SUM('Statistics NZ'!C$30:C$110,'Statistics NZ'!C$130:C$210)</f>
        <v>23283.405550087617</v>
      </c>
      <c r="D173" s="44">
        <f>'Statistics NZ'!D$173*'Economic Forecasts'!F$9*1000000/SUM('Statistics NZ'!D$30:D$110,'Statistics NZ'!D$130:D$210)</f>
        <v>23476.309656861577</v>
      </c>
      <c r="E173" s="44">
        <f>'Statistics NZ'!E$173*'Economic Forecasts'!G$9*1000000/SUM('Statistics NZ'!E$30:E$110,'Statistics NZ'!E$130:E$210)</f>
        <v>23409.363681264407</v>
      </c>
      <c r="F173" s="44">
        <f>'Statistics NZ'!F$173*'Economic Forecasts'!H$9*1000000/SUM('Statistics NZ'!F$30:F$110,'Statistics NZ'!F$130:F$210)</f>
        <v>23776.607184873828</v>
      </c>
      <c r="G173" s="44">
        <f>'Statistics NZ'!G$173*'Economic Forecasts'!I$9*1000000/SUM('Statistics NZ'!G$30:G$110,'Statistics NZ'!G$130:G$210)</f>
        <v>23917.719951860789</v>
      </c>
      <c r="H173" s="44">
        <f>'Statistics NZ'!H$173*'Economic Forecasts'!J$9*1000000/SUM('Statistics NZ'!H$30:H$110,'Statistics NZ'!H$130:H$210)</f>
        <v>24720.045052127254</v>
      </c>
      <c r="I173" s="44">
        <f>'Statistics NZ'!I$173*'Economic Forecasts'!K$9*1000000/SUM('Statistics NZ'!I$30:I$110,'Statistics NZ'!I$130:I$210)</f>
        <v>25106.905139939605</v>
      </c>
      <c r="J173" s="44">
        <f>'Statistics NZ'!J$173*'Economic Forecasts'!L$9*1000000/SUM('Statistics NZ'!J$30:J$110,'Statistics NZ'!J$130:J$210)</f>
        <v>25930.254886621504</v>
      </c>
      <c r="K173" s="44">
        <f>'Statistics NZ'!K$173*'Economic Forecasts'!M$9*1000000/SUM('Statistics NZ'!K$30:K$110,'Statistics NZ'!K$130:K$210)</f>
        <v>26521.461488890454</v>
      </c>
      <c r="L173" s="44">
        <f>'Statistics NZ'!L$173*'Economic Forecasts'!N$9*1000000/SUM('Statistics NZ'!L$30:L$110,'Statistics NZ'!L$130:L$210)</f>
        <v>27019.106691894198</v>
      </c>
      <c r="M173" s="44">
        <f>'Statistics NZ'!M$173*'Economic Forecasts'!O$9*1000000/SUM('Statistics NZ'!M$30:M$110,'Statistics NZ'!M$130:M$210)</f>
        <v>28605.312209000884</v>
      </c>
      <c r="N173" s="44">
        <f>'Statistics NZ'!N$173*'Economic Forecasts'!P$9*1000000/SUM('Statistics NZ'!N$30:N$110,'Statistics NZ'!N$130:N$210)</f>
        <v>29237.383603008493</v>
      </c>
      <c r="O173" s="44">
        <f>'Statistics NZ'!O$173*'Economic Forecasts'!Q$9*1000000/SUM('Statistics NZ'!O$30:O$110,'Statistics NZ'!O$130:O$210)</f>
        <v>30147.358927276764</v>
      </c>
      <c r="P173" s="44">
        <f>'Statistics NZ'!P$173*'Economic Forecasts'!R$9*1000000/SUM('Statistics NZ'!P$30:P$110,'Statistics NZ'!P$130:P$210)</f>
        <v>31146.883365852827</v>
      </c>
      <c r="Q173" s="44">
        <f>'Statistics NZ'!Q$173*'Economic Forecasts'!S$9*1000000/SUM('Statistics NZ'!Q$30:Q$110,'Statistics NZ'!Q$130:Q$210)</f>
        <v>31630.609265184255</v>
      </c>
      <c r="R173" s="44">
        <f>'Statistics NZ'!R$173*'Economic Forecasts'!T$9*1000000/SUM('Statistics NZ'!R$30:R$110,'Statistics NZ'!R$130:R$210)</f>
        <v>31118.870930142206</v>
      </c>
      <c r="S173" s="44">
        <f>'Statistics NZ'!S$173*'Economic Forecasts'!U$9*1000000/SUM('Statistics NZ'!S$30:S$110,'Statistics NZ'!S$130:S$210)</f>
        <v>29834.127239287587</v>
      </c>
      <c r="T173" s="44">
        <f>'Statistics NZ'!T$173*'Economic Forecasts'!V$9*1000000/SUM('Statistics NZ'!T$30:T$110,'Statistics NZ'!T$130:T$210)</f>
        <v>29635.539326493945</v>
      </c>
      <c r="U173" s="45">
        <f>SUM('Statistics NZ'!U$173,$M$13/5*(U$8-U$9)*1000)*'Economic Forecasts'!W$9*1000000/SUM('Statistics NZ'!U$30:U$110,'Statistics NZ'!U$130:U$210,SUM($E$12:$T$13)*(U$8-U$9)*1000)</f>
        <v>29613.06270837487</v>
      </c>
      <c r="V173" s="45">
        <f>SUM('Statistics NZ'!V$173,$M$13/5*(V$8-V$9)*1000)*'Economic Forecasts'!X$9*1000000/SUM('Statistics NZ'!V$30:V$110,'Statistics NZ'!V$130:V$210,SUM($E$12:$T$13)*(V$8-V$9)*1000)</f>
        <v>30244.540043223536</v>
      </c>
      <c r="W173" s="45">
        <f>SUM('Statistics NZ'!W$173,$M$13/5*(W$8-W$9)*1000)*'Economic Forecasts'!Y$9*1000000/SUM('Statistics NZ'!W$30:W$110,'Statistics NZ'!W$130:W$210,SUM($E$12:$T$13)*(W$8-W$9)*1000)</f>
        <v>30963.118489972498</v>
      </c>
      <c r="X173" s="45">
        <f>SUM('Statistics NZ'!X$173,$M$13/5*(X$8-X$9)*1000)*'Economic Forecasts'!Z$9*1000000/SUM('Statistics NZ'!X$30:X$110,'Statistics NZ'!X$130:X$210,SUM($E$12:$T$13)*(X$8-X$9)*1000)</f>
        <v>30998.464859942545</v>
      </c>
      <c r="Y173" s="45">
        <f>SUM('Statistics NZ'!Y$173,$M$13/5*(Y$8-Y$9)*1000)*'Economic Forecasts'!AA$9*1000000/SUM('Statistics NZ'!Y$30:Y$110,'Statistics NZ'!Y$130:Y$210,SUM($E$12:$T$13)*(Y$8-Y$9)*1000)</f>
        <v>32158.015597725742</v>
      </c>
      <c r="Z173" s="46">
        <f>SUM(Y$173,'Statistics NZ'!Z$173-'Statistics NZ'!Y$173,$M$13/5*(Z$8-Z$9)*1000)</f>
        <v>31960.307132680256</v>
      </c>
      <c r="AA173" s="46">
        <f>SUM(Z$173,'Statistics NZ'!AA$173-'Statistics NZ'!Z$173,$M$13/5*(AA$8-AA$9)*1000)</f>
        <v>31171.682053652967</v>
      </c>
      <c r="AB173" s="46">
        <f>SUM(AA$173,'Statistics NZ'!AB$173-'Statistics NZ'!AA$173,$M$13/5*(AB$8-AB$9)*1000)</f>
        <v>30462.323683440231</v>
      </c>
      <c r="AC173" s="46">
        <f>SUM(AB$173,'Statistics NZ'!AC$173-'Statistics NZ'!AB$173,$M$13/5*(AC$8-AC$9)*1000)</f>
        <v>29532.323683440231</v>
      </c>
      <c r="AD173" s="46">
        <f>SUM(AC$173,'Statistics NZ'!AD$173-'Statistics NZ'!AC$173,$M$13/5*(AD$8-AD$9)*1000)</f>
        <v>29442.323683440231</v>
      </c>
      <c r="AE173" s="46">
        <f>SUM(AD$173,'Statistics NZ'!AE$173-'Statistics NZ'!AD$173,$M$13/5*(AE$8-AE$9)*1000)</f>
        <v>29872.323683440231</v>
      </c>
      <c r="AF173" s="46">
        <f>SUM(AE$173,'Statistics NZ'!AF$173-'Statistics NZ'!AE$173,$M$13/5*(AF$8-AF$9)*1000)</f>
        <v>29682.323683440231</v>
      </c>
      <c r="AG173" s="46">
        <f>SUM(AF$173,'Statistics NZ'!AG$173-'Statistics NZ'!AF$173,$M$13/5*(AG$8-AG$9)*1000)</f>
        <v>31062.323683440231</v>
      </c>
      <c r="AH173" s="46">
        <f>SUM(AG$173,'Statistics NZ'!AH$173-'Statistics NZ'!AG$173,$M$13/5*(AH$8-AH$9)*1000)</f>
        <v>32222.323683440231</v>
      </c>
      <c r="AI173" s="46">
        <f>SUM(AH$173,'Statistics NZ'!AI$173-'Statistics NZ'!AH$173,$M$13/5*(AI$8-AI$9)*1000)</f>
        <v>33242.323683440234</v>
      </c>
      <c r="AJ173" s="46">
        <f>SUM(AI$173,'Statistics NZ'!AJ$173-'Statistics NZ'!AI$173,$M$13/5*(AJ$8-AJ$9)*1000)</f>
        <v>34212.323683440234</v>
      </c>
      <c r="AK173" s="46">
        <f>SUM(AJ$173,'Statistics NZ'!AK$173-'Statistics NZ'!AJ$173,$M$13/5*(AK$8-AK$9)*1000)</f>
        <v>35662.323683440234</v>
      </c>
      <c r="AL173" s="46">
        <f>SUM(AK$173,'Statistics NZ'!AL$173-'Statistics NZ'!AK$173,$M$13/5*(AL$8-AL$9)*1000)</f>
        <v>36702.323683440234</v>
      </c>
      <c r="AM173" s="46">
        <f>SUM(AL$173,'Statistics NZ'!AM$173-'Statistics NZ'!AL$173,$M$13/5*(AM$8-AM$9)*1000)</f>
        <v>37342.323683440234</v>
      </c>
      <c r="AN173" s="46">
        <f>SUM(AM$173,'Statistics NZ'!AN$173-'Statistics NZ'!AM$173,$M$13/5*(AN$8-AN$9)*1000)</f>
        <v>38572.323683440234</v>
      </c>
      <c r="AO173" s="46">
        <f>SUM(AN$173,'Statistics NZ'!AO$173-'Statistics NZ'!AN$173,$M$13/5*(AO$8-AO$9)*1000)</f>
        <v>40682.323683440234</v>
      </c>
      <c r="AP173" s="46">
        <f>SUM(AO$173,'Statistics NZ'!AP$173-'Statistics NZ'!AO$173,$M$13/5*(AP$8-AP$9)*1000)</f>
        <v>41952.323683440234</v>
      </c>
      <c r="AQ173" s="46">
        <f>SUM(AP$173,'Statistics NZ'!AQ$173-'Statistics NZ'!AP$173,$M$13/5*(AQ$8-AQ$9)*1000)</f>
        <v>42782.323683440234</v>
      </c>
      <c r="AR173" s="46">
        <f>SUM(AQ$173,'Statistics NZ'!AR$173-'Statistics NZ'!AQ$173,$M$13/5*(AR$8-AR$9)*1000)</f>
        <v>44542.323683440234</v>
      </c>
      <c r="AS173" s="46">
        <f>SUM(AR$173,'Statistics NZ'!AS$173-'Statistics NZ'!AR$173,$M$13/5*(AS$8-AS$9)*1000)</f>
        <v>45352.323683440234</v>
      </c>
      <c r="AT173" s="46">
        <f>SUM(AS$173,'Statistics NZ'!AT$173-'Statistics NZ'!AS$173,$M$13/5*(AT$8-AT$9)*1000)</f>
        <v>45372.323683440234</v>
      </c>
      <c r="AU173" s="46">
        <f>SUM(AT$173,'Statistics NZ'!AU$173-'Statistics NZ'!AT$173,$M$13/5*(AU$8-AU$9)*1000)</f>
        <v>44572.323683440234</v>
      </c>
      <c r="AV173" s="46">
        <f>SUM(AU$173,'Statistics NZ'!AV$173-'Statistics NZ'!AU$173,$M$13/5*(AV$8-AV$9)*1000)</f>
        <v>43522.323683440234</v>
      </c>
      <c r="AW173" s="46">
        <f>SUM(AV$173,'Statistics NZ'!AW$173-'Statistics NZ'!AV$173,$M$13/5*(AW$8-AW$9)*1000)</f>
        <v>43182.323683440234</v>
      </c>
      <c r="AX173" s="46">
        <f>SUM(AW$173,'Statistics NZ'!AX$173-'Statistics NZ'!AW$173,$M$13/5*(AX$8-AX$9)*1000)</f>
        <v>42752.323683440234</v>
      </c>
      <c r="AY173" s="46">
        <f>SUM(AX$173,'Statistics NZ'!AY$173-'Statistics NZ'!AX$173,$M$13/5*(AY$8-AY$9)*1000)</f>
        <v>41392.323683440234</v>
      </c>
      <c r="AZ173" s="46">
        <f>SUM(AY$173,'Statistics NZ'!AZ$173-'Statistics NZ'!AY$173,$M$13/5*(AZ$8-AZ$9)*1000)</f>
        <v>41272.323683440234</v>
      </c>
      <c r="BA173" s="46">
        <f>SUM(AZ$173,'Statistics NZ'!BA$173-'Statistics NZ'!AZ$173,$M$13/5*(BA$8-BA$9)*1000)</f>
        <v>40652.323683440234</v>
      </c>
      <c r="BB173" s="46">
        <f>SUM(BA$173,'Statistics NZ'!BB$173-'Statistics NZ'!BA$173,$M$13/5*(BB$8-BB$9)*1000)</f>
        <v>41662.323683440234</v>
      </c>
      <c r="BC173" s="46">
        <f>SUM(BB$173,'Statistics NZ'!BC$173-'Statistics NZ'!BB$173,$M$13/5*(BC$8-BC$9)*1000)</f>
        <v>41352.323683440234</v>
      </c>
      <c r="BD173" s="46">
        <f>SUM(BC$173,'Statistics NZ'!BD$173-'Statistics NZ'!BC$173,$M$13/5*(BD$8-BD$9)*1000)</f>
        <v>40692.323683440234</v>
      </c>
      <c r="BE173" s="46">
        <f>SUM(BD$173,'Statistics NZ'!BE$173-'Statistics NZ'!BD$173,$M$13/5*(BE$8-BE$9)*1000)</f>
        <v>41442.323683440234</v>
      </c>
      <c r="BF173" s="46">
        <f>SUM(BE$173,'Statistics NZ'!BF$173-'Statistics NZ'!BE$173,$M$13/5*(BF$8-BF$9)*1000)</f>
        <v>42472.323683440234</v>
      </c>
      <c r="BG173" s="46">
        <f>SUM(BF$173,'Statistics NZ'!BG$173-'Statistics NZ'!BF$173,$M$13/5*(BG$8-BG$9)*1000)</f>
        <v>42912.323683440234</v>
      </c>
      <c r="BH173" s="46">
        <f>SUM(BG$173,'Statistics NZ'!BH$173-'Statistics NZ'!BG$173,$M$13/5*(BH$8-BH$9)*1000)</f>
        <v>43872.323683440234</v>
      </c>
      <c r="BI173" s="46">
        <f>SUM(BH$173,'Statistics NZ'!BI$173-'Statistics NZ'!BH$173,$M$13/5*(BI$8-BI$9)*1000)</f>
        <v>46642.323683440234</v>
      </c>
    </row>
    <row r="174" spans="1:61" x14ac:dyDescent="0.25">
      <c r="A174" s="11">
        <f>$A$74</f>
        <v>59</v>
      </c>
      <c r="B174" s="44">
        <f>'Statistics NZ'!B$174*'Economic Forecasts'!D$9*1000000/SUM('Statistics NZ'!B$30:B$110,'Statistics NZ'!B$130:B$210)</f>
        <v>23501.025992622075</v>
      </c>
      <c r="C174" s="44">
        <f>'Statistics NZ'!C$174*'Economic Forecasts'!E$9*1000000/SUM('Statistics NZ'!C$30:C$110,'Statistics NZ'!C$130:C$210)</f>
        <v>23381.60633266918</v>
      </c>
      <c r="D174" s="44">
        <f>'Statistics NZ'!D$174*'Economic Forecasts'!F$9*1000000/SUM('Statistics NZ'!D$30:D$110,'Statistics NZ'!D$130:D$210)</f>
        <v>23191.450669393384</v>
      </c>
      <c r="E174" s="44">
        <f>'Statistics NZ'!E$174*'Economic Forecasts'!G$9*1000000/SUM('Statistics NZ'!E$30:E$110,'Statistics NZ'!E$130:E$210)</f>
        <v>23281.872383461123</v>
      </c>
      <c r="F174" s="44">
        <f>'Statistics NZ'!F$174*'Economic Forecasts'!H$9*1000000/SUM('Statistics NZ'!F$30:F$110,'Statistics NZ'!F$130:F$210)</f>
        <v>23325.400942916651</v>
      </c>
      <c r="G174" s="44">
        <f>'Statistics NZ'!G$174*'Economic Forecasts'!I$9*1000000/SUM('Statistics NZ'!G$30:G$110,'Statistics NZ'!G$130:G$210)</f>
        <v>23632.868256335547</v>
      </c>
      <c r="H174" s="44">
        <f>'Statistics NZ'!H$174*'Economic Forecasts'!J$9*1000000/SUM('Statistics NZ'!H$30:H$110,'Statistics NZ'!H$130:H$210)</f>
        <v>23786.657023529442</v>
      </c>
      <c r="I174" s="44">
        <f>'Statistics NZ'!I$174*'Economic Forecasts'!K$9*1000000/SUM('Statistics NZ'!I$30:I$110,'Statistics NZ'!I$130:I$210)</f>
        <v>24538.298932162761</v>
      </c>
      <c r="J174" s="44">
        <f>'Statistics NZ'!J$174*'Economic Forecasts'!L$9*1000000/SUM('Statistics NZ'!J$30:J$110,'Statistics NZ'!J$130:J$210)</f>
        <v>24935.562897740198</v>
      </c>
      <c r="K174" s="44">
        <f>'Statistics NZ'!K$174*'Economic Forecasts'!M$9*1000000/SUM('Statistics NZ'!K$30:K$110,'Statistics NZ'!K$130:K$210)</f>
        <v>25839.926134917496</v>
      </c>
      <c r="L174" s="44">
        <f>'Statistics NZ'!L$174*'Economic Forecasts'!N$9*1000000/SUM('Statistics NZ'!L$30:L$110,'Statistics NZ'!L$130:L$210)</f>
        <v>26542.012555713009</v>
      </c>
      <c r="M174" s="44">
        <f>'Statistics NZ'!M$174*'Economic Forecasts'!O$9*1000000/SUM('Statistics NZ'!M$30:M$110,'Statistics NZ'!M$130:M$210)</f>
        <v>27159.415280403846</v>
      </c>
      <c r="N174" s="44">
        <f>'Statistics NZ'!N$174*'Economic Forecasts'!P$9*1000000/SUM('Statistics NZ'!N$30:N$110,'Statistics NZ'!N$130:N$210)</f>
        <v>28630.717678180339</v>
      </c>
      <c r="O174" s="44">
        <f>'Statistics NZ'!O$174*'Economic Forecasts'!Q$9*1000000/SUM('Statistics NZ'!O$30:O$110,'Statistics NZ'!O$130:O$210)</f>
        <v>29223.075907327635</v>
      </c>
      <c r="P174" s="44">
        <f>'Statistics NZ'!P$174*'Economic Forecasts'!R$9*1000000/SUM('Statistics NZ'!P$30:P$110,'Statistics NZ'!P$130:P$210)</f>
        <v>30174.157355373511</v>
      </c>
      <c r="Q174" s="44">
        <f>'Statistics NZ'!Q$174*'Economic Forecasts'!S$9*1000000/SUM('Statistics NZ'!Q$30:Q$110,'Statistics NZ'!Q$130:Q$210)</f>
        <v>31263.042511788586</v>
      </c>
      <c r="R174" s="44">
        <f>'Statistics NZ'!R$174*'Economic Forecasts'!T$9*1000000/SUM('Statistics NZ'!R$30:R$110,'Statistics NZ'!R$130:R$210)</f>
        <v>31377.779936280989</v>
      </c>
      <c r="S174" s="44">
        <f>'Statistics NZ'!S$174*'Economic Forecasts'!U$9*1000000/SUM('Statistics NZ'!S$30:S$110,'Statistics NZ'!S$130:S$210)</f>
        <v>30423.540355638343</v>
      </c>
      <c r="T174" s="44">
        <f>'Statistics NZ'!T$174*'Economic Forecasts'!V$9*1000000/SUM('Statistics NZ'!T$30:T$110,'Statistics NZ'!T$130:T$210)</f>
        <v>29863.505013620819</v>
      </c>
      <c r="U174" s="45">
        <f>SUM('Statistics NZ'!U$174,$M$13/5*(U$8-U$9)*1000)*'Economic Forecasts'!W$9*1000000/SUM('Statistics NZ'!U$30:U$110,'Statistics NZ'!U$130:U$210,SUM($E$12:$T$13)*(U$8-U$9)*1000)</f>
        <v>29504.108277742525</v>
      </c>
      <c r="V174" s="45">
        <f>SUM('Statistics NZ'!V$174,$M$13/5*(V$8-V$9)*1000)*'Economic Forecasts'!X$9*1000000/SUM('Statistics NZ'!V$30:V$110,'Statistics NZ'!V$130:V$210,SUM($E$12:$T$13)*(V$8-V$9)*1000)</f>
        <v>29492.077870643483</v>
      </c>
      <c r="W174" s="45">
        <f>SUM('Statistics NZ'!W$174,$M$13/5*(W$8-W$9)*1000)*'Economic Forecasts'!Y$9*1000000/SUM('Statistics NZ'!W$30:W$110,'Statistics NZ'!W$130:W$210,SUM($E$12:$T$13)*(W$8-W$9)*1000)</f>
        <v>30151.072845857376</v>
      </c>
      <c r="X174" s="45">
        <f>SUM('Statistics NZ'!X$174,$M$13/5*(X$8-X$9)*1000)*'Economic Forecasts'!Z$9*1000000/SUM('Statistics NZ'!X$30:X$110,'Statistics NZ'!X$130:X$210,SUM($E$12:$T$13)*(X$8-X$9)*1000)</f>
        <v>30869.696465411587</v>
      </c>
      <c r="Y174" s="45">
        <f>SUM('Statistics NZ'!Y$174,$M$13/5*(Y$8-Y$9)*1000)*'Economic Forecasts'!AA$9*1000000/SUM('Statistics NZ'!Y$30:Y$110,'Statistics NZ'!Y$130:Y$210,SUM($E$12:$T$13)*(Y$8-Y$9)*1000)</f>
        <v>30919.403019028472</v>
      </c>
      <c r="Z174" s="46">
        <f>SUM(Y$174,'Statistics NZ'!Z$174-'Statistics NZ'!Y$174,$M$13/5*(Z$8-Z$9)*1000)</f>
        <v>32081.694553982987</v>
      </c>
      <c r="AA174" s="46">
        <f>SUM(Z$174,'Statistics NZ'!AA$174-'Statistics NZ'!Z$174,$M$13/5*(AA$8-AA$9)*1000)</f>
        <v>31883.069474955697</v>
      </c>
      <c r="AB174" s="46">
        <f>SUM(AA$174,'Statistics NZ'!AB$174-'Statistics NZ'!AA$174,$M$13/5*(AB$8-AB$9)*1000)</f>
        <v>31103.711104742961</v>
      </c>
      <c r="AC174" s="46">
        <f>SUM(AB$174,'Statistics NZ'!AC$174-'Statistics NZ'!AB$174,$M$13/5*(AC$8-AC$9)*1000)</f>
        <v>30393.711104742961</v>
      </c>
      <c r="AD174" s="46">
        <f>SUM(AC$174,'Statistics NZ'!AD$174-'Statistics NZ'!AC$174,$M$13/5*(AD$8-AD$9)*1000)</f>
        <v>29483.711104742961</v>
      </c>
      <c r="AE174" s="46">
        <f>SUM(AD$174,'Statistics NZ'!AE$174-'Statistics NZ'!AD$174,$M$13/5*(AE$8-AE$9)*1000)</f>
        <v>29393.711104742961</v>
      </c>
      <c r="AF174" s="46">
        <f>SUM(AE$174,'Statistics NZ'!AF$174-'Statistics NZ'!AE$174,$M$13/5*(AF$8-AF$9)*1000)</f>
        <v>29833.711104742961</v>
      </c>
      <c r="AG174" s="46">
        <f>SUM(AF$174,'Statistics NZ'!AG$174-'Statistics NZ'!AF$174,$M$13/5*(AG$8-AG$9)*1000)</f>
        <v>29643.711104742961</v>
      </c>
      <c r="AH174" s="46">
        <f>SUM(AG$174,'Statistics NZ'!AH$174-'Statistics NZ'!AG$174,$M$13/5*(AH$8-AH$9)*1000)</f>
        <v>31013.711104742961</v>
      </c>
      <c r="AI174" s="46">
        <f>SUM(AH$174,'Statistics NZ'!AI$174-'Statistics NZ'!AH$174,$M$13/5*(AI$8-AI$9)*1000)</f>
        <v>32173.711104742961</v>
      </c>
      <c r="AJ174" s="46">
        <f>SUM(AI$174,'Statistics NZ'!AJ$174-'Statistics NZ'!AI$174,$M$13/5*(AJ$8-AJ$9)*1000)</f>
        <v>33193.711104742964</v>
      </c>
      <c r="AK174" s="46">
        <f>SUM(AJ$174,'Statistics NZ'!AK$174-'Statistics NZ'!AJ$174,$M$13/5*(AK$8-AK$9)*1000)</f>
        <v>34173.711104742964</v>
      </c>
      <c r="AL174" s="46">
        <f>SUM(AK$174,'Statistics NZ'!AL$174-'Statistics NZ'!AK$174,$M$13/5*(AL$8-AL$9)*1000)</f>
        <v>35613.711104742964</v>
      </c>
      <c r="AM174" s="46">
        <f>SUM(AL$174,'Statistics NZ'!AM$174-'Statistics NZ'!AL$174,$M$13/5*(AM$8-AM$9)*1000)</f>
        <v>36653.711104742964</v>
      </c>
      <c r="AN174" s="46">
        <f>SUM(AM$174,'Statistics NZ'!AN$174-'Statistics NZ'!AM$174,$M$13/5*(AN$8-AN$9)*1000)</f>
        <v>37293.711104742964</v>
      </c>
      <c r="AO174" s="46">
        <f>SUM(AN$174,'Statistics NZ'!AO$174-'Statistics NZ'!AN$174,$M$13/5*(AO$8-AO$9)*1000)</f>
        <v>38523.711104742964</v>
      </c>
      <c r="AP174" s="46">
        <f>SUM(AO$174,'Statistics NZ'!AP$174-'Statistics NZ'!AO$174,$M$13/5*(AP$8-AP$9)*1000)</f>
        <v>40623.711104742964</v>
      </c>
      <c r="AQ174" s="46">
        <f>SUM(AP$174,'Statistics NZ'!AQ$174-'Statistics NZ'!AP$174,$M$13/5*(AQ$8-AQ$9)*1000)</f>
        <v>41903.711104742964</v>
      </c>
      <c r="AR174" s="46">
        <f>SUM(AQ$174,'Statistics NZ'!AR$174-'Statistics NZ'!AQ$174,$M$13/5*(AR$8-AR$9)*1000)</f>
        <v>42723.711104742964</v>
      </c>
      <c r="AS174" s="46">
        <f>SUM(AR$174,'Statistics NZ'!AS$174-'Statistics NZ'!AR$174,$M$13/5*(AS$8-AS$9)*1000)</f>
        <v>44483.711104742964</v>
      </c>
      <c r="AT174" s="46">
        <f>SUM(AS$174,'Statistics NZ'!AT$174-'Statistics NZ'!AS$174,$M$13/5*(AT$8-AT$9)*1000)</f>
        <v>45303.711104742964</v>
      </c>
      <c r="AU174" s="46">
        <f>SUM(AT$174,'Statistics NZ'!AU$174-'Statistics NZ'!AT$174,$M$13/5*(AU$8-AU$9)*1000)</f>
        <v>45323.711104742964</v>
      </c>
      <c r="AV174" s="46">
        <f>SUM(AU$174,'Statistics NZ'!AV$174-'Statistics NZ'!AU$174,$M$13/5*(AV$8-AV$9)*1000)</f>
        <v>44523.711104742964</v>
      </c>
      <c r="AW174" s="46">
        <f>SUM(AV$174,'Statistics NZ'!AW$174-'Statistics NZ'!AV$174,$M$13/5*(AW$8-AW$9)*1000)</f>
        <v>43483.711104742964</v>
      </c>
      <c r="AX174" s="46">
        <f>SUM(AW$174,'Statistics NZ'!AX$174-'Statistics NZ'!AW$174,$M$13/5*(AX$8-AX$9)*1000)</f>
        <v>43153.711104742964</v>
      </c>
      <c r="AY174" s="46">
        <f>SUM(AX$174,'Statistics NZ'!AY$174-'Statistics NZ'!AX$174,$M$13/5*(AY$8-AY$9)*1000)</f>
        <v>42713.711104742964</v>
      </c>
      <c r="AZ174" s="46">
        <f>SUM(AY$174,'Statistics NZ'!AZ$174-'Statistics NZ'!AY$174,$M$13/5*(AZ$8-AZ$9)*1000)</f>
        <v>41363.711104742964</v>
      </c>
      <c r="BA174" s="46">
        <f>SUM(AZ$174,'Statistics NZ'!BA$174-'Statistics NZ'!AZ$174,$M$13/5*(BA$8-BA$9)*1000)</f>
        <v>41243.711104742964</v>
      </c>
      <c r="BB174" s="46">
        <f>SUM(BA$174,'Statistics NZ'!BB$174-'Statistics NZ'!BA$174,$M$13/5*(BB$8-BB$9)*1000)</f>
        <v>40633.711104742964</v>
      </c>
      <c r="BC174" s="46">
        <f>SUM(BB$174,'Statistics NZ'!BC$174-'Statistics NZ'!BB$174,$M$13/5*(BC$8-BC$9)*1000)</f>
        <v>41643.711104742964</v>
      </c>
      <c r="BD174" s="46">
        <f>SUM(BC$174,'Statistics NZ'!BD$174-'Statistics NZ'!BC$174,$M$13/5*(BD$8-BD$9)*1000)</f>
        <v>41343.711104742964</v>
      </c>
      <c r="BE174" s="46">
        <f>SUM(BD$174,'Statistics NZ'!BE$174-'Statistics NZ'!BD$174,$M$13/5*(BE$8-BE$9)*1000)</f>
        <v>40683.711104742964</v>
      </c>
      <c r="BF174" s="46">
        <f>SUM(BE$174,'Statistics NZ'!BF$174-'Statistics NZ'!BE$174,$M$13/5*(BF$8-BF$9)*1000)</f>
        <v>41433.711104742964</v>
      </c>
      <c r="BG174" s="46">
        <f>SUM(BF$174,'Statistics NZ'!BG$174-'Statistics NZ'!BF$174,$M$13/5*(BG$8-BG$9)*1000)</f>
        <v>42463.711104742964</v>
      </c>
      <c r="BH174" s="46">
        <f>SUM(BG$174,'Statistics NZ'!BH$174-'Statistics NZ'!BG$174,$M$13/5*(BH$8-BH$9)*1000)</f>
        <v>42903.711104742964</v>
      </c>
      <c r="BI174" s="46">
        <f>SUM(BH$174,'Statistics NZ'!BI$174-'Statistics NZ'!BH$174,$M$13/5*(BI$8-BI$9)*1000)</f>
        <v>43863.711104742964</v>
      </c>
    </row>
    <row r="175" spans="1:61" x14ac:dyDescent="0.25">
      <c r="A175" s="11">
        <f>$A$75</f>
        <v>60</v>
      </c>
      <c r="B175" s="44">
        <f>'Statistics NZ'!B$175*'Economic Forecasts'!D$9*1000000/SUM('Statistics NZ'!B$30:B$110,'Statistics NZ'!B$130:B$210)</f>
        <v>19724.424813124937</v>
      </c>
      <c r="C175" s="44">
        <f>'Statistics NZ'!C$175*'Economic Forecasts'!E$9*1000000/SUM('Statistics NZ'!C$30:C$110,'Statistics NZ'!C$130:C$210)</f>
        <v>23430.706723959953</v>
      </c>
      <c r="D175" s="44">
        <f>'Statistics NZ'!D$175*'Economic Forecasts'!F$9*1000000/SUM('Statistics NZ'!D$30:D$110,'Statistics NZ'!D$130:D$210)</f>
        <v>23270.032459039779</v>
      </c>
      <c r="E175" s="44">
        <f>'Statistics NZ'!E$175*'Economic Forecasts'!G$9*1000000/SUM('Statistics NZ'!E$30:E$110,'Statistics NZ'!E$130:E$210)</f>
        <v>23056.310856578395</v>
      </c>
      <c r="F175" s="44">
        <f>'Statistics NZ'!F$175*'Economic Forecasts'!H$9*1000000/SUM('Statistics NZ'!F$30:F$110,'Statistics NZ'!F$130:F$210)</f>
        <v>23227.312629447701</v>
      </c>
      <c r="G175" s="44">
        <f>'Statistics NZ'!G$175*'Economic Forecasts'!I$9*1000000/SUM('Statistics NZ'!G$30:G$110,'Statistics NZ'!G$130:G$210)</f>
        <v>23279.259254993867</v>
      </c>
      <c r="H175" s="44">
        <f>'Statistics NZ'!H$175*'Economic Forecasts'!J$9*1000000/SUM('Statistics NZ'!H$30:H$110,'Statistics NZ'!H$130:H$210)</f>
        <v>23531.20345780794</v>
      </c>
      <c r="I175" s="44">
        <f>'Statistics NZ'!I$175*'Economic Forecasts'!K$9*1000000/SUM('Statistics NZ'!I$30:I$110,'Statistics NZ'!I$130:I$210)</f>
        <v>23646.175399271509</v>
      </c>
      <c r="J175" s="44">
        <f>'Statistics NZ'!J$175*'Economic Forecasts'!L$9*1000000/SUM('Statistics NZ'!J$30:J$110,'Statistics NZ'!J$130:J$210)</f>
        <v>24350.44996310414</v>
      </c>
      <c r="K175" s="44">
        <f>'Statistics NZ'!K$175*'Economic Forecasts'!M$9*1000000/SUM('Statistics NZ'!K$30:K$110,'Statistics NZ'!K$130:K$210)</f>
        <v>24944.193955410188</v>
      </c>
      <c r="L175" s="44">
        <f>'Statistics NZ'!L$175*'Economic Forecasts'!N$9*1000000/SUM('Statistics NZ'!L$30:L$110,'Statistics NZ'!L$130:L$210)</f>
        <v>25840.976273977369</v>
      </c>
      <c r="M175" s="44">
        <f>'Statistics NZ'!M$175*'Economic Forecasts'!O$9*1000000/SUM('Statistics NZ'!M$30:M$110,'Statistics NZ'!M$130:M$210)</f>
        <v>26583.010423733405</v>
      </c>
      <c r="N175" s="44">
        <f>'Statistics NZ'!N$175*'Economic Forecasts'!P$9*1000000/SUM('Statistics NZ'!N$30:N$110,'Statistics NZ'!N$130:N$210)</f>
        <v>27241.257011638434</v>
      </c>
      <c r="O175" s="44">
        <f>'Statistics NZ'!O$175*'Economic Forecasts'!Q$9*1000000/SUM('Statistics NZ'!O$30:O$110,'Statistics NZ'!O$130:O$210)</f>
        <v>28652.773618422856</v>
      </c>
      <c r="P175" s="44">
        <f>'Statistics NZ'!P$175*'Economic Forecasts'!R$9*1000000/SUM('Statistics NZ'!P$30:P$110,'Statistics NZ'!P$130:P$210)</f>
        <v>29221.082375408929</v>
      </c>
      <c r="Q175" s="44">
        <f>'Statistics NZ'!Q$175*'Economic Forecasts'!S$9*1000000/SUM('Statistics NZ'!Q$30:Q$110,'Statistics NZ'!Q$130:Q$210)</f>
        <v>30309.355800275491</v>
      </c>
      <c r="R175" s="44">
        <f>'Statistics NZ'!R$175*'Economic Forecasts'!T$9*1000000/SUM('Statistics NZ'!R$30:R$110,'Statistics NZ'!R$130:R$210)</f>
        <v>31039.206620561043</v>
      </c>
      <c r="S175" s="44">
        <f>'Statistics NZ'!S$175*'Economic Forecasts'!U$9*1000000/SUM('Statistics NZ'!S$30:S$110,'Statistics NZ'!S$130:S$210)</f>
        <v>30649.482050239472</v>
      </c>
      <c r="T175" s="44">
        <f>'Statistics NZ'!T$175*'Economic Forecasts'!V$9*1000000/SUM('Statistics NZ'!T$30:T$110,'Statistics NZ'!T$130:T$210)</f>
        <v>30458.198110473542</v>
      </c>
      <c r="U175" s="45">
        <f>SUM('Statistics NZ'!U$175,$N$13/5*(U$8-U$9)*1000)*'Economic Forecasts'!W$9*1000000/SUM('Statistics NZ'!U$30:U$110,'Statistics NZ'!U$130:U$210,SUM($E$12:$T$13)*(U$8-U$9)*1000)</f>
        <v>29734.811886173506</v>
      </c>
      <c r="V175" s="45">
        <f>SUM('Statistics NZ'!V$175,$N$13/5*(V$8-V$9)*1000)*'Economic Forecasts'!X$9*1000000/SUM('Statistics NZ'!V$30:V$110,'Statistics NZ'!V$130:V$210,SUM($E$12:$T$13)*(V$8-V$9)*1000)</f>
        <v>29386.543139788428</v>
      </c>
      <c r="W175" s="45">
        <f>SUM('Statistics NZ'!W$175,$N$13/5*(W$8-W$9)*1000)*'Economic Forecasts'!Y$9*1000000/SUM('Statistics NZ'!W$30:W$110,'Statistics NZ'!W$130:W$210,SUM($E$12:$T$13)*(W$8-W$9)*1000)</f>
        <v>29409.780058538799</v>
      </c>
      <c r="X175" s="45">
        <f>SUM('Statistics NZ'!X$175,$N$13/5*(X$8-X$9)*1000)*'Economic Forecasts'!Z$9*1000000/SUM('Statistics NZ'!X$30:X$110,'Statistics NZ'!X$130:X$210,SUM($E$12:$T$13)*(X$8-X$9)*1000)</f>
        <v>30066.21110656119</v>
      </c>
      <c r="Y175" s="45">
        <f>SUM('Statistics NZ'!Y$175,$N$13/5*(Y$8-Y$9)*1000)*'Economic Forecasts'!AA$9*1000000/SUM('Statistics NZ'!Y$30:Y$110,'Statistics NZ'!Y$130:Y$210,SUM($E$12:$T$13)*(Y$8-Y$9)*1000)</f>
        <v>30797.068248909025</v>
      </c>
      <c r="Z175" s="46">
        <f>SUM(Y$175,'Statistics NZ'!Z$175-'Statistics NZ'!Y$175,$N$13/5*(Z$8-Z$9)*1000)</f>
        <v>30843.447609992887</v>
      </c>
      <c r="AA175" s="46">
        <f>SUM(Z$175,'Statistics NZ'!AA$175-'Statistics NZ'!Z$175,$N$13/5*(AA$8-AA$9)*1000)</f>
        <v>32007.275226643203</v>
      </c>
      <c r="AB175" s="46">
        <f>SUM(AA$175,'Statistics NZ'!AB$175-'Statistics NZ'!AA$175,$N$13/5*(AB$8-AB$9)*1000)</f>
        <v>31819.061447746684</v>
      </c>
      <c r="AC175" s="46">
        <f>SUM(AB$175,'Statistics NZ'!AC$175-'Statistics NZ'!AB$175,$N$13/5*(AC$8-AC$9)*1000)</f>
        <v>31039.061447746684</v>
      </c>
      <c r="AD175" s="46">
        <f>SUM(AC$175,'Statistics NZ'!AD$175-'Statistics NZ'!AC$175,$N$13/5*(AD$8-AD$9)*1000)</f>
        <v>30339.061447746684</v>
      </c>
      <c r="AE175" s="46">
        <f>SUM(AD$175,'Statistics NZ'!AE$175-'Statistics NZ'!AD$175,$N$13/5*(AE$8-AE$9)*1000)</f>
        <v>29429.061447746684</v>
      </c>
      <c r="AF175" s="46">
        <f>SUM(AE$175,'Statistics NZ'!AF$175-'Statistics NZ'!AE$175,$N$13/5*(AF$8-AF$9)*1000)</f>
        <v>29349.061447746684</v>
      </c>
      <c r="AG175" s="46">
        <f>SUM(AF$175,'Statistics NZ'!AG$175-'Statistics NZ'!AF$175,$N$13/5*(AG$8-AG$9)*1000)</f>
        <v>29789.061447746684</v>
      </c>
      <c r="AH175" s="46">
        <f>SUM(AG$175,'Statistics NZ'!AH$175-'Statistics NZ'!AG$175,$N$13/5*(AH$8-AH$9)*1000)</f>
        <v>29599.061447746684</v>
      </c>
      <c r="AI175" s="46">
        <f>SUM(AH$175,'Statistics NZ'!AI$175-'Statistics NZ'!AH$175,$N$13/5*(AI$8-AI$9)*1000)</f>
        <v>30979.061447746684</v>
      </c>
      <c r="AJ175" s="46">
        <f>SUM(AI$175,'Statistics NZ'!AJ$175-'Statistics NZ'!AI$175,$N$13/5*(AJ$8-AJ$9)*1000)</f>
        <v>32129.061447746684</v>
      </c>
      <c r="AK175" s="46">
        <f>SUM(AJ$175,'Statistics NZ'!AK$175-'Statistics NZ'!AJ$175,$N$13/5*(AK$8-AK$9)*1000)</f>
        <v>33149.061447746688</v>
      </c>
      <c r="AL175" s="46">
        <f>SUM(AK$175,'Statistics NZ'!AL$175-'Statistics NZ'!AK$175,$N$13/5*(AL$8-AL$9)*1000)</f>
        <v>34129.061447746688</v>
      </c>
      <c r="AM175" s="46">
        <f>SUM(AL$175,'Statistics NZ'!AM$175-'Statistics NZ'!AL$175,$N$13/5*(AM$8-AM$9)*1000)</f>
        <v>35569.061447746688</v>
      </c>
      <c r="AN175" s="46">
        <f>SUM(AM$175,'Statistics NZ'!AN$175-'Statistics NZ'!AM$175,$N$13/5*(AN$8-AN$9)*1000)</f>
        <v>36609.061447746688</v>
      </c>
      <c r="AO175" s="46">
        <f>SUM(AN$175,'Statistics NZ'!AO$175-'Statistics NZ'!AN$175,$N$13/5*(AO$8-AO$9)*1000)</f>
        <v>37249.061447746688</v>
      </c>
      <c r="AP175" s="46">
        <f>SUM(AO$175,'Statistics NZ'!AP$175-'Statistics NZ'!AO$175,$N$13/5*(AP$8-AP$9)*1000)</f>
        <v>38479.061447746688</v>
      </c>
      <c r="AQ175" s="46">
        <f>SUM(AP$175,'Statistics NZ'!AQ$175-'Statistics NZ'!AP$175,$N$13/5*(AQ$8-AQ$9)*1000)</f>
        <v>40579.061447746688</v>
      </c>
      <c r="AR175" s="46">
        <f>SUM(AQ$175,'Statistics NZ'!AR$175-'Statistics NZ'!AQ$175,$N$13/5*(AR$8-AR$9)*1000)</f>
        <v>41849.061447746688</v>
      </c>
      <c r="AS175" s="46">
        <f>SUM(AR$175,'Statistics NZ'!AS$175-'Statistics NZ'!AR$175,$N$13/5*(AS$8-AS$9)*1000)</f>
        <v>42679.061447746688</v>
      </c>
      <c r="AT175" s="46">
        <f>SUM(AS$175,'Statistics NZ'!AT$175-'Statistics NZ'!AS$175,$N$13/5*(AT$8-AT$9)*1000)</f>
        <v>44429.061447746688</v>
      </c>
      <c r="AU175" s="46">
        <f>SUM(AT$175,'Statistics NZ'!AU$175-'Statistics NZ'!AT$175,$N$13/5*(AU$8-AU$9)*1000)</f>
        <v>45249.061447746688</v>
      </c>
      <c r="AV175" s="46">
        <f>SUM(AU$175,'Statistics NZ'!AV$175-'Statistics NZ'!AU$175,$N$13/5*(AV$8-AV$9)*1000)</f>
        <v>45269.061447746688</v>
      </c>
      <c r="AW175" s="46">
        <f>SUM(AV$175,'Statistics NZ'!AW$175-'Statistics NZ'!AV$175,$N$13/5*(AW$8-AW$9)*1000)</f>
        <v>44479.061447746688</v>
      </c>
      <c r="AX175" s="46">
        <f>SUM(AW$175,'Statistics NZ'!AX$175-'Statistics NZ'!AW$175,$N$13/5*(AX$8-AX$9)*1000)</f>
        <v>43449.061447746688</v>
      </c>
      <c r="AY175" s="46">
        <f>SUM(AX$175,'Statistics NZ'!AY$175-'Statistics NZ'!AX$175,$N$13/5*(AY$8-AY$9)*1000)</f>
        <v>43119.061447746688</v>
      </c>
      <c r="AZ175" s="46">
        <f>SUM(AY$175,'Statistics NZ'!AZ$175-'Statistics NZ'!AY$175,$N$13/5*(AZ$8-AZ$9)*1000)</f>
        <v>42689.061447746688</v>
      </c>
      <c r="BA175" s="46">
        <f>SUM(AZ$175,'Statistics NZ'!BA$175-'Statistics NZ'!AZ$175,$N$13/5*(BA$8-BA$9)*1000)</f>
        <v>41349.061447746688</v>
      </c>
      <c r="BB175" s="46">
        <f>SUM(BA$175,'Statistics NZ'!BB$175-'Statistics NZ'!BA$175,$N$13/5*(BB$8-BB$9)*1000)</f>
        <v>41229.061447746688</v>
      </c>
      <c r="BC175" s="46">
        <f>SUM(BB$175,'Statistics NZ'!BC$175-'Statistics NZ'!BB$175,$N$13/5*(BC$8-BC$9)*1000)</f>
        <v>40629.061447746688</v>
      </c>
      <c r="BD175" s="46">
        <f>SUM(BC$175,'Statistics NZ'!BD$175-'Statistics NZ'!BC$175,$N$13/5*(BD$8-BD$9)*1000)</f>
        <v>41629.061447746688</v>
      </c>
      <c r="BE175" s="46">
        <f>SUM(BD$175,'Statistics NZ'!BE$175-'Statistics NZ'!BD$175,$N$13/5*(BE$8-BE$9)*1000)</f>
        <v>41329.061447746688</v>
      </c>
      <c r="BF175" s="46">
        <f>SUM(BE$175,'Statistics NZ'!BF$175-'Statistics NZ'!BE$175,$N$13/5*(BF$8-BF$9)*1000)</f>
        <v>40679.061447746688</v>
      </c>
      <c r="BG175" s="46">
        <f>SUM(BF$175,'Statistics NZ'!BG$175-'Statistics NZ'!BF$175,$N$13/5*(BG$8-BG$9)*1000)</f>
        <v>41429.061447746688</v>
      </c>
      <c r="BH175" s="46">
        <f>SUM(BG$175,'Statistics NZ'!BH$175-'Statistics NZ'!BG$175,$N$13/5*(BH$8-BH$9)*1000)</f>
        <v>42469.061447746688</v>
      </c>
      <c r="BI175" s="46">
        <f>SUM(BH$175,'Statistics NZ'!BI$175-'Statistics NZ'!BH$175,$N$13/5*(BI$8-BI$9)*1000)</f>
        <v>42909.061447746688</v>
      </c>
    </row>
    <row r="176" spans="1:61" x14ac:dyDescent="0.25">
      <c r="A176" s="11">
        <f>$A$76</f>
        <v>61</v>
      </c>
      <c r="B176" s="44">
        <f>'Statistics NZ'!B$176*'Economic Forecasts'!D$9*1000000/SUM('Statistics NZ'!B$30:B$110,'Statistics NZ'!B$130:B$210)</f>
        <v>18726.462843413261</v>
      </c>
      <c r="C176" s="44">
        <f>'Statistics NZ'!C$176*'Economic Forecasts'!E$9*1000000/SUM('Statistics NZ'!C$30:C$110,'Statistics NZ'!C$130:C$210)</f>
        <v>19669.616751086251</v>
      </c>
      <c r="D176" s="44">
        <f>'Statistics NZ'!D$176*'Economic Forecasts'!F$9*1000000/SUM('Statistics NZ'!D$30:D$110,'Statistics NZ'!D$130:D$210)</f>
        <v>23279.855182745578</v>
      </c>
      <c r="E176" s="44">
        <f>'Statistics NZ'!E$176*'Economic Forecasts'!G$9*1000000/SUM('Statistics NZ'!E$30:E$110,'Statistics NZ'!E$130:E$210)</f>
        <v>23095.538948210175</v>
      </c>
      <c r="F176" s="44">
        <f>'Statistics NZ'!F$176*'Economic Forecasts'!H$9*1000000/SUM('Statistics NZ'!F$30:F$110,'Statistics NZ'!F$130:F$210)</f>
        <v>22972.283014428427</v>
      </c>
      <c r="G176" s="44">
        <f>'Statistics NZ'!G$176*'Economic Forecasts'!I$9*1000000/SUM('Statistics NZ'!G$30:G$110,'Statistics NZ'!G$130:G$210)</f>
        <v>23122.099698842008</v>
      </c>
      <c r="H176" s="44">
        <f>'Statistics NZ'!H$176*'Economic Forecasts'!J$9*1000000/SUM('Statistics NZ'!H$30:H$110,'Statistics NZ'!H$130:H$210)</f>
        <v>23167.673383511945</v>
      </c>
      <c r="I176" s="44">
        <f>'Statistics NZ'!I$176*'Economic Forecasts'!K$9*1000000/SUM('Statistics NZ'!I$30:I$110,'Statistics NZ'!I$130:I$210)</f>
        <v>23381.479405996077</v>
      </c>
      <c r="J176" s="44">
        <f>'Statistics NZ'!J$176*'Economic Forecasts'!L$9*1000000/SUM('Statistics NZ'!J$30:J$110,'Statistics NZ'!J$130:J$210)</f>
        <v>23511.788090125778</v>
      </c>
      <c r="K176" s="44">
        <f>'Statistics NZ'!K$176*'Economic Forecasts'!M$9*1000000/SUM('Statistics NZ'!K$30:K$110,'Statistics NZ'!K$130:K$210)</f>
        <v>24301.603478807112</v>
      </c>
      <c r="L176" s="44">
        <f>'Statistics NZ'!L$176*'Economic Forecasts'!N$9*1000000/SUM('Statistics NZ'!L$30:L$110,'Statistics NZ'!L$130:L$210)</f>
        <v>24964.680921807834</v>
      </c>
      <c r="M176" s="44">
        <f>'Statistics NZ'!M$176*'Economic Forecasts'!O$9*1000000/SUM('Statistics NZ'!M$30:M$110,'Statistics NZ'!M$130:M$210)</f>
        <v>25899.140254802373</v>
      </c>
      <c r="N176" s="44">
        <f>'Statistics NZ'!N$176*'Economic Forecasts'!P$9*1000000/SUM('Statistics NZ'!N$30:N$110,'Statistics NZ'!N$130:N$210)</f>
        <v>26526.956809824638</v>
      </c>
      <c r="O176" s="44">
        <f>'Statistics NZ'!O$176*'Economic Forecasts'!Q$9*1000000/SUM('Statistics NZ'!O$30:O$110,'Statistics NZ'!O$130:O$210)</f>
        <v>27256.516290414609</v>
      </c>
      <c r="P176" s="44">
        <f>'Statistics NZ'!P$176*'Economic Forecasts'!R$9*1000000/SUM('Statistics NZ'!P$30:P$110,'Statistics NZ'!P$130:P$210)</f>
        <v>28690.50455151112</v>
      </c>
      <c r="Q176" s="44">
        <f>'Statistics NZ'!Q$176*'Economic Forecasts'!S$9*1000000/SUM('Statistics NZ'!Q$30:Q$110,'Statistics NZ'!Q$130:Q$210)</f>
        <v>29296.063669292831</v>
      </c>
      <c r="R176" s="44">
        <f>'Statistics NZ'!R$176*'Economic Forecasts'!T$9*1000000/SUM('Statistics NZ'!R$30:R$110,'Statistics NZ'!R$130:R$210)</f>
        <v>30162.899215168236</v>
      </c>
      <c r="S176" s="44">
        <f>'Statistics NZ'!S$176*'Economic Forecasts'!U$9*1000000/SUM('Statistics NZ'!S$30:S$110,'Statistics NZ'!S$130:S$210)</f>
        <v>30335.128388185734</v>
      </c>
      <c r="T176" s="44">
        <f>'Statistics NZ'!T$176*'Economic Forecasts'!V$9*1000000/SUM('Statistics NZ'!T$30:T$110,'Statistics NZ'!T$130:T$210)</f>
        <v>30676.252245986205</v>
      </c>
      <c r="U176" s="45">
        <f>SUM('Statistics NZ'!U$176,$N$13/5*(U$8-U$9)*1000)*'Economic Forecasts'!W$9*1000000/SUM('Statistics NZ'!U$30:U$110,'Statistics NZ'!U$130:U$210,SUM($E$12:$T$13)*(U$8-U$9)*1000)</f>
        <v>30319.203832292427</v>
      </c>
      <c r="V176" s="45">
        <f>SUM('Statistics NZ'!V$176,$N$13/5*(V$8-V$9)*1000)*'Economic Forecasts'!X$9*1000000/SUM('Statistics NZ'!V$30:V$110,'Statistics NZ'!V$130:V$210,SUM($E$12:$T$13)*(V$8-V$9)*1000)</f>
        <v>29604.361137114232</v>
      </c>
      <c r="W176" s="45">
        <f>SUM('Statistics NZ'!W$176,$N$13/5*(W$8-W$9)*1000)*'Economic Forecasts'!Y$9*1000000/SUM('Statistics NZ'!W$30:W$110,'Statistics NZ'!W$130:W$210,SUM($E$12:$T$13)*(W$8-W$9)*1000)</f>
        <v>29290.944110619515</v>
      </c>
      <c r="X176" s="45">
        <f>SUM('Statistics NZ'!X$176,$N$13/5*(X$8-X$9)*1000)*'Economic Forecasts'!Z$9*1000000/SUM('Statistics NZ'!X$30:X$110,'Statistics NZ'!X$130:X$210,SUM($E$12:$T$13)*(X$8-X$9)*1000)</f>
        <v>29313.411261610916</v>
      </c>
      <c r="Y176" s="45">
        <f>SUM('Statistics NZ'!Y$176,$N$13/5*(Y$8-Y$9)*1000)*'Economic Forecasts'!AA$9*1000000/SUM('Statistics NZ'!Y$30:Y$110,'Statistics NZ'!Y$130:Y$210,SUM($E$12:$T$13)*(Y$8-Y$9)*1000)</f>
        <v>29974.629496654037</v>
      </c>
      <c r="Z176" s="46">
        <f>SUM(Y$176,'Statistics NZ'!Z$176-'Statistics NZ'!Y$176,$N$13/5*(Z$8-Z$9)*1000)</f>
        <v>30711.008857737899</v>
      </c>
      <c r="AA176" s="46">
        <f>SUM(Z$176,'Statistics NZ'!AA$176-'Statistics NZ'!Z$176,$N$13/5*(AA$8-AA$9)*1000)</f>
        <v>30764.836474388216</v>
      </c>
      <c r="AB176" s="46">
        <f>SUM(AA$176,'Statistics NZ'!AB$176-'Statistics NZ'!AA$176,$N$13/5*(AB$8-AB$9)*1000)</f>
        <v>31926.622695491697</v>
      </c>
      <c r="AC176" s="46">
        <f>SUM(AB$176,'Statistics NZ'!AC$176-'Statistics NZ'!AB$176,$N$13/5*(AC$8-AC$9)*1000)</f>
        <v>31736.622695491697</v>
      </c>
      <c r="AD176" s="46">
        <f>SUM(AC$176,'Statistics NZ'!AD$176-'Statistics NZ'!AC$176,$N$13/5*(AD$8-AD$9)*1000)</f>
        <v>30976.622695491697</v>
      </c>
      <c r="AE176" s="46">
        <f>SUM(AD$176,'Statistics NZ'!AE$176-'Statistics NZ'!AD$176,$N$13/5*(AE$8-AE$9)*1000)</f>
        <v>30286.622695491697</v>
      </c>
      <c r="AF176" s="46">
        <f>SUM(AE$176,'Statistics NZ'!AF$176-'Statistics NZ'!AE$176,$N$13/5*(AF$8-AF$9)*1000)</f>
        <v>29386.622695491697</v>
      </c>
      <c r="AG176" s="46">
        <f>SUM(AF$176,'Statistics NZ'!AG$176-'Statistics NZ'!AF$176,$N$13/5*(AG$8-AG$9)*1000)</f>
        <v>29306.622695491697</v>
      </c>
      <c r="AH176" s="46">
        <f>SUM(AG$176,'Statistics NZ'!AH$176-'Statistics NZ'!AG$176,$N$13/5*(AH$8-AH$9)*1000)</f>
        <v>29746.622695491697</v>
      </c>
      <c r="AI176" s="46">
        <f>SUM(AH$176,'Statistics NZ'!AI$176-'Statistics NZ'!AH$176,$N$13/5*(AI$8-AI$9)*1000)</f>
        <v>29566.622695491697</v>
      </c>
      <c r="AJ176" s="46">
        <f>SUM(AI$176,'Statistics NZ'!AJ$176-'Statistics NZ'!AI$176,$N$13/5*(AJ$8-AJ$9)*1000)</f>
        <v>30926.622695491697</v>
      </c>
      <c r="AK176" s="46">
        <f>SUM(AJ$176,'Statistics NZ'!AK$176-'Statistics NZ'!AJ$176,$N$13/5*(AK$8-AK$9)*1000)</f>
        <v>32086.622695491697</v>
      </c>
      <c r="AL176" s="46">
        <f>SUM(AK$176,'Statistics NZ'!AL$176-'Statistics NZ'!AK$176,$N$13/5*(AL$8-AL$9)*1000)</f>
        <v>33106.622695491693</v>
      </c>
      <c r="AM176" s="46">
        <f>SUM(AL$176,'Statistics NZ'!AM$176-'Statistics NZ'!AL$176,$N$13/5*(AM$8-AM$9)*1000)</f>
        <v>34076.622695491693</v>
      </c>
      <c r="AN176" s="46">
        <f>SUM(AM$176,'Statistics NZ'!AN$176-'Statistics NZ'!AM$176,$N$13/5*(AN$8-AN$9)*1000)</f>
        <v>35516.622695491693</v>
      </c>
      <c r="AO176" s="46">
        <f>SUM(AN$176,'Statistics NZ'!AO$176-'Statistics NZ'!AN$176,$N$13/5*(AO$8-AO$9)*1000)</f>
        <v>36556.622695491693</v>
      </c>
      <c r="AP176" s="46">
        <f>SUM(AO$176,'Statistics NZ'!AP$176-'Statistics NZ'!AO$176,$N$13/5*(AP$8-AP$9)*1000)</f>
        <v>37206.622695491693</v>
      </c>
      <c r="AQ176" s="46">
        <f>SUM(AP$176,'Statistics NZ'!AQ$176-'Statistics NZ'!AP$176,$N$13/5*(AQ$8-AQ$9)*1000)</f>
        <v>38426.622695491693</v>
      </c>
      <c r="AR176" s="46">
        <f>SUM(AQ$176,'Statistics NZ'!AR$176-'Statistics NZ'!AQ$176,$N$13/5*(AR$8-AR$9)*1000)</f>
        <v>40526.622695491693</v>
      </c>
      <c r="AS176" s="46">
        <f>SUM(AR$176,'Statistics NZ'!AS$176-'Statistics NZ'!AR$176,$N$13/5*(AS$8-AS$9)*1000)</f>
        <v>41796.622695491693</v>
      </c>
      <c r="AT176" s="46">
        <f>SUM(AS$176,'Statistics NZ'!AT$176-'Statistics NZ'!AS$176,$N$13/5*(AT$8-AT$9)*1000)</f>
        <v>42616.622695491693</v>
      </c>
      <c r="AU176" s="46">
        <f>SUM(AT$176,'Statistics NZ'!AU$176-'Statistics NZ'!AT$176,$N$13/5*(AU$8-AU$9)*1000)</f>
        <v>44376.622695491693</v>
      </c>
      <c r="AV176" s="46">
        <f>SUM(AU$176,'Statistics NZ'!AV$176-'Statistics NZ'!AU$176,$N$13/5*(AV$8-AV$9)*1000)</f>
        <v>45196.622695491693</v>
      </c>
      <c r="AW176" s="46">
        <f>SUM(AV$176,'Statistics NZ'!AW$176-'Statistics NZ'!AV$176,$N$13/5*(AW$8-AW$9)*1000)</f>
        <v>45216.622695491693</v>
      </c>
      <c r="AX176" s="46">
        <f>SUM(AW$176,'Statistics NZ'!AX$176-'Statistics NZ'!AW$176,$N$13/5*(AX$8-AX$9)*1000)</f>
        <v>44436.622695491693</v>
      </c>
      <c r="AY176" s="46">
        <f>SUM(AX$176,'Statistics NZ'!AY$176-'Statistics NZ'!AX$176,$N$13/5*(AY$8-AY$9)*1000)</f>
        <v>43406.622695491693</v>
      </c>
      <c r="AZ176" s="46">
        <f>SUM(AY$176,'Statistics NZ'!AZ$176-'Statistics NZ'!AY$176,$N$13/5*(AZ$8-AZ$9)*1000)</f>
        <v>43086.622695491693</v>
      </c>
      <c r="BA176" s="46">
        <f>SUM(AZ$176,'Statistics NZ'!BA$176-'Statistics NZ'!AZ$176,$N$13/5*(BA$8-BA$9)*1000)</f>
        <v>42656.622695491693</v>
      </c>
      <c r="BB176" s="46">
        <f>SUM(BA$176,'Statistics NZ'!BB$176-'Statistics NZ'!BA$176,$N$13/5*(BB$8-BB$9)*1000)</f>
        <v>41326.622695491693</v>
      </c>
      <c r="BC176" s="46">
        <f>SUM(BB$176,'Statistics NZ'!BC$176-'Statistics NZ'!BB$176,$N$13/5*(BC$8-BC$9)*1000)</f>
        <v>41206.622695491693</v>
      </c>
      <c r="BD176" s="46">
        <f>SUM(BC$176,'Statistics NZ'!BD$176-'Statistics NZ'!BC$176,$N$13/5*(BD$8-BD$9)*1000)</f>
        <v>40616.622695491693</v>
      </c>
      <c r="BE176" s="46">
        <f>SUM(BD$176,'Statistics NZ'!BE$176-'Statistics NZ'!BD$176,$N$13/5*(BE$8-BE$9)*1000)</f>
        <v>41616.622695491693</v>
      </c>
      <c r="BF176" s="46">
        <f>SUM(BE$176,'Statistics NZ'!BF$176-'Statistics NZ'!BE$176,$N$13/5*(BF$8-BF$9)*1000)</f>
        <v>41326.622695491693</v>
      </c>
      <c r="BG176" s="46">
        <f>SUM(BF$176,'Statistics NZ'!BG$176-'Statistics NZ'!BF$176,$N$13/5*(BG$8-BG$9)*1000)</f>
        <v>40666.622695491693</v>
      </c>
      <c r="BH176" s="46">
        <f>SUM(BG$176,'Statistics NZ'!BH$176-'Statistics NZ'!BG$176,$N$13/5*(BH$8-BH$9)*1000)</f>
        <v>41426.622695491693</v>
      </c>
      <c r="BI176" s="46">
        <f>SUM(BH$176,'Statistics NZ'!BI$176-'Statistics NZ'!BH$176,$N$13/5*(BI$8-BI$9)*1000)</f>
        <v>42456.622695491693</v>
      </c>
    </row>
    <row r="177" spans="1:61" x14ac:dyDescent="0.25">
      <c r="A177" s="11">
        <f>$A$77</f>
        <v>62</v>
      </c>
      <c r="B177" s="44">
        <f>'Statistics NZ'!B$177*'Economic Forecasts'!D$9*1000000/SUM('Statistics NZ'!B$30:B$110,'Statistics NZ'!B$130:B$210)</f>
        <v>18002.451218328319</v>
      </c>
      <c r="C177" s="44">
        <f>'Statistics NZ'!C$177*'Economic Forecasts'!E$9*1000000/SUM('Statistics NZ'!C$30:C$110,'Statistics NZ'!C$130:C$210)</f>
        <v>18677.788847012504</v>
      </c>
      <c r="D177" s="44">
        <f>'Statistics NZ'!D$177*'Economic Forecasts'!F$9*1000000/SUM('Statistics NZ'!D$30:D$110,'Statistics NZ'!D$130:D$210)</f>
        <v>19537.397450835848</v>
      </c>
      <c r="E177" s="44">
        <f>'Statistics NZ'!E$177*'Economic Forecasts'!G$9*1000000/SUM('Statistics NZ'!E$30:E$110,'Statistics NZ'!E$130:E$210)</f>
        <v>23105.345971118113</v>
      </c>
      <c r="F177" s="44">
        <f>'Statistics NZ'!F$177*'Economic Forecasts'!H$9*1000000/SUM('Statistics NZ'!F$30:F$110,'Statistics NZ'!F$130:F$210)</f>
        <v>23001.70950846911</v>
      </c>
      <c r="G177" s="44">
        <f>'Statistics NZ'!G$177*'Economic Forecasts'!I$9*1000000/SUM('Statistics NZ'!G$30:G$110,'Statistics NZ'!G$130:G$210)</f>
        <v>22915.827781392698</v>
      </c>
      <c r="H177" s="44">
        <f>'Statistics NZ'!H$177*'Economic Forecasts'!J$9*1000000/SUM('Statistics NZ'!H$30:H$110,'Statistics NZ'!H$130:H$210)</f>
        <v>23000.646052078657</v>
      </c>
      <c r="I177" s="44">
        <f>'Statistics NZ'!I$177*'Economic Forecasts'!K$9*1000000/SUM('Statistics NZ'!I$30:I$110,'Statistics NZ'!I$130:I$210)</f>
        <v>23057.962080881665</v>
      </c>
      <c r="J177" s="44">
        <f>'Statistics NZ'!J$177*'Economic Forecasts'!L$9*1000000/SUM('Statistics NZ'!J$30:J$110,'Statistics NZ'!J$130:J$210)</f>
        <v>23248.487269539553</v>
      </c>
      <c r="K177" s="44">
        <f>'Statistics NZ'!K$177*'Economic Forecasts'!M$9*1000000/SUM('Statistics NZ'!K$30:K$110,'Statistics NZ'!K$130:K$210)</f>
        <v>23493.49727338204</v>
      </c>
      <c r="L177" s="44">
        <f>'Statistics NZ'!L$177*'Economic Forecasts'!N$9*1000000/SUM('Statistics NZ'!L$30:L$110,'Statistics NZ'!L$130:L$210)</f>
        <v>24273.381255096301</v>
      </c>
      <c r="M177" s="44">
        <f>'Statistics NZ'!M$177*'Economic Forecasts'!O$9*1000000/SUM('Statistics NZ'!M$30:M$110,'Statistics NZ'!M$130:M$210)</f>
        <v>25019.878609033902</v>
      </c>
      <c r="N177" s="44">
        <f>'Statistics NZ'!N$177*'Economic Forecasts'!P$9*1000000/SUM('Statistics NZ'!N$30:N$110,'Statistics NZ'!N$130:N$210)</f>
        <v>25832.226476553689</v>
      </c>
      <c r="O177" s="44">
        <f>'Statistics NZ'!O$177*'Economic Forecasts'!Q$9*1000000/SUM('Statistics NZ'!O$30:O$110,'Statistics NZ'!O$130:O$210)</f>
        <v>26558.387626410477</v>
      </c>
      <c r="P177" s="44">
        <f>'Statistics NZ'!P$177*'Economic Forecasts'!R$9*1000000/SUM('Statistics NZ'!P$30:P$110,'Statistics NZ'!P$130:P$210)</f>
        <v>27354.234476509235</v>
      </c>
      <c r="Q177" s="44">
        <f>'Statistics NZ'!Q$177*'Economic Forecasts'!S$9*1000000/SUM('Statistics NZ'!Q$30:Q$110,'Statistics NZ'!Q$130:Q$210)</f>
        <v>28630.469818549314</v>
      </c>
      <c r="R177" s="44">
        <f>'Statistics NZ'!R$177*'Economic Forecasts'!T$9*1000000/SUM('Statistics NZ'!R$30:R$110,'Statistics NZ'!R$130:R$210)</f>
        <v>28957.976532753131</v>
      </c>
      <c r="S177" s="44">
        <f>'Statistics NZ'!S$177*'Economic Forecasts'!U$9*1000000/SUM('Statistics NZ'!S$30:S$110,'Statistics NZ'!S$130:S$210)</f>
        <v>29559.067784990566</v>
      </c>
      <c r="T177" s="44">
        <f>'Statistics NZ'!T$177*'Economic Forecasts'!V$9*1000000/SUM('Statistics NZ'!T$30:T$110,'Statistics NZ'!T$130:T$210)</f>
        <v>30339.259491102996</v>
      </c>
      <c r="U177" s="45">
        <f>SUM('Statistics NZ'!U$177,$N$13/5*(U$8-U$9)*1000)*'Economic Forecasts'!W$9*1000000/SUM('Statistics NZ'!U$30:U$110,'Statistics NZ'!U$130:U$210,SUM($E$12:$T$13)*(U$8-U$9)*1000)</f>
        <v>30527.20774531781</v>
      </c>
      <c r="V177" s="45">
        <f>SUM('Statistics NZ'!V$177,$N$13/5*(V$8-V$9)*1000)*'Economic Forecasts'!X$9*1000000/SUM('Statistics NZ'!V$30:V$110,'Statistics NZ'!V$130:V$210,SUM($E$12:$T$13)*(V$8-V$9)*1000)</f>
        <v>30178.608584609538</v>
      </c>
      <c r="W177" s="45">
        <f>SUM('Statistics NZ'!W$177,$N$13/5*(W$8-W$9)*1000)*'Economic Forecasts'!Y$9*1000000/SUM('Statistics NZ'!W$30:W$110,'Statistics NZ'!W$130:W$210,SUM($E$12:$T$13)*(W$8-W$9)*1000)</f>
        <v>29498.907019478262</v>
      </c>
      <c r="X177" s="45">
        <f>SUM('Statistics NZ'!X$177,$N$13/5*(X$8-X$9)*1000)*'Economic Forecasts'!Z$9*1000000/SUM('Statistics NZ'!X$30:X$110,'Statistics NZ'!X$130:X$210,SUM($E$12:$T$13)*(X$8-X$9)*1000)</f>
        <v>29184.642867079947</v>
      </c>
      <c r="Y177" s="45">
        <f>SUM('Statistics NZ'!Y$177,$N$13/5*(Y$8-Y$9)*1000)*'Economic Forecasts'!AA$9*1000000/SUM('Statistics NZ'!Y$30:Y$110,'Statistics NZ'!Y$130:Y$210,SUM($E$12:$T$13)*(Y$8-Y$9)*1000)</f>
        <v>29221.553048806098</v>
      </c>
      <c r="Z177" s="46">
        <f>SUM(Y$177,'Statistics NZ'!Z$177-'Statistics NZ'!Y$177,$N$13/5*(Z$8-Z$9)*1000)</f>
        <v>29897.93240988996</v>
      </c>
      <c r="AA177" s="46">
        <f>SUM(Z$177,'Statistics NZ'!AA$177-'Statistics NZ'!Z$177,$N$13/5*(AA$8-AA$9)*1000)</f>
        <v>30631.760026540276</v>
      </c>
      <c r="AB177" s="46">
        <f>SUM(AA$177,'Statistics NZ'!AB$177-'Statistics NZ'!AA$177,$N$13/5*(AB$8-AB$9)*1000)</f>
        <v>30683.546247643757</v>
      </c>
      <c r="AC177" s="46">
        <f>SUM(AB$177,'Statistics NZ'!AC$177-'Statistics NZ'!AB$177,$N$13/5*(AC$8-AC$9)*1000)</f>
        <v>31843.546247643757</v>
      </c>
      <c r="AD177" s="46">
        <f>SUM(AC$177,'Statistics NZ'!AD$177-'Statistics NZ'!AC$177,$N$13/5*(AD$8-AD$9)*1000)</f>
        <v>31663.546247643757</v>
      </c>
      <c r="AE177" s="46">
        <f>SUM(AD$177,'Statistics NZ'!AE$177-'Statistics NZ'!AD$177,$N$13/5*(AE$8-AE$9)*1000)</f>
        <v>30903.546247643757</v>
      </c>
      <c r="AF177" s="46">
        <f>SUM(AE$177,'Statistics NZ'!AF$177-'Statistics NZ'!AE$177,$N$13/5*(AF$8-AF$9)*1000)</f>
        <v>30223.546247643757</v>
      </c>
      <c r="AG177" s="46">
        <f>SUM(AF$177,'Statistics NZ'!AG$177-'Statistics NZ'!AF$177,$N$13/5*(AG$8-AG$9)*1000)</f>
        <v>29333.546247643757</v>
      </c>
      <c r="AH177" s="46">
        <f>SUM(AG$177,'Statistics NZ'!AH$177-'Statistics NZ'!AG$177,$N$13/5*(AH$8-AH$9)*1000)</f>
        <v>29253.546247643757</v>
      </c>
      <c r="AI177" s="46">
        <f>SUM(AH$177,'Statistics NZ'!AI$177-'Statistics NZ'!AH$177,$N$13/5*(AI$8-AI$9)*1000)</f>
        <v>29693.546247643757</v>
      </c>
      <c r="AJ177" s="46">
        <f>SUM(AI$177,'Statistics NZ'!AJ$177-'Statistics NZ'!AI$177,$N$13/5*(AJ$8-AJ$9)*1000)</f>
        <v>29523.546247643757</v>
      </c>
      <c r="AK177" s="46">
        <f>SUM(AJ$177,'Statistics NZ'!AK$177-'Statistics NZ'!AJ$177,$N$13/5*(AK$8-AK$9)*1000)</f>
        <v>30883.546247643757</v>
      </c>
      <c r="AL177" s="46">
        <f>SUM(AK$177,'Statistics NZ'!AL$177-'Statistics NZ'!AK$177,$N$13/5*(AL$8-AL$9)*1000)</f>
        <v>32043.546247643757</v>
      </c>
      <c r="AM177" s="46">
        <f>SUM(AL$177,'Statistics NZ'!AM$177-'Statistics NZ'!AL$177,$N$13/5*(AM$8-AM$9)*1000)</f>
        <v>33053.546247643753</v>
      </c>
      <c r="AN177" s="46">
        <f>SUM(AM$177,'Statistics NZ'!AN$177-'Statistics NZ'!AM$177,$N$13/5*(AN$8-AN$9)*1000)</f>
        <v>34033.546247643753</v>
      </c>
      <c r="AO177" s="46">
        <f>SUM(AN$177,'Statistics NZ'!AO$177-'Statistics NZ'!AN$177,$N$13/5*(AO$8-AO$9)*1000)</f>
        <v>35463.546247643753</v>
      </c>
      <c r="AP177" s="46">
        <f>SUM(AO$177,'Statistics NZ'!AP$177-'Statistics NZ'!AO$177,$N$13/5*(AP$8-AP$9)*1000)</f>
        <v>36503.546247643753</v>
      </c>
      <c r="AQ177" s="46">
        <f>SUM(AP$177,'Statistics NZ'!AQ$177-'Statistics NZ'!AP$177,$N$13/5*(AQ$8-AQ$9)*1000)</f>
        <v>37153.546247643753</v>
      </c>
      <c r="AR177" s="46">
        <f>SUM(AQ$177,'Statistics NZ'!AR$177-'Statistics NZ'!AQ$177,$N$13/5*(AR$8-AR$9)*1000)</f>
        <v>38373.546247643753</v>
      </c>
      <c r="AS177" s="46">
        <f>SUM(AR$177,'Statistics NZ'!AS$177-'Statistics NZ'!AR$177,$N$13/5*(AS$8-AS$9)*1000)</f>
        <v>40473.546247643753</v>
      </c>
      <c r="AT177" s="46">
        <f>SUM(AS$177,'Statistics NZ'!AT$177-'Statistics NZ'!AS$177,$N$13/5*(AT$8-AT$9)*1000)</f>
        <v>41733.546247643753</v>
      </c>
      <c r="AU177" s="46">
        <f>SUM(AT$177,'Statistics NZ'!AU$177-'Statistics NZ'!AT$177,$N$13/5*(AU$8-AU$9)*1000)</f>
        <v>42563.546247643753</v>
      </c>
      <c r="AV177" s="46">
        <f>SUM(AU$177,'Statistics NZ'!AV$177-'Statistics NZ'!AU$177,$N$13/5*(AV$8-AV$9)*1000)</f>
        <v>44313.546247643753</v>
      </c>
      <c r="AW177" s="46">
        <f>SUM(AV$177,'Statistics NZ'!AW$177-'Statistics NZ'!AV$177,$N$13/5*(AW$8-AW$9)*1000)</f>
        <v>45133.546247643753</v>
      </c>
      <c r="AX177" s="46">
        <f>SUM(AW$177,'Statistics NZ'!AX$177-'Statistics NZ'!AW$177,$N$13/5*(AX$8-AX$9)*1000)</f>
        <v>45163.546247643753</v>
      </c>
      <c r="AY177" s="46">
        <f>SUM(AX$177,'Statistics NZ'!AY$177-'Statistics NZ'!AX$177,$N$13/5*(AY$8-AY$9)*1000)</f>
        <v>44393.546247643753</v>
      </c>
      <c r="AZ177" s="46">
        <f>SUM(AY$177,'Statistics NZ'!AZ$177-'Statistics NZ'!AY$177,$N$13/5*(AZ$8-AZ$9)*1000)</f>
        <v>43363.546247643753</v>
      </c>
      <c r="BA177" s="46">
        <f>SUM(AZ$177,'Statistics NZ'!BA$177-'Statistics NZ'!AZ$177,$N$13/5*(BA$8-BA$9)*1000)</f>
        <v>43053.546247643753</v>
      </c>
      <c r="BB177" s="46">
        <f>SUM(BA$177,'Statistics NZ'!BB$177-'Statistics NZ'!BA$177,$N$13/5*(BB$8-BB$9)*1000)</f>
        <v>42633.546247643753</v>
      </c>
      <c r="BC177" s="46">
        <f>SUM(BB$177,'Statistics NZ'!BC$177-'Statistics NZ'!BB$177,$N$13/5*(BC$8-BC$9)*1000)</f>
        <v>41303.546247643753</v>
      </c>
      <c r="BD177" s="46">
        <f>SUM(BC$177,'Statistics NZ'!BD$177-'Statistics NZ'!BC$177,$N$13/5*(BD$8-BD$9)*1000)</f>
        <v>41193.546247643753</v>
      </c>
      <c r="BE177" s="46">
        <f>SUM(BD$177,'Statistics NZ'!BE$177-'Statistics NZ'!BD$177,$N$13/5*(BE$8-BE$9)*1000)</f>
        <v>40593.546247643753</v>
      </c>
      <c r="BF177" s="46">
        <f>SUM(BE$177,'Statistics NZ'!BF$177-'Statistics NZ'!BE$177,$N$13/5*(BF$8-BF$9)*1000)</f>
        <v>41603.546247643753</v>
      </c>
      <c r="BG177" s="46">
        <f>SUM(BF$177,'Statistics NZ'!BG$177-'Statistics NZ'!BF$177,$N$13/5*(BG$8-BG$9)*1000)</f>
        <v>41313.546247643753</v>
      </c>
      <c r="BH177" s="46">
        <f>SUM(BG$177,'Statistics NZ'!BH$177-'Statistics NZ'!BG$177,$N$13/5*(BH$8-BH$9)*1000)</f>
        <v>40663.546247643753</v>
      </c>
      <c r="BI177" s="46">
        <f>SUM(BH$177,'Statistics NZ'!BI$177-'Statistics NZ'!BH$177,$N$13/5*(BI$8-BI$9)*1000)</f>
        <v>41423.546247643753</v>
      </c>
    </row>
    <row r="178" spans="1:61" x14ac:dyDescent="0.25">
      <c r="A178" s="11">
        <f>$A$78</f>
        <v>63</v>
      </c>
      <c r="B178" s="44">
        <f>'Statistics NZ'!B$178*'Economic Forecasts'!D$9*1000000/SUM('Statistics NZ'!B$30:B$110,'Statistics NZ'!B$130:B$210)</f>
        <v>15918.471810989224</v>
      </c>
      <c r="C178" s="44">
        <f>'Statistics NZ'!C$178*'Economic Forecasts'!E$9*1000000/SUM('Statistics NZ'!C$30:C$110,'Statistics NZ'!C$130:C$210)</f>
        <v>17902.00266461819</v>
      </c>
      <c r="D178" s="44">
        <f>'Statistics NZ'!D$178*'Economic Forecasts'!F$9*1000000/SUM('Statistics NZ'!D$30:D$110,'Statistics NZ'!D$130:D$210)</f>
        <v>18555.125080255864</v>
      </c>
      <c r="E178" s="44">
        <f>'Statistics NZ'!E$178*'Economic Forecasts'!G$9*1000000/SUM('Statistics NZ'!E$30:E$110,'Statistics NZ'!E$130:E$210)</f>
        <v>19378.677266099065</v>
      </c>
      <c r="F178" s="44">
        <f>'Statistics NZ'!F$178*'Economic Forecasts'!H$9*1000000/SUM('Statistics NZ'!F$30:F$110,'Statistics NZ'!F$130:F$210)</f>
        <v>22962.474183081529</v>
      </c>
      <c r="G178" s="44">
        <f>'Statistics NZ'!G$178*'Economic Forecasts'!I$9*1000000/SUM('Statistics NZ'!G$30:G$110,'Statistics NZ'!G$130:G$210)</f>
        <v>22906.005309133205</v>
      </c>
      <c r="H178" s="44">
        <f>'Statistics NZ'!H$178*'Economic Forecasts'!J$9*1000000/SUM('Statistics NZ'!H$30:H$110,'Statistics NZ'!H$130:H$210)</f>
        <v>22833.618720645361</v>
      </c>
      <c r="I178" s="44">
        <f>'Statistics NZ'!I$178*'Economic Forecasts'!K$9*1000000/SUM('Statistics NZ'!I$30:I$110,'Statistics NZ'!I$130:I$210)</f>
        <v>22812.873198219237</v>
      </c>
      <c r="J178" s="44">
        <f>'Statistics NZ'!J$178*'Economic Forecasts'!L$9*1000000/SUM('Statistics NZ'!J$30:J$110,'Statistics NZ'!J$130:J$210)</f>
        <v>22858.41197978218</v>
      </c>
      <c r="K178" s="44">
        <f>'Statistics NZ'!K$178*'Economic Forecasts'!M$9*1000000/SUM('Statistics NZ'!K$30:K$110,'Statistics NZ'!K$130:K$210)</f>
        <v>23172.202035080503</v>
      </c>
      <c r="L178" s="44">
        <f>'Statistics NZ'!L$178*'Economic Forecasts'!N$9*1000000/SUM('Statistics NZ'!L$30:L$110,'Statistics NZ'!L$130:L$210)</f>
        <v>23455.505593071397</v>
      </c>
      <c r="M178" s="44">
        <f>'Statistics NZ'!M$178*'Economic Forecasts'!O$9*1000000/SUM('Statistics NZ'!M$30:M$110,'Statistics NZ'!M$130:M$210)</f>
        <v>24316.469292419126</v>
      </c>
      <c r="N178" s="44">
        <f>'Statistics NZ'!N$178*'Economic Forecasts'!P$9*1000000/SUM('Statistics NZ'!N$30:N$110,'Statistics NZ'!N$130:N$210)</f>
        <v>24883.08785222577</v>
      </c>
      <c r="O178" s="44">
        <f>'Statistics NZ'!O$178*'Economic Forecasts'!Q$9*1000000/SUM('Statistics NZ'!O$30:O$110,'Statistics NZ'!O$130:O$210)</f>
        <v>25811.094971983526</v>
      </c>
      <c r="P178" s="44">
        <f>'Statistics NZ'!P$178*'Economic Forecasts'!R$9*1000000/SUM('Statistics NZ'!P$30:P$110,'Statistics NZ'!P$130:P$210)</f>
        <v>26617.320832206722</v>
      </c>
      <c r="Q178" s="44">
        <f>'Statistics NZ'!Q$178*'Economic Forecasts'!S$9*1000000/SUM('Statistics NZ'!Q$30:Q$110,'Statistics NZ'!Q$130:Q$210)</f>
        <v>27388.69024626664</v>
      </c>
      <c r="R178" s="44">
        <f>'Statistics NZ'!R$178*'Economic Forecasts'!T$9*1000000/SUM('Statistics NZ'!R$30:R$110,'Statistics NZ'!R$130:R$210)</f>
        <v>28380.410288289691</v>
      </c>
      <c r="S178" s="44">
        <f>'Statistics NZ'!S$178*'Economic Forecasts'!U$9*1000000/SUM('Statistics NZ'!S$30:S$110,'Statistics NZ'!S$130:S$210)</f>
        <v>28272.182480958076</v>
      </c>
      <c r="T178" s="44">
        <f>'Statistics NZ'!T$178*'Economic Forecasts'!V$9*1000000/SUM('Statistics NZ'!T$30:T$110,'Statistics NZ'!T$130:T$210)</f>
        <v>29576.07001680867</v>
      </c>
      <c r="U178" s="45">
        <f>SUM('Statistics NZ'!U$178,$N$13/5*(U$8-U$9)*1000)*'Economic Forecasts'!W$9*1000000/SUM('Statistics NZ'!U$30:U$110,'Statistics NZ'!U$130:U$210,SUM($E$12:$T$13)*(U$8-U$9)*1000)</f>
        <v>30180.534556942177</v>
      </c>
      <c r="V178" s="45">
        <f>SUM('Statistics NZ'!V$178,$N$13/5*(V$8-V$9)*1000)*'Economic Forecasts'!X$9*1000000/SUM('Statistics NZ'!V$30:V$110,'Statistics NZ'!V$130:V$210,SUM($E$12:$T$13)*(V$8-V$9)*1000)</f>
        <v>30376.624945814812</v>
      </c>
      <c r="W178" s="45">
        <f>SUM('Statistics NZ'!W$178,$N$13/5*(W$8-W$9)*1000)*'Economic Forecasts'!Y$9*1000000/SUM('Statistics NZ'!W$30:W$110,'Statistics NZ'!W$130:W$210,SUM($E$12:$T$13)*(W$8-W$9)*1000)</f>
        <v>30053.474776434934</v>
      </c>
      <c r="X178" s="45">
        <f>SUM('Statistics NZ'!X$178,$N$13/5*(X$8-X$9)*1000)*'Economic Forecasts'!Z$9*1000000/SUM('Statistics NZ'!X$30:X$110,'Statistics NZ'!X$130:X$210,SUM($E$12:$T$13)*(X$8-X$9)*1000)</f>
        <v>29382.748089435281</v>
      </c>
      <c r="Y178" s="45">
        <f>SUM('Statistics NZ'!Y$178,$N$13/5*(Y$8-Y$9)*1000)*'Economic Forecasts'!AA$9*1000000/SUM('Statistics NZ'!Y$30:Y$110,'Statistics NZ'!Y$130:Y$210,SUM($E$12:$T$13)*(Y$8-Y$9)*1000)</f>
        <v>29082.828439991998</v>
      </c>
      <c r="Z178" s="46">
        <f>SUM(Y$178,'Statistics NZ'!Z$178-'Statistics NZ'!Y$178,$N$13/5*(Z$8-Z$9)*1000)</f>
        <v>29129.20780107586</v>
      </c>
      <c r="AA178" s="46">
        <f>SUM(Z$178,'Statistics NZ'!AA$178-'Statistics NZ'!Z$178,$N$13/5*(AA$8-AA$9)*1000)</f>
        <v>29803.035417726176</v>
      </c>
      <c r="AB178" s="46">
        <f>SUM(AA$178,'Statistics NZ'!AB$178-'Statistics NZ'!AA$178,$N$13/5*(AB$8-AB$9)*1000)</f>
        <v>30534.821638829657</v>
      </c>
      <c r="AC178" s="46">
        <f>SUM(AB$178,'Statistics NZ'!AC$178-'Statistics NZ'!AB$178,$N$13/5*(AC$8-AC$9)*1000)</f>
        <v>30594.821638829657</v>
      </c>
      <c r="AD178" s="46">
        <f>SUM(AC$178,'Statistics NZ'!AD$178-'Statistics NZ'!AC$178,$N$13/5*(AD$8-AD$9)*1000)</f>
        <v>31744.821638829657</v>
      </c>
      <c r="AE178" s="46">
        <f>SUM(AD$178,'Statistics NZ'!AE$178-'Statistics NZ'!AD$178,$N$13/5*(AE$8-AE$9)*1000)</f>
        <v>31574.821638829657</v>
      </c>
      <c r="AF178" s="46">
        <f>SUM(AE$178,'Statistics NZ'!AF$178-'Statistics NZ'!AE$178,$N$13/5*(AF$8-AF$9)*1000)</f>
        <v>30824.821638829657</v>
      </c>
      <c r="AG178" s="46">
        <f>SUM(AF$178,'Statistics NZ'!AG$178-'Statistics NZ'!AF$178,$N$13/5*(AG$8-AG$9)*1000)</f>
        <v>30144.821638829657</v>
      </c>
      <c r="AH178" s="46">
        <f>SUM(AG$178,'Statistics NZ'!AH$178-'Statistics NZ'!AG$178,$N$13/5*(AH$8-AH$9)*1000)</f>
        <v>29264.821638829657</v>
      </c>
      <c r="AI178" s="46">
        <f>SUM(AH$178,'Statistics NZ'!AI$178-'Statistics NZ'!AH$178,$N$13/5*(AI$8-AI$9)*1000)</f>
        <v>29194.821638829657</v>
      </c>
      <c r="AJ178" s="46">
        <f>SUM(AI$178,'Statistics NZ'!AJ$178-'Statistics NZ'!AI$178,$N$13/5*(AJ$8-AJ$9)*1000)</f>
        <v>29634.821638829657</v>
      </c>
      <c r="AK178" s="46">
        <f>SUM(AJ$178,'Statistics NZ'!AK$178-'Statistics NZ'!AJ$178,$N$13/5*(AK$8-AK$9)*1000)</f>
        <v>29464.821638829657</v>
      </c>
      <c r="AL178" s="46">
        <f>SUM(AK$178,'Statistics NZ'!AL$178-'Statistics NZ'!AK$178,$N$13/5*(AL$8-AL$9)*1000)</f>
        <v>30834.821638829657</v>
      </c>
      <c r="AM178" s="46">
        <f>SUM(AL$178,'Statistics NZ'!AM$178-'Statistics NZ'!AL$178,$N$13/5*(AM$8-AM$9)*1000)</f>
        <v>31984.821638829657</v>
      </c>
      <c r="AN178" s="46">
        <f>SUM(AM$178,'Statistics NZ'!AN$178-'Statistics NZ'!AM$178,$N$13/5*(AN$8-AN$9)*1000)</f>
        <v>32994.821638829657</v>
      </c>
      <c r="AO178" s="46">
        <f>SUM(AN$178,'Statistics NZ'!AO$178-'Statistics NZ'!AN$178,$N$13/5*(AO$8-AO$9)*1000)</f>
        <v>33974.821638829657</v>
      </c>
      <c r="AP178" s="46">
        <f>SUM(AO$178,'Statistics NZ'!AP$178-'Statistics NZ'!AO$178,$N$13/5*(AP$8-AP$9)*1000)</f>
        <v>35404.821638829657</v>
      </c>
      <c r="AQ178" s="46">
        <f>SUM(AP$178,'Statistics NZ'!AQ$178-'Statistics NZ'!AP$178,$N$13/5*(AQ$8-AQ$9)*1000)</f>
        <v>36444.821638829657</v>
      </c>
      <c r="AR178" s="46">
        <f>SUM(AQ$178,'Statistics NZ'!AR$178-'Statistics NZ'!AQ$178,$N$13/5*(AR$8-AR$9)*1000)</f>
        <v>37094.821638829657</v>
      </c>
      <c r="AS178" s="46">
        <f>SUM(AR$178,'Statistics NZ'!AS$178-'Statistics NZ'!AR$178,$N$13/5*(AS$8-AS$9)*1000)</f>
        <v>38314.821638829657</v>
      </c>
      <c r="AT178" s="46">
        <f>SUM(AS$178,'Statistics NZ'!AT$178-'Statistics NZ'!AS$178,$N$13/5*(AT$8-AT$9)*1000)</f>
        <v>40404.821638829657</v>
      </c>
      <c r="AU178" s="46">
        <f>SUM(AT$178,'Statistics NZ'!AU$178-'Statistics NZ'!AT$178,$N$13/5*(AU$8-AU$9)*1000)</f>
        <v>41664.821638829657</v>
      </c>
      <c r="AV178" s="46">
        <f>SUM(AU$178,'Statistics NZ'!AV$178-'Statistics NZ'!AU$178,$N$13/5*(AV$8-AV$9)*1000)</f>
        <v>42494.821638829657</v>
      </c>
      <c r="AW178" s="46">
        <f>SUM(AV$178,'Statistics NZ'!AW$178-'Statistics NZ'!AV$178,$N$13/5*(AW$8-AW$9)*1000)</f>
        <v>44244.821638829657</v>
      </c>
      <c r="AX178" s="46">
        <f>SUM(AW$178,'Statistics NZ'!AX$178-'Statistics NZ'!AW$178,$N$13/5*(AX$8-AX$9)*1000)</f>
        <v>45064.821638829657</v>
      </c>
      <c r="AY178" s="46">
        <f>SUM(AX$178,'Statistics NZ'!AY$178-'Statistics NZ'!AX$178,$N$13/5*(AY$8-AY$9)*1000)</f>
        <v>45104.821638829657</v>
      </c>
      <c r="AZ178" s="46">
        <f>SUM(AY$178,'Statistics NZ'!AZ$178-'Statistics NZ'!AY$178,$N$13/5*(AZ$8-AZ$9)*1000)</f>
        <v>44334.821638829657</v>
      </c>
      <c r="BA178" s="46">
        <f>SUM(AZ$178,'Statistics NZ'!BA$178-'Statistics NZ'!AZ$178,$N$13/5*(BA$8-BA$9)*1000)</f>
        <v>43314.821638829657</v>
      </c>
      <c r="BB178" s="46">
        <f>SUM(BA$178,'Statistics NZ'!BB$178-'Statistics NZ'!BA$178,$N$13/5*(BB$8-BB$9)*1000)</f>
        <v>43004.821638829657</v>
      </c>
      <c r="BC178" s="46">
        <f>SUM(BB$178,'Statistics NZ'!BC$178-'Statistics NZ'!BB$178,$N$13/5*(BC$8-BC$9)*1000)</f>
        <v>42584.821638829657</v>
      </c>
      <c r="BD178" s="46">
        <f>SUM(BC$178,'Statistics NZ'!BD$178-'Statistics NZ'!BC$178,$N$13/5*(BD$8-BD$9)*1000)</f>
        <v>41264.821638829657</v>
      </c>
      <c r="BE178" s="46">
        <f>SUM(BD$178,'Statistics NZ'!BE$178-'Statistics NZ'!BD$178,$N$13/5*(BE$8-BE$9)*1000)</f>
        <v>41164.821638829657</v>
      </c>
      <c r="BF178" s="46">
        <f>SUM(BE$178,'Statistics NZ'!BF$178-'Statistics NZ'!BE$178,$N$13/5*(BF$8-BF$9)*1000)</f>
        <v>40574.821638829657</v>
      </c>
      <c r="BG178" s="46">
        <f>SUM(BF$178,'Statistics NZ'!BG$178-'Statistics NZ'!BF$178,$N$13/5*(BG$8-BG$9)*1000)</f>
        <v>41574.821638829657</v>
      </c>
      <c r="BH178" s="46">
        <f>SUM(BG$178,'Statistics NZ'!BH$178-'Statistics NZ'!BG$178,$N$13/5*(BH$8-BH$9)*1000)</f>
        <v>41294.821638829657</v>
      </c>
      <c r="BI178" s="46">
        <f>SUM(BH$178,'Statistics NZ'!BI$178-'Statistics NZ'!BH$178,$N$13/5*(BI$8-BI$9)*1000)</f>
        <v>40654.821638829657</v>
      </c>
    </row>
    <row r="179" spans="1:61" x14ac:dyDescent="0.25">
      <c r="A179" s="11">
        <f>$A$79</f>
        <v>64</v>
      </c>
      <c r="B179" s="44">
        <f>'Statistics NZ'!B$179*'Economic Forecasts'!D$9*1000000/SUM('Statistics NZ'!B$30:B$110,'Statistics NZ'!B$130:B$210)</f>
        <v>17542.605996990584</v>
      </c>
      <c r="C179" s="44">
        <f>'Statistics NZ'!C$179*'Economic Forecasts'!E$9*1000000/SUM('Statistics NZ'!C$30:C$110,'Statistics NZ'!C$130:C$210)</f>
        <v>15820.14607388914</v>
      </c>
      <c r="D179" s="44">
        <f>'Statistics NZ'!D$179*'Economic Forecasts'!F$9*1000000/SUM('Statistics NZ'!D$30:D$110,'Statistics NZ'!D$130:D$210)</f>
        <v>17759.484460086082</v>
      </c>
      <c r="E179" s="44">
        <f>'Statistics NZ'!E$179*'Economic Forecasts'!G$9*1000000/SUM('Statistics NZ'!E$30:E$110,'Statistics NZ'!E$130:E$210)</f>
        <v>18378.360929488688</v>
      </c>
      <c r="F179" s="44">
        <f>'Statistics NZ'!F$179*'Economic Forecasts'!H$9*1000000/SUM('Statistics NZ'!F$30:F$110,'Statistics NZ'!F$130:F$210)</f>
        <v>19293.971259342747</v>
      </c>
      <c r="G179" s="44">
        <f>'Statistics NZ'!G$179*'Economic Forecasts'!I$9*1000000/SUM('Statistics NZ'!G$30:G$110,'Statistics NZ'!G$130:G$210)</f>
        <v>22866.715420095243</v>
      </c>
      <c r="H179" s="44">
        <f>'Statistics NZ'!H$179*'Economic Forecasts'!J$9*1000000/SUM('Statistics NZ'!H$30:H$110,'Statistics NZ'!H$130:H$210)</f>
        <v>22784.493034929692</v>
      </c>
      <c r="I179" s="44">
        <f>'Statistics NZ'!I$179*'Economic Forecasts'!K$9*1000000/SUM('Statistics NZ'!I$30:I$110,'Statistics NZ'!I$130:I$210)</f>
        <v>22685.426979234773</v>
      </c>
      <c r="J179" s="44">
        <f>'Statistics NZ'!J$179*'Economic Forecasts'!L$9*1000000/SUM('Statistics NZ'!J$30:J$110,'Statistics NZ'!J$130:J$210)</f>
        <v>22595.111159195949</v>
      </c>
      <c r="K179" s="44">
        <f>'Statistics NZ'!K$179*'Economic Forecasts'!M$9*1000000/SUM('Statistics NZ'!K$30:K$110,'Statistics NZ'!K$130:K$210)</f>
        <v>22743.808384011783</v>
      </c>
      <c r="L179" s="44">
        <f>'Statistics NZ'!L$179*'Economic Forecasts'!N$9*1000000/SUM('Statistics NZ'!L$30:L$110,'Statistics NZ'!L$130:L$210)</f>
        <v>23153.67052732411</v>
      </c>
      <c r="M179" s="44">
        <f>'Statistics NZ'!M$179*'Economic Forecasts'!O$9*1000000/SUM('Statistics NZ'!M$30:M$110,'Statistics NZ'!M$130:M$210)</f>
        <v>23495.825089701888</v>
      </c>
      <c r="N179" s="44">
        <f>'Statistics NZ'!N$179*'Economic Forecasts'!P$9*1000000/SUM('Statistics NZ'!N$30:N$110,'Statistics NZ'!N$130:N$210)</f>
        <v>24276.421927397612</v>
      </c>
      <c r="O179" s="44">
        <f>'Statistics NZ'!O$179*'Economic Forecasts'!Q$9*1000000/SUM('Statistics NZ'!O$30:O$110,'Statistics NZ'!O$130:O$210)</f>
        <v>24985.139932880054</v>
      </c>
      <c r="P179" s="44">
        <f>'Statistics NZ'!P$179*'Economic Forecasts'!R$9*1000000/SUM('Statistics NZ'!P$30:P$110,'Statistics NZ'!P$130:P$210)</f>
        <v>25880.407187904206</v>
      </c>
      <c r="Q179" s="44">
        <f>'Statistics NZ'!Q$179*'Economic Forecasts'!S$9*1000000/SUM('Statistics NZ'!Q$30:Q$110,'Statistics NZ'!Q$130:Q$210)</f>
        <v>26633.688266318779</v>
      </c>
      <c r="R179" s="44">
        <f>'Statistics NZ'!R$179*'Economic Forecasts'!T$9*1000000/SUM('Statistics NZ'!R$30:R$110,'Statistics NZ'!R$130:R$210)</f>
        <v>27095.823296293423</v>
      </c>
      <c r="S179" s="44">
        <f>'Statistics NZ'!S$179*'Economic Forecasts'!U$9*1000000/SUM('Statistics NZ'!S$30:S$110,'Statistics NZ'!S$130:S$210)</f>
        <v>27702.416468485677</v>
      </c>
      <c r="T179" s="44">
        <f>'Statistics NZ'!T$179*'Economic Forecasts'!V$9*1000000/SUM('Statistics NZ'!T$30:T$110,'Statistics NZ'!T$130:T$210)</f>
        <v>28247.92210050426</v>
      </c>
      <c r="U179" s="45">
        <f>SUM('Statistics NZ'!U$179,$N$13/5*(U$8-U$9)*1000)*'Economic Forecasts'!W$9*1000000/SUM('Statistics NZ'!U$30:U$110,'Statistics NZ'!U$130:U$210,SUM($E$12:$T$13)*(U$8-U$9)*1000)</f>
        <v>29398.043646037175</v>
      </c>
      <c r="V179" s="45">
        <f>SUM('Statistics NZ'!V$179,$N$13/5*(V$8-V$9)*1000)*'Economic Forecasts'!X$9*1000000/SUM('Statistics NZ'!V$30:V$110,'Statistics NZ'!V$130:V$210,SUM($E$12:$T$13)*(V$8-V$9)*1000)</f>
        <v>30000.393859524789</v>
      </c>
      <c r="W179" s="45">
        <f>SUM('Statistics NZ'!W$179,$N$13/5*(W$8-W$9)*1000)*'Economic Forecasts'!Y$9*1000000/SUM('Statistics NZ'!W$30:W$110,'Statistics NZ'!W$130:W$210,SUM($E$12:$T$13)*(W$8-W$9)*1000)</f>
        <v>30221.825702653921</v>
      </c>
      <c r="X179" s="45">
        <f>SUM('Statistics NZ'!X$179,$N$13/5*(X$8-X$9)*1000)*'Economic Forecasts'!Z$9*1000000/SUM('Statistics NZ'!X$30:X$110,'Statistics NZ'!X$130:X$210,SUM($E$12:$T$13)*(X$8-X$9)*1000)</f>
        <v>29907.726928676922</v>
      </c>
      <c r="Y179" s="45">
        <f>SUM('Statistics NZ'!Y$179,$N$13/5*(Y$8-Y$9)*1000)*'Economic Forecasts'!AA$9*1000000/SUM('Statistics NZ'!Y$30:Y$110,'Statistics NZ'!Y$130:Y$210,SUM($E$12:$T$13)*(Y$8-Y$9)*1000)</f>
        <v>29261.18865132441</v>
      </c>
      <c r="Z179" s="46">
        <f>SUM(Y$179,'Statistics NZ'!Z$179-'Statistics NZ'!Y$179,$N$13/5*(Z$8-Z$9)*1000)</f>
        <v>28967.568012408272</v>
      </c>
      <c r="AA179" s="46">
        <f>SUM(Z$179,'Statistics NZ'!AA$179-'Statistics NZ'!Z$179,$N$13/5*(AA$8-AA$9)*1000)</f>
        <v>29011.395629058588</v>
      </c>
      <c r="AB179" s="46">
        <f>SUM(AA$179,'Statistics NZ'!AB$179-'Statistics NZ'!AA$179,$N$13/5*(AB$8-AB$9)*1000)</f>
        <v>29683.181850162069</v>
      </c>
      <c r="AC179" s="46">
        <f>SUM(AB$179,'Statistics NZ'!AC$179-'Statistics NZ'!AB$179,$N$13/5*(AC$8-AC$9)*1000)</f>
        <v>30423.181850162069</v>
      </c>
      <c r="AD179" s="46">
        <f>SUM(AC$179,'Statistics NZ'!AD$179-'Statistics NZ'!AC$179,$N$13/5*(AD$8-AD$9)*1000)</f>
        <v>30473.181850162069</v>
      </c>
      <c r="AE179" s="46">
        <f>SUM(AD$179,'Statistics NZ'!AE$179-'Statistics NZ'!AD$179,$N$13/5*(AE$8-AE$9)*1000)</f>
        <v>31633.181850162069</v>
      </c>
      <c r="AF179" s="46">
        <f>SUM(AE$179,'Statistics NZ'!AF$179-'Statistics NZ'!AE$179,$N$13/5*(AF$8-AF$9)*1000)</f>
        <v>31463.181850162069</v>
      </c>
      <c r="AG179" s="46">
        <f>SUM(AF$179,'Statistics NZ'!AG$179-'Statistics NZ'!AF$179,$N$13/5*(AG$8-AG$9)*1000)</f>
        <v>30723.181850162069</v>
      </c>
      <c r="AH179" s="46">
        <f>SUM(AG$179,'Statistics NZ'!AH$179-'Statistics NZ'!AG$179,$N$13/5*(AH$8-AH$9)*1000)</f>
        <v>30063.181850162069</v>
      </c>
      <c r="AI179" s="46">
        <f>SUM(AH$179,'Statistics NZ'!AI$179-'Statistics NZ'!AH$179,$N$13/5*(AI$8-AI$9)*1000)</f>
        <v>29183.181850162069</v>
      </c>
      <c r="AJ179" s="46">
        <f>SUM(AI$179,'Statistics NZ'!AJ$179-'Statistics NZ'!AI$179,$N$13/5*(AJ$8-AJ$9)*1000)</f>
        <v>29123.181850162069</v>
      </c>
      <c r="AK179" s="46">
        <f>SUM(AJ$179,'Statistics NZ'!AK$179-'Statistics NZ'!AJ$179,$N$13/5*(AK$8-AK$9)*1000)</f>
        <v>29563.181850162069</v>
      </c>
      <c r="AL179" s="46">
        <f>SUM(AK$179,'Statistics NZ'!AL$179-'Statistics NZ'!AK$179,$N$13/5*(AL$8-AL$9)*1000)</f>
        <v>29393.181850162069</v>
      </c>
      <c r="AM179" s="46">
        <f>SUM(AL$179,'Statistics NZ'!AM$179-'Statistics NZ'!AL$179,$N$13/5*(AM$8-AM$9)*1000)</f>
        <v>30753.181850162069</v>
      </c>
      <c r="AN179" s="46">
        <f>SUM(AM$179,'Statistics NZ'!AN$179-'Statistics NZ'!AM$179,$N$13/5*(AN$8-AN$9)*1000)</f>
        <v>31903.181850162069</v>
      </c>
      <c r="AO179" s="46">
        <f>SUM(AN$179,'Statistics NZ'!AO$179-'Statistics NZ'!AN$179,$N$13/5*(AO$8-AO$9)*1000)</f>
        <v>32923.181850162073</v>
      </c>
      <c r="AP179" s="46">
        <f>SUM(AO$179,'Statistics NZ'!AP$179-'Statistics NZ'!AO$179,$N$13/5*(AP$8-AP$9)*1000)</f>
        <v>33893.181850162073</v>
      </c>
      <c r="AQ179" s="46">
        <f>SUM(AP$179,'Statistics NZ'!AQ$179-'Statistics NZ'!AP$179,$N$13/5*(AQ$8-AQ$9)*1000)</f>
        <v>35323.181850162073</v>
      </c>
      <c r="AR179" s="46">
        <f>SUM(AQ$179,'Statistics NZ'!AR$179-'Statistics NZ'!AQ$179,$N$13/5*(AR$8-AR$9)*1000)</f>
        <v>36363.181850162073</v>
      </c>
      <c r="AS179" s="46">
        <f>SUM(AR$179,'Statistics NZ'!AS$179-'Statistics NZ'!AR$179,$N$13/5*(AS$8-AS$9)*1000)</f>
        <v>37013.181850162073</v>
      </c>
      <c r="AT179" s="46">
        <f>SUM(AS$179,'Statistics NZ'!AT$179-'Statistics NZ'!AS$179,$N$13/5*(AT$8-AT$9)*1000)</f>
        <v>38233.181850162073</v>
      </c>
      <c r="AU179" s="46">
        <f>SUM(AT$179,'Statistics NZ'!AU$179-'Statistics NZ'!AT$179,$N$13/5*(AU$8-AU$9)*1000)</f>
        <v>40313.181850162073</v>
      </c>
      <c r="AV179" s="46">
        <f>SUM(AU$179,'Statistics NZ'!AV$179-'Statistics NZ'!AU$179,$N$13/5*(AV$8-AV$9)*1000)</f>
        <v>41583.181850162073</v>
      </c>
      <c r="AW179" s="46">
        <f>SUM(AV$179,'Statistics NZ'!AW$179-'Statistics NZ'!AV$179,$N$13/5*(AW$8-AW$9)*1000)</f>
        <v>42413.181850162073</v>
      </c>
      <c r="AX179" s="46">
        <f>SUM(AW$179,'Statistics NZ'!AX$179-'Statistics NZ'!AW$179,$N$13/5*(AX$8-AX$9)*1000)</f>
        <v>44153.181850162073</v>
      </c>
      <c r="AY179" s="46">
        <f>SUM(AX$179,'Statistics NZ'!AY$179-'Statistics NZ'!AX$179,$N$13/5*(AY$8-AY$9)*1000)</f>
        <v>44983.181850162073</v>
      </c>
      <c r="AZ179" s="46">
        <f>SUM(AY$179,'Statistics NZ'!AZ$179-'Statistics NZ'!AY$179,$N$13/5*(AZ$8-AZ$9)*1000)</f>
        <v>45013.181850162073</v>
      </c>
      <c r="BA179" s="46">
        <f>SUM(AZ$179,'Statistics NZ'!BA$179-'Statistics NZ'!AZ$179,$N$13/5*(BA$8-BA$9)*1000)</f>
        <v>44253.181850162073</v>
      </c>
      <c r="BB179" s="46">
        <f>SUM(BA$179,'Statistics NZ'!BB$179-'Statistics NZ'!BA$179,$N$13/5*(BB$8-BB$9)*1000)</f>
        <v>43243.181850162073</v>
      </c>
      <c r="BC179" s="46">
        <f>SUM(BB$179,'Statistics NZ'!BC$179-'Statistics NZ'!BB$179,$N$13/5*(BC$8-BC$9)*1000)</f>
        <v>42943.181850162073</v>
      </c>
      <c r="BD179" s="46">
        <f>SUM(BC$179,'Statistics NZ'!BD$179-'Statistics NZ'!BC$179,$N$13/5*(BD$8-BD$9)*1000)</f>
        <v>42533.181850162073</v>
      </c>
      <c r="BE179" s="46">
        <f>SUM(BD$179,'Statistics NZ'!BE$179-'Statistics NZ'!BD$179,$N$13/5*(BE$8-BE$9)*1000)</f>
        <v>41223.181850162073</v>
      </c>
      <c r="BF179" s="46">
        <f>SUM(BE$179,'Statistics NZ'!BF$179-'Statistics NZ'!BE$179,$N$13/5*(BF$8-BF$9)*1000)</f>
        <v>41113.181850162073</v>
      </c>
      <c r="BG179" s="46">
        <f>SUM(BF$179,'Statistics NZ'!BG$179-'Statistics NZ'!BF$179,$N$13/5*(BG$8-BG$9)*1000)</f>
        <v>40533.181850162073</v>
      </c>
      <c r="BH179" s="46">
        <f>SUM(BG$179,'Statistics NZ'!BH$179-'Statistics NZ'!BG$179,$N$13/5*(BH$8-BH$9)*1000)</f>
        <v>41533.181850162073</v>
      </c>
      <c r="BI179" s="46">
        <f>SUM(BH$179,'Statistics NZ'!BI$179-'Statistics NZ'!BH$179,$N$13/5*(BI$8-BI$9)*1000)</f>
        <v>41253.181850162073</v>
      </c>
    </row>
    <row r="180" spans="1:61" x14ac:dyDescent="0.25">
      <c r="A180" s="11">
        <f>$A$80</f>
        <v>65</v>
      </c>
      <c r="B180" s="44">
        <f>'Statistics NZ'!B$180*'Economic Forecasts'!D$9*1000000/SUM('Statistics NZ'!B$30:B$110,'Statistics NZ'!B$130:B$210)</f>
        <v>17278.439593243373</v>
      </c>
      <c r="C180" s="44">
        <f>'Statistics NZ'!C$180*'Economic Forecasts'!E$9*1000000/SUM('Statistics NZ'!C$30:C$110,'Statistics NZ'!C$130:C$210)</f>
        <v>17460.099143001175</v>
      </c>
      <c r="D180" s="44">
        <f>'Statistics NZ'!D$180*'Economic Forecasts'!F$9*1000000/SUM('Statistics NZ'!D$30:D$110,'Statistics NZ'!D$130:D$210)</f>
        <v>15696.712481868117</v>
      </c>
      <c r="E180" s="44">
        <f>'Statistics NZ'!E$180*'Economic Forecasts'!G$9*1000000/SUM('Statistics NZ'!E$30:E$110,'Statistics NZ'!E$130:E$210)</f>
        <v>17583.992073945155</v>
      </c>
      <c r="F180" s="44">
        <f>'Statistics NZ'!F$180*'Economic Forecasts'!H$9*1000000/SUM('Statistics NZ'!F$30:F$110,'Statistics NZ'!F$130:F$210)</f>
        <v>18234.617473878072</v>
      </c>
      <c r="G180" s="44">
        <f>'Statistics NZ'!G$180*'Economic Forecasts'!I$9*1000000/SUM('Statistics NZ'!G$30:G$110,'Statistics NZ'!G$130:G$210)</f>
        <v>19242.223156343036</v>
      </c>
      <c r="H180" s="44">
        <f>'Statistics NZ'!H$180*'Economic Forecasts'!J$9*1000000/SUM('Statistics NZ'!H$30:H$110,'Statistics NZ'!H$130:H$210)</f>
        <v>22794.318172072828</v>
      </c>
      <c r="I180" s="44">
        <f>'Statistics NZ'!I$180*'Economic Forecasts'!K$9*1000000/SUM('Statistics NZ'!I$30:I$110,'Statistics NZ'!I$130:I$210)</f>
        <v>22616.802092089292</v>
      </c>
      <c r="J180" s="44">
        <f>'Statistics NZ'!J$180*'Economic Forecasts'!L$9*1000000/SUM('Statistics NZ'!J$30:J$110,'Statistics NZ'!J$130:J$210)</f>
        <v>22487.840454512672</v>
      </c>
      <c r="K180" s="44">
        <f>'Statistics NZ'!K$180*'Economic Forecasts'!M$9*1000000/SUM('Statistics NZ'!K$30:K$110,'Statistics NZ'!K$130:K$210)</f>
        <v>22490.666681107545</v>
      </c>
      <c r="L180" s="44">
        <f>'Statistics NZ'!L$180*'Economic Forecasts'!N$9*1000000/SUM('Statistics NZ'!L$30:L$110,'Statistics NZ'!L$130:L$210)</f>
        <v>22666.839776118813</v>
      </c>
      <c r="M180" s="44">
        <f>'Statistics NZ'!M$180*'Economic Forecasts'!O$9*1000000/SUM('Statistics NZ'!M$30:M$110,'Statistics NZ'!M$130:M$210)</f>
        <v>23163.659579078245</v>
      </c>
      <c r="N180" s="44">
        <f>'Statistics NZ'!N$180*'Economic Forecasts'!P$9*1000000/SUM('Statistics NZ'!N$30:N$110,'Statistics NZ'!N$130:N$210)</f>
        <v>23503.412119955286</v>
      </c>
      <c r="O180" s="44">
        <f>'Statistics NZ'!O$180*'Economic Forecasts'!Q$9*1000000/SUM('Statistics NZ'!O$30:O$110,'Statistics NZ'!O$130:O$210)</f>
        <v>24247.680076537668</v>
      </c>
      <c r="P180" s="44">
        <f>'Statistics NZ'!P$180*'Economic Forecasts'!R$9*1000000/SUM('Statistics NZ'!P$30:P$110,'Statistics NZ'!P$130:P$210)</f>
        <v>25094.365967314865</v>
      </c>
      <c r="Q180" s="44">
        <f>'Statistics NZ'!Q$180*'Economic Forecasts'!S$9*1000000/SUM('Statistics NZ'!Q$30:Q$110,'Statistics NZ'!Q$130:Q$210)</f>
        <v>25829.015103479607</v>
      </c>
      <c r="R180" s="44">
        <f>'Statistics NZ'!R$180*'Economic Forecasts'!T$9*1000000/SUM('Statistics NZ'!R$30:R$110,'Statistics NZ'!R$130:R$210)</f>
        <v>26339.012355272363</v>
      </c>
      <c r="S180" s="44">
        <f>'Statistics NZ'!S$180*'Economic Forecasts'!U$9*1000000/SUM('Statistics NZ'!S$30:S$110,'Statistics NZ'!S$130:S$210)</f>
        <v>26484.296028027442</v>
      </c>
      <c r="T180" s="44">
        <f>'Statistics NZ'!T$180*'Economic Forecasts'!V$9*1000000/SUM('Statistics NZ'!T$30:T$110,'Statistics NZ'!T$130:T$210)</f>
        <v>27702.7867617226</v>
      </c>
      <c r="U180" s="45">
        <f>SUM('Statistics NZ'!U$180,$O$13/5*(U$8-U$9)*1000)*'Economic Forecasts'!W$9*1000000/SUM('Statistics NZ'!U$30:U$110,'Statistics NZ'!U$130:U$210,SUM($E$12:$T$13)*(U$8-U$9)*1000)</f>
        <v>28054.704579343779</v>
      </c>
      <c r="V180" s="45">
        <f>SUM('Statistics NZ'!V$180,$O$13/5*(V$8-V$9)*1000)*'Economic Forecasts'!X$9*1000000/SUM('Statistics NZ'!V$30:V$110,'Statistics NZ'!V$130:V$210,SUM($E$12:$T$13)*(V$8-V$9)*1000)</f>
        <v>29201.925687410629</v>
      </c>
      <c r="W180" s="45">
        <f>SUM('Statistics NZ'!W$180,$O$13/5*(W$8-W$9)*1000)*'Economic Forecasts'!Y$9*1000000/SUM('Statistics NZ'!W$30:W$110,'Statistics NZ'!W$130:W$210,SUM($E$12:$T$13)*(W$8-W$9)*1000)</f>
        <v>29830.141926962038</v>
      </c>
      <c r="X180" s="45">
        <f>SUM('Statistics NZ'!X$180,$O$13/5*(X$8-X$9)*1000)*'Economic Forecasts'!Z$9*1000000/SUM('Statistics NZ'!X$30:X$110,'Statistics NZ'!X$130:X$210,SUM($E$12:$T$13)*(X$8-X$9)*1000)</f>
        <v>30052.087523123941</v>
      </c>
      <c r="Y180" s="45">
        <f>SUM('Statistics NZ'!Y$180,$O$13/5*(Y$8-Y$9)*1000)*'Economic Forecasts'!AA$9*1000000/SUM('Statistics NZ'!Y$30:Y$110,'Statistics NZ'!Y$130:Y$210,SUM($E$12:$T$13)*(Y$8-Y$9)*1000)</f>
        <v>29753.507851494502</v>
      </c>
      <c r="Z180" s="46">
        <f>SUM(Y$180,'Statistics NZ'!Z$180-'Statistics NZ'!Y$180,$O$13/5*(Z$8-Z$9)*1000)</f>
        <v>29107.915606805895</v>
      </c>
      <c r="AA180" s="46">
        <f>SUM(Z$180,'Statistics NZ'!AA$180-'Statistics NZ'!Z$180,$O$13/5*(AA$8-AA$9)*1000)</f>
        <v>28820.56025999273</v>
      </c>
      <c r="AB180" s="46">
        <f>SUM(AA$180,'Statistics NZ'!AB$180-'Statistics NZ'!AA$180,$O$13/5*(AB$8-AB$9)*1000)</f>
        <v>28871.794431479921</v>
      </c>
      <c r="AC180" s="46">
        <f>SUM(AB$180,'Statistics NZ'!AC$180-'Statistics NZ'!AB$180,$O$13/5*(AC$8-AC$9)*1000)</f>
        <v>29541.794431479921</v>
      </c>
      <c r="AD180" s="46">
        <f>SUM(AC$180,'Statistics NZ'!AD$180-'Statistics NZ'!AC$180,$O$13/5*(AD$8-AD$9)*1000)</f>
        <v>30271.794431479921</v>
      </c>
      <c r="AE180" s="46">
        <f>SUM(AD$180,'Statistics NZ'!AE$180-'Statistics NZ'!AD$180,$O$13/5*(AE$8-AE$9)*1000)</f>
        <v>30341.794431479921</v>
      </c>
      <c r="AF180" s="46">
        <f>SUM(AE$180,'Statistics NZ'!AF$180-'Statistics NZ'!AE$180,$O$13/5*(AF$8-AF$9)*1000)</f>
        <v>31491.794431479921</v>
      </c>
      <c r="AG180" s="46">
        <f>SUM(AF$180,'Statistics NZ'!AG$180-'Statistics NZ'!AF$180,$O$13/5*(AG$8-AG$9)*1000)</f>
        <v>31331.794431479921</v>
      </c>
      <c r="AH180" s="46">
        <f>SUM(AG$180,'Statistics NZ'!AH$180-'Statistics NZ'!AG$180,$O$13/5*(AH$8-AH$9)*1000)</f>
        <v>30601.794431479921</v>
      </c>
      <c r="AI180" s="46">
        <f>SUM(AH$180,'Statistics NZ'!AI$180-'Statistics NZ'!AH$180,$O$13/5*(AI$8-AI$9)*1000)</f>
        <v>29941.794431479921</v>
      </c>
      <c r="AJ180" s="46">
        <f>SUM(AI$180,'Statistics NZ'!AJ$180-'Statistics NZ'!AI$180,$O$13/5*(AJ$8-AJ$9)*1000)</f>
        <v>29081.794431479921</v>
      </c>
      <c r="AK180" s="46">
        <f>SUM(AJ$180,'Statistics NZ'!AK$180-'Statistics NZ'!AJ$180,$O$13/5*(AK$8-AK$9)*1000)</f>
        <v>29011.794431479921</v>
      </c>
      <c r="AL180" s="46">
        <f>SUM(AK$180,'Statistics NZ'!AL$180-'Statistics NZ'!AK$180,$O$13/5*(AL$8-AL$9)*1000)</f>
        <v>29461.794431479921</v>
      </c>
      <c r="AM180" s="46">
        <f>SUM(AL$180,'Statistics NZ'!AM$180-'Statistics NZ'!AL$180,$O$13/5*(AM$8-AM$9)*1000)</f>
        <v>29301.794431479921</v>
      </c>
      <c r="AN180" s="46">
        <f>SUM(AM$180,'Statistics NZ'!AN$180-'Statistics NZ'!AM$180,$O$13/5*(AN$8-AN$9)*1000)</f>
        <v>30661.794431479921</v>
      </c>
      <c r="AO180" s="46">
        <f>SUM(AN$180,'Statistics NZ'!AO$180-'Statistics NZ'!AN$180,$O$13/5*(AO$8-AO$9)*1000)</f>
        <v>31801.794431479921</v>
      </c>
      <c r="AP180" s="46">
        <f>SUM(AO$180,'Statistics NZ'!AP$180-'Statistics NZ'!AO$180,$O$13/5*(AP$8-AP$9)*1000)</f>
        <v>32821.794431479924</v>
      </c>
      <c r="AQ180" s="46">
        <f>SUM(AP$180,'Statistics NZ'!AQ$180-'Statistics NZ'!AP$180,$O$13/5*(AQ$8-AQ$9)*1000)</f>
        <v>33791.794431479924</v>
      </c>
      <c r="AR180" s="46">
        <f>SUM(AQ$180,'Statistics NZ'!AR$180-'Statistics NZ'!AQ$180,$O$13/5*(AR$8-AR$9)*1000)</f>
        <v>35221.794431479924</v>
      </c>
      <c r="AS180" s="46">
        <f>SUM(AR$180,'Statistics NZ'!AS$180-'Statistics NZ'!AR$180,$O$13/5*(AS$8-AS$9)*1000)</f>
        <v>36251.794431479924</v>
      </c>
      <c r="AT180" s="46">
        <f>SUM(AS$180,'Statistics NZ'!AT$180-'Statistics NZ'!AS$180,$O$13/5*(AT$8-AT$9)*1000)</f>
        <v>36901.794431479924</v>
      </c>
      <c r="AU180" s="46">
        <f>SUM(AT$180,'Statistics NZ'!AU$180-'Statistics NZ'!AT$180,$O$13/5*(AU$8-AU$9)*1000)</f>
        <v>38121.794431479924</v>
      </c>
      <c r="AV180" s="46">
        <f>SUM(AU$180,'Statistics NZ'!AV$180-'Statistics NZ'!AU$180,$O$13/5*(AV$8-AV$9)*1000)</f>
        <v>40201.794431479924</v>
      </c>
      <c r="AW180" s="46">
        <f>SUM(AV$180,'Statistics NZ'!AW$180-'Statistics NZ'!AV$180,$O$13/5*(AW$8-AW$9)*1000)</f>
        <v>41471.794431479924</v>
      </c>
      <c r="AX180" s="46">
        <f>SUM(AW$180,'Statistics NZ'!AX$180-'Statistics NZ'!AW$180,$O$13/5*(AX$8-AX$9)*1000)</f>
        <v>42301.794431479924</v>
      </c>
      <c r="AY180" s="46">
        <f>SUM(AX$180,'Statistics NZ'!AY$180-'Statistics NZ'!AX$180,$O$13/5*(AY$8-AY$9)*1000)</f>
        <v>44041.794431479924</v>
      </c>
      <c r="AZ180" s="46">
        <f>SUM(AY$180,'Statistics NZ'!AZ$180-'Statistics NZ'!AY$180,$O$13/5*(AZ$8-AZ$9)*1000)</f>
        <v>44861.794431479924</v>
      </c>
      <c r="BA180" s="46">
        <f>SUM(AZ$180,'Statistics NZ'!BA$180-'Statistics NZ'!AZ$180,$O$13/5*(BA$8-BA$9)*1000)</f>
        <v>44901.794431479924</v>
      </c>
      <c r="BB180" s="46">
        <f>SUM(BA$180,'Statistics NZ'!BB$180-'Statistics NZ'!BA$180,$O$13/5*(BB$8-BB$9)*1000)</f>
        <v>44151.794431479924</v>
      </c>
      <c r="BC180" s="46">
        <f>SUM(BB$180,'Statistics NZ'!BC$180-'Statistics NZ'!BB$180,$O$13/5*(BC$8-BC$9)*1000)</f>
        <v>43151.794431479924</v>
      </c>
      <c r="BD180" s="46">
        <f>SUM(BC$180,'Statistics NZ'!BD$180-'Statistics NZ'!BC$180,$O$13/5*(BD$8-BD$9)*1000)</f>
        <v>42851.794431479924</v>
      </c>
      <c r="BE180" s="46">
        <f>SUM(BD$180,'Statistics NZ'!BE$180-'Statistics NZ'!BD$180,$O$13/5*(BE$8-BE$9)*1000)</f>
        <v>42441.794431479924</v>
      </c>
      <c r="BF180" s="46">
        <f>SUM(BE$180,'Statistics NZ'!BF$180-'Statistics NZ'!BE$180,$O$13/5*(BF$8-BF$9)*1000)</f>
        <v>41141.794431479924</v>
      </c>
      <c r="BG180" s="46">
        <f>SUM(BF$180,'Statistics NZ'!BG$180-'Statistics NZ'!BF$180,$O$13/5*(BG$8-BG$9)*1000)</f>
        <v>41041.794431479924</v>
      </c>
      <c r="BH180" s="46">
        <f>SUM(BG$180,'Statistics NZ'!BH$180-'Statistics NZ'!BG$180,$O$13/5*(BH$8-BH$9)*1000)</f>
        <v>40461.794431479924</v>
      </c>
      <c r="BI180" s="46">
        <f>SUM(BH$180,'Statistics NZ'!BI$180-'Statistics NZ'!BH$180,$O$13/5*(BI$8-BI$9)*1000)</f>
        <v>41471.794431479924</v>
      </c>
    </row>
    <row r="181" spans="1:61" x14ac:dyDescent="0.25">
      <c r="A181" s="11">
        <f>$A$81</f>
        <v>66</v>
      </c>
      <c r="B181" s="44">
        <f>'Statistics NZ'!B$181*'Economic Forecasts'!D$9*1000000/SUM('Statistics NZ'!B$30:B$110,'Statistics NZ'!B$130:B$210)</f>
        <v>15928.25575186875</v>
      </c>
      <c r="C181" s="44">
        <f>'Statistics NZ'!C$181*'Economic Forecasts'!E$9*1000000/SUM('Statistics NZ'!C$30:C$110,'Statistics NZ'!C$130:C$210)</f>
        <v>17116.396403965718</v>
      </c>
      <c r="D181" s="44">
        <f>'Statistics NZ'!D$181*'Economic Forecasts'!F$9*1000000/SUM('Statistics NZ'!D$30:D$110,'Statistics NZ'!D$130:D$210)</f>
        <v>17268.348274796088</v>
      </c>
      <c r="E181" s="44">
        <f>'Statistics NZ'!E$181*'Economic Forecasts'!G$9*1000000/SUM('Statistics NZ'!E$30:E$110,'Statistics NZ'!E$130:E$210)</f>
        <v>15524.517263276732</v>
      </c>
      <c r="F181" s="44">
        <f>'Statistics NZ'!F$181*'Economic Forecasts'!H$9*1000000/SUM('Statistics NZ'!F$30:F$110,'Statistics NZ'!F$130:F$210)</f>
        <v>17449.910966126459</v>
      </c>
      <c r="G181" s="44">
        <f>'Statistics NZ'!G$181*'Economic Forecasts'!I$9*1000000/SUM('Statistics NZ'!G$30:G$110,'Statistics NZ'!G$130:G$210)</f>
        <v>18092.993901982576</v>
      </c>
      <c r="H181" s="44">
        <f>'Statistics NZ'!H$181*'Economic Forecasts'!J$9*1000000/SUM('Statistics NZ'!H$30:H$110,'Statistics NZ'!H$130:H$210)</f>
        <v>19050.940920538451</v>
      </c>
      <c r="I181" s="44">
        <f>'Statistics NZ'!I$181*'Economic Forecasts'!K$9*1000000/SUM('Statistics NZ'!I$30:I$110,'Statistics NZ'!I$130:I$210)</f>
        <v>22597.194981476292</v>
      </c>
      <c r="J181" s="44">
        <f>'Statistics NZ'!J$181*'Economic Forecasts'!L$9*1000000/SUM('Statistics NZ'!J$30:J$110,'Statistics NZ'!J$130:J$210)</f>
        <v>22283.050927390053</v>
      </c>
      <c r="K181" s="44">
        <f>'Statistics NZ'!K$181*'Economic Forecasts'!M$9*1000000/SUM('Statistics NZ'!K$30:K$110,'Statistics NZ'!K$130:K$210)</f>
        <v>22237.524978203302</v>
      </c>
      <c r="L181" s="44">
        <f>'Statistics NZ'!L$181*'Economic Forecasts'!N$9*1000000/SUM('Statistics NZ'!L$30:L$110,'Statistics NZ'!L$130:L$210)</f>
        <v>22355.268095347416</v>
      </c>
      <c r="M181" s="44">
        <f>'Statistics NZ'!M$181*'Economic Forecasts'!O$9*1000000/SUM('Statistics NZ'!M$30:M$110,'Statistics NZ'!M$130:M$210)</f>
        <v>22567.715574724058</v>
      </c>
      <c r="N181" s="44">
        <f>'Statistics NZ'!N$181*'Economic Forecasts'!P$9*1000000/SUM('Statistics NZ'!N$30:N$110,'Statistics NZ'!N$130:N$210)</f>
        <v>23014.165406384196</v>
      </c>
      <c r="O181" s="44">
        <f>'Statistics NZ'!O$181*'Economic Forecasts'!Q$9*1000000/SUM('Statistics NZ'!O$30:O$110,'Statistics NZ'!O$130:O$210)</f>
        <v>23392.2266431805</v>
      </c>
      <c r="P181" s="44">
        <f>'Statistics NZ'!P$181*'Economic Forecasts'!R$9*1000000/SUM('Statistics NZ'!P$30:P$110,'Statistics NZ'!P$130:P$210)</f>
        <v>24259.197170438685</v>
      </c>
      <c r="Q181" s="44">
        <f>'Statistics NZ'!Q$181*'Economic Forecasts'!S$9*1000000/SUM('Statistics NZ'!Q$30:Q$110,'Statistics NZ'!Q$130:Q$210)</f>
        <v>24994.539230905651</v>
      </c>
      <c r="R181" s="44">
        <f>'Statistics NZ'!R$181*'Economic Forecasts'!T$9*1000000/SUM('Statistics NZ'!R$30:R$110,'Statistics NZ'!R$130:R$210)</f>
        <v>25442.788872484267</v>
      </c>
      <c r="S181" s="44">
        <f>'Statistics NZ'!S$181*'Economic Forecasts'!U$9*1000000/SUM('Statistics NZ'!S$30:S$110,'Statistics NZ'!S$130:S$210)</f>
        <v>25659.117665136378</v>
      </c>
      <c r="T181" s="44">
        <f>'Statistics NZ'!T$181*'Economic Forecasts'!V$9*1000000/SUM('Statistics NZ'!T$30:T$110,'Statistics NZ'!T$130:T$210)</f>
        <v>26444.01970671767</v>
      </c>
      <c r="U181" s="45">
        <f>SUM('Statistics NZ'!U$181,$O$13/5*(U$8-U$9)*1000)*'Economic Forecasts'!W$9*1000000/SUM('Statistics NZ'!U$30:U$110,'Statistics NZ'!U$130:U$210,SUM($E$12:$T$13)*(U$8-U$9)*1000)</f>
        <v>27490.122529703454</v>
      </c>
      <c r="V181" s="45">
        <f>SUM('Statistics NZ'!V$181,$O$13/5*(V$8-V$9)*1000)*'Economic Forecasts'!X$9*1000000/SUM('Statistics NZ'!V$30:V$110,'Statistics NZ'!V$130:V$210,SUM($E$12:$T$13)*(V$8-V$9)*1000)</f>
        <v>27845.513613154475</v>
      </c>
      <c r="W181" s="45">
        <f>SUM('Statistics NZ'!W$181,$O$13/5*(W$8-W$9)*1000)*'Economic Forecasts'!Y$9*1000000/SUM('Statistics NZ'!W$30:W$110,'Statistics NZ'!W$130:W$210,SUM($E$12:$T$13)*(W$8-W$9)*1000)</f>
        <v>29008.193287186976</v>
      </c>
      <c r="X181" s="45">
        <f>SUM('Statistics NZ'!X$181,$O$13/5*(X$8-X$9)*1000)*'Economic Forecasts'!Z$9*1000000/SUM('Statistics NZ'!X$30:X$110,'Statistics NZ'!X$130:X$210,SUM($E$12:$T$13)*(X$8-X$9)*1000)</f>
        <v>29636.066556177731</v>
      </c>
      <c r="Y181" s="45">
        <f>SUM('Statistics NZ'!Y$181,$O$13/5*(Y$8-Y$9)*1000)*'Economic Forecasts'!AA$9*1000000/SUM('Statistics NZ'!Y$30:Y$110,'Statistics NZ'!Y$130:Y$210,SUM($E$12:$T$13)*(Y$8-Y$9)*1000)</f>
        <v>29872.414659049438</v>
      </c>
      <c r="Z181" s="46">
        <f>SUM(Y$181,'Statistics NZ'!Z$181-'Statistics NZ'!Y$181,$O$13/5*(Z$8-Z$9)*1000)</f>
        <v>29586.822414360831</v>
      </c>
      <c r="AA181" s="46">
        <f>SUM(Z$181,'Statistics NZ'!AA$181-'Statistics NZ'!Z$181,$O$13/5*(AA$8-AA$9)*1000)</f>
        <v>28939.467067547666</v>
      </c>
      <c r="AB181" s="46">
        <f>SUM(AA$181,'Statistics NZ'!AB$181-'Statistics NZ'!AA$181,$O$13/5*(AB$8-AB$9)*1000)</f>
        <v>28670.701239034857</v>
      </c>
      <c r="AC181" s="46">
        <f>SUM(AB$181,'Statistics NZ'!AC$181-'Statistics NZ'!AB$181,$O$13/5*(AC$8-AC$9)*1000)</f>
        <v>28720.701239034857</v>
      </c>
      <c r="AD181" s="46">
        <f>SUM(AC$181,'Statistics NZ'!AD$181-'Statistics NZ'!AC$181,$O$13/5*(AD$8-AD$9)*1000)</f>
        <v>29390.701239034857</v>
      </c>
      <c r="AE181" s="46">
        <f>SUM(AD$181,'Statistics NZ'!AE$181-'Statistics NZ'!AD$181,$O$13/5*(AE$8-AE$9)*1000)</f>
        <v>30120.701239034857</v>
      </c>
      <c r="AF181" s="46">
        <f>SUM(AE$181,'Statistics NZ'!AF$181-'Statistics NZ'!AE$181,$O$13/5*(AF$8-AF$9)*1000)</f>
        <v>30190.701239034857</v>
      </c>
      <c r="AG181" s="46">
        <f>SUM(AF$181,'Statistics NZ'!AG$181-'Statistics NZ'!AF$181,$O$13/5*(AG$8-AG$9)*1000)</f>
        <v>31340.701239034857</v>
      </c>
      <c r="AH181" s="46">
        <f>SUM(AG$181,'Statistics NZ'!AH$181-'Statistics NZ'!AG$181,$O$13/5*(AH$8-AH$9)*1000)</f>
        <v>31190.701239034857</v>
      </c>
      <c r="AI181" s="46">
        <f>SUM(AH$181,'Statistics NZ'!AI$181-'Statistics NZ'!AH$181,$O$13/5*(AI$8-AI$9)*1000)</f>
        <v>30460.701239034857</v>
      </c>
      <c r="AJ181" s="46">
        <f>SUM(AI$181,'Statistics NZ'!AJ$181-'Statistics NZ'!AI$181,$O$13/5*(AJ$8-AJ$9)*1000)</f>
        <v>29820.701239034857</v>
      </c>
      <c r="AK181" s="46">
        <f>SUM(AJ$181,'Statistics NZ'!AK$181-'Statistics NZ'!AJ$181,$O$13/5*(AK$8-AK$9)*1000)</f>
        <v>28960.701239034857</v>
      </c>
      <c r="AL181" s="46">
        <f>SUM(AK$181,'Statistics NZ'!AL$181-'Statistics NZ'!AK$181,$O$13/5*(AL$8-AL$9)*1000)</f>
        <v>28910.701239034857</v>
      </c>
      <c r="AM181" s="46">
        <f>SUM(AL$181,'Statistics NZ'!AM$181-'Statistics NZ'!AL$181,$O$13/5*(AM$8-AM$9)*1000)</f>
        <v>29360.701239034857</v>
      </c>
      <c r="AN181" s="46">
        <f>SUM(AM$181,'Statistics NZ'!AN$181-'Statistics NZ'!AM$181,$O$13/5*(AN$8-AN$9)*1000)</f>
        <v>29200.701239034857</v>
      </c>
      <c r="AO181" s="46">
        <f>SUM(AN$181,'Statistics NZ'!AO$181-'Statistics NZ'!AN$181,$O$13/5*(AO$8-AO$9)*1000)</f>
        <v>30550.701239034857</v>
      </c>
      <c r="AP181" s="46">
        <f>SUM(AO$181,'Statistics NZ'!AP$181-'Statistics NZ'!AO$181,$O$13/5*(AP$8-AP$9)*1000)</f>
        <v>31700.701239034857</v>
      </c>
      <c r="AQ181" s="46">
        <f>SUM(AP$181,'Statistics NZ'!AQ$181-'Statistics NZ'!AP$181,$O$13/5*(AQ$8-AQ$9)*1000)</f>
        <v>32710.701239034857</v>
      </c>
      <c r="AR181" s="46">
        <f>SUM(AQ$181,'Statistics NZ'!AR$181-'Statistics NZ'!AQ$181,$O$13/5*(AR$8-AR$9)*1000)</f>
        <v>33680.701239034854</v>
      </c>
      <c r="AS181" s="46">
        <f>SUM(AR$181,'Statistics NZ'!AS$181-'Statistics NZ'!AR$181,$O$13/5*(AS$8-AS$9)*1000)</f>
        <v>35110.701239034854</v>
      </c>
      <c r="AT181" s="46">
        <f>SUM(AS$181,'Statistics NZ'!AT$181-'Statistics NZ'!AS$181,$O$13/5*(AT$8-AT$9)*1000)</f>
        <v>36140.701239034854</v>
      </c>
      <c r="AU181" s="46">
        <f>SUM(AT$181,'Statistics NZ'!AU$181-'Statistics NZ'!AT$181,$O$13/5*(AU$8-AU$9)*1000)</f>
        <v>36790.701239034854</v>
      </c>
      <c r="AV181" s="46">
        <f>SUM(AU$181,'Statistics NZ'!AV$181-'Statistics NZ'!AU$181,$O$13/5*(AV$8-AV$9)*1000)</f>
        <v>38010.701239034854</v>
      </c>
      <c r="AW181" s="46">
        <f>SUM(AV$181,'Statistics NZ'!AW$181-'Statistics NZ'!AV$181,$O$13/5*(AW$8-AW$9)*1000)</f>
        <v>40080.701239034854</v>
      </c>
      <c r="AX181" s="46">
        <f>SUM(AW$181,'Statistics NZ'!AX$181-'Statistics NZ'!AW$181,$O$13/5*(AX$8-AX$9)*1000)</f>
        <v>41340.701239034854</v>
      </c>
      <c r="AY181" s="46">
        <f>SUM(AX$181,'Statistics NZ'!AY$181-'Statistics NZ'!AX$181,$O$13/5*(AY$8-AY$9)*1000)</f>
        <v>42180.701239034854</v>
      </c>
      <c r="AZ181" s="46">
        <f>SUM(AY$181,'Statistics NZ'!AZ$181-'Statistics NZ'!AY$181,$O$13/5*(AZ$8-AZ$9)*1000)</f>
        <v>43910.701239034854</v>
      </c>
      <c r="BA181" s="46">
        <f>SUM(AZ$181,'Statistics NZ'!BA$181-'Statistics NZ'!AZ$181,$O$13/5*(BA$8-BA$9)*1000)</f>
        <v>44740.701239034854</v>
      </c>
      <c r="BB181" s="46">
        <f>SUM(BA$181,'Statistics NZ'!BB$181-'Statistics NZ'!BA$181,$O$13/5*(BB$8-BB$9)*1000)</f>
        <v>44790.701239034854</v>
      </c>
      <c r="BC181" s="46">
        <f>SUM(BB$181,'Statistics NZ'!BC$181-'Statistics NZ'!BB$181,$O$13/5*(BC$8-BC$9)*1000)</f>
        <v>44040.701239034854</v>
      </c>
      <c r="BD181" s="46">
        <f>SUM(BC$181,'Statistics NZ'!BD$181-'Statistics NZ'!BC$181,$O$13/5*(BD$8-BD$9)*1000)</f>
        <v>43050.701239034854</v>
      </c>
      <c r="BE181" s="46">
        <f>SUM(BD$181,'Statistics NZ'!BE$181-'Statistics NZ'!BD$181,$O$13/5*(BE$8-BE$9)*1000)</f>
        <v>42750.701239034854</v>
      </c>
      <c r="BF181" s="46">
        <f>SUM(BE$181,'Statistics NZ'!BF$181-'Statistics NZ'!BE$181,$O$13/5*(BF$8-BF$9)*1000)</f>
        <v>42350.701239034854</v>
      </c>
      <c r="BG181" s="46">
        <f>SUM(BF$181,'Statistics NZ'!BG$181-'Statistics NZ'!BF$181,$O$13/5*(BG$8-BG$9)*1000)</f>
        <v>41060.701239034854</v>
      </c>
      <c r="BH181" s="46">
        <f>SUM(BG$181,'Statistics NZ'!BH$181-'Statistics NZ'!BG$181,$O$13/5*(BH$8-BH$9)*1000)</f>
        <v>40970.701239034854</v>
      </c>
      <c r="BI181" s="46">
        <f>SUM(BH$181,'Statistics NZ'!BI$181-'Statistics NZ'!BH$181,$O$13/5*(BI$8-BI$9)*1000)</f>
        <v>40390.701239034854</v>
      </c>
    </row>
    <row r="182" spans="1:61" x14ac:dyDescent="0.25">
      <c r="A182" s="11">
        <f>$A$82</f>
        <v>67</v>
      </c>
      <c r="B182" s="44">
        <f>'Statistics NZ'!B$182*'Economic Forecasts'!D$9*1000000/SUM('Statistics NZ'!B$30:B$110,'Statistics NZ'!B$130:B$210)</f>
        <v>14176.930334433549</v>
      </c>
      <c r="C182" s="44">
        <f>'Statistics NZ'!C$182*'Economic Forecasts'!E$9*1000000/SUM('Statistics NZ'!C$30:C$110,'Statistics NZ'!C$130:C$210)</f>
        <v>15790.685839114672</v>
      </c>
      <c r="D182" s="44">
        <f>'Statistics NZ'!D$182*'Economic Forecasts'!F$9*1000000/SUM('Statistics NZ'!D$30:D$110,'Statistics NZ'!D$130:D$210)</f>
        <v>16895.084773975694</v>
      </c>
      <c r="E182" s="44">
        <f>'Statistics NZ'!E$182*'Economic Forecasts'!G$9*1000000/SUM('Statistics NZ'!E$30:E$110,'Statistics NZ'!E$130:E$210)</f>
        <v>17034.798791100242</v>
      </c>
      <c r="F182" s="44">
        <f>'Statistics NZ'!F$182*'Economic Forecasts'!H$9*1000000/SUM('Statistics NZ'!F$30:F$110,'Statistics NZ'!F$130:F$210)</f>
        <v>15331.20339519711</v>
      </c>
      <c r="G182" s="44">
        <f>'Statistics NZ'!G$182*'Economic Forecasts'!I$9*1000000/SUM('Statistics NZ'!G$30:G$110,'Statistics NZ'!G$130:G$210)</f>
        <v>17317.018593482779</v>
      </c>
      <c r="H182" s="44">
        <f>'Statistics NZ'!H$182*'Economic Forecasts'!J$9*1000000/SUM('Statistics NZ'!H$30:H$110,'Statistics NZ'!H$130:H$210)</f>
        <v>17871.924463362273</v>
      </c>
      <c r="I182" s="44">
        <f>'Statistics NZ'!I$182*'Economic Forecasts'!K$9*1000000/SUM('Statistics NZ'!I$30:I$110,'Statistics NZ'!I$130:I$210)</f>
        <v>18871.843965007316</v>
      </c>
      <c r="J182" s="44">
        <f>'Statistics NZ'!J$182*'Economic Forecasts'!L$9*1000000/SUM('Statistics NZ'!J$30:J$110,'Statistics NZ'!J$130:J$210)</f>
        <v>22224.539633926441</v>
      </c>
      <c r="K182" s="44">
        <f>'Statistics NZ'!K$182*'Economic Forecasts'!M$9*1000000/SUM('Statistics NZ'!K$30:K$110,'Statistics NZ'!K$130:K$210)</f>
        <v>22033.064372011417</v>
      </c>
      <c r="L182" s="44">
        <f>'Statistics NZ'!L$182*'Economic Forecasts'!N$9*1000000/SUM('Statistics NZ'!L$30:L$110,'Statistics NZ'!L$130:L$210)</f>
        <v>22053.433029600132</v>
      </c>
      <c r="M182" s="44">
        <f>'Statistics NZ'!M$182*'Economic Forecasts'!O$9*1000000/SUM('Statistics NZ'!M$30:M$110,'Statistics NZ'!M$130:M$210)</f>
        <v>22264.858785626027</v>
      </c>
      <c r="N182" s="44">
        <f>'Statistics NZ'!N$182*'Economic Forecasts'!P$9*1000000/SUM('Statistics NZ'!N$30:N$110,'Statistics NZ'!N$130:N$210)</f>
        <v>22378.144678741774</v>
      </c>
      <c r="O182" s="44">
        <f>'Statistics NZ'!O$182*'Economic Forecasts'!Q$9*1000000/SUM('Statistics NZ'!O$30:O$110,'Statistics NZ'!O$130:O$210)</f>
        <v>22890.753940867675</v>
      </c>
      <c r="P182" s="44">
        <f>'Statistics NZ'!P$182*'Economic Forecasts'!R$9*1000000/SUM('Statistics NZ'!P$30:P$110,'Statistics NZ'!P$130:P$210)</f>
        <v>23276.645644702003</v>
      </c>
      <c r="Q182" s="44">
        <f>'Statistics NZ'!Q$182*'Economic Forecasts'!S$9*1000000/SUM('Statistics NZ'!Q$30:Q$110,'Statistics NZ'!Q$130:Q$210)</f>
        <v>24160.063358331692</v>
      </c>
      <c r="R182" s="44">
        <f>'Statistics NZ'!R$182*'Economic Forecasts'!T$9*1000000/SUM('Statistics NZ'!R$30:R$110,'Statistics NZ'!R$130:R$210)</f>
        <v>24526.64931230088</v>
      </c>
      <c r="S182" s="44">
        <f>'Statistics NZ'!S$182*'Economic Forecasts'!U$9*1000000/SUM('Statistics NZ'!S$30:S$110,'Statistics NZ'!S$130:S$210)</f>
        <v>24784.82154254942</v>
      </c>
      <c r="T182" s="44">
        <f>'Statistics NZ'!T$182*'Economic Forecasts'!V$9*1000000/SUM('Statistics NZ'!T$30:T$110,'Statistics NZ'!T$130:T$210)</f>
        <v>25542.068509824378</v>
      </c>
      <c r="U182" s="45">
        <f>SUM('Statistics NZ'!U$182,$O$13/5*(U$8-U$9)*1000)*'Economic Forecasts'!W$9*1000000/SUM('Statistics NZ'!U$30:U$110,'Statistics NZ'!U$130:U$210,SUM($E$12:$T$13)*(U$8-U$9)*1000)</f>
        <v>26212.38420683326</v>
      </c>
      <c r="V182" s="45">
        <f>SUM('Statistics NZ'!V$182,$O$13/5*(V$8-V$9)*1000)*'Economic Forecasts'!X$9*1000000/SUM('Statistics NZ'!V$30:V$110,'Statistics NZ'!V$130:V$210,SUM($E$12:$T$13)*(V$8-V$9)*1000)</f>
        <v>27261.365347598905</v>
      </c>
      <c r="W182" s="45">
        <f>SUM('Statistics NZ'!W$182,$O$13/5*(W$8-W$9)*1000)*'Economic Forecasts'!Y$9*1000000/SUM('Statistics NZ'!W$30:W$110,'Statistics NZ'!W$130:W$210,SUM($E$12:$T$13)*(W$8-W$9)*1000)</f>
        <v>27631.676890455255</v>
      </c>
      <c r="X182" s="45">
        <f>SUM('Statistics NZ'!X$182,$O$13/5*(X$8-X$9)*1000)*'Economic Forecasts'!Z$9*1000000/SUM('Statistics NZ'!X$30:X$110,'Statistics NZ'!X$130:X$210,SUM($E$12:$T$13)*(X$8-X$9)*1000)</f>
        <v>28794.119361167563</v>
      </c>
      <c r="Y182" s="45">
        <f>SUM('Statistics NZ'!Y$182,$O$13/5*(Y$8-Y$9)*1000)*'Economic Forecasts'!AA$9*1000000/SUM('Statistics NZ'!Y$30:Y$110,'Statistics NZ'!Y$130:Y$210,SUM($E$12:$T$13)*(Y$8-Y$9)*1000)</f>
        <v>29426.514130718424</v>
      </c>
      <c r="Z182" s="46">
        <f>SUM(Y$182,'Statistics NZ'!Z$182-'Statistics NZ'!Y$182,$O$13/5*(Z$8-Z$9)*1000)</f>
        <v>29670.921886029817</v>
      </c>
      <c r="AA182" s="46">
        <f>SUM(Z$182,'Statistics NZ'!AA$182-'Statistics NZ'!Z$182,$O$13/5*(AA$8-AA$9)*1000)</f>
        <v>29383.566539216652</v>
      </c>
      <c r="AB182" s="46">
        <f>SUM(AA$182,'Statistics NZ'!AB$182-'Statistics NZ'!AA$182,$O$13/5*(AB$8-AB$9)*1000)</f>
        <v>28754.800710703843</v>
      </c>
      <c r="AC182" s="46">
        <f>SUM(AB$182,'Statistics NZ'!AC$182-'Statistics NZ'!AB$182,$O$13/5*(AC$8-AC$9)*1000)</f>
        <v>28484.800710703843</v>
      </c>
      <c r="AD182" s="46">
        <f>SUM(AC$182,'Statistics NZ'!AD$182-'Statistics NZ'!AC$182,$O$13/5*(AD$8-AD$9)*1000)</f>
        <v>28544.800710703843</v>
      </c>
      <c r="AE182" s="46">
        <f>SUM(AD$182,'Statistics NZ'!AE$182-'Statistics NZ'!AD$182,$O$13/5*(AE$8-AE$9)*1000)</f>
        <v>29214.800710703843</v>
      </c>
      <c r="AF182" s="46">
        <f>SUM(AE$182,'Statistics NZ'!AF$182-'Statistics NZ'!AE$182,$O$13/5*(AF$8-AF$9)*1000)</f>
        <v>29944.800710703843</v>
      </c>
      <c r="AG182" s="46">
        <f>SUM(AF$182,'Statistics NZ'!AG$182-'Statistics NZ'!AF$182,$O$13/5*(AG$8-AG$9)*1000)</f>
        <v>30024.800710703843</v>
      </c>
      <c r="AH182" s="46">
        <f>SUM(AG$182,'Statistics NZ'!AH$182-'Statistics NZ'!AG$182,$O$13/5*(AH$8-AH$9)*1000)</f>
        <v>31164.800710703843</v>
      </c>
      <c r="AI182" s="46">
        <f>SUM(AH$182,'Statistics NZ'!AI$182-'Statistics NZ'!AH$182,$O$13/5*(AI$8-AI$9)*1000)</f>
        <v>31014.800710703843</v>
      </c>
      <c r="AJ182" s="46">
        <f>SUM(AI$182,'Statistics NZ'!AJ$182-'Statistics NZ'!AI$182,$O$13/5*(AJ$8-AJ$9)*1000)</f>
        <v>30314.800710703843</v>
      </c>
      <c r="AK182" s="46">
        <f>SUM(AJ$182,'Statistics NZ'!AK$182-'Statistics NZ'!AJ$182,$O$13/5*(AK$8-AK$9)*1000)</f>
        <v>29674.800710703843</v>
      </c>
      <c r="AL182" s="46">
        <f>SUM(AK$182,'Statistics NZ'!AL$182-'Statistics NZ'!AK$182,$O$13/5*(AL$8-AL$9)*1000)</f>
        <v>28834.800710703843</v>
      </c>
      <c r="AM182" s="46">
        <f>SUM(AL$182,'Statistics NZ'!AM$182-'Statistics NZ'!AL$182,$O$13/5*(AM$8-AM$9)*1000)</f>
        <v>28774.800710703843</v>
      </c>
      <c r="AN182" s="46">
        <f>SUM(AM$182,'Statistics NZ'!AN$182-'Statistics NZ'!AM$182,$O$13/5*(AN$8-AN$9)*1000)</f>
        <v>29224.800710703843</v>
      </c>
      <c r="AO182" s="46">
        <f>SUM(AN$182,'Statistics NZ'!AO$182-'Statistics NZ'!AN$182,$O$13/5*(AO$8-AO$9)*1000)</f>
        <v>29074.800710703843</v>
      </c>
      <c r="AP182" s="46">
        <f>SUM(AO$182,'Statistics NZ'!AP$182-'Statistics NZ'!AO$182,$O$13/5*(AP$8-AP$9)*1000)</f>
        <v>30424.800710703843</v>
      </c>
      <c r="AQ182" s="46">
        <f>SUM(AP$182,'Statistics NZ'!AQ$182-'Statistics NZ'!AP$182,$O$13/5*(AQ$8-AQ$9)*1000)</f>
        <v>31564.800710703843</v>
      </c>
      <c r="AR182" s="46">
        <f>SUM(AQ$182,'Statistics NZ'!AR$182-'Statistics NZ'!AQ$182,$O$13/5*(AR$8-AR$9)*1000)</f>
        <v>32584.800710703843</v>
      </c>
      <c r="AS182" s="46">
        <f>SUM(AR$182,'Statistics NZ'!AS$182-'Statistics NZ'!AR$182,$O$13/5*(AS$8-AS$9)*1000)</f>
        <v>33554.800710703843</v>
      </c>
      <c r="AT182" s="46">
        <f>SUM(AS$182,'Statistics NZ'!AT$182-'Statistics NZ'!AS$182,$O$13/5*(AT$8-AT$9)*1000)</f>
        <v>34974.800710703843</v>
      </c>
      <c r="AU182" s="46">
        <f>SUM(AT$182,'Statistics NZ'!AU$182-'Statistics NZ'!AT$182,$O$13/5*(AU$8-AU$9)*1000)</f>
        <v>36004.800710703843</v>
      </c>
      <c r="AV182" s="46">
        <f>SUM(AU$182,'Statistics NZ'!AV$182-'Statistics NZ'!AU$182,$O$13/5*(AV$8-AV$9)*1000)</f>
        <v>36654.800710703843</v>
      </c>
      <c r="AW182" s="46">
        <f>SUM(AV$182,'Statistics NZ'!AW$182-'Statistics NZ'!AV$182,$O$13/5*(AW$8-AW$9)*1000)</f>
        <v>37874.800710703843</v>
      </c>
      <c r="AX182" s="46">
        <f>SUM(AW$182,'Statistics NZ'!AX$182-'Statistics NZ'!AW$182,$O$13/5*(AX$8-AX$9)*1000)</f>
        <v>39934.800710703843</v>
      </c>
      <c r="AY182" s="46">
        <f>SUM(AX$182,'Statistics NZ'!AY$182-'Statistics NZ'!AX$182,$O$13/5*(AY$8-AY$9)*1000)</f>
        <v>41194.800710703843</v>
      </c>
      <c r="AZ182" s="46">
        <f>SUM(AY$182,'Statistics NZ'!AZ$182-'Statistics NZ'!AY$182,$O$13/5*(AZ$8-AZ$9)*1000)</f>
        <v>42024.800710703843</v>
      </c>
      <c r="BA182" s="46">
        <f>SUM(AZ$182,'Statistics NZ'!BA$182-'Statistics NZ'!AZ$182,$O$13/5*(BA$8-BA$9)*1000)</f>
        <v>43764.800710703843</v>
      </c>
      <c r="BB182" s="46">
        <f>SUM(BA$182,'Statistics NZ'!BB$182-'Statistics NZ'!BA$182,$O$13/5*(BB$8-BB$9)*1000)</f>
        <v>44594.800710703843</v>
      </c>
      <c r="BC182" s="46">
        <f>SUM(BB$182,'Statistics NZ'!BC$182-'Statistics NZ'!BB$182,$O$13/5*(BC$8-BC$9)*1000)</f>
        <v>44644.800710703843</v>
      </c>
      <c r="BD182" s="46">
        <f>SUM(BC$182,'Statistics NZ'!BD$182-'Statistics NZ'!BC$182,$O$13/5*(BD$8-BD$9)*1000)</f>
        <v>43904.800710703843</v>
      </c>
      <c r="BE182" s="46">
        <f>SUM(BD$182,'Statistics NZ'!BE$182-'Statistics NZ'!BD$182,$O$13/5*(BE$8-BE$9)*1000)</f>
        <v>42924.800710703843</v>
      </c>
      <c r="BF182" s="46">
        <f>SUM(BE$182,'Statistics NZ'!BF$182-'Statistics NZ'!BE$182,$O$13/5*(BF$8-BF$9)*1000)</f>
        <v>42634.800710703843</v>
      </c>
      <c r="BG182" s="46">
        <f>SUM(BF$182,'Statistics NZ'!BG$182-'Statistics NZ'!BF$182,$O$13/5*(BG$8-BG$9)*1000)</f>
        <v>42234.800710703843</v>
      </c>
      <c r="BH182" s="46">
        <f>SUM(BG$182,'Statistics NZ'!BH$182-'Statistics NZ'!BG$182,$O$13/5*(BH$8-BH$9)*1000)</f>
        <v>40954.800710703843</v>
      </c>
      <c r="BI182" s="46">
        <f>SUM(BH$182,'Statistics NZ'!BI$182-'Statistics NZ'!BH$182,$O$13/5*(BI$8-BI$9)*1000)</f>
        <v>40864.800710703843</v>
      </c>
    </row>
    <row r="183" spans="1:61" x14ac:dyDescent="0.25">
      <c r="A183" s="11">
        <f>$A$83</f>
        <v>68</v>
      </c>
      <c r="B183" s="44">
        <f>'Statistics NZ'!B$183*'Economic Forecasts'!D$9*1000000/SUM('Statistics NZ'!B$30:B$110,'Statistics NZ'!B$130:B$210)</f>
        <v>13687.733290457238</v>
      </c>
      <c r="C183" s="44">
        <f>'Statistics NZ'!C$183*'Economic Forecasts'!E$9*1000000/SUM('Statistics NZ'!C$30:C$110,'Statistics NZ'!C$130:C$210)</f>
        <v>14003.431596130302</v>
      </c>
      <c r="D183" s="44">
        <f>'Statistics NZ'!D$183*'Economic Forecasts'!F$9*1000000/SUM('Statistics NZ'!D$30:D$110,'Statistics NZ'!D$130:D$210)</f>
        <v>15559.194349986919</v>
      </c>
      <c r="E183" s="44">
        <f>'Statistics NZ'!E$183*'Economic Forecasts'!G$9*1000000/SUM('Statistics NZ'!E$30:E$110,'Statistics NZ'!E$130:E$210)</f>
        <v>16652.324897690392</v>
      </c>
      <c r="F183" s="44">
        <f>'Statistics NZ'!F$183*'Economic Forecasts'!H$9*1000000/SUM('Statistics NZ'!F$30:F$110,'Statistics NZ'!F$130:F$210)</f>
        <v>16851.572253965856</v>
      </c>
      <c r="G183" s="44">
        <f>'Statistics NZ'!G$183*'Economic Forecasts'!I$9*1000000/SUM('Statistics NZ'!G$30:G$110,'Statistics NZ'!G$130:G$210)</f>
        <v>15185.542113173215</v>
      </c>
      <c r="H183" s="44">
        <f>'Statistics NZ'!H$183*'Economic Forecasts'!J$9*1000000/SUM('Statistics NZ'!H$30:H$110,'Statistics NZ'!H$130:H$210)</f>
        <v>17115.388903340889</v>
      </c>
      <c r="I183" s="44">
        <f>'Statistics NZ'!I$183*'Economic Forecasts'!K$9*1000000/SUM('Statistics NZ'!I$30:I$110,'Statistics NZ'!I$130:I$210)</f>
        <v>17656.203107001653</v>
      </c>
      <c r="J183" s="44">
        <f>'Statistics NZ'!J$183*'Economic Forecasts'!L$9*1000000/SUM('Statistics NZ'!J$30:J$110,'Statistics NZ'!J$130:J$210)</f>
        <v>18567.583792451052</v>
      </c>
      <c r="K183" s="44">
        <f>'Statistics NZ'!K$183*'Economic Forecasts'!M$9*1000000/SUM('Statistics NZ'!K$30:K$110,'Statistics NZ'!K$130:K$210)</f>
        <v>21857.812423846943</v>
      </c>
      <c r="L183" s="44">
        <f>'Statistics NZ'!L$183*'Economic Forecasts'!N$9*1000000/SUM('Statistics NZ'!L$30:L$110,'Statistics NZ'!L$130:L$210)</f>
        <v>21848.964114093902</v>
      </c>
      <c r="M183" s="44">
        <f>'Statistics NZ'!M$183*'Economic Forecasts'!O$9*1000000/SUM('Statistics NZ'!M$30:M$110,'Statistics NZ'!M$130:M$210)</f>
        <v>21893.614979634895</v>
      </c>
      <c r="N183" s="44">
        <f>'Statistics NZ'!N$183*'Economic Forecasts'!P$9*1000000/SUM('Statistics NZ'!N$30:N$110,'Statistics NZ'!N$130:N$210)</f>
        <v>22055.241847784855</v>
      </c>
      <c r="O183" s="44">
        <f>'Statistics NZ'!O$183*'Economic Forecasts'!Q$9*1000000/SUM('Statistics NZ'!O$30:O$110,'Statistics NZ'!O$130:O$210)</f>
        <v>22212.290873032682</v>
      </c>
      <c r="P183" s="44">
        <f>'Statistics NZ'!P$183*'Economic Forecasts'!R$9*1000000/SUM('Statistics NZ'!P$30:P$110,'Statistics NZ'!P$130:P$210)</f>
        <v>22775.544366576294</v>
      </c>
      <c r="Q183" s="44">
        <f>'Statistics NZ'!Q$183*'Economic Forecasts'!S$9*1000000/SUM('Statistics NZ'!Q$30:Q$110,'Statistics NZ'!Q$130:Q$210)</f>
        <v>23107.034281035987</v>
      </c>
      <c r="R183" s="44">
        <f>'Statistics NZ'!R$183*'Economic Forecasts'!T$9*1000000/SUM('Statistics NZ'!R$30:R$110,'Statistics NZ'!R$130:R$210)</f>
        <v>23799.712487372759</v>
      </c>
      <c r="S183" s="44">
        <f>'Statistics NZ'!S$183*'Economic Forecasts'!U$9*1000000/SUM('Statistics NZ'!S$30:S$110,'Statistics NZ'!S$130:S$210)</f>
        <v>23900.70186802328</v>
      </c>
      <c r="T183" s="44">
        <f>'Statistics NZ'!T$183*'Economic Forecasts'!V$9*1000000/SUM('Statistics NZ'!T$30:T$110,'Statistics NZ'!T$130:T$210)</f>
        <v>24699.586622616356</v>
      </c>
      <c r="U183" s="45">
        <f>SUM('Statistics NZ'!U$183,$O$13/5*(U$8-U$9)*1000)*'Economic Forecasts'!W$9*1000000/SUM('Statistics NZ'!U$30:U$110,'Statistics NZ'!U$130:U$210,SUM($E$12:$T$13)*(U$8-U$9)*1000)</f>
        <v>25291.224020578004</v>
      </c>
      <c r="V183" s="45">
        <f>SUM('Statistics NZ'!V$183,$O$13/5*(V$8-V$9)*1000)*'Economic Forecasts'!X$9*1000000/SUM('Statistics NZ'!V$30:V$110,'Statistics NZ'!V$130:V$210,SUM($E$12:$T$13)*(V$8-V$9)*1000)</f>
        <v>25954.457363644069</v>
      </c>
      <c r="W183" s="45">
        <f>SUM('Statistics NZ'!W$183,$O$13/5*(W$8-W$9)*1000)*'Economic Forecasts'!Y$9*1000000/SUM('Statistics NZ'!W$30:W$110,'Statistics NZ'!W$130:W$210,SUM($E$12:$T$13)*(W$8-W$9)*1000)</f>
        <v>27007.788163879002</v>
      </c>
      <c r="X183" s="45">
        <f>SUM('Statistics NZ'!X$183,$O$13/5*(X$8-X$9)*1000)*'Economic Forecasts'!Z$9*1000000/SUM('Statistics NZ'!X$30:X$110,'Statistics NZ'!X$130:X$210,SUM($E$12:$T$13)*(X$8-X$9)*1000)</f>
        <v>27387.572282444682</v>
      </c>
      <c r="Y183" s="45">
        <f>SUM('Statistics NZ'!Y$183,$O$13/5*(Y$8-Y$9)*1000)*'Economic Forecasts'!AA$9*1000000/SUM('Statistics NZ'!Y$30:Y$110,'Statistics NZ'!Y$130:Y$210,SUM($E$12:$T$13)*(Y$8-Y$9)*1000)</f>
        <v>28544.621974685964</v>
      </c>
      <c r="Z183" s="46">
        <f>SUM(Y$183,'Statistics NZ'!Z$183-'Statistics NZ'!Y$183,$O$13/5*(Z$8-Z$9)*1000)</f>
        <v>29189.029729997357</v>
      </c>
      <c r="AA183" s="46">
        <f>SUM(Z$183,'Statistics NZ'!AA$183-'Statistics NZ'!Z$183,$O$13/5*(AA$8-AA$9)*1000)</f>
        <v>29431.674383184192</v>
      </c>
      <c r="AB183" s="46">
        <f>SUM(AA$183,'Statistics NZ'!AB$183-'Statistics NZ'!AA$183,$O$13/5*(AB$8-AB$9)*1000)</f>
        <v>29162.908554671383</v>
      </c>
      <c r="AC183" s="46">
        <f>SUM(AB$183,'Statistics NZ'!AC$183-'Statistics NZ'!AB$183,$O$13/5*(AC$8-AC$9)*1000)</f>
        <v>28542.908554671383</v>
      </c>
      <c r="AD183" s="46">
        <f>SUM(AC$183,'Statistics NZ'!AD$183-'Statistics NZ'!AC$183,$O$13/5*(AD$8-AD$9)*1000)</f>
        <v>28282.908554671383</v>
      </c>
      <c r="AE183" s="46">
        <f>SUM(AD$183,'Statistics NZ'!AE$183-'Statistics NZ'!AD$183,$O$13/5*(AE$8-AE$9)*1000)</f>
        <v>28342.908554671383</v>
      </c>
      <c r="AF183" s="46">
        <f>SUM(AE$183,'Statistics NZ'!AF$183-'Statistics NZ'!AE$183,$O$13/5*(AF$8-AF$9)*1000)</f>
        <v>29012.908554671383</v>
      </c>
      <c r="AG183" s="46">
        <f>SUM(AF$183,'Statistics NZ'!AG$183-'Statistics NZ'!AF$183,$O$13/5*(AG$8-AG$9)*1000)</f>
        <v>29742.908554671383</v>
      </c>
      <c r="AH183" s="46">
        <f>SUM(AG$183,'Statistics NZ'!AH$183-'Statistics NZ'!AG$183,$O$13/5*(AH$8-AH$9)*1000)</f>
        <v>29822.908554671383</v>
      </c>
      <c r="AI183" s="46">
        <f>SUM(AH$183,'Statistics NZ'!AI$183-'Statistics NZ'!AH$183,$O$13/5*(AI$8-AI$9)*1000)</f>
        <v>30972.908554671383</v>
      </c>
      <c r="AJ183" s="46">
        <f>SUM(AI$183,'Statistics NZ'!AJ$183-'Statistics NZ'!AI$183,$O$13/5*(AJ$8-AJ$9)*1000)</f>
        <v>30822.908554671383</v>
      </c>
      <c r="AK183" s="46">
        <f>SUM(AJ$183,'Statistics NZ'!AK$183-'Statistics NZ'!AJ$183,$O$13/5*(AK$8-AK$9)*1000)</f>
        <v>30132.908554671383</v>
      </c>
      <c r="AL183" s="46">
        <f>SUM(AK$183,'Statistics NZ'!AL$183-'Statistics NZ'!AK$183,$O$13/5*(AL$8-AL$9)*1000)</f>
        <v>29502.908554671383</v>
      </c>
      <c r="AM183" s="46">
        <f>SUM(AL$183,'Statistics NZ'!AM$183-'Statistics NZ'!AL$183,$O$13/5*(AM$8-AM$9)*1000)</f>
        <v>28672.908554671383</v>
      </c>
      <c r="AN183" s="46">
        <f>SUM(AM$183,'Statistics NZ'!AN$183-'Statistics NZ'!AM$183,$O$13/5*(AN$8-AN$9)*1000)</f>
        <v>28622.908554671383</v>
      </c>
      <c r="AO183" s="46">
        <f>SUM(AN$183,'Statistics NZ'!AO$183-'Statistics NZ'!AN$183,$O$13/5*(AO$8-AO$9)*1000)</f>
        <v>29072.908554671383</v>
      </c>
      <c r="AP183" s="46">
        <f>SUM(AO$183,'Statistics NZ'!AP$183-'Statistics NZ'!AO$183,$O$13/5*(AP$8-AP$9)*1000)</f>
        <v>28932.908554671383</v>
      </c>
      <c r="AQ183" s="46">
        <f>SUM(AP$183,'Statistics NZ'!AQ$183-'Statistics NZ'!AP$183,$O$13/5*(AQ$8-AQ$9)*1000)</f>
        <v>30272.908554671383</v>
      </c>
      <c r="AR183" s="46">
        <f>SUM(AQ$183,'Statistics NZ'!AR$183-'Statistics NZ'!AQ$183,$O$13/5*(AR$8-AR$9)*1000)</f>
        <v>31412.908554671383</v>
      </c>
      <c r="AS183" s="46">
        <f>SUM(AR$183,'Statistics NZ'!AS$183-'Statistics NZ'!AR$183,$O$13/5*(AS$8-AS$9)*1000)</f>
        <v>32422.908554671383</v>
      </c>
      <c r="AT183" s="46">
        <f>SUM(AS$183,'Statistics NZ'!AT$183-'Statistics NZ'!AS$183,$O$13/5*(AT$8-AT$9)*1000)</f>
        <v>33392.908554671383</v>
      </c>
      <c r="AU183" s="46">
        <f>SUM(AT$183,'Statistics NZ'!AU$183-'Statistics NZ'!AT$183,$O$13/5*(AU$8-AU$9)*1000)</f>
        <v>34812.908554671383</v>
      </c>
      <c r="AV183" s="46">
        <f>SUM(AU$183,'Statistics NZ'!AV$183-'Statistics NZ'!AU$183,$O$13/5*(AV$8-AV$9)*1000)</f>
        <v>35842.908554671383</v>
      </c>
      <c r="AW183" s="46">
        <f>SUM(AV$183,'Statistics NZ'!AW$183-'Statistics NZ'!AV$183,$O$13/5*(AW$8-AW$9)*1000)</f>
        <v>36492.908554671383</v>
      </c>
      <c r="AX183" s="46">
        <f>SUM(AW$183,'Statistics NZ'!AX$183-'Statistics NZ'!AW$183,$O$13/5*(AX$8-AX$9)*1000)</f>
        <v>37702.908554671383</v>
      </c>
      <c r="AY183" s="46">
        <f>SUM(AX$183,'Statistics NZ'!AY$183-'Statistics NZ'!AX$183,$O$13/5*(AY$8-AY$9)*1000)</f>
        <v>39762.908554671383</v>
      </c>
      <c r="AZ183" s="46">
        <f>SUM(AY$183,'Statistics NZ'!AZ$183-'Statistics NZ'!AY$183,$O$13/5*(AZ$8-AZ$9)*1000)</f>
        <v>41022.908554671383</v>
      </c>
      <c r="BA183" s="46">
        <f>SUM(AZ$183,'Statistics NZ'!BA$183-'Statistics NZ'!AZ$183,$O$13/5*(BA$8-BA$9)*1000)</f>
        <v>41852.908554671383</v>
      </c>
      <c r="BB183" s="46">
        <f>SUM(BA$183,'Statistics NZ'!BB$183-'Statistics NZ'!BA$183,$O$13/5*(BB$8-BB$9)*1000)</f>
        <v>43582.908554671383</v>
      </c>
      <c r="BC183" s="46">
        <f>SUM(BB$183,'Statistics NZ'!BC$183-'Statistics NZ'!BB$183,$O$13/5*(BC$8-BC$9)*1000)</f>
        <v>44412.908554671383</v>
      </c>
      <c r="BD183" s="46">
        <f>SUM(BC$183,'Statistics NZ'!BD$183-'Statistics NZ'!BC$183,$O$13/5*(BD$8-BD$9)*1000)</f>
        <v>44472.908554671383</v>
      </c>
      <c r="BE183" s="46">
        <f>SUM(BD$183,'Statistics NZ'!BE$183-'Statistics NZ'!BD$183,$O$13/5*(BE$8-BE$9)*1000)</f>
        <v>43742.908554671383</v>
      </c>
      <c r="BF183" s="46">
        <f>SUM(BE$183,'Statistics NZ'!BF$183-'Statistics NZ'!BE$183,$O$13/5*(BF$8-BF$9)*1000)</f>
        <v>42772.908554671383</v>
      </c>
      <c r="BG183" s="46">
        <f>SUM(BF$183,'Statistics NZ'!BG$183-'Statistics NZ'!BF$183,$O$13/5*(BG$8-BG$9)*1000)</f>
        <v>42482.908554671383</v>
      </c>
      <c r="BH183" s="46">
        <f>SUM(BG$183,'Statistics NZ'!BH$183-'Statistics NZ'!BG$183,$O$13/5*(BH$8-BH$9)*1000)</f>
        <v>42102.908554671383</v>
      </c>
      <c r="BI183" s="46">
        <f>SUM(BH$183,'Statistics NZ'!BI$183-'Statistics NZ'!BH$183,$O$13/5*(BI$8-BI$9)*1000)</f>
        <v>40822.908554671383</v>
      </c>
    </row>
    <row r="184" spans="1:61" x14ac:dyDescent="0.25">
      <c r="A184" s="11">
        <f>$A$84</f>
        <v>69</v>
      </c>
      <c r="B184" s="44">
        <f>'Statistics NZ'!B$184*'Economic Forecasts'!D$9*1000000/SUM('Statistics NZ'!B$30:B$110,'Statistics NZ'!B$130:B$210)</f>
        <v>12914.801960974663</v>
      </c>
      <c r="C184" s="44">
        <f>'Statistics NZ'!C$184*'Economic Forecasts'!E$9*1000000/SUM('Statistics NZ'!C$30:C$110,'Statistics NZ'!C$130:C$210)</f>
        <v>13512.427683222506</v>
      </c>
      <c r="D184" s="44">
        <f>'Statistics NZ'!D$184*'Economic Forecasts'!F$9*1000000/SUM('Statistics NZ'!D$30:D$110,'Statistics NZ'!D$130:D$210)</f>
        <v>13771.458635531353</v>
      </c>
      <c r="E184" s="44">
        <f>'Statistics NZ'!E$184*'Economic Forecasts'!G$9*1000000/SUM('Statistics NZ'!E$30:E$110,'Statistics NZ'!E$130:E$210)</f>
        <v>15289.148713486053</v>
      </c>
      <c r="F184" s="44">
        <f>'Statistics NZ'!F$184*'Economic Forecasts'!H$9*1000000/SUM('Statistics NZ'!F$30:F$110,'Statistics NZ'!F$130:F$210)</f>
        <v>16370.939517967994</v>
      </c>
      <c r="G184" s="44">
        <f>'Statistics NZ'!G$184*'Economic Forecasts'!I$9*1000000/SUM('Statistics NZ'!G$30:G$110,'Statistics NZ'!G$130:G$210)</f>
        <v>16658.912952096878</v>
      </c>
      <c r="H184" s="44">
        <f>'Statistics NZ'!H$184*'Economic Forecasts'!J$9*1000000/SUM('Statistics NZ'!H$30:H$110,'Statistics NZ'!H$130:H$210)</f>
        <v>14973.509006137494</v>
      </c>
      <c r="I184" s="44">
        <f>'Statistics NZ'!I$184*'Economic Forecasts'!K$9*1000000/SUM('Statistics NZ'!I$30:I$110,'Statistics NZ'!I$130:I$210)</f>
        <v>16852.311571868871</v>
      </c>
      <c r="J184" s="44">
        <f>'Statistics NZ'!J$184*'Economic Forecasts'!L$9*1000000/SUM('Statistics NZ'!J$30:J$110,'Statistics NZ'!J$130:J$210)</f>
        <v>17290.08721849565</v>
      </c>
      <c r="K184" s="44">
        <f>'Statistics NZ'!K$184*'Economic Forecasts'!M$9*1000000/SUM('Statistics NZ'!K$30:K$110,'Statistics NZ'!K$130:K$210)</f>
        <v>18274.883705817687</v>
      </c>
      <c r="L184" s="44">
        <f>'Statistics NZ'!L$184*'Economic Forecasts'!N$9*1000000/SUM('Statistics NZ'!L$30:L$110,'Statistics NZ'!L$130:L$210)</f>
        <v>21576.338893418939</v>
      </c>
      <c r="M184" s="44">
        <f>'Statistics NZ'!M$184*'Economic Forecasts'!O$9*1000000/SUM('Statistics NZ'!M$30:M$110,'Statistics NZ'!M$130:M$210)</f>
        <v>21590.758190536872</v>
      </c>
      <c r="N184" s="44">
        <f>'Statistics NZ'!N$184*'Economic Forecasts'!P$9*1000000/SUM('Statistics NZ'!N$30:N$110,'Statistics NZ'!N$130:N$210)</f>
        <v>21663.844476927978</v>
      </c>
      <c r="O184" s="44">
        <f>'Statistics NZ'!O$184*'Economic Forecasts'!Q$9*1000000/SUM('Statistics NZ'!O$30:O$110,'Statistics NZ'!O$130:O$210)</f>
        <v>21868.142940072899</v>
      </c>
      <c r="P184" s="44">
        <f>'Statistics NZ'!P$184*'Economic Forecasts'!R$9*1000000/SUM('Statistics NZ'!P$30:P$110,'Statistics NZ'!P$130:P$210)</f>
        <v>22117.234844332717</v>
      </c>
      <c r="Q184" s="44">
        <f>'Statistics NZ'!Q$184*'Economic Forecasts'!S$9*1000000/SUM('Statistics NZ'!Q$30:Q$110,'Statistics NZ'!Q$130:Q$210)</f>
        <v>22560.65126923161</v>
      </c>
      <c r="R184" s="44">
        <f>'Statistics NZ'!R$184*'Economic Forecasts'!T$9*1000000/SUM('Statistics NZ'!R$30:R$110,'Statistics NZ'!R$130:R$210)</f>
        <v>22634.621959748234</v>
      </c>
      <c r="S184" s="44">
        <f>'Statistics NZ'!S$184*'Economic Forecasts'!U$9*1000000/SUM('Statistics NZ'!S$30:S$110,'Statistics NZ'!S$130:S$210)</f>
        <v>23065.699953193038</v>
      </c>
      <c r="T184" s="44">
        <f>'Statistics NZ'!T$184*'Economic Forecasts'!V$9*1000000/SUM('Statistics NZ'!T$30:T$110,'Statistics NZ'!T$130:T$210)</f>
        <v>23738.166116037792</v>
      </c>
      <c r="U184" s="45">
        <f>SUM('Statistics NZ'!U$184,$O$13/5*(U$8-U$9)*1000)*'Economic Forecasts'!W$9*1000000/SUM('Statistics NZ'!U$30:U$110,'Statistics NZ'!U$130:U$210,SUM($E$12:$T$13)*(U$8-U$9)*1000)</f>
        <v>24419.588575519268</v>
      </c>
      <c r="V184" s="45">
        <f>SUM('Statistics NZ'!V$184,$O$13/5*(V$8-V$9)*1000)*'Economic Forecasts'!X$9*1000000/SUM('Statistics NZ'!V$30:V$110,'Statistics NZ'!V$130:V$210,SUM($E$12:$T$13)*(V$8-V$9)*1000)</f>
        <v>25003.978829858734</v>
      </c>
      <c r="W184" s="45">
        <f>SUM('Statistics NZ'!W$184,$O$13/5*(W$8-W$9)*1000)*'Economic Forecasts'!Y$9*1000000/SUM('Statistics NZ'!W$30:W$110,'Statistics NZ'!W$130:W$210,SUM($E$12:$T$13)*(W$8-W$9)*1000)</f>
        <v>25690.689741106919</v>
      </c>
      <c r="X184" s="45">
        <f>SUM('Statistics NZ'!X$184,$O$13/5*(X$8-X$9)*1000)*'Economic Forecasts'!Z$9*1000000/SUM('Statistics NZ'!X$30:X$110,'Statistics NZ'!X$130:X$210,SUM($E$12:$T$13)*(X$8-X$9)*1000)</f>
        <v>26733.825048672075</v>
      </c>
      <c r="Y184" s="45">
        <f>SUM('Statistics NZ'!Y$184,$O$13/5*(Y$8-Y$9)*1000)*'Economic Forecasts'!AA$9*1000000/SUM('Statistics NZ'!Y$30:Y$110,'Statistics NZ'!Y$130:Y$210,SUM($E$12:$T$13)*(Y$8-Y$9)*1000)</f>
        <v>27127.649184656282</v>
      </c>
      <c r="Z184" s="46">
        <f>SUM(Y$184,'Statistics NZ'!Z$184-'Statistics NZ'!Y$184,$O$13/5*(Z$8-Z$9)*1000)</f>
        <v>28282.056939967675</v>
      </c>
      <c r="AA184" s="46">
        <f>SUM(Z$184,'Statistics NZ'!AA$184-'Statistics NZ'!Z$184,$O$13/5*(AA$8-AA$9)*1000)</f>
        <v>28924.70159315451</v>
      </c>
      <c r="AB184" s="46">
        <f>SUM(AA$184,'Statistics NZ'!AB$184-'Statistics NZ'!AA$184,$O$13/5*(AB$8-AB$9)*1000)</f>
        <v>29175.935764641701</v>
      </c>
      <c r="AC184" s="46">
        <f>SUM(AB$184,'Statistics NZ'!AC$184-'Statistics NZ'!AB$184,$O$13/5*(AC$8-AC$9)*1000)</f>
        <v>28905.935764641701</v>
      </c>
      <c r="AD184" s="46">
        <f>SUM(AC$184,'Statistics NZ'!AD$184-'Statistics NZ'!AC$184,$O$13/5*(AD$8-AD$9)*1000)</f>
        <v>28305.935764641701</v>
      </c>
      <c r="AE184" s="46">
        <f>SUM(AD$184,'Statistics NZ'!AE$184-'Statistics NZ'!AD$184,$O$13/5*(AE$8-AE$9)*1000)</f>
        <v>28055.935764641701</v>
      </c>
      <c r="AF184" s="46">
        <f>SUM(AE$184,'Statistics NZ'!AF$184-'Statistics NZ'!AE$184,$O$13/5*(AF$8-AF$9)*1000)</f>
        <v>28125.935764641701</v>
      </c>
      <c r="AG184" s="46">
        <f>SUM(AF$184,'Statistics NZ'!AG$184-'Statistics NZ'!AF$184,$O$13/5*(AG$8-AG$9)*1000)</f>
        <v>28795.935764641701</v>
      </c>
      <c r="AH184" s="46">
        <f>SUM(AG$184,'Statistics NZ'!AH$184-'Statistics NZ'!AG$184,$O$13/5*(AH$8-AH$9)*1000)</f>
        <v>29525.935764641701</v>
      </c>
      <c r="AI184" s="46">
        <f>SUM(AH$184,'Statistics NZ'!AI$184-'Statistics NZ'!AH$184,$O$13/5*(AI$8-AI$9)*1000)</f>
        <v>29605.935764641701</v>
      </c>
      <c r="AJ184" s="46">
        <f>SUM(AI$184,'Statistics NZ'!AJ$184-'Statistics NZ'!AI$184,$O$13/5*(AJ$8-AJ$9)*1000)</f>
        <v>30745.935764641701</v>
      </c>
      <c r="AK184" s="46">
        <f>SUM(AJ$184,'Statistics NZ'!AK$184-'Statistics NZ'!AJ$184,$O$13/5*(AK$8-AK$9)*1000)</f>
        <v>30615.935764641701</v>
      </c>
      <c r="AL184" s="46">
        <f>SUM(AK$184,'Statistics NZ'!AL$184-'Statistics NZ'!AK$184,$O$13/5*(AL$8-AL$9)*1000)</f>
        <v>29925.935764641701</v>
      </c>
      <c r="AM184" s="46">
        <f>SUM(AL$184,'Statistics NZ'!AM$184-'Statistics NZ'!AL$184,$O$13/5*(AM$8-AM$9)*1000)</f>
        <v>29305.935764641701</v>
      </c>
      <c r="AN184" s="46">
        <f>SUM(AM$184,'Statistics NZ'!AN$184-'Statistics NZ'!AM$184,$O$13/5*(AN$8-AN$9)*1000)</f>
        <v>28495.935764641701</v>
      </c>
      <c r="AO184" s="46">
        <f>SUM(AN$184,'Statistics NZ'!AO$184-'Statistics NZ'!AN$184,$O$13/5*(AO$8-AO$9)*1000)</f>
        <v>28455.935764641701</v>
      </c>
      <c r="AP184" s="46">
        <f>SUM(AO$184,'Statistics NZ'!AP$184-'Statistics NZ'!AO$184,$O$13/5*(AP$8-AP$9)*1000)</f>
        <v>28905.935764641701</v>
      </c>
      <c r="AQ184" s="46">
        <f>SUM(AP$184,'Statistics NZ'!AQ$184-'Statistics NZ'!AP$184,$O$13/5*(AQ$8-AQ$9)*1000)</f>
        <v>28765.935764641701</v>
      </c>
      <c r="AR184" s="46">
        <f>SUM(AQ$184,'Statistics NZ'!AR$184-'Statistics NZ'!AQ$184,$O$13/5*(AR$8-AR$9)*1000)</f>
        <v>30105.935764641701</v>
      </c>
      <c r="AS184" s="46">
        <f>SUM(AR$184,'Statistics NZ'!AS$184-'Statistics NZ'!AR$184,$O$13/5*(AS$8-AS$9)*1000)</f>
        <v>31235.935764641701</v>
      </c>
      <c r="AT184" s="46">
        <f>SUM(AS$184,'Statistics NZ'!AT$184-'Statistics NZ'!AS$184,$O$13/5*(AT$8-AT$9)*1000)</f>
        <v>32245.935764641701</v>
      </c>
      <c r="AU184" s="46">
        <f>SUM(AT$184,'Statistics NZ'!AU$184-'Statistics NZ'!AT$184,$O$13/5*(AU$8-AU$9)*1000)</f>
        <v>33215.935764641705</v>
      </c>
      <c r="AV184" s="46">
        <f>SUM(AU$184,'Statistics NZ'!AV$184-'Statistics NZ'!AU$184,$O$13/5*(AV$8-AV$9)*1000)</f>
        <v>34625.935764641705</v>
      </c>
      <c r="AW184" s="46">
        <f>SUM(AV$184,'Statistics NZ'!AW$184-'Statistics NZ'!AV$184,$O$13/5*(AW$8-AW$9)*1000)</f>
        <v>35655.935764641705</v>
      </c>
      <c r="AX184" s="46">
        <f>SUM(AW$184,'Statistics NZ'!AX$184-'Statistics NZ'!AW$184,$O$13/5*(AX$8-AX$9)*1000)</f>
        <v>36305.935764641705</v>
      </c>
      <c r="AY184" s="46">
        <f>SUM(AX$184,'Statistics NZ'!AY$184-'Statistics NZ'!AX$184,$O$13/5*(AY$8-AY$9)*1000)</f>
        <v>37515.935764641705</v>
      </c>
      <c r="AZ184" s="46">
        <f>SUM(AY$184,'Statistics NZ'!AZ$184-'Statistics NZ'!AY$184,$O$13/5*(AZ$8-AZ$9)*1000)</f>
        <v>39565.935764641705</v>
      </c>
      <c r="BA184" s="46">
        <f>SUM(AZ$184,'Statistics NZ'!BA$184-'Statistics NZ'!AZ$184,$O$13/5*(BA$8-BA$9)*1000)</f>
        <v>40825.935764641705</v>
      </c>
      <c r="BB184" s="46">
        <f>SUM(BA$184,'Statistics NZ'!BB$184-'Statistics NZ'!BA$184,$O$13/5*(BB$8-BB$9)*1000)</f>
        <v>41655.935764641705</v>
      </c>
      <c r="BC184" s="46">
        <f>SUM(BB$184,'Statistics NZ'!BC$184-'Statistics NZ'!BB$184,$O$13/5*(BC$8-BC$9)*1000)</f>
        <v>43385.935764641705</v>
      </c>
      <c r="BD184" s="46">
        <f>SUM(BC$184,'Statistics NZ'!BD$184-'Statistics NZ'!BC$184,$O$13/5*(BD$8-BD$9)*1000)</f>
        <v>44215.935764641705</v>
      </c>
      <c r="BE184" s="46">
        <f>SUM(BD$184,'Statistics NZ'!BE$184-'Statistics NZ'!BD$184,$O$13/5*(BE$8-BE$9)*1000)</f>
        <v>44275.935764641705</v>
      </c>
      <c r="BF184" s="46">
        <f>SUM(BE$184,'Statistics NZ'!BF$184-'Statistics NZ'!BE$184,$O$13/5*(BF$8-BF$9)*1000)</f>
        <v>43555.935764641705</v>
      </c>
      <c r="BG184" s="46">
        <f>SUM(BF$184,'Statistics NZ'!BG$184-'Statistics NZ'!BF$184,$O$13/5*(BG$8-BG$9)*1000)</f>
        <v>42595.935764641705</v>
      </c>
      <c r="BH184" s="46">
        <f>SUM(BG$184,'Statistics NZ'!BH$184-'Statistics NZ'!BG$184,$O$13/5*(BH$8-BH$9)*1000)</f>
        <v>42315.935764641705</v>
      </c>
      <c r="BI184" s="46">
        <f>SUM(BH$184,'Statistics NZ'!BI$184-'Statistics NZ'!BH$184,$O$13/5*(BI$8-BI$9)*1000)</f>
        <v>41935.935764641705</v>
      </c>
    </row>
    <row r="185" spans="1:61" x14ac:dyDescent="0.25">
      <c r="A185" s="11">
        <f>$A$85</f>
        <v>70</v>
      </c>
      <c r="B185" s="44">
        <f>'Statistics NZ'!B$185*'Economic Forecasts'!D$9*1000000/SUM('Statistics NZ'!B$30:B$110,'Statistics NZ'!B$130:B$210)</f>
        <v>12132.086690612561</v>
      </c>
      <c r="C185" s="44">
        <f>'Statistics NZ'!C$185*'Economic Forecasts'!E$9*1000000/SUM('Statistics NZ'!C$30:C$110,'Statistics NZ'!C$130:C$210)</f>
        <v>12687.541109537413</v>
      </c>
      <c r="D185" s="44">
        <f>'Statistics NZ'!D$185*'Economic Forecasts'!F$9*1000000/SUM('Statistics NZ'!D$30:D$110,'Statistics NZ'!D$130:D$210)</f>
        <v>13241.03155541816</v>
      </c>
      <c r="E185" s="44">
        <f>'Statistics NZ'!E$185*'Economic Forecasts'!G$9*1000000/SUM('Statistics NZ'!E$30:E$110,'Statistics NZ'!E$130:E$210)</f>
        <v>13484.6564984242</v>
      </c>
      <c r="F185" s="44">
        <f>'Statistics NZ'!F$185*'Economic Forecasts'!H$9*1000000/SUM('Statistics NZ'!F$30:F$110,'Statistics NZ'!F$130:F$210)</f>
        <v>15046.74728613715</v>
      </c>
      <c r="G185" s="44">
        <f>'Statistics NZ'!G$185*'Economic Forecasts'!I$9*1000000/SUM('Statistics NZ'!G$30:G$110,'Statistics NZ'!G$130:G$210)</f>
        <v>16099.032033305883</v>
      </c>
      <c r="H185" s="44">
        <f>'Statistics NZ'!H$185*'Economic Forecasts'!J$9*1000000/SUM('Statistics NZ'!H$30:H$110,'Statistics NZ'!H$130:H$210)</f>
        <v>16388.328754748913</v>
      </c>
      <c r="I185" s="44">
        <f>'Statistics NZ'!I$185*'Economic Forecasts'!K$9*1000000/SUM('Statistics NZ'!I$30:I$110,'Statistics NZ'!I$130:I$210)</f>
        <v>14695.529404439465</v>
      </c>
      <c r="J185" s="44">
        <f>'Statistics NZ'!J$185*'Economic Forecasts'!L$9*1000000/SUM('Statistics NZ'!J$30:J$110,'Statistics NZ'!J$130:J$210)</f>
        <v>16509.936638980897</v>
      </c>
      <c r="K185" s="44">
        <f>'Statistics NZ'!K$185*'Economic Forecasts'!M$9*1000000/SUM('Statistics NZ'!K$30:K$110,'Statistics NZ'!K$130:K$210)</f>
        <v>16999.438971954016</v>
      </c>
      <c r="L185" s="44">
        <f>'Statistics NZ'!L$185*'Economic Forecasts'!N$9*1000000/SUM('Statistics NZ'!L$30:L$110,'Statistics NZ'!L$130:L$210)</f>
        <v>18012.737794596134</v>
      </c>
      <c r="M185" s="44">
        <f>'Statistics NZ'!M$185*'Economic Forecasts'!O$9*1000000/SUM('Statistics NZ'!M$30:M$110,'Statistics NZ'!M$130:M$210)</f>
        <v>21297.670975280715</v>
      </c>
      <c r="N185" s="44">
        <f>'Statistics NZ'!N$185*'Economic Forecasts'!P$9*1000000/SUM('Statistics NZ'!N$30:N$110,'Statistics NZ'!N$130:N$210)</f>
        <v>21262.662171799682</v>
      </c>
      <c r="O185" s="44">
        <f>'Statistics NZ'!O$185*'Economic Forecasts'!Q$9*1000000/SUM('Statistics NZ'!O$30:O$110,'Statistics NZ'!O$130:O$210)</f>
        <v>21366.670237760078</v>
      </c>
      <c r="P185" s="44">
        <f>'Statistics NZ'!P$185*'Economic Forecasts'!R$9*1000000/SUM('Statistics NZ'!P$30:P$110,'Statistics NZ'!P$130:P$210)</f>
        <v>21704.56320352331</v>
      </c>
      <c r="Q185" s="44">
        <f>'Statistics NZ'!Q$185*'Economic Forecasts'!S$9*1000000/SUM('Statistics NZ'!Q$30:Q$110,'Statistics NZ'!Q$130:Q$210)</f>
        <v>21875.188945331574</v>
      </c>
      <c r="R185" s="44">
        <f>'Statistics NZ'!R$185*'Economic Forecasts'!T$9*1000000/SUM('Statistics NZ'!R$30:R$110,'Statistics NZ'!R$130:R$210)</f>
        <v>22116.803947470671</v>
      </c>
      <c r="S185" s="44">
        <f>'Statistics NZ'!S$185*'Economic Forecasts'!U$9*1000000/SUM('Statistics NZ'!S$30:S$110,'Statistics NZ'!S$130:S$210)</f>
        <v>21955.638584065775</v>
      </c>
      <c r="T185" s="44">
        <f>'Statistics NZ'!T$185*'Economic Forecasts'!V$9*1000000/SUM('Statistics NZ'!T$30:T$110,'Statistics NZ'!T$130:T$210)</f>
        <v>22925.41888367241</v>
      </c>
      <c r="U185" s="45">
        <f>SUM('Statistics NZ'!U$185,$P$13/5*(U$8-U$9)*1000)*'Economic Forecasts'!W$9*1000000/SUM('Statistics NZ'!U$30:U$110,'Statistics NZ'!U$130:U$210,SUM($E$12:$T$13)*(U$8-U$9)*1000)</f>
        <v>23420.878281068901</v>
      </c>
      <c r="V185" s="45">
        <f>SUM('Statistics NZ'!V$185,$P$13/5*(V$8-V$9)*1000)*'Economic Forecasts'!X$9*1000000/SUM('Statistics NZ'!V$30:V$110,'Statistics NZ'!V$130:V$210,SUM($E$12:$T$13)*(V$8-V$9)*1000)</f>
        <v>24094.480491749655</v>
      </c>
      <c r="W185" s="45">
        <f>SUM('Statistics NZ'!W$185,$P$13/5*(W$8-W$9)*1000)*'Economic Forecasts'!Y$9*1000000/SUM('Statistics NZ'!W$30:W$110,'Statistics NZ'!W$130:W$210,SUM($E$12:$T$13)*(W$8-W$9)*1000)</f>
        <v>24703.015074958665</v>
      </c>
      <c r="X185" s="45">
        <f>SUM('Statistics NZ'!X$185,$P$13/5*(X$8-X$9)*1000)*'Economic Forecasts'!Z$9*1000000/SUM('Statistics NZ'!X$30:X$110,'Statistics NZ'!X$130:X$210,SUM($E$12:$T$13)*(X$8-X$9)*1000)</f>
        <v>25390.998982309291</v>
      </c>
      <c r="Y185" s="45">
        <f>SUM('Statistics NZ'!Y$185,$P$13/5*(Y$8-Y$9)*1000)*'Economic Forecasts'!AA$9*1000000/SUM('Statistics NZ'!Y$30:Y$110,'Statistics NZ'!Y$130:Y$210,SUM($E$12:$T$13)*(Y$8-Y$9)*1000)</f>
        <v>26439.773649440831</v>
      </c>
      <c r="Z185" s="46">
        <f>SUM(Y$185,'Statistics NZ'!Z$185-'Statistics NZ'!Y$185,$P$13/5*(Z$8-Z$9)*1000)</f>
        <v>26821.556623299337</v>
      </c>
      <c r="AA185" s="46">
        <f>SUM(Z$185,'Statistics NZ'!AA$185-'Statistics NZ'!Z$185,$P$13/5*(AA$8-AA$9)*1000)</f>
        <v>27972.62640761444</v>
      </c>
      <c r="AB185" s="46">
        <f>SUM(AA$185,'Statistics NZ'!AB$185-'Statistics NZ'!AA$185,$P$13/5*(AB$8-AB$9)*1000)</f>
        <v>28613.12564029482</v>
      </c>
      <c r="AC185" s="46">
        <f>SUM(AB$185,'Statistics NZ'!AC$185-'Statistics NZ'!AB$185,$P$13/5*(AC$8-AC$9)*1000)</f>
        <v>28863.12564029482</v>
      </c>
      <c r="AD185" s="46">
        <f>SUM(AC$185,'Statistics NZ'!AD$185-'Statistics NZ'!AC$185,$P$13/5*(AD$8-AD$9)*1000)</f>
        <v>28613.12564029482</v>
      </c>
      <c r="AE185" s="46">
        <f>SUM(AD$185,'Statistics NZ'!AE$185-'Statistics NZ'!AD$185,$P$13/5*(AE$8-AE$9)*1000)</f>
        <v>28023.12564029482</v>
      </c>
      <c r="AF185" s="46">
        <f>SUM(AE$185,'Statistics NZ'!AF$185-'Statistics NZ'!AE$185,$P$13/5*(AF$8-AF$9)*1000)</f>
        <v>27773.12564029482</v>
      </c>
      <c r="AG185" s="46">
        <f>SUM(AF$185,'Statistics NZ'!AG$185-'Statistics NZ'!AF$185,$P$13/5*(AG$8-AG$9)*1000)</f>
        <v>27853.12564029482</v>
      </c>
      <c r="AH185" s="46">
        <f>SUM(AG$185,'Statistics NZ'!AH$185-'Statistics NZ'!AG$185,$P$13/5*(AH$8-AH$9)*1000)</f>
        <v>28523.12564029482</v>
      </c>
      <c r="AI185" s="46">
        <f>SUM(AH$185,'Statistics NZ'!AI$185-'Statistics NZ'!AH$185,$P$13/5*(AI$8-AI$9)*1000)</f>
        <v>29253.12564029482</v>
      </c>
      <c r="AJ185" s="46">
        <f>SUM(AI$185,'Statistics NZ'!AJ$185-'Statistics NZ'!AI$185,$P$13/5*(AJ$8-AJ$9)*1000)</f>
        <v>29343.12564029482</v>
      </c>
      <c r="AK185" s="46">
        <f>SUM(AJ$185,'Statistics NZ'!AK$185-'Statistics NZ'!AJ$185,$P$13/5*(AK$8-AK$9)*1000)</f>
        <v>30473.12564029482</v>
      </c>
      <c r="AL185" s="46">
        <f>SUM(AK$185,'Statistics NZ'!AL$185-'Statistics NZ'!AK$185,$P$13/5*(AL$8-AL$9)*1000)</f>
        <v>30353.12564029482</v>
      </c>
      <c r="AM185" s="46">
        <f>SUM(AL$185,'Statistics NZ'!AM$185-'Statistics NZ'!AL$185,$P$13/5*(AM$8-AM$9)*1000)</f>
        <v>29673.12564029482</v>
      </c>
      <c r="AN185" s="46">
        <f>SUM(AM$185,'Statistics NZ'!AN$185-'Statistics NZ'!AM$185,$P$13/5*(AN$8-AN$9)*1000)</f>
        <v>29073.12564029482</v>
      </c>
      <c r="AO185" s="46">
        <f>SUM(AN$185,'Statistics NZ'!AO$185-'Statistics NZ'!AN$185,$P$13/5*(AO$8-AO$9)*1000)</f>
        <v>28263.12564029482</v>
      </c>
      <c r="AP185" s="46">
        <f>SUM(AO$185,'Statistics NZ'!AP$185-'Statistics NZ'!AO$185,$P$13/5*(AP$8-AP$9)*1000)</f>
        <v>28233.12564029482</v>
      </c>
      <c r="AQ185" s="46">
        <f>SUM(AP$185,'Statistics NZ'!AQ$185-'Statistics NZ'!AP$185,$P$13/5*(AQ$8-AQ$9)*1000)</f>
        <v>28683.12564029482</v>
      </c>
      <c r="AR185" s="46">
        <f>SUM(AQ$185,'Statistics NZ'!AR$185-'Statistics NZ'!AQ$185,$P$13/5*(AR$8-AR$9)*1000)</f>
        <v>28553.12564029482</v>
      </c>
      <c r="AS185" s="46">
        <f>SUM(AR$185,'Statistics NZ'!AS$185-'Statistics NZ'!AR$185,$P$13/5*(AS$8-AS$9)*1000)</f>
        <v>29893.12564029482</v>
      </c>
      <c r="AT185" s="46">
        <f>SUM(AS$185,'Statistics NZ'!AT$185-'Statistics NZ'!AS$185,$P$13/5*(AT$8-AT$9)*1000)</f>
        <v>31023.12564029482</v>
      </c>
      <c r="AU185" s="46">
        <f>SUM(AT$185,'Statistics NZ'!AU$185-'Statistics NZ'!AT$185,$P$13/5*(AU$8-AU$9)*1000)</f>
        <v>32023.12564029482</v>
      </c>
      <c r="AV185" s="46">
        <f>SUM(AU$185,'Statistics NZ'!AV$185-'Statistics NZ'!AU$185,$P$13/5*(AV$8-AV$9)*1000)</f>
        <v>32993.12564029482</v>
      </c>
      <c r="AW185" s="46">
        <f>SUM(AV$185,'Statistics NZ'!AW$185-'Statistics NZ'!AV$185,$P$13/5*(AW$8-AW$9)*1000)</f>
        <v>34393.12564029482</v>
      </c>
      <c r="AX185" s="46">
        <f>SUM(AW$185,'Statistics NZ'!AX$185-'Statistics NZ'!AW$185,$P$13/5*(AX$8-AX$9)*1000)</f>
        <v>35423.12564029482</v>
      </c>
      <c r="AY185" s="46">
        <f>SUM(AX$185,'Statistics NZ'!AY$185-'Statistics NZ'!AX$185,$P$13/5*(AY$8-AY$9)*1000)</f>
        <v>36083.12564029482</v>
      </c>
      <c r="AZ185" s="46">
        <f>SUM(AY$185,'Statistics NZ'!AZ$185-'Statistics NZ'!AY$185,$P$13/5*(AZ$8-AZ$9)*1000)</f>
        <v>37283.12564029482</v>
      </c>
      <c r="BA185" s="46">
        <f>SUM(AZ$185,'Statistics NZ'!BA$185-'Statistics NZ'!AZ$185,$P$13/5*(BA$8-BA$9)*1000)</f>
        <v>39333.12564029482</v>
      </c>
      <c r="BB185" s="46">
        <f>SUM(BA$185,'Statistics NZ'!BB$185-'Statistics NZ'!BA$185,$P$13/5*(BB$8-BB$9)*1000)</f>
        <v>40583.12564029482</v>
      </c>
      <c r="BC185" s="46">
        <f>SUM(BB$185,'Statistics NZ'!BC$185-'Statistics NZ'!BB$185,$P$13/5*(BC$8-BC$9)*1000)</f>
        <v>41413.12564029482</v>
      </c>
      <c r="BD185" s="46">
        <f>SUM(BC$185,'Statistics NZ'!BD$185-'Statistics NZ'!BC$185,$P$13/5*(BD$8-BD$9)*1000)</f>
        <v>43133.12564029482</v>
      </c>
      <c r="BE185" s="46">
        <f>SUM(BD$185,'Statistics NZ'!BE$185-'Statistics NZ'!BD$185,$P$13/5*(BE$8-BE$9)*1000)</f>
        <v>43963.12564029482</v>
      </c>
      <c r="BF185" s="46">
        <f>SUM(BE$185,'Statistics NZ'!BF$185-'Statistics NZ'!BE$185,$P$13/5*(BF$8-BF$9)*1000)</f>
        <v>44033.12564029482</v>
      </c>
      <c r="BG185" s="46">
        <f>SUM(BF$185,'Statistics NZ'!BG$185-'Statistics NZ'!BF$185,$P$13/5*(BG$8-BG$9)*1000)</f>
        <v>43323.12564029482</v>
      </c>
      <c r="BH185" s="46">
        <f>SUM(BG$185,'Statistics NZ'!BH$185-'Statistics NZ'!BG$185,$P$13/5*(BH$8-BH$9)*1000)</f>
        <v>42373.12564029482</v>
      </c>
      <c r="BI185" s="46">
        <f>SUM(BH$185,'Statistics NZ'!BI$185-'Statistics NZ'!BH$185,$P$13/5*(BI$8-BI$9)*1000)</f>
        <v>42103.12564029482</v>
      </c>
    </row>
    <row r="186" spans="1:61" x14ac:dyDescent="0.25">
      <c r="A186" s="11">
        <f>$A$86</f>
        <v>71</v>
      </c>
      <c r="B186" s="44">
        <f>'Statistics NZ'!B$186*'Economic Forecasts'!D$9*1000000/SUM('Statistics NZ'!B$30:B$110,'Statistics NZ'!B$130:B$210)</f>
        <v>11682.025410154352</v>
      </c>
      <c r="C186" s="44">
        <f>'Statistics NZ'!C$186*'Economic Forecasts'!E$9*1000000/SUM('Statistics NZ'!C$30:C$110,'Statistics NZ'!C$130:C$210)</f>
        <v>11862.654535852316</v>
      </c>
      <c r="D186" s="44">
        <f>'Statistics NZ'!D$186*'Economic Forecasts'!F$9*1000000/SUM('Statistics NZ'!D$30:D$110,'Statistics NZ'!D$130:D$210)</f>
        <v>12376.631869307777</v>
      </c>
      <c r="E186" s="44">
        <f>'Statistics NZ'!E$186*'Economic Forecasts'!G$9*1000000/SUM('Statistics NZ'!E$30:E$110,'Statistics NZ'!E$130:E$210)</f>
        <v>12915.849169763396</v>
      </c>
      <c r="F186" s="44">
        <f>'Statistics NZ'!F$186*'Economic Forecasts'!H$9*1000000/SUM('Statistics NZ'!F$30:F$110,'Statistics NZ'!F$130:F$210)</f>
        <v>13232.113486961549</v>
      </c>
      <c r="G186" s="44">
        <f>'Statistics NZ'!G$186*'Economic Forecasts'!I$9*1000000/SUM('Statistics NZ'!G$30:G$110,'Statistics NZ'!G$130:G$210)</f>
        <v>14763.175806015099</v>
      </c>
      <c r="H186" s="44">
        <f>'Statistics NZ'!H$186*'Economic Forecasts'!J$9*1000000/SUM('Statistics NZ'!H$30:H$110,'Statistics NZ'!H$130:H$210)</f>
        <v>15779.17025187455</v>
      </c>
      <c r="I186" s="44">
        <f>'Statistics NZ'!I$186*'Economic Forecasts'!K$9*1000000/SUM('Statistics NZ'!I$30:I$110,'Statistics NZ'!I$130:I$210)</f>
        <v>16087.634257962081</v>
      </c>
      <c r="J186" s="44">
        <f>'Statistics NZ'!J$186*'Economic Forecasts'!L$9*1000000/SUM('Statistics NZ'!J$30:J$110,'Statistics NZ'!J$130:J$210)</f>
        <v>14354.770663071402</v>
      </c>
      <c r="K186" s="44">
        <f>'Statistics NZ'!K$186*'Economic Forecasts'!M$9*1000000/SUM('Statistics NZ'!K$30:K$110,'Statistics NZ'!K$130:K$210)</f>
        <v>16142.651669816583</v>
      </c>
      <c r="L186" s="44">
        <f>'Statistics NZ'!L$186*'Economic Forecasts'!N$9*1000000/SUM('Statistics NZ'!L$30:L$110,'Statistics NZ'!L$130:L$210)</f>
        <v>16737.241226438247</v>
      </c>
      <c r="M186" s="44">
        <f>'Statistics NZ'!M$186*'Economic Forecasts'!O$9*1000000/SUM('Statistics NZ'!M$30:M$110,'Statistics NZ'!M$130:M$210)</f>
        <v>17800.163539890578</v>
      </c>
      <c r="N186" s="44">
        <f>'Statistics NZ'!N$186*'Economic Forecasts'!P$9*1000000/SUM('Statistics NZ'!N$30:N$110,'Statistics NZ'!N$130:N$210)</f>
        <v>20939.759340842764</v>
      </c>
      <c r="O186" s="44">
        <f>'Statistics NZ'!O$186*'Economic Forecasts'!Q$9*1000000/SUM('Statistics NZ'!O$30:O$110,'Statistics NZ'!O$130:O$210)</f>
        <v>21012.689506715731</v>
      </c>
      <c r="P186" s="44">
        <f>'Statistics NZ'!P$186*'Economic Forecasts'!R$9*1000000/SUM('Statistics NZ'!P$30:P$110,'Statistics NZ'!P$130:P$210)</f>
        <v>21075.730227051834</v>
      </c>
      <c r="Q186" s="44">
        <f>'Statistics NZ'!Q$186*'Economic Forecasts'!S$9*1000000/SUM('Statistics NZ'!Q$30:Q$110,'Statistics NZ'!Q$130:Q$210)</f>
        <v>21487.753718779379</v>
      </c>
      <c r="R186" s="44">
        <f>'Statistics NZ'!R$186*'Economic Forecasts'!T$9*1000000/SUM('Statistics NZ'!R$30:R$110,'Statistics NZ'!R$130:R$210)</f>
        <v>21399.825161240195</v>
      </c>
      <c r="S186" s="44">
        <f>'Statistics NZ'!S$186*'Economic Forecasts'!U$9*1000000/SUM('Statistics NZ'!S$30:S$110,'Statistics NZ'!S$130:S$210)</f>
        <v>21317.107708019121</v>
      </c>
      <c r="T186" s="44">
        <f>'Statistics NZ'!T$186*'Economic Forecasts'!V$9*1000000/SUM('Statistics NZ'!T$30:T$110,'Statistics NZ'!T$130:T$210)</f>
        <v>21775.678896423811</v>
      </c>
      <c r="U186" s="45">
        <f>SUM('Statistics NZ'!U$186,$P$13/5*(U$8-U$9)*1000)*'Economic Forecasts'!W$9*1000000/SUM('Statistics NZ'!U$30:U$110,'Statistics NZ'!U$130:U$210,SUM($E$12:$T$13)*(U$8-U$9)*1000)</f>
        <v>22569.05273248877</v>
      </c>
      <c r="V186" s="45">
        <f>SUM('Statistics NZ'!V$186,$P$13/5*(V$8-V$9)*1000)*'Economic Forecasts'!X$9*1000000/SUM('Statistics NZ'!V$30:V$110,'Statistics NZ'!V$130:V$210,SUM($E$12:$T$13)*(V$8-V$9)*1000)</f>
        <v>23074.696231542475</v>
      </c>
      <c r="W186" s="45">
        <f>SUM('Statistics NZ'!W$186,$P$13/5*(W$8-W$9)*1000)*'Economic Forecasts'!Y$9*1000000/SUM('Statistics NZ'!W$30:W$110,'Statistics NZ'!W$130:W$210,SUM($E$12:$T$13)*(W$8-W$9)*1000)</f>
        <v>23762.230487264318</v>
      </c>
      <c r="X186" s="45">
        <f>SUM('Statistics NZ'!X$186,$P$13/5*(X$8-X$9)*1000)*'Economic Forecasts'!Z$9*1000000/SUM('Statistics NZ'!X$30:X$110,'Statistics NZ'!X$130:X$210,SUM($E$12:$T$13)*(X$8-X$9)*1000)</f>
        <v>24370.757087179314</v>
      </c>
      <c r="Y186" s="45">
        <f>SUM('Statistics NZ'!Y$186,$P$13/5*(Y$8-Y$9)*1000)*'Economic Forecasts'!AA$9*1000000/SUM('Statistics NZ'!Y$30:Y$110,'Statistics NZ'!Y$130:Y$210,SUM($E$12:$T$13)*(Y$8-Y$9)*1000)</f>
        <v>25062.436461929461</v>
      </c>
      <c r="Z186" s="46">
        <f>SUM(Y$186,'Statistics NZ'!Z$186-'Statistics NZ'!Y$186,$P$13/5*(Z$8-Z$9)*1000)</f>
        <v>26104.219435787967</v>
      </c>
      <c r="AA186" s="46">
        <f>SUM(Z$186,'Statistics NZ'!AA$186-'Statistics NZ'!Z$186,$P$13/5*(AA$8-AA$9)*1000)</f>
        <v>26495.28922010307</v>
      </c>
      <c r="AB186" s="46">
        <f>SUM(AA$186,'Statistics NZ'!AB$186-'Statistics NZ'!AA$186,$P$13/5*(AB$8-AB$9)*1000)</f>
        <v>27635.78845278345</v>
      </c>
      <c r="AC186" s="46">
        <f>SUM(AB$186,'Statistics NZ'!AC$186-'Statistics NZ'!AB$186,$P$13/5*(AC$8-AC$9)*1000)</f>
        <v>28275.78845278345</v>
      </c>
      <c r="AD186" s="46">
        <f>SUM(AC$186,'Statistics NZ'!AD$186-'Statistics NZ'!AC$186,$P$13/5*(AD$8-AD$9)*1000)</f>
        <v>28535.78845278345</v>
      </c>
      <c r="AE186" s="46">
        <f>SUM(AD$186,'Statistics NZ'!AE$186-'Statistics NZ'!AD$186,$P$13/5*(AE$8-AE$9)*1000)</f>
        <v>28285.78845278345</v>
      </c>
      <c r="AF186" s="46">
        <f>SUM(AE$186,'Statistics NZ'!AF$186-'Statistics NZ'!AE$186,$P$13/5*(AF$8-AF$9)*1000)</f>
        <v>27715.78845278345</v>
      </c>
      <c r="AG186" s="46">
        <f>SUM(AF$186,'Statistics NZ'!AG$186-'Statistics NZ'!AF$186,$P$13/5*(AG$8-AG$9)*1000)</f>
        <v>27475.78845278345</v>
      </c>
      <c r="AH186" s="46">
        <f>SUM(AG$186,'Statistics NZ'!AH$186-'Statistics NZ'!AG$186,$P$13/5*(AH$8-AH$9)*1000)</f>
        <v>27565.78845278345</v>
      </c>
      <c r="AI186" s="46">
        <f>SUM(AH$186,'Statistics NZ'!AI$186-'Statistics NZ'!AH$186,$P$13/5*(AI$8-AI$9)*1000)</f>
        <v>28235.78845278345</v>
      </c>
      <c r="AJ186" s="46">
        <f>SUM(AI$186,'Statistics NZ'!AJ$186-'Statistics NZ'!AI$186,$P$13/5*(AJ$8-AJ$9)*1000)</f>
        <v>28965.78845278345</v>
      </c>
      <c r="AK186" s="46">
        <f>SUM(AJ$186,'Statistics NZ'!AK$186-'Statistics NZ'!AJ$186,$P$13/5*(AK$8-AK$9)*1000)</f>
        <v>29055.78845278345</v>
      </c>
      <c r="AL186" s="46">
        <f>SUM(AK$186,'Statistics NZ'!AL$186-'Statistics NZ'!AK$186,$P$13/5*(AL$8-AL$9)*1000)</f>
        <v>30185.78845278345</v>
      </c>
      <c r="AM186" s="46">
        <f>SUM(AL$186,'Statistics NZ'!AM$186-'Statistics NZ'!AL$186,$P$13/5*(AM$8-AM$9)*1000)</f>
        <v>30065.78845278345</v>
      </c>
      <c r="AN186" s="46">
        <f>SUM(AM$186,'Statistics NZ'!AN$186-'Statistics NZ'!AM$186,$P$13/5*(AN$8-AN$9)*1000)</f>
        <v>29405.78845278345</v>
      </c>
      <c r="AO186" s="46">
        <f>SUM(AN$186,'Statistics NZ'!AO$186-'Statistics NZ'!AN$186,$P$13/5*(AO$8-AO$9)*1000)</f>
        <v>28815.78845278345</v>
      </c>
      <c r="AP186" s="46">
        <f>SUM(AO$186,'Statistics NZ'!AP$186-'Statistics NZ'!AO$186,$P$13/5*(AP$8-AP$9)*1000)</f>
        <v>28025.78845278345</v>
      </c>
      <c r="AQ186" s="46">
        <f>SUM(AP$186,'Statistics NZ'!AQ$186-'Statistics NZ'!AP$186,$P$13/5*(AQ$8-AQ$9)*1000)</f>
        <v>27995.78845278345</v>
      </c>
      <c r="AR186" s="46">
        <f>SUM(AQ$186,'Statistics NZ'!AR$186-'Statistics NZ'!AQ$186,$P$13/5*(AR$8-AR$9)*1000)</f>
        <v>28455.78845278345</v>
      </c>
      <c r="AS186" s="46">
        <f>SUM(AR$186,'Statistics NZ'!AS$186-'Statistics NZ'!AR$186,$P$13/5*(AS$8-AS$9)*1000)</f>
        <v>28325.78845278345</v>
      </c>
      <c r="AT186" s="46">
        <f>SUM(AS$186,'Statistics NZ'!AT$186-'Statistics NZ'!AS$186,$P$13/5*(AT$8-AT$9)*1000)</f>
        <v>29655.78845278345</v>
      </c>
      <c r="AU186" s="46">
        <f>SUM(AT$186,'Statistics NZ'!AU$186-'Statistics NZ'!AT$186,$P$13/5*(AU$8-AU$9)*1000)</f>
        <v>30785.78845278345</v>
      </c>
      <c r="AV186" s="46">
        <f>SUM(AU$186,'Statistics NZ'!AV$186-'Statistics NZ'!AU$186,$P$13/5*(AV$8-AV$9)*1000)</f>
        <v>31785.78845278345</v>
      </c>
      <c r="AW186" s="46">
        <f>SUM(AV$186,'Statistics NZ'!AW$186-'Statistics NZ'!AV$186,$P$13/5*(AW$8-AW$9)*1000)</f>
        <v>32745.78845278345</v>
      </c>
      <c r="AX186" s="46">
        <f>SUM(AW$186,'Statistics NZ'!AX$186-'Statistics NZ'!AW$186,$P$13/5*(AX$8-AX$9)*1000)</f>
        <v>34145.788452783454</v>
      </c>
      <c r="AY186" s="46">
        <f>SUM(AX$186,'Statistics NZ'!AY$186-'Statistics NZ'!AX$186,$P$13/5*(AY$8-AY$9)*1000)</f>
        <v>35175.788452783454</v>
      </c>
      <c r="AZ186" s="46">
        <f>SUM(AY$186,'Statistics NZ'!AZ$186-'Statistics NZ'!AY$186,$P$13/5*(AZ$8-AZ$9)*1000)</f>
        <v>35825.788452783454</v>
      </c>
      <c r="BA186" s="46">
        <f>SUM(AZ$186,'Statistics NZ'!BA$186-'Statistics NZ'!AZ$186,$P$13/5*(BA$8-BA$9)*1000)</f>
        <v>37035.788452783454</v>
      </c>
      <c r="BB186" s="46">
        <f>SUM(BA$186,'Statistics NZ'!BB$186-'Statistics NZ'!BA$186,$P$13/5*(BB$8-BB$9)*1000)</f>
        <v>39065.788452783454</v>
      </c>
      <c r="BC186" s="46">
        <f>SUM(BB$186,'Statistics NZ'!BC$186-'Statistics NZ'!BB$186,$P$13/5*(BC$8-BC$9)*1000)</f>
        <v>40315.788452783454</v>
      </c>
      <c r="BD186" s="46">
        <f>SUM(BC$186,'Statistics NZ'!BD$186-'Statistics NZ'!BC$186,$P$13/5*(BD$8-BD$9)*1000)</f>
        <v>41155.788452783454</v>
      </c>
      <c r="BE186" s="46">
        <f>SUM(BD$186,'Statistics NZ'!BE$186-'Statistics NZ'!BD$186,$P$13/5*(BE$8-BE$9)*1000)</f>
        <v>42865.788452783454</v>
      </c>
      <c r="BF186" s="46">
        <f>SUM(BE$186,'Statistics NZ'!BF$186-'Statistics NZ'!BE$186,$P$13/5*(BF$8-BF$9)*1000)</f>
        <v>43695.788452783454</v>
      </c>
      <c r="BG186" s="46">
        <f>SUM(BF$186,'Statistics NZ'!BG$186-'Statistics NZ'!BF$186,$P$13/5*(BG$8-BG$9)*1000)</f>
        <v>43765.788452783454</v>
      </c>
      <c r="BH186" s="46">
        <f>SUM(BG$186,'Statistics NZ'!BH$186-'Statistics NZ'!BG$186,$P$13/5*(BH$8-BH$9)*1000)</f>
        <v>43065.788452783454</v>
      </c>
      <c r="BI186" s="46">
        <f>SUM(BH$186,'Statistics NZ'!BI$186-'Statistics NZ'!BH$186,$P$13/5*(BI$8-BI$9)*1000)</f>
        <v>42135.788452783454</v>
      </c>
    </row>
    <row r="187" spans="1:61" x14ac:dyDescent="0.25">
      <c r="A187" s="11">
        <f>$A$87</f>
        <v>72</v>
      </c>
      <c r="B187" s="44">
        <f>'Statistics NZ'!B$187*'Economic Forecasts'!D$9*1000000/SUM('Statistics NZ'!B$30:B$110,'Statistics NZ'!B$130:B$210)</f>
        <v>11124.340780021355</v>
      </c>
      <c r="C187" s="44">
        <f>'Statistics NZ'!C$187*'Economic Forecasts'!E$9*1000000/SUM('Statistics NZ'!C$30:C$110,'Statistics NZ'!C$130:C$210)</f>
        <v>11450.211249009768</v>
      </c>
      <c r="D187" s="44">
        <f>'Statistics NZ'!D$187*'Economic Forecasts'!F$9*1000000/SUM('Statistics NZ'!D$30:D$110,'Statistics NZ'!D$130:D$210)</f>
        <v>11590.813972843793</v>
      </c>
      <c r="E187" s="44">
        <f>'Statistics NZ'!E$187*'Economic Forecasts'!G$9*1000000/SUM('Statistics NZ'!E$30:E$110,'Statistics NZ'!E$130:E$210)</f>
        <v>12052.831153864247</v>
      </c>
      <c r="F187" s="44">
        <f>'Statistics NZ'!F$187*'Economic Forecasts'!H$9*1000000/SUM('Statistics NZ'!F$30:F$110,'Statistics NZ'!F$130:F$210)</f>
        <v>12633.774774800944</v>
      </c>
      <c r="G187" s="44">
        <f>'Statistics NZ'!G$187*'Economic Forecasts'!I$9*1000000/SUM('Statistics NZ'!G$30:G$110,'Statistics NZ'!G$130:G$210)</f>
        <v>12936.195965749757</v>
      </c>
      <c r="H187" s="44">
        <f>'Statistics NZ'!H$187*'Economic Forecasts'!J$9*1000000/SUM('Statistics NZ'!H$30:H$110,'Statistics NZ'!H$130:H$210)</f>
        <v>14452.776737551349</v>
      </c>
      <c r="I187" s="44">
        <f>'Statistics NZ'!I$187*'Economic Forecasts'!K$9*1000000/SUM('Statistics NZ'!I$30:I$110,'Statistics NZ'!I$130:I$210)</f>
        <v>15440.599607733258</v>
      </c>
      <c r="J187" s="44">
        <f>'Statistics NZ'!J$187*'Economic Forecasts'!L$9*1000000/SUM('Statistics NZ'!J$30:J$110,'Statistics NZ'!J$130:J$210)</f>
        <v>15671.274766002543</v>
      </c>
      <c r="K187" s="44">
        <f>'Statistics NZ'!K$187*'Economic Forecasts'!M$9*1000000/SUM('Statistics NZ'!K$30:K$110,'Statistics NZ'!K$130:K$210)</f>
        <v>14039.62829184289</v>
      </c>
      <c r="L187" s="44">
        <f>'Statistics NZ'!L$187*'Economic Forecasts'!N$9*1000000/SUM('Statistics NZ'!L$30:L$110,'Statistics NZ'!L$130:L$210)</f>
        <v>15831.736029196387</v>
      </c>
      <c r="M187" s="44">
        <f>'Statistics NZ'!M$187*'Economic Forecasts'!O$9*1000000/SUM('Statistics NZ'!M$30:M$110,'Statistics NZ'!M$130:M$210)</f>
        <v>16451.962349712259</v>
      </c>
      <c r="N187" s="44">
        <f>'Statistics NZ'!N$187*'Economic Forecasts'!P$9*1000000/SUM('Statistics NZ'!N$30:N$110,'Statistics NZ'!N$130:N$210)</f>
        <v>17485.677543030848</v>
      </c>
      <c r="O187" s="44">
        <f>'Statistics NZ'!O$187*'Economic Forecasts'!Q$9*1000000/SUM('Statistics NZ'!O$30:O$110,'Statistics NZ'!O$130:O$210)</f>
        <v>20619.377583333127</v>
      </c>
      <c r="P187" s="44">
        <f>'Statistics NZ'!P$187*'Economic Forecasts'!R$9*1000000/SUM('Statistics NZ'!P$30:P$110,'Statistics NZ'!P$130:P$210)</f>
        <v>20761.313738816094</v>
      </c>
      <c r="Q187" s="44">
        <f>'Statistics NZ'!Q$187*'Economic Forecasts'!S$9*1000000/SUM('Statistics NZ'!Q$30:Q$110,'Statistics NZ'!Q$130:Q$210)</f>
        <v>20752.620211988033</v>
      </c>
      <c r="R187" s="44">
        <f>'Statistics NZ'!R$187*'Economic Forecasts'!T$9*1000000/SUM('Statistics NZ'!R$30:R$110,'Statistics NZ'!R$130:R$210)</f>
        <v>20951.713419846146</v>
      </c>
      <c r="S187" s="44">
        <f>'Statistics NZ'!S$187*'Economic Forecasts'!U$9*1000000/SUM('Statistics NZ'!S$30:S$110,'Statistics NZ'!S$130:S$210)</f>
        <v>20678.576831972463</v>
      </c>
      <c r="T187" s="44">
        <f>'Statistics NZ'!T$187*'Economic Forecasts'!V$9*1000000/SUM('Statistics NZ'!T$30:T$110,'Statistics NZ'!T$130:T$210)</f>
        <v>21071.958731814757</v>
      </c>
      <c r="U187" s="45">
        <f>SUM('Statistics NZ'!U$187,$P$13/5*(U$8-U$9)*1000)*'Economic Forecasts'!W$9*1000000/SUM('Statistics NZ'!U$30:U$110,'Statistics NZ'!U$130:U$210,SUM($E$12:$T$13)*(U$8-U$9)*1000)</f>
        <v>21410.173788490221</v>
      </c>
      <c r="V187" s="45">
        <f>SUM('Statistics NZ'!V$187,$P$13/5*(V$8-V$9)*1000)*'Economic Forecasts'!X$9*1000000/SUM('Statistics NZ'!V$30:V$110,'Statistics NZ'!V$130:V$210,SUM($E$12:$T$13)*(V$8-V$9)*1000)</f>
        <v>22203.424242239253</v>
      </c>
      <c r="W187" s="45">
        <f>SUM('Statistics NZ'!W$187,$P$13/5*(W$8-W$9)*1000)*'Economic Forecasts'!Y$9*1000000/SUM('Statistics NZ'!W$30:W$110,'Statistics NZ'!W$130:W$210,SUM($E$12:$T$13)*(W$8-W$9)*1000)</f>
        <v>22722.415942970569</v>
      </c>
      <c r="X187" s="45">
        <f>SUM('Statistics NZ'!X$187,$P$13/5*(X$8-X$9)*1000)*'Economic Forecasts'!Z$9*1000000/SUM('Statistics NZ'!X$30:X$110,'Statistics NZ'!X$130:X$210,SUM($E$12:$T$13)*(X$8-X$9)*1000)</f>
        <v>23409.946758755941</v>
      </c>
      <c r="Y187" s="45">
        <f>SUM('Statistics NZ'!Y$187,$P$13/5*(Y$8-Y$9)*1000)*'Economic Forecasts'!AA$9*1000000/SUM('Statistics NZ'!Y$30:Y$110,'Statistics NZ'!Y$130:Y$210,SUM($E$12:$T$13)*(Y$8-Y$9)*1000)</f>
        <v>24012.092995194176</v>
      </c>
      <c r="Z187" s="46">
        <f>SUM(Y$187,'Statistics NZ'!Z$187-'Statistics NZ'!Y$187,$P$13/5*(Z$8-Z$9)*1000)</f>
        <v>24703.875969052682</v>
      </c>
      <c r="AA187" s="46">
        <f>SUM(Z$187,'Statistics NZ'!AA$187-'Statistics NZ'!Z$187,$P$13/5*(AA$8-AA$9)*1000)</f>
        <v>25734.945753367785</v>
      </c>
      <c r="AB187" s="46">
        <f>SUM(AA$187,'Statistics NZ'!AB$187-'Statistics NZ'!AA$187,$P$13/5*(AB$8-AB$9)*1000)</f>
        <v>26135.444986048165</v>
      </c>
      <c r="AC187" s="46">
        <f>SUM(AB$187,'Statistics NZ'!AC$187-'Statistics NZ'!AB$187,$P$13/5*(AC$8-AC$9)*1000)</f>
        <v>27265.444986048165</v>
      </c>
      <c r="AD187" s="46">
        <f>SUM(AC$187,'Statistics NZ'!AD$187-'Statistics NZ'!AC$187,$P$13/5*(AD$8-AD$9)*1000)</f>
        <v>27905.444986048165</v>
      </c>
      <c r="AE187" s="46">
        <f>SUM(AD$187,'Statistics NZ'!AE$187-'Statistics NZ'!AD$187,$P$13/5*(AE$8-AE$9)*1000)</f>
        <v>28165.444986048165</v>
      </c>
      <c r="AF187" s="46">
        <f>SUM(AE$187,'Statistics NZ'!AF$187-'Statistics NZ'!AE$187,$P$13/5*(AF$8-AF$9)*1000)</f>
        <v>27935.444986048165</v>
      </c>
      <c r="AG187" s="46">
        <f>SUM(AF$187,'Statistics NZ'!AG$187-'Statistics NZ'!AF$187,$P$13/5*(AG$8-AG$9)*1000)</f>
        <v>27375.444986048165</v>
      </c>
      <c r="AH187" s="46">
        <f>SUM(AG$187,'Statistics NZ'!AH$187-'Statistics NZ'!AG$187,$P$13/5*(AH$8-AH$9)*1000)</f>
        <v>27155.444986048165</v>
      </c>
      <c r="AI187" s="46">
        <f>SUM(AH$187,'Statistics NZ'!AI$187-'Statistics NZ'!AH$187,$P$13/5*(AI$8-AI$9)*1000)</f>
        <v>27245.444986048165</v>
      </c>
      <c r="AJ187" s="46">
        <f>SUM(AI$187,'Statistics NZ'!AJ$187-'Statistics NZ'!AI$187,$P$13/5*(AJ$8-AJ$9)*1000)</f>
        <v>27905.444986048165</v>
      </c>
      <c r="AK187" s="46">
        <f>SUM(AJ$187,'Statistics NZ'!AK$187-'Statistics NZ'!AJ$187,$P$13/5*(AK$8-AK$9)*1000)</f>
        <v>28635.444986048165</v>
      </c>
      <c r="AL187" s="46">
        <f>SUM(AK$187,'Statistics NZ'!AL$187-'Statistics NZ'!AK$187,$P$13/5*(AL$8-AL$9)*1000)</f>
        <v>28745.444986048165</v>
      </c>
      <c r="AM187" s="46">
        <f>SUM(AL$187,'Statistics NZ'!AM$187-'Statistics NZ'!AL$187,$P$13/5*(AM$8-AM$9)*1000)</f>
        <v>29865.444986048165</v>
      </c>
      <c r="AN187" s="46">
        <f>SUM(AM$187,'Statistics NZ'!AN$187-'Statistics NZ'!AM$187,$P$13/5*(AN$8-AN$9)*1000)</f>
        <v>29755.444986048165</v>
      </c>
      <c r="AO187" s="46">
        <f>SUM(AN$187,'Statistics NZ'!AO$187-'Statistics NZ'!AN$187,$P$13/5*(AO$8-AO$9)*1000)</f>
        <v>29105.444986048165</v>
      </c>
      <c r="AP187" s="46">
        <f>SUM(AO$187,'Statistics NZ'!AP$187-'Statistics NZ'!AO$187,$P$13/5*(AP$8-AP$9)*1000)</f>
        <v>28535.444986048165</v>
      </c>
      <c r="AQ187" s="46">
        <f>SUM(AP$187,'Statistics NZ'!AQ$187-'Statistics NZ'!AP$187,$P$13/5*(AQ$8-AQ$9)*1000)</f>
        <v>27755.444986048165</v>
      </c>
      <c r="AR187" s="46">
        <f>SUM(AQ$187,'Statistics NZ'!AR$187-'Statistics NZ'!AQ$187,$P$13/5*(AR$8-AR$9)*1000)</f>
        <v>27735.444986048165</v>
      </c>
      <c r="AS187" s="46">
        <f>SUM(AR$187,'Statistics NZ'!AS$187-'Statistics NZ'!AR$187,$P$13/5*(AS$8-AS$9)*1000)</f>
        <v>28185.444986048165</v>
      </c>
      <c r="AT187" s="46">
        <f>SUM(AS$187,'Statistics NZ'!AT$187-'Statistics NZ'!AS$187,$P$13/5*(AT$8-AT$9)*1000)</f>
        <v>28075.444986048165</v>
      </c>
      <c r="AU187" s="46">
        <f>SUM(AT$187,'Statistics NZ'!AU$187-'Statistics NZ'!AT$187,$P$13/5*(AU$8-AU$9)*1000)</f>
        <v>29395.444986048165</v>
      </c>
      <c r="AV187" s="46">
        <f>SUM(AU$187,'Statistics NZ'!AV$187-'Statistics NZ'!AU$187,$P$13/5*(AV$8-AV$9)*1000)</f>
        <v>30515.444986048165</v>
      </c>
      <c r="AW187" s="46">
        <f>SUM(AV$187,'Statistics NZ'!AW$187-'Statistics NZ'!AV$187,$P$13/5*(AW$8-AW$9)*1000)</f>
        <v>31515.444986048165</v>
      </c>
      <c r="AX187" s="46">
        <f>SUM(AW$187,'Statistics NZ'!AX$187-'Statistics NZ'!AW$187,$P$13/5*(AX$8-AX$9)*1000)</f>
        <v>32475.444986048165</v>
      </c>
      <c r="AY187" s="46">
        <f>SUM(AX$187,'Statistics NZ'!AY$187-'Statistics NZ'!AX$187,$P$13/5*(AY$8-AY$9)*1000)</f>
        <v>33865.444986048169</v>
      </c>
      <c r="AZ187" s="46">
        <f>SUM(AY$187,'Statistics NZ'!AZ$187-'Statistics NZ'!AY$187,$P$13/5*(AZ$8-AZ$9)*1000)</f>
        <v>34895.444986048169</v>
      </c>
      <c r="BA187" s="46">
        <f>SUM(AZ$187,'Statistics NZ'!BA$187-'Statistics NZ'!AZ$187,$P$13/5*(BA$8-BA$9)*1000)</f>
        <v>35545.444986048169</v>
      </c>
      <c r="BB187" s="46">
        <f>SUM(BA$187,'Statistics NZ'!BB$187-'Statistics NZ'!BA$187,$P$13/5*(BB$8-BB$9)*1000)</f>
        <v>36745.444986048169</v>
      </c>
      <c r="BC187" s="46">
        <f>SUM(BB$187,'Statistics NZ'!BC$187-'Statistics NZ'!BB$187,$P$13/5*(BC$8-BC$9)*1000)</f>
        <v>38775.444986048169</v>
      </c>
      <c r="BD187" s="46">
        <f>SUM(BC$187,'Statistics NZ'!BD$187-'Statistics NZ'!BC$187,$P$13/5*(BD$8-BD$9)*1000)</f>
        <v>40015.444986048169</v>
      </c>
      <c r="BE187" s="46">
        <f>SUM(BD$187,'Statistics NZ'!BE$187-'Statistics NZ'!BD$187,$P$13/5*(BE$8-BE$9)*1000)</f>
        <v>40855.444986048169</v>
      </c>
      <c r="BF187" s="46">
        <f>SUM(BE$187,'Statistics NZ'!BF$187-'Statistics NZ'!BE$187,$P$13/5*(BF$8-BF$9)*1000)</f>
        <v>42565.444986048169</v>
      </c>
      <c r="BG187" s="46">
        <f>SUM(BF$187,'Statistics NZ'!BG$187-'Statistics NZ'!BF$187,$P$13/5*(BG$8-BG$9)*1000)</f>
        <v>43395.444986048169</v>
      </c>
      <c r="BH187" s="46">
        <f>SUM(BG$187,'Statistics NZ'!BH$187-'Statistics NZ'!BG$187,$P$13/5*(BH$8-BH$9)*1000)</f>
        <v>43475.444986048169</v>
      </c>
      <c r="BI187" s="46">
        <f>SUM(BH$187,'Statistics NZ'!BI$187-'Statistics NZ'!BH$187,$P$13/5*(BI$8-BI$9)*1000)</f>
        <v>42785.444986048169</v>
      </c>
    </row>
    <row r="188" spans="1:61" x14ac:dyDescent="0.25">
      <c r="A188" s="11">
        <f>$A$88</f>
        <v>73</v>
      </c>
      <c r="B188" s="44">
        <f>'Statistics NZ'!B$188*'Economic Forecasts'!D$9*1000000/SUM('Statistics NZ'!B$30:B$110,'Statistics NZ'!B$130:B$210)</f>
        <v>10654.711617804096</v>
      </c>
      <c r="C188" s="44">
        <f>'Statistics NZ'!C$188*'Economic Forecasts'!E$9*1000000/SUM('Statistics NZ'!C$30:C$110,'Statistics NZ'!C$130:C$210)</f>
        <v>10831.546318745948</v>
      </c>
      <c r="D188" s="44">
        <f>'Statistics NZ'!D$188*'Economic Forecasts'!F$9*1000000/SUM('Statistics NZ'!D$30:D$110,'Statistics NZ'!D$130:D$210)</f>
        <v>11158.614129788597</v>
      </c>
      <c r="E188" s="44">
        <f>'Statistics NZ'!E$188*'Economic Forecasts'!G$9*1000000/SUM('Statistics NZ'!E$30:E$110,'Statistics NZ'!E$130:E$210)</f>
        <v>11238.848252504822</v>
      </c>
      <c r="F188" s="44">
        <f>'Statistics NZ'!F$188*'Economic Forecasts'!H$9*1000000/SUM('Statistics NZ'!F$30:F$110,'Statistics NZ'!F$130:F$210)</f>
        <v>11750.979953580381</v>
      </c>
      <c r="G188" s="44">
        <f>'Statistics NZ'!G$188*'Economic Forecasts'!I$9*1000000/SUM('Statistics NZ'!G$30:G$110,'Statistics NZ'!G$130:G$210)</f>
        <v>12317.380213401819</v>
      </c>
      <c r="H188" s="44">
        <f>'Statistics NZ'!H$188*'Economic Forecasts'!J$9*1000000/SUM('Statistics NZ'!H$30:H$110,'Statistics NZ'!H$130:H$210)</f>
        <v>12605.650954641998</v>
      </c>
      <c r="I188" s="44">
        <f>'Statistics NZ'!I$188*'Economic Forecasts'!K$9*1000000/SUM('Statistics NZ'!I$30:I$110,'Statistics NZ'!I$130:I$210)</f>
        <v>14077.905420130133</v>
      </c>
      <c r="J188" s="44">
        <f>'Statistics NZ'!J$188*'Economic Forecasts'!L$9*1000000/SUM('Statistics NZ'!J$30:J$110,'Statistics NZ'!J$130:J$210)</f>
        <v>14969.139244439266</v>
      </c>
      <c r="K188" s="44">
        <f>'Statistics NZ'!K$188*'Economic Forecasts'!M$9*1000000/SUM('Statistics NZ'!K$30:K$110,'Statistics NZ'!K$130:K$210)</f>
        <v>15256.655709651741</v>
      </c>
      <c r="L188" s="44">
        <f>'Statistics NZ'!L$188*'Economic Forecasts'!N$9*1000000/SUM('Statistics NZ'!L$30:L$110,'Statistics NZ'!L$130:L$210)</f>
        <v>13728.627183989487</v>
      </c>
      <c r="M188" s="44">
        <f>'Statistics NZ'!M$188*'Economic Forecasts'!O$9*1000000/SUM('Statistics NZ'!M$30:M$110,'Statistics NZ'!M$130:M$210)</f>
        <v>15533.622408576301</v>
      </c>
      <c r="N188" s="44">
        <f>'Statistics NZ'!N$188*'Economic Forecasts'!P$9*1000000/SUM('Statistics NZ'!N$30:N$110,'Statistics NZ'!N$130:N$210)</f>
        <v>16106.001810760368</v>
      </c>
      <c r="O188" s="44">
        <f>'Statistics NZ'!O$188*'Economic Forecasts'!Q$9*1000000/SUM('Statistics NZ'!O$30:O$110,'Statistics NZ'!O$130:O$210)</f>
        <v>17128.734263312497</v>
      </c>
      <c r="P188" s="44">
        <f>'Statistics NZ'!P$188*'Economic Forecasts'!R$9*1000000/SUM('Statistics NZ'!P$30:P$110,'Statistics NZ'!P$130:P$210)</f>
        <v>20319.16555223459</v>
      </c>
      <c r="Q188" s="44">
        <f>'Statistics NZ'!Q$188*'Economic Forecasts'!S$9*1000000/SUM('Statistics NZ'!Q$30:Q$110,'Statistics NZ'!Q$130:Q$210)</f>
        <v>20464.527351218458</v>
      </c>
      <c r="R188" s="44">
        <f>'Statistics NZ'!R$188*'Economic Forecasts'!T$9*1000000/SUM('Statistics NZ'!R$30:R$110,'Statistics NZ'!R$130:R$210)</f>
        <v>20194.902478825083</v>
      </c>
      <c r="S188" s="44">
        <f>'Statistics NZ'!S$188*'Economic Forecasts'!U$9*1000000/SUM('Statistics NZ'!S$30:S$110,'Statistics NZ'!S$130:S$210)</f>
        <v>20207.046338891858</v>
      </c>
      <c r="T188" s="44">
        <f>'Statistics NZ'!T$188*'Economic Forecasts'!V$9*1000000/SUM('Statistics NZ'!T$30:T$110,'Statistics NZ'!T$130:T$210)</f>
        <v>20378.150118819914</v>
      </c>
      <c r="U188" s="45">
        <f>SUM('Statistics NZ'!U$188,$P$13/5*(U$8-U$9)*1000)*'Economic Forecasts'!W$9*1000000/SUM('Statistics NZ'!U$30:U$110,'Statistics NZ'!U$130:U$210,SUM($E$12:$T$13)*(U$8-U$9)*1000)</f>
        <v>20667.302670542434</v>
      </c>
      <c r="V188" s="45">
        <f>SUM('Statistics NZ'!V$188,$P$13/5*(V$8-V$9)*1000)*'Economic Forecasts'!X$9*1000000/SUM('Statistics NZ'!V$30:V$110,'Statistics NZ'!V$130:V$210,SUM($E$12:$T$13)*(V$8-V$9)*1000)</f>
        <v>21015.326075007586</v>
      </c>
      <c r="W188" s="45">
        <f>SUM('Statistics NZ'!W$188,$P$13/5*(W$8-W$9)*1000)*'Economic Forecasts'!Y$9*1000000/SUM('Statistics NZ'!W$30:W$110,'Statistics NZ'!W$130:W$210,SUM($E$12:$T$13)*(W$8-W$9)*1000)</f>
        <v>21811.340342256044</v>
      </c>
      <c r="X188" s="45">
        <f>SUM('Statistics NZ'!X$188,$P$13/5*(X$8-X$9)*1000)*'Economic Forecasts'!Z$9*1000000/SUM('Statistics NZ'!X$30:X$110,'Statistics NZ'!X$130:X$210,SUM($E$12:$T$13)*(X$8-X$9)*1000)</f>
        <v>22330.273296919364</v>
      </c>
      <c r="Y188" s="45">
        <f>SUM('Statistics NZ'!Y$188,$P$13/5*(Y$8-Y$9)*1000)*'Economic Forecasts'!AA$9*1000000/SUM('Statistics NZ'!Y$30:Y$110,'Statistics NZ'!Y$130:Y$210,SUM($E$12:$T$13)*(Y$8-Y$9)*1000)</f>
        <v>23021.20293223636</v>
      </c>
      <c r="Z188" s="46">
        <f>SUM(Y$188,'Statistics NZ'!Z$188-'Statistics NZ'!Y$188,$P$13/5*(Z$8-Z$9)*1000)</f>
        <v>23622.985906094866</v>
      </c>
      <c r="AA188" s="46">
        <f>SUM(Z$188,'Statistics NZ'!AA$188-'Statistics NZ'!Z$188,$P$13/5*(AA$8-AA$9)*1000)</f>
        <v>24304.055690409969</v>
      </c>
      <c r="AB188" s="46">
        <f>SUM(AA$188,'Statistics NZ'!AB$188-'Statistics NZ'!AA$188,$P$13/5*(AB$8-AB$9)*1000)</f>
        <v>25334.554923090349</v>
      </c>
      <c r="AC188" s="46">
        <f>SUM(AB$188,'Statistics NZ'!AC$188-'Statistics NZ'!AB$188,$P$13/5*(AC$8-AC$9)*1000)</f>
        <v>25734.554923090349</v>
      </c>
      <c r="AD188" s="46">
        <f>SUM(AC$188,'Statistics NZ'!AD$188-'Statistics NZ'!AC$188,$P$13/5*(AD$8-AD$9)*1000)</f>
        <v>26864.554923090349</v>
      </c>
      <c r="AE188" s="46">
        <f>SUM(AD$188,'Statistics NZ'!AE$188-'Statistics NZ'!AD$188,$P$13/5*(AE$8-AE$9)*1000)</f>
        <v>27494.554923090349</v>
      </c>
      <c r="AF188" s="46">
        <f>SUM(AE$188,'Statistics NZ'!AF$188-'Statistics NZ'!AE$188,$P$13/5*(AF$8-AF$9)*1000)</f>
        <v>27764.554923090349</v>
      </c>
      <c r="AG188" s="46">
        <f>SUM(AF$188,'Statistics NZ'!AG$188-'Statistics NZ'!AF$188,$P$13/5*(AG$8-AG$9)*1000)</f>
        <v>27544.554923090349</v>
      </c>
      <c r="AH188" s="46">
        <f>SUM(AG$188,'Statistics NZ'!AH$188-'Statistics NZ'!AG$188,$P$13/5*(AH$8-AH$9)*1000)</f>
        <v>26994.554923090349</v>
      </c>
      <c r="AI188" s="46">
        <f>SUM(AH$188,'Statistics NZ'!AI$188-'Statistics NZ'!AH$188,$P$13/5*(AI$8-AI$9)*1000)</f>
        <v>26784.554923090349</v>
      </c>
      <c r="AJ188" s="46">
        <f>SUM(AI$188,'Statistics NZ'!AJ$188-'Statistics NZ'!AI$188,$P$13/5*(AJ$8-AJ$9)*1000)</f>
        <v>26884.554923090349</v>
      </c>
      <c r="AK188" s="46">
        <f>SUM(AJ$188,'Statistics NZ'!AK$188-'Statistics NZ'!AJ$188,$P$13/5*(AK$8-AK$9)*1000)</f>
        <v>27554.554923090349</v>
      </c>
      <c r="AL188" s="46">
        <f>SUM(AK$188,'Statistics NZ'!AL$188-'Statistics NZ'!AK$188,$P$13/5*(AL$8-AL$9)*1000)</f>
        <v>28274.554923090349</v>
      </c>
      <c r="AM188" s="46">
        <f>SUM(AL$188,'Statistics NZ'!AM$188-'Statistics NZ'!AL$188,$P$13/5*(AM$8-AM$9)*1000)</f>
        <v>28384.554923090349</v>
      </c>
      <c r="AN188" s="46">
        <f>SUM(AM$188,'Statistics NZ'!AN$188-'Statistics NZ'!AM$188,$P$13/5*(AN$8-AN$9)*1000)</f>
        <v>29504.554923090349</v>
      </c>
      <c r="AO188" s="46">
        <f>SUM(AN$188,'Statistics NZ'!AO$188-'Statistics NZ'!AN$188,$P$13/5*(AO$8-AO$9)*1000)</f>
        <v>29404.554923090349</v>
      </c>
      <c r="AP188" s="46">
        <f>SUM(AO$188,'Statistics NZ'!AP$188-'Statistics NZ'!AO$188,$P$13/5*(AP$8-AP$9)*1000)</f>
        <v>28774.554923090349</v>
      </c>
      <c r="AQ188" s="46">
        <f>SUM(AP$188,'Statistics NZ'!AQ$188-'Statistics NZ'!AP$188,$P$13/5*(AQ$8-AQ$9)*1000)</f>
        <v>28214.554923090349</v>
      </c>
      <c r="AR188" s="46">
        <f>SUM(AQ$188,'Statistics NZ'!AR$188-'Statistics NZ'!AQ$188,$P$13/5*(AR$8-AR$9)*1000)</f>
        <v>27454.554923090349</v>
      </c>
      <c r="AS188" s="46">
        <f>SUM(AR$188,'Statistics NZ'!AS$188-'Statistics NZ'!AR$188,$P$13/5*(AS$8-AS$9)*1000)</f>
        <v>27434.554923090349</v>
      </c>
      <c r="AT188" s="46">
        <f>SUM(AS$188,'Statistics NZ'!AT$188-'Statistics NZ'!AS$188,$P$13/5*(AT$8-AT$9)*1000)</f>
        <v>27894.554923090349</v>
      </c>
      <c r="AU188" s="46">
        <f>SUM(AT$188,'Statistics NZ'!AU$188-'Statistics NZ'!AT$188,$P$13/5*(AU$8-AU$9)*1000)</f>
        <v>27784.554923090349</v>
      </c>
      <c r="AV188" s="46">
        <f>SUM(AU$188,'Statistics NZ'!AV$188-'Statistics NZ'!AU$188,$P$13/5*(AV$8-AV$9)*1000)</f>
        <v>29094.554923090349</v>
      </c>
      <c r="AW188" s="46">
        <f>SUM(AV$188,'Statistics NZ'!AW$188-'Statistics NZ'!AV$188,$P$13/5*(AW$8-AW$9)*1000)</f>
        <v>30214.554923090349</v>
      </c>
      <c r="AX188" s="46">
        <f>SUM(AW$188,'Statistics NZ'!AX$188-'Statistics NZ'!AW$188,$P$13/5*(AX$8-AX$9)*1000)</f>
        <v>31214.554923090349</v>
      </c>
      <c r="AY188" s="46">
        <f>SUM(AX$188,'Statistics NZ'!AY$188-'Statistics NZ'!AX$188,$P$13/5*(AY$8-AY$9)*1000)</f>
        <v>32164.554923090349</v>
      </c>
      <c r="AZ188" s="46">
        <f>SUM(AY$188,'Statistics NZ'!AZ$188-'Statistics NZ'!AY$188,$P$13/5*(AZ$8-AZ$9)*1000)</f>
        <v>33554.554923090349</v>
      </c>
      <c r="BA188" s="46">
        <f>SUM(AZ$188,'Statistics NZ'!BA$188-'Statistics NZ'!AZ$188,$P$13/5*(BA$8-BA$9)*1000)</f>
        <v>34574.554923090349</v>
      </c>
      <c r="BB188" s="46">
        <f>SUM(BA$188,'Statistics NZ'!BB$188-'Statistics NZ'!BA$188,$P$13/5*(BB$8-BB$9)*1000)</f>
        <v>35234.554923090349</v>
      </c>
      <c r="BC188" s="46">
        <f>SUM(BB$188,'Statistics NZ'!BC$188-'Statistics NZ'!BB$188,$P$13/5*(BC$8-BC$9)*1000)</f>
        <v>36424.554923090349</v>
      </c>
      <c r="BD188" s="46">
        <f>SUM(BC$188,'Statistics NZ'!BD$188-'Statistics NZ'!BC$188,$P$13/5*(BD$8-BD$9)*1000)</f>
        <v>38444.554923090349</v>
      </c>
      <c r="BE188" s="46">
        <f>SUM(BD$188,'Statistics NZ'!BE$188-'Statistics NZ'!BD$188,$P$13/5*(BE$8-BE$9)*1000)</f>
        <v>39684.554923090349</v>
      </c>
      <c r="BF188" s="46">
        <f>SUM(BE$188,'Statistics NZ'!BF$188-'Statistics NZ'!BE$188,$P$13/5*(BF$8-BF$9)*1000)</f>
        <v>40514.554923090349</v>
      </c>
      <c r="BG188" s="46">
        <f>SUM(BF$188,'Statistics NZ'!BG$188-'Statistics NZ'!BF$188,$P$13/5*(BG$8-BG$9)*1000)</f>
        <v>42224.554923090349</v>
      </c>
      <c r="BH188" s="46">
        <f>SUM(BG$188,'Statistics NZ'!BH$188-'Statistics NZ'!BG$188,$P$13/5*(BH$8-BH$9)*1000)</f>
        <v>43054.554923090349</v>
      </c>
      <c r="BI188" s="46">
        <f>SUM(BH$188,'Statistics NZ'!BI$188-'Statistics NZ'!BH$188,$P$13/5*(BI$8-BI$9)*1000)</f>
        <v>43134.554923090349</v>
      </c>
    </row>
    <row r="189" spans="1:61" x14ac:dyDescent="0.25">
      <c r="A189" s="11">
        <f>$A$89</f>
        <v>74</v>
      </c>
      <c r="B189" s="44">
        <f>'Statistics NZ'!B$189*'Economic Forecasts'!D$9*1000000/SUM('Statistics NZ'!B$30:B$110,'Statistics NZ'!B$130:B$210)</f>
        <v>10556.872209008834</v>
      </c>
      <c r="C189" s="44">
        <f>'Statistics NZ'!C$189*'Economic Forecasts'!E$9*1000000/SUM('Statistics NZ'!C$30:C$110,'Statistics NZ'!C$130:C$210)</f>
        <v>10340.542405838152</v>
      </c>
      <c r="D189" s="44">
        <f>'Statistics NZ'!D$189*'Economic Forecasts'!F$9*1000000/SUM('Statistics NZ'!D$30:D$110,'Statistics NZ'!D$130:D$210)</f>
        <v>10510.31436520581</v>
      </c>
      <c r="E189" s="44">
        <f>'Statistics NZ'!E$189*'Economic Forecasts'!G$9*1000000/SUM('Statistics NZ'!E$30:E$110,'Statistics NZ'!E$130:E$210)</f>
        <v>10797.532221647301</v>
      </c>
      <c r="F189" s="44">
        <f>'Statistics NZ'!F$189*'Economic Forecasts'!H$9*1000000/SUM('Statistics NZ'!F$30:F$110,'Statistics NZ'!F$130:F$210)</f>
        <v>10917.229289094295</v>
      </c>
      <c r="G189" s="44">
        <f>'Statistics NZ'!G$189*'Economic Forecasts'!I$9*1000000/SUM('Statistics NZ'!G$30:G$110,'Statistics NZ'!G$130:G$210)</f>
        <v>11462.825126826094</v>
      </c>
      <c r="H189" s="44">
        <f>'Statistics NZ'!H$189*'Economic Forecasts'!J$9*1000000/SUM('Statistics NZ'!H$30:H$110,'Statistics NZ'!H$130:H$210)</f>
        <v>11976.842177481369</v>
      </c>
      <c r="I189" s="44">
        <f>'Statistics NZ'!I$189*'Economic Forecasts'!K$9*1000000/SUM('Statistics NZ'!I$30:I$110,'Statistics NZ'!I$130:I$210)</f>
        <v>12274.051243734631</v>
      </c>
      <c r="J189" s="44">
        <f>'Statistics NZ'!J$189*'Economic Forecasts'!L$9*1000000/SUM('Statistics NZ'!J$30:J$110,'Statistics NZ'!J$130:J$210)</f>
        <v>13623.379494776322</v>
      </c>
      <c r="K189" s="44">
        <f>'Statistics NZ'!K$189*'Economic Forecasts'!M$9*1000000/SUM('Statistics NZ'!K$30:K$110,'Statistics NZ'!K$130:K$210)</f>
        <v>14575.120355678786</v>
      </c>
      <c r="L189" s="44">
        <f>'Statistics NZ'!L$189*'Economic Forecasts'!N$9*1000000/SUM('Statistics NZ'!L$30:L$110,'Statistics NZ'!L$130:L$210)</f>
        <v>14809.391451665255</v>
      </c>
      <c r="M189" s="44">
        <f>'Statistics NZ'!M$189*'Economic Forecasts'!O$9*1000000/SUM('Statistics NZ'!M$30:M$110,'Statistics NZ'!M$130:M$210)</f>
        <v>13442.933606415714</v>
      </c>
      <c r="N189" s="44">
        <f>'Statistics NZ'!N$189*'Economic Forecasts'!P$9*1000000/SUM('Statistics NZ'!N$30:N$110,'Statistics NZ'!N$130:N$210)</f>
        <v>15186.217989246714</v>
      </c>
      <c r="O189" s="44">
        <f>'Statistics NZ'!O$189*'Economic Forecasts'!Q$9*1000000/SUM('Statistics NZ'!O$30:O$110,'Statistics NZ'!O$130:O$210)</f>
        <v>15771.808127642505</v>
      </c>
      <c r="P189" s="44">
        <f>'Statistics NZ'!P$189*'Economic Forecasts'!R$9*1000000/SUM('Statistics NZ'!P$30:P$110,'Statistics NZ'!P$130:P$210)</f>
        <v>16801.631090097268</v>
      </c>
      <c r="Q189" s="44">
        <f>'Statistics NZ'!Q$189*'Economic Forecasts'!S$9*1000000/SUM('Statistics NZ'!Q$30:Q$110,'Statistics NZ'!Q$130:Q$210)</f>
        <v>19997.618232040171</v>
      </c>
      <c r="R189" s="44">
        <f>'Statistics NZ'!R$189*'Economic Forecasts'!T$9*1000000/SUM('Statistics NZ'!R$30:R$110,'Statistics NZ'!R$130:R$210)</f>
        <v>19896.161317895723</v>
      </c>
      <c r="S189" s="44">
        <f>'Statistics NZ'!S$189*'Economic Forecasts'!U$9*1000000/SUM('Statistics NZ'!S$30:S$110,'Statistics NZ'!S$130:S$210)</f>
        <v>19362.220872122434</v>
      </c>
      <c r="T189" s="44">
        <f>'Statistics NZ'!T$189*'Economic Forecasts'!V$9*1000000/SUM('Statistics NZ'!T$30:T$110,'Statistics NZ'!T$130:T$210)</f>
        <v>19922.218744566166</v>
      </c>
      <c r="U189" s="45">
        <f>SUM('Statistics NZ'!U$189,$P$13/5*(U$8-U$9)*1000)*'Economic Forecasts'!W$9*1000000/SUM('Statistics NZ'!U$30:U$110,'Statistics NZ'!U$130:U$210,SUM($E$12:$T$13)*(U$8-U$9)*1000)</f>
        <v>19934.33650083395</v>
      </c>
      <c r="V189" s="45">
        <f>SUM('Statistics NZ'!V$189,$P$13/5*(V$8-V$9)*1000)*'Economic Forecasts'!X$9*1000000/SUM('Statistics NZ'!V$30:V$110,'Statistics NZ'!V$130:V$210,SUM($E$12:$T$13)*(V$8-V$9)*1000)</f>
        <v>20233.161448246738</v>
      </c>
      <c r="W189" s="45">
        <f>SUM('Statistics NZ'!W$189,$P$13/5*(W$8-W$9)*1000)*'Economic Forecasts'!Y$9*1000000/SUM('Statistics NZ'!W$30:W$110,'Statistics NZ'!W$130:W$210,SUM($E$12:$T$13)*(W$8-W$9)*1000)</f>
        <v>20593.271876083367</v>
      </c>
      <c r="X189" s="45">
        <f>SUM('Statistics NZ'!X$189,$P$13/5*(X$8-X$9)*1000)*'Economic Forecasts'!Z$9*1000000/SUM('Statistics NZ'!X$30:X$110,'Statistics NZ'!X$130:X$210,SUM($E$12:$T$13)*(X$8-X$9)*1000)</f>
        <v>21389.273490731521</v>
      </c>
      <c r="Y189" s="45">
        <f>SUM('Statistics NZ'!Y$189,$P$13/5*(Y$8-Y$9)*1000)*'Economic Forecasts'!AA$9*1000000/SUM('Statistics NZ'!Y$30:Y$110,'Statistics NZ'!Y$130:Y$210,SUM($E$12:$T$13)*(Y$8-Y$9)*1000)</f>
        <v>21911.406061723603</v>
      </c>
      <c r="Z189" s="46">
        <f>SUM(Y$189,'Statistics NZ'!Z$189-'Statistics NZ'!Y$189,$P$13/5*(Z$8-Z$9)*1000)</f>
        <v>22593.189035582109</v>
      </c>
      <c r="AA189" s="46">
        <f>SUM(Z$189,'Statistics NZ'!AA$189-'Statistics NZ'!Z$189,$P$13/5*(AA$8-AA$9)*1000)</f>
        <v>23194.258819897212</v>
      </c>
      <c r="AB189" s="46">
        <f>SUM(AA$189,'Statistics NZ'!AB$189-'Statistics NZ'!AA$189,$P$13/5*(AB$8-AB$9)*1000)</f>
        <v>23874.758052577592</v>
      </c>
      <c r="AC189" s="46">
        <f>SUM(AB$189,'Statistics NZ'!AC$189-'Statistics NZ'!AB$189,$P$13/5*(AC$8-AC$9)*1000)</f>
        <v>24894.758052577592</v>
      </c>
      <c r="AD189" s="46">
        <f>SUM(AC$189,'Statistics NZ'!AD$189-'Statistics NZ'!AC$189,$P$13/5*(AD$8-AD$9)*1000)</f>
        <v>25294.758052577592</v>
      </c>
      <c r="AE189" s="46">
        <f>SUM(AD$189,'Statistics NZ'!AE$189-'Statistics NZ'!AD$189,$P$13/5*(AE$8-AE$9)*1000)</f>
        <v>26414.758052577592</v>
      </c>
      <c r="AF189" s="46">
        <f>SUM(AE$189,'Statistics NZ'!AF$189-'Statistics NZ'!AE$189,$P$13/5*(AF$8-AF$9)*1000)</f>
        <v>27054.758052577592</v>
      </c>
      <c r="AG189" s="46">
        <f>SUM(AF$189,'Statistics NZ'!AG$189-'Statistics NZ'!AF$189,$P$13/5*(AG$8-AG$9)*1000)</f>
        <v>27324.758052577592</v>
      </c>
      <c r="AH189" s="46">
        <f>SUM(AG$189,'Statistics NZ'!AH$189-'Statistics NZ'!AG$189,$P$13/5*(AH$8-AH$9)*1000)</f>
        <v>27114.758052577592</v>
      </c>
      <c r="AI189" s="46">
        <f>SUM(AH$189,'Statistics NZ'!AI$189-'Statistics NZ'!AH$189,$P$13/5*(AI$8-AI$9)*1000)</f>
        <v>26584.758052577592</v>
      </c>
      <c r="AJ189" s="46">
        <f>SUM(AI$189,'Statistics NZ'!AJ$189-'Statistics NZ'!AI$189,$P$13/5*(AJ$8-AJ$9)*1000)</f>
        <v>26394.758052577592</v>
      </c>
      <c r="AK189" s="46">
        <f>SUM(AJ$189,'Statistics NZ'!AK$189-'Statistics NZ'!AJ$189,$P$13/5*(AK$8-AK$9)*1000)</f>
        <v>26494.758052577592</v>
      </c>
      <c r="AL189" s="46">
        <f>SUM(AK$189,'Statistics NZ'!AL$189-'Statistics NZ'!AK$189,$P$13/5*(AL$8-AL$9)*1000)</f>
        <v>27154.758052577592</v>
      </c>
      <c r="AM189" s="46">
        <f>SUM(AL$189,'Statistics NZ'!AM$189-'Statistics NZ'!AL$189,$P$13/5*(AM$8-AM$9)*1000)</f>
        <v>27884.758052577592</v>
      </c>
      <c r="AN189" s="46">
        <f>SUM(AM$189,'Statistics NZ'!AN$189-'Statistics NZ'!AM$189,$P$13/5*(AN$8-AN$9)*1000)</f>
        <v>28004.758052577592</v>
      </c>
      <c r="AO189" s="46">
        <f>SUM(AN$189,'Statistics NZ'!AO$189-'Statistics NZ'!AN$189,$P$13/5*(AO$8-AO$9)*1000)</f>
        <v>29114.758052577592</v>
      </c>
      <c r="AP189" s="46">
        <f>SUM(AO$189,'Statistics NZ'!AP$189-'Statistics NZ'!AO$189,$P$13/5*(AP$8-AP$9)*1000)</f>
        <v>29024.758052577592</v>
      </c>
      <c r="AQ189" s="46">
        <f>SUM(AP$189,'Statistics NZ'!AQ$189-'Statistics NZ'!AP$189,$P$13/5*(AQ$8-AQ$9)*1000)</f>
        <v>28404.758052577592</v>
      </c>
      <c r="AR189" s="46">
        <f>SUM(AQ$189,'Statistics NZ'!AR$189-'Statistics NZ'!AQ$189,$P$13/5*(AR$8-AR$9)*1000)</f>
        <v>27854.758052577592</v>
      </c>
      <c r="AS189" s="46">
        <f>SUM(AR$189,'Statistics NZ'!AS$189-'Statistics NZ'!AR$189,$P$13/5*(AS$8-AS$9)*1000)</f>
        <v>27114.758052577592</v>
      </c>
      <c r="AT189" s="46">
        <f>SUM(AS$189,'Statistics NZ'!AT$189-'Statistics NZ'!AS$189,$P$13/5*(AT$8-AT$9)*1000)</f>
        <v>27104.758052577592</v>
      </c>
      <c r="AU189" s="46">
        <f>SUM(AT$189,'Statistics NZ'!AU$189-'Statistics NZ'!AT$189,$P$13/5*(AU$8-AU$9)*1000)</f>
        <v>27564.758052577592</v>
      </c>
      <c r="AV189" s="46">
        <f>SUM(AU$189,'Statistics NZ'!AV$189-'Statistics NZ'!AU$189,$P$13/5*(AV$8-AV$9)*1000)</f>
        <v>27464.758052577592</v>
      </c>
      <c r="AW189" s="46">
        <f>SUM(AV$189,'Statistics NZ'!AW$189-'Statistics NZ'!AV$189,$P$13/5*(AW$8-AW$9)*1000)</f>
        <v>28774.758052577592</v>
      </c>
      <c r="AX189" s="46">
        <f>SUM(AW$189,'Statistics NZ'!AX$189-'Statistics NZ'!AW$189,$P$13/5*(AX$8-AX$9)*1000)</f>
        <v>29884.758052577592</v>
      </c>
      <c r="AY189" s="46">
        <f>SUM(AX$189,'Statistics NZ'!AY$189-'Statistics NZ'!AX$189,$P$13/5*(AY$8-AY$9)*1000)</f>
        <v>30874.758052577592</v>
      </c>
      <c r="AZ189" s="46">
        <f>SUM(AY$189,'Statistics NZ'!AZ$189-'Statistics NZ'!AY$189,$P$13/5*(AZ$8-AZ$9)*1000)</f>
        <v>31824.758052577592</v>
      </c>
      <c r="BA189" s="46">
        <f>SUM(AZ$189,'Statistics NZ'!BA$189-'Statistics NZ'!AZ$189,$P$13/5*(BA$8-BA$9)*1000)</f>
        <v>33204.758052577592</v>
      </c>
      <c r="BB189" s="46">
        <f>SUM(BA$189,'Statistics NZ'!BB$189-'Statistics NZ'!BA$189,$P$13/5*(BB$8-BB$9)*1000)</f>
        <v>34224.758052577592</v>
      </c>
      <c r="BC189" s="46">
        <f>SUM(BB$189,'Statistics NZ'!BC$189-'Statistics NZ'!BB$189,$P$13/5*(BC$8-BC$9)*1000)</f>
        <v>34884.758052577592</v>
      </c>
      <c r="BD189" s="46">
        <f>SUM(BC$189,'Statistics NZ'!BD$189-'Statistics NZ'!BC$189,$P$13/5*(BD$8-BD$9)*1000)</f>
        <v>36074.758052577592</v>
      </c>
      <c r="BE189" s="46">
        <f>SUM(BD$189,'Statistics NZ'!BE$189-'Statistics NZ'!BD$189,$P$13/5*(BE$8-BE$9)*1000)</f>
        <v>38074.758052577592</v>
      </c>
      <c r="BF189" s="46">
        <f>SUM(BE$189,'Statistics NZ'!BF$189-'Statistics NZ'!BE$189,$P$13/5*(BF$8-BF$9)*1000)</f>
        <v>39314.758052577592</v>
      </c>
      <c r="BG189" s="46">
        <f>SUM(BF$189,'Statistics NZ'!BG$189-'Statistics NZ'!BF$189,$P$13/5*(BG$8-BG$9)*1000)</f>
        <v>40144.758052577592</v>
      </c>
      <c r="BH189" s="46">
        <f>SUM(BG$189,'Statistics NZ'!BH$189-'Statistics NZ'!BG$189,$P$13/5*(BH$8-BH$9)*1000)</f>
        <v>41834.758052577592</v>
      </c>
      <c r="BI189" s="46">
        <f>SUM(BH$189,'Statistics NZ'!BI$189-'Statistics NZ'!BH$189,$P$13/5*(BI$8-BI$9)*1000)</f>
        <v>42664.758052577592</v>
      </c>
    </row>
    <row r="190" spans="1:61" x14ac:dyDescent="0.25">
      <c r="A190" s="11">
        <f>$A$90</f>
        <v>75</v>
      </c>
      <c r="B190" s="44">
        <f>'Statistics NZ'!B$190*'Economic Forecasts'!D$9*1000000/SUM('Statistics NZ'!B$30:B$110,'Statistics NZ'!B$130:B$210)</f>
        <v>10537.304327249782</v>
      </c>
      <c r="C190" s="44">
        <f>'Statistics NZ'!C$190*'Economic Forecasts'!E$9*1000000/SUM('Statistics NZ'!C$30:C$110,'Statistics NZ'!C$130:C$210)</f>
        <v>10261.981779772907</v>
      </c>
      <c r="D190" s="44">
        <f>'Statistics NZ'!D$190*'Economic Forecasts'!F$9*1000000/SUM('Statistics NZ'!D$30:D$110,'Statistics NZ'!D$130:D$210)</f>
        <v>10009.35545621002</v>
      </c>
      <c r="E190" s="44">
        <f>'Statistics NZ'!E$190*'Economic Forecasts'!G$9*1000000/SUM('Statistics NZ'!E$30:E$110,'Statistics NZ'!E$130:E$210)</f>
        <v>10150.268709722943</v>
      </c>
      <c r="F190" s="44">
        <f>'Statistics NZ'!F$190*'Economic Forecasts'!H$9*1000000/SUM('Statistics NZ'!F$30:F$110,'Statistics NZ'!F$130:F$210)</f>
        <v>10436.596553096433</v>
      </c>
      <c r="G190" s="44">
        <f>'Statistics NZ'!G$190*'Economic Forecasts'!I$9*1000000/SUM('Statistics NZ'!G$30:G$110,'Statistics NZ'!G$130:G$210)</f>
        <v>10598.447567990879</v>
      </c>
      <c r="H190" s="44">
        <f>'Statistics NZ'!H$190*'Economic Forecasts'!J$9*1000000/SUM('Statistics NZ'!H$30:H$110,'Statistics NZ'!H$130:H$210)</f>
        <v>11112.230108885504</v>
      </c>
      <c r="I190" s="44">
        <f>'Statistics NZ'!I$190*'Economic Forecasts'!K$9*1000000/SUM('Statistics NZ'!I$30:I$110,'Statistics NZ'!I$130:I$210)</f>
        <v>11587.802372279817</v>
      </c>
      <c r="J190" s="44">
        <f>'Statistics NZ'!J$190*'Economic Forecasts'!L$9*1000000/SUM('Statistics NZ'!J$30:J$110,'Statistics NZ'!J$130:J$210)</f>
        <v>11887.544455356006</v>
      </c>
      <c r="K190" s="44">
        <f>'Statistics NZ'!K$190*'Economic Forecasts'!M$9*1000000/SUM('Statistics NZ'!K$30:K$110,'Statistics NZ'!K$130:K$210)</f>
        <v>13202.313428390402</v>
      </c>
      <c r="L190" s="44">
        <f>'Statistics NZ'!L$190*'Economic Forecasts'!N$9*1000000/SUM('Statistics NZ'!L$30:L$110,'Statistics NZ'!L$130:L$210)</f>
        <v>14137.565015001937</v>
      </c>
      <c r="M190" s="44">
        <f>'Statistics NZ'!M$190*'Economic Forecasts'!O$9*1000000/SUM('Statistics NZ'!M$30:M$110,'Statistics NZ'!M$130:M$210)</f>
        <v>14458.969285970392</v>
      </c>
      <c r="N190" s="44">
        <f>'Statistics NZ'!N$190*'Economic Forecasts'!P$9*1000000/SUM('Statistics NZ'!N$30:N$110,'Statistics NZ'!N$130:N$210)</f>
        <v>13062.887252348171</v>
      </c>
      <c r="O190" s="44">
        <f>'Statistics NZ'!O$190*'Economic Forecasts'!Q$9*1000000/SUM('Statistics NZ'!O$30:O$110,'Statistics NZ'!O$130:O$210)</f>
        <v>14837.692309608816</v>
      </c>
      <c r="P190" s="44">
        <f>'Statistics NZ'!P$190*'Economic Forecasts'!R$9*1000000/SUM('Statistics NZ'!P$30:P$110,'Statistics NZ'!P$130:P$210)</f>
        <v>15406.407923551178</v>
      </c>
      <c r="Q190" s="44">
        <f>'Statistics NZ'!Q$190*'Economic Forecasts'!S$9*1000000/SUM('Statistics NZ'!Q$30:Q$110,'Statistics NZ'!Q$130:Q$210)</f>
        <v>16461.030010179118</v>
      </c>
      <c r="R190" s="44">
        <f>'Statistics NZ'!R$190*'Economic Forecasts'!T$9*1000000/SUM('Statistics NZ'!R$30:R$110,'Statistics NZ'!R$130:R$210)</f>
        <v>19418.175460408733</v>
      </c>
      <c r="S190" s="44">
        <f>'Statistics NZ'!S$190*'Economic Forecasts'!U$9*1000000/SUM('Statistics NZ'!S$30:S$110,'Statistics NZ'!S$130:S$210)</f>
        <v>19008.57300231198</v>
      </c>
      <c r="T190" s="44">
        <f>'Statistics NZ'!T$190*'Economic Forecasts'!V$9*1000000/SUM('Statistics NZ'!T$30:T$110,'Statistics NZ'!T$130:T$210)</f>
        <v>18990.532892830233</v>
      </c>
      <c r="U190" s="45">
        <f>SUM('Statistics NZ'!U$190,$Q$13/5*(U$8-U$9)*1000)*'Economic Forecasts'!W$9*1000000/SUM('Statistics NZ'!U$30:U$110,'Statistics NZ'!U$130:U$210,SUM($E$12:$T$13)*(U$8-U$9)*1000)</f>
        <v>19436.01391770229</v>
      </c>
      <c r="V190" s="45">
        <f>SUM('Statistics NZ'!V$190,$Q$13/5*(V$8-V$9)*1000)*'Economic Forecasts'!X$9*1000000/SUM('Statistics NZ'!V$30:V$110,'Statistics NZ'!V$130:V$210,SUM($E$12:$T$13)*(V$8-V$9)*1000)</f>
        <v>19467.607838771713</v>
      </c>
      <c r="W190" s="45">
        <f>SUM('Statistics NZ'!W$190,$Q$13/5*(W$8-W$9)*1000)*'Economic Forecasts'!Y$9*1000000/SUM('Statistics NZ'!W$30:W$110,'Statistics NZ'!W$130:W$210,SUM($E$12:$T$13)*(W$8-W$9)*1000)</f>
        <v>19778.501933908872</v>
      </c>
      <c r="X190" s="45">
        <f>SUM('Statistics NZ'!X$190,$Q$13/5*(X$8-X$9)*1000)*'Economic Forecasts'!Z$9*1000000/SUM('Statistics NZ'!X$30:X$110,'Statistics NZ'!X$130:X$210,SUM($E$12:$T$13)*(X$8-X$9)*1000)</f>
        <v>20139.108507760189</v>
      </c>
      <c r="Y190" s="45">
        <f>SUM('Statistics NZ'!Y$190,$Q$13/5*(Y$8-Y$9)*1000)*'Economic Forecasts'!AA$9*1000000/SUM('Statistics NZ'!Y$30:Y$110,'Statistics NZ'!Y$130:Y$210,SUM($E$12:$T$13)*(Y$8-Y$9)*1000)</f>
        <v>20928.867229391388</v>
      </c>
      <c r="Z190" s="46">
        <f>SUM(Y$190,'Statistics NZ'!Z$190-'Statistics NZ'!Y$190,$Q$13/5*(Z$8-Z$9)*1000)</f>
        <v>21449.667709036985</v>
      </c>
      <c r="AA190" s="46">
        <f>SUM(Z$190,'Statistics NZ'!AA$190-'Statistics NZ'!Z$190,$Q$13/5*(AA$8-AA$9)*1000)</f>
        <v>22130.147996824344</v>
      </c>
      <c r="AB190" s="46">
        <f>SUM(AA$190,'Statistics NZ'!AB$190-'Statistics NZ'!AA$190,$Q$13/5*(AB$8-AB$9)*1000)</f>
        <v>22730.37213112511</v>
      </c>
      <c r="AC190" s="46">
        <f>SUM(AB$190,'Statistics NZ'!AC$190-'Statistics NZ'!AB$190,$Q$13/5*(AC$8-AC$9)*1000)</f>
        <v>23400.37213112511</v>
      </c>
      <c r="AD190" s="46">
        <f>SUM(AC$190,'Statistics NZ'!AD$190-'Statistics NZ'!AC$190,$Q$13/5*(AD$8-AD$9)*1000)</f>
        <v>24420.37213112511</v>
      </c>
      <c r="AE190" s="46">
        <f>SUM(AD$190,'Statistics NZ'!AE$190-'Statistics NZ'!AD$190,$Q$13/5*(AE$8-AE$9)*1000)</f>
        <v>24820.37213112511</v>
      </c>
      <c r="AF190" s="46">
        <f>SUM(AE$190,'Statistics NZ'!AF$190-'Statistics NZ'!AE$190,$Q$13/5*(AF$8-AF$9)*1000)</f>
        <v>25920.37213112511</v>
      </c>
      <c r="AG190" s="46">
        <f>SUM(AF$190,'Statistics NZ'!AG$190-'Statistics NZ'!AF$190,$Q$13/5*(AG$8-AG$9)*1000)</f>
        <v>26560.37213112511</v>
      </c>
      <c r="AH190" s="46">
        <f>SUM(AG$190,'Statistics NZ'!AH$190-'Statistics NZ'!AG$190,$Q$13/5*(AH$8-AH$9)*1000)</f>
        <v>26840.37213112511</v>
      </c>
      <c r="AI190" s="46">
        <f>SUM(AH$190,'Statistics NZ'!AI$190-'Statistics NZ'!AH$190,$Q$13/5*(AI$8-AI$9)*1000)</f>
        <v>26640.37213112511</v>
      </c>
      <c r="AJ190" s="46">
        <f>SUM(AI$190,'Statistics NZ'!AJ$190-'Statistics NZ'!AI$190,$Q$13/5*(AJ$8-AJ$9)*1000)</f>
        <v>26130.37213112511</v>
      </c>
      <c r="AK190" s="46">
        <f>SUM(AJ$190,'Statistics NZ'!AK$190-'Statistics NZ'!AJ$190,$Q$13/5*(AK$8-AK$9)*1000)</f>
        <v>25950.37213112511</v>
      </c>
      <c r="AL190" s="46">
        <f>SUM(AK$190,'Statistics NZ'!AL$190-'Statistics NZ'!AK$190,$Q$13/5*(AL$8-AL$9)*1000)</f>
        <v>26060.37213112511</v>
      </c>
      <c r="AM190" s="46">
        <f>SUM(AL$190,'Statistics NZ'!AM$190-'Statistics NZ'!AL$190,$Q$13/5*(AM$8-AM$9)*1000)</f>
        <v>26720.37213112511</v>
      </c>
      <c r="AN190" s="46">
        <f>SUM(AM$190,'Statistics NZ'!AN$190-'Statistics NZ'!AM$190,$Q$13/5*(AN$8-AN$9)*1000)</f>
        <v>27440.37213112511</v>
      </c>
      <c r="AO190" s="46">
        <f>SUM(AN$190,'Statistics NZ'!AO$190-'Statistics NZ'!AN$190,$Q$13/5*(AO$8-AO$9)*1000)</f>
        <v>27570.37213112511</v>
      </c>
      <c r="AP190" s="46">
        <f>SUM(AO$190,'Statistics NZ'!AP$190-'Statistics NZ'!AO$190,$Q$13/5*(AP$8-AP$9)*1000)</f>
        <v>28670.37213112511</v>
      </c>
      <c r="AQ190" s="46">
        <f>SUM(AP$190,'Statistics NZ'!AQ$190-'Statistics NZ'!AP$190,$Q$13/5*(AQ$8-AQ$9)*1000)</f>
        <v>28590.37213112511</v>
      </c>
      <c r="AR190" s="46">
        <f>SUM(AQ$190,'Statistics NZ'!AR$190-'Statistics NZ'!AQ$190,$Q$13/5*(AR$8-AR$9)*1000)</f>
        <v>27990.37213112511</v>
      </c>
      <c r="AS190" s="46">
        <f>SUM(AR$190,'Statistics NZ'!AS$190-'Statistics NZ'!AR$190,$Q$13/5*(AS$8-AS$9)*1000)</f>
        <v>27460.37213112511</v>
      </c>
      <c r="AT190" s="46">
        <f>SUM(AS$190,'Statistics NZ'!AT$190-'Statistics NZ'!AS$190,$Q$13/5*(AT$8-AT$9)*1000)</f>
        <v>26740.37213112511</v>
      </c>
      <c r="AU190" s="46">
        <f>SUM(AT$190,'Statistics NZ'!AU$190-'Statistics NZ'!AT$190,$Q$13/5*(AU$8-AU$9)*1000)</f>
        <v>26740.37213112511</v>
      </c>
      <c r="AV190" s="46">
        <f>SUM(AU$190,'Statistics NZ'!AV$190-'Statistics NZ'!AU$190,$Q$13/5*(AV$8-AV$9)*1000)</f>
        <v>27200.37213112511</v>
      </c>
      <c r="AW190" s="46">
        <f>SUM(AV$190,'Statistics NZ'!AW$190-'Statistics NZ'!AV$190,$Q$13/5*(AW$8-AW$9)*1000)</f>
        <v>27110.37213112511</v>
      </c>
      <c r="AX190" s="46">
        <f>SUM(AW$190,'Statistics NZ'!AX$190-'Statistics NZ'!AW$190,$Q$13/5*(AX$8-AX$9)*1000)</f>
        <v>28400.37213112511</v>
      </c>
      <c r="AY190" s="46">
        <f>SUM(AX$190,'Statistics NZ'!AY$190-'Statistics NZ'!AX$190,$Q$13/5*(AY$8-AY$9)*1000)</f>
        <v>29510.37213112511</v>
      </c>
      <c r="AZ190" s="46">
        <f>SUM(AY$190,'Statistics NZ'!AZ$190-'Statistics NZ'!AY$190,$Q$13/5*(AZ$8-AZ$9)*1000)</f>
        <v>30490.37213112511</v>
      </c>
      <c r="BA190" s="46">
        <f>SUM(AZ$190,'Statistics NZ'!BA$190-'Statistics NZ'!AZ$190,$Q$13/5*(BA$8-BA$9)*1000)</f>
        <v>31440.37213112511</v>
      </c>
      <c r="BB190" s="46">
        <f>SUM(BA$190,'Statistics NZ'!BB$190-'Statistics NZ'!BA$190,$Q$13/5*(BB$8-BB$9)*1000)</f>
        <v>32810.372131125114</v>
      </c>
      <c r="BC190" s="46">
        <f>SUM(BB$190,'Statistics NZ'!BC$190-'Statistics NZ'!BB$190,$Q$13/5*(BC$8-BC$9)*1000)</f>
        <v>33830.372131125114</v>
      </c>
      <c r="BD190" s="46">
        <f>SUM(BC$190,'Statistics NZ'!BD$190-'Statistics NZ'!BC$190,$Q$13/5*(BD$8-BD$9)*1000)</f>
        <v>34490.372131125114</v>
      </c>
      <c r="BE190" s="46">
        <f>SUM(BD$190,'Statistics NZ'!BE$190-'Statistics NZ'!BD$190,$Q$13/5*(BE$8-BE$9)*1000)</f>
        <v>35670.372131125114</v>
      </c>
      <c r="BF190" s="46">
        <f>SUM(BE$190,'Statistics NZ'!BF$190-'Statistics NZ'!BE$190,$Q$13/5*(BF$8-BF$9)*1000)</f>
        <v>37660.372131125114</v>
      </c>
      <c r="BG190" s="46">
        <f>SUM(BF$190,'Statistics NZ'!BG$190-'Statistics NZ'!BF$190,$Q$13/5*(BG$8-BG$9)*1000)</f>
        <v>38890.372131125114</v>
      </c>
      <c r="BH190" s="46">
        <f>SUM(BG$190,'Statistics NZ'!BH$190-'Statistics NZ'!BG$190,$Q$13/5*(BH$8-BH$9)*1000)</f>
        <v>39720.372131125114</v>
      </c>
      <c r="BI190" s="46">
        <f>SUM(BH$190,'Statistics NZ'!BI$190-'Statistics NZ'!BH$190,$Q$13/5*(BI$8-BI$9)*1000)</f>
        <v>41410.372131125114</v>
      </c>
    </row>
    <row r="191" spans="1:61" x14ac:dyDescent="0.25">
      <c r="A191" s="11">
        <f>$A$91</f>
        <v>76</v>
      </c>
      <c r="B191" s="44">
        <f>'Statistics NZ'!B$191*'Economic Forecasts'!D$9*1000000/SUM('Statistics NZ'!B$30:B$110,'Statistics NZ'!B$130:B$210)</f>
        <v>9823.0766430443637</v>
      </c>
      <c r="C191" s="44">
        <f>'Statistics NZ'!C$191*'Economic Forecasts'!E$9*1000000/SUM('Statistics NZ'!C$30:C$110,'Statistics NZ'!C$130:C$210)</f>
        <v>10193.241231965814</v>
      </c>
      <c r="D191" s="44">
        <f>'Statistics NZ'!D$191*'Economic Forecasts'!F$9*1000000/SUM('Statistics NZ'!D$30:D$110,'Statistics NZ'!D$130:D$210)</f>
        <v>9891.4827717404223</v>
      </c>
      <c r="E191" s="44">
        <f>'Statistics NZ'!E$191*'Economic Forecasts'!G$9*1000000/SUM('Statistics NZ'!E$30:E$110,'Statistics NZ'!E$130:E$210)</f>
        <v>9640.3035185098088</v>
      </c>
      <c r="F191" s="44">
        <f>'Statistics NZ'!F$191*'Economic Forecasts'!H$9*1000000/SUM('Statistics NZ'!F$30:F$110,'Statistics NZ'!F$130:F$210)</f>
        <v>9789.2136842013533</v>
      </c>
      <c r="G191" s="44">
        <f>'Statistics NZ'!G$191*'Economic Forecasts'!I$9*1000000/SUM('Statistics NZ'!G$30:G$110,'Statistics NZ'!G$130:G$210)</f>
        <v>10107.323955016325</v>
      </c>
      <c r="H191" s="44">
        <f>'Statistics NZ'!H$191*'Economic Forecasts'!J$9*1000000/SUM('Statistics NZ'!H$30:H$110,'Statistics NZ'!H$130:H$210)</f>
        <v>10227.967766003367</v>
      </c>
      <c r="I191" s="44">
        <f>'Statistics NZ'!I$191*'Economic Forecasts'!K$9*1000000/SUM('Statistics NZ'!I$30:I$110,'Statistics NZ'!I$130:I$210)</f>
        <v>10695.678839388564</v>
      </c>
      <c r="J191" s="44">
        <f>'Statistics NZ'!J$191*'Economic Forecasts'!L$9*1000000/SUM('Statistics NZ'!J$30:J$110,'Statistics NZ'!J$130:J$210)</f>
        <v>11156.153287060928</v>
      </c>
      <c r="K191" s="44">
        <f>'Statistics NZ'!K$191*'Economic Forecasts'!M$9*1000000/SUM('Statistics NZ'!K$30:K$110,'Statistics NZ'!K$130:K$210)</f>
        <v>11459.530166088129</v>
      </c>
      <c r="L191" s="44">
        <f>'Statistics NZ'!L$191*'Economic Forecasts'!N$9*1000000/SUM('Statistics NZ'!L$30:L$110,'Statistics NZ'!L$130:L$210)</f>
        <v>12774.438911627094</v>
      </c>
      <c r="M191" s="44">
        <f>'Statistics NZ'!M$191*'Economic Forecasts'!O$9*1000000/SUM('Statistics NZ'!M$30:M$110,'Statistics NZ'!M$130:M$210)</f>
        <v>13726.251247830001</v>
      </c>
      <c r="N191" s="44">
        <f>'Statistics NZ'!N$191*'Economic Forecasts'!P$9*1000000/SUM('Statistics NZ'!N$30:N$110,'Statistics NZ'!N$130:N$210)</f>
        <v>13992.456008133247</v>
      </c>
      <c r="O191" s="44">
        <f>'Statistics NZ'!O$191*'Economic Forecasts'!Q$9*1000000/SUM('Statistics NZ'!O$30:O$110,'Statistics NZ'!O$130:O$210)</f>
        <v>12664.643932919917</v>
      </c>
      <c r="P191" s="44">
        <f>'Statistics NZ'!P$191*'Economic Forecasts'!R$9*1000000/SUM('Statistics NZ'!P$30:P$110,'Statistics NZ'!P$130:P$210)</f>
        <v>14443.507428329229</v>
      </c>
      <c r="Q191" s="44">
        <f>'Statistics NZ'!Q$191*'Economic Forecasts'!S$9*1000000/SUM('Statistics NZ'!Q$30:Q$110,'Statistics NZ'!Q$130:Q$210)</f>
        <v>15090.105362379047</v>
      </c>
      <c r="R191" s="44">
        <f>'Statistics NZ'!R$191*'Economic Forecasts'!T$9*1000000/SUM('Statistics NZ'!R$30:R$110,'Statistics NZ'!R$130:R$210)</f>
        <v>15853.197606651645</v>
      </c>
      <c r="S191" s="44">
        <f>'Statistics NZ'!S$191*'Economic Forecasts'!U$9*1000000/SUM('Statistics NZ'!S$30:S$110,'Statistics NZ'!S$130:S$210)</f>
        <v>18527.218957292192</v>
      </c>
      <c r="T191" s="44">
        <f>'Statistics NZ'!T$191*'Economic Forecasts'!V$9*1000000/SUM('Statistics NZ'!T$30:T$110,'Statistics NZ'!T$130:T$210)</f>
        <v>18623.805483104388</v>
      </c>
      <c r="U191" s="45">
        <f>SUM('Statistics NZ'!U$191,$Q$13/5*(U$8-U$9)*1000)*'Economic Forecasts'!W$9*1000000/SUM('Statistics NZ'!U$30:U$110,'Statistics NZ'!U$130:U$210,SUM($E$12:$T$13)*(U$8-U$9)*1000)</f>
        <v>18475.233938489822</v>
      </c>
      <c r="V191" s="45">
        <f>SUM('Statistics NZ'!V$191,$Q$13/5*(V$8-V$9)*1000)*'Economic Forecasts'!X$9*1000000/SUM('Statistics NZ'!V$30:V$110,'Statistics NZ'!V$130:V$210,SUM($E$12:$T$13)*(V$8-V$9)*1000)</f>
        <v>18923.0628454572</v>
      </c>
      <c r="W191" s="45">
        <f>SUM('Statistics NZ'!W$191,$Q$13/5*(W$8-W$9)*1000)*'Economic Forecasts'!Y$9*1000000/SUM('Statistics NZ'!W$30:W$110,'Statistics NZ'!W$130:W$210,SUM($E$12:$T$13)*(W$8-W$9)*1000)</f>
        <v>18976.359285453691</v>
      </c>
      <c r="X191" s="45">
        <f>SUM('Statistics NZ'!X$191,$Q$13/5*(X$8-X$9)*1000)*'Economic Forecasts'!Z$9*1000000/SUM('Statistics NZ'!X$30:X$110,'Statistics NZ'!X$130:X$210,SUM($E$12:$T$13)*(X$8-X$9)*1000)</f>
        <v>19287.256051632248</v>
      </c>
      <c r="Y191" s="45">
        <f>SUM('Statistics NZ'!Y$191,$Q$13/5*(Y$8-Y$9)*1000)*'Economic Forecasts'!AA$9*1000000/SUM('Statistics NZ'!Y$30:Y$110,'Statistics NZ'!Y$130:Y$210,SUM($E$12:$T$13)*(Y$8-Y$9)*1000)</f>
        <v>19650.619048175799</v>
      </c>
      <c r="Z191" s="46">
        <f>SUM(Y$191,'Statistics NZ'!Z$191-'Statistics NZ'!Y$191,$Q$13/5*(Z$8-Z$9)*1000)</f>
        <v>20441.419527821396</v>
      </c>
      <c r="AA191" s="46">
        <f>SUM(Z$191,'Statistics NZ'!AA$191-'Statistics NZ'!Z$191,$Q$13/5*(AA$8-AA$9)*1000)</f>
        <v>20951.899815608755</v>
      </c>
      <c r="AB191" s="46">
        <f>SUM(AA$191,'Statistics NZ'!AB$191-'Statistics NZ'!AA$191,$Q$13/5*(AB$8-AB$9)*1000)</f>
        <v>21632.123949909521</v>
      </c>
      <c r="AC191" s="46">
        <f>SUM(AB$191,'Statistics NZ'!AC$191-'Statistics NZ'!AB$191,$Q$13/5*(AC$8-AC$9)*1000)</f>
        <v>22222.123949909521</v>
      </c>
      <c r="AD191" s="46">
        <f>SUM(AC$191,'Statistics NZ'!AD$191-'Statistics NZ'!AC$191,$Q$13/5*(AD$8-AD$9)*1000)</f>
        <v>22902.123949909521</v>
      </c>
      <c r="AE191" s="46">
        <f>SUM(AD$191,'Statistics NZ'!AE$191-'Statistics NZ'!AD$191,$Q$13/5*(AE$8-AE$9)*1000)</f>
        <v>23892.123949909521</v>
      </c>
      <c r="AF191" s="46">
        <f>SUM(AE$191,'Statistics NZ'!AF$191-'Statistics NZ'!AE$191,$Q$13/5*(AF$8-AF$9)*1000)</f>
        <v>24302.123949909521</v>
      </c>
      <c r="AG191" s="46">
        <f>SUM(AF$191,'Statistics NZ'!AG$191-'Statistics NZ'!AF$191,$Q$13/5*(AG$8-AG$9)*1000)</f>
        <v>25392.123949909521</v>
      </c>
      <c r="AH191" s="46">
        <f>SUM(AG$191,'Statistics NZ'!AH$191-'Statistics NZ'!AG$191,$Q$13/5*(AH$8-AH$9)*1000)</f>
        <v>26022.123949909521</v>
      </c>
      <c r="AI191" s="46">
        <f>SUM(AH$191,'Statistics NZ'!AI$191-'Statistics NZ'!AH$191,$Q$13/5*(AI$8-AI$9)*1000)</f>
        <v>26312.123949909521</v>
      </c>
      <c r="AJ191" s="46">
        <f>SUM(AI$191,'Statistics NZ'!AJ$191-'Statistics NZ'!AI$191,$Q$13/5*(AJ$8-AJ$9)*1000)</f>
        <v>26132.123949909521</v>
      </c>
      <c r="AK191" s="46">
        <f>SUM(AJ$191,'Statistics NZ'!AK$191-'Statistics NZ'!AJ$191,$Q$13/5*(AK$8-AK$9)*1000)</f>
        <v>25642.123949909521</v>
      </c>
      <c r="AL191" s="46">
        <f>SUM(AK$191,'Statistics NZ'!AL$191-'Statistics NZ'!AK$191,$Q$13/5*(AL$8-AL$9)*1000)</f>
        <v>25472.123949909521</v>
      </c>
      <c r="AM191" s="46">
        <f>SUM(AL$191,'Statistics NZ'!AM$191-'Statistics NZ'!AL$191,$Q$13/5*(AM$8-AM$9)*1000)</f>
        <v>25592.123949909521</v>
      </c>
      <c r="AN191" s="46">
        <f>SUM(AM$191,'Statistics NZ'!AN$191-'Statistics NZ'!AM$191,$Q$13/5*(AN$8-AN$9)*1000)</f>
        <v>26252.123949909521</v>
      </c>
      <c r="AO191" s="46">
        <f>SUM(AN$191,'Statistics NZ'!AO$191-'Statistics NZ'!AN$191,$Q$13/5*(AO$8-AO$9)*1000)</f>
        <v>26972.123949909521</v>
      </c>
      <c r="AP191" s="46">
        <f>SUM(AO$191,'Statistics NZ'!AP$191-'Statistics NZ'!AO$191,$Q$13/5*(AP$8-AP$9)*1000)</f>
        <v>27102.123949909521</v>
      </c>
      <c r="AQ191" s="46">
        <f>SUM(AP$191,'Statistics NZ'!AQ$191-'Statistics NZ'!AP$191,$Q$13/5*(AQ$8-AQ$9)*1000)</f>
        <v>28192.123949909521</v>
      </c>
      <c r="AR191" s="46">
        <f>SUM(AQ$191,'Statistics NZ'!AR$191-'Statistics NZ'!AQ$191,$Q$13/5*(AR$8-AR$9)*1000)</f>
        <v>28122.123949909521</v>
      </c>
      <c r="AS191" s="46">
        <f>SUM(AR$191,'Statistics NZ'!AS$191-'Statistics NZ'!AR$191,$Q$13/5*(AS$8-AS$9)*1000)</f>
        <v>27552.123949909521</v>
      </c>
      <c r="AT191" s="46">
        <f>SUM(AS$191,'Statistics NZ'!AT$191-'Statistics NZ'!AS$191,$Q$13/5*(AT$8-AT$9)*1000)</f>
        <v>27032.123949909521</v>
      </c>
      <c r="AU191" s="46">
        <f>SUM(AT$191,'Statistics NZ'!AU$191-'Statistics NZ'!AT$191,$Q$13/5*(AU$8-AU$9)*1000)</f>
        <v>26332.123949909521</v>
      </c>
      <c r="AV191" s="46">
        <f>SUM(AU$191,'Statistics NZ'!AV$191-'Statistics NZ'!AU$191,$Q$13/5*(AV$8-AV$9)*1000)</f>
        <v>26342.123949909521</v>
      </c>
      <c r="AW191" s="46">
        <f>SUM(AV$191,'Statistics NZ'!AW$191-'Statistics NZ'!AV$191,$Q$13/5*(AW$8-AW$9)*1000)</f>
        <v>26802.123949909521</v>
      </c>
      <c r="AX191" s="46">
        <f>SUM(AW$191,'Statistics NZ'!AX$191-'Statistics NZ'!AW$191,$Q$13/5*(AX$8-AX$9)*1000)</f>
        <v>26722.123949909521</v>
      </c>
      <c r="AY191" s="46">
        <f>SUM(AX$191,'Statistics NZ'!AY$191-'Statistics NZ'!AX$191,$Q$13/5*(AY$8-AY$9)*1000)</f>
        <v>28002.123949909521</v>
      </c>
      <c r="AZ191" s="46">
        <f>SUM(AY$191,'Statistics NZ'!AZ$191-'Statistics NZ'!AY$191,$Q$13/5*(AZ$8-AZ$9)*1000)</f>
        <v>29102.123949909521</v>
      </c>
      <c r="BA191" s="46">
        <f>SUM(AZ$191,'Statistics NZ'!BA$191-'Statistics NZ'!AZ$191,$Q$13/5*(BA$8-BA$9)*1000)</f>
        <v>30082.123949909521</v>
      </c>
      <c r="BB191" s="46">
        <f>SUM(BA$191,'Statistics NZ'!BB$191-'Statistics NZ'!BA$191,$Q$13/5*(BB$8-BB$9)*1000)</f>
        <v>31022.123949909521</v>
      </c>
      <c r="BC191" s="46">
        <f>SUM(BB$191,'Statistics NZ'!BC$191-'Statistics NZ'!BB$191,$Q$13/5*(BC$8-BC$9)*1000)</f>
        <v>32382.123949909521</v>
      </c>
      <c r="BD191" s="46">
        <f>SUM(BC$191,'Statistics NZ'!BD$191-'Statistics NZ'!BC$191,$Q$13/5*(BD$8-BD$9)*1000)</f>
        <v>33392.123949909525</v>
      </c>
      <c r="BE191" s="46">
        <f>SUM(BD$191,'Statistics NZ'!BE$191-'Statistics NZ'!BD$191,$Q$13/5*(BE$8-BE$9)*1000)</f>
        <v>34052.123949909525</v>
      </c>
      <c r="BF191" s="46">
        <f>SUM(BE$191,'Statistics NZ'!BF$191-'Statistics NZ'!BE$191,$Q$13/5*(BF$8-BF$9)*1000)</f>
        <v>35232.123949909525</v>
      </c>
      <c r="BG191" s="46">
        <f>SUM(BF$191,'Statistics NZ'!BG$191-'Statistics NZ'!BF$191,$Q$13/5*(BG$8-BG$9)*1000)</f>
        <v>37202.123949909525</v>
      </c>
      <c r="BH191" s="46">
        <f>SUM(BG$191,'Statistics NZ'!BH$191-'Statistics NZ'!BG$191,$Q$13/5*(BH$8-BH$9)*1000)</f>
        <v>38432.123949909525</v>
      </c>
      <c r="BI191" s="46">
        <f>SUM(BH$191,'Statistics NZ'!BI$191-'Statistics NZ'!BH$191,$Q$13/5*(BI$8-BI$9)*1000)</f>
        <v>39262.123949909525</v>
      </c>
    </row>
    <row r="192" spans="1:61" x14ac:dyDescent="0.25">
      <c r="A192" s="11">
        <f>$A$92</f>
        <v>77</v>
      </c>
      <c r="B192" s="44">
        <f>'Statistics NZ'!B$192*'Economic Forecasts'!D$9*1000000/SUM('Statistics NZ'!B$30:B$110,'Statistics NZ'!B$130:B$210)</f>
        <v>9275.1759537908947</v>
      </c>
      <c r="C192" s="44">
        <f>'Statistics NZ'!C$192*'Economic Forecasts'!E$9*1000000/SUM('Statistics NZ'!C$30:C$110,'Statistics NZ'!C$130:C$210)</f>
        <v>9417.4550495714993</v>
      </c>
      <c r="D192" s="44">
        <f>'Statistics NZ'!D$192*'Economic Forecasts'!F$9*1000000/SUM('Statistics NZ'!D$30:D$110,'Statistics NZ'!D$130:D$210)</f>
        <v>9773.610087270823</v>
      </c>
      <c r="E192" s="44">
        <f>'Statistics NZ'!E$192*'Economic Forecasts'!G$9*1000000/SUM('Statistics NZ'!E$30:E$110,'Statistics NZ'!E$130:E$210)</f>
        <v>9483.3911519826888</v>
      </c>
      <c r="F192" s="44">
        <f>'Statistics NZ'!F$192*'Economic Forecasts'!H$9*1000000/SUM('Statistics NZ'!F$30:F$110,'Statistics NZ'!F$130:F$210)</f>
        <v>9279.1544541628064</v>
      </c>
      <c r="G192" s="44">
        <f>'Statistics NZ'!G$192*'Economic Forecasts'!I$9*1000000/SUM('Statistics NZ'!G$30:G$110,'Statistics NZ'!G$130:G$210)</f>
        <v>9439.3958413709315</v>
      </c>
      <c r="H192" s="44">
        <f>'Statistics NZ'!H$192*'Economic Forecasts'!J$9*1000000/SUM('Statistics NZ'!H$30:H$110,'Statistics NZ'!H$130:H$210)</f>
        <v>9707.2354974172194</v>
      </c>
      <c r="I192" s="44">
        <f>'Statistics NZ'!I$192*'Economic Forecasts'!K$9*1000000/SUM('Statistics NZ'!I$30:I$110,'Statistics NZ'!I$130:I$210)</f>
        <v>9823.1624171103012</v>
      </c>
      <c r="J192" s="44">
        <f>'Statistics NZ'!J$192*'Economic Forecasts'!L$9*1000000/SUM('Statistics NZ'!J$30:J$110,'Statistics NZ'!J$130:J$210)</f>
        <v>10278.483885106831</v>
      </c>
      <c r="K192" s="44">
        <f>'Statistics NZ'!K$192*'Economic Forecasts'!M$9*1000000/SUM('Statistics NZ'!K$30:K$110,'Statistics NZ'!K$130:K$210)</f>
        <v>10748.78615408776</v>
      </c>
      <c r="L192" s="44">
        <f>'Statistics NZ'!L$192*'Economic Forecasts'!N$9*1000000/SUM('Statistics NZ'!L$30:L$110,'Statistics NZ'!L$130:L$210)</f>
        <v>11070.531282408541</v>
      </c>
      <c r="M192" s="44">
        <f>'Statistics NZ'!M$192*'Economic Forecasts'!O$9*1000000/SUM('Statistics NZ'!M$30:M$110,'Statistics NZ'!M$130:M$210)</f>
        <v>12338.971762284193</v>
      </c>
      <c r="N192" s="44">
        <f>'Statistics NZ'!N$192*'Economic Forecasts'!P$9*1000000/SUM('Statistics NZ'!N$30:N$110,'Statistics NZ'!N$130:N$210)</f>
        <v>13258.585937776608</v>
      </c>
      <c r="O192" s="44">
        <f>'Statistics NZ'!O$192*'Economic Forecasts'!Q$9*1000000/SUM('Statistics NZ'!O$30:O$110,'Statistics NZ'!O$130:O$210)</f>
        <v>13598.759750953606</v>
      </c>
      <c r="P192" s="44">
        <f>'Statistics NZ'!P$192*'Economic Forecasts'!R$9*1000000/SUM('Statistics NZ'!P$30:P$110,'Statistics NZ'!P$130:P$210)</f>
        <v>12262.243041193795</v>
      </c>
      <c r="Q192" s="44">
        <f>'Statistics NZ'!Q$192*'Economic Forecasts'!S$9*1000000/SUM('Statistics NZ'!Q$30:Q$110,'Statistics NZ'!Q$130:Q$210)</f>
        <v>14086.747467974646</v>
      </c>
      <c r="R192" s="44">
        <f>'Statistics NZ'!R$192*'Economic Forecasts'!T$9*1000000/SUM('Statistics NZ'!R$30:R$110,'Statistics NZ'!R$130:R$210)</f>
        <v>14518.820421167147</v>
      </c>
      <c r="S192" s="44">
        <f>'Statistics NZ'!S$192*'Economic Forecasts'!U$9*1000000/SUM('Statistics NZ'!S$30:S$110,'Statistics NZ'!S$130:S$210)</f>
        <v>15020.210915005177</v>
      </c>
      <c r="T192" s="44">
        <f>'Statistics NZ'!T$192*'Economic Forecasts'!V$9*1000000/SUM('Statistics NZ'!T$30:T$110,'Statistics NZ'!T$130:T$210)</f>
        <v>18118.31635077958</v>
      </c>
      <c r="U192" s="45">
        <f>SUM('Statistics NZ'!U$192,$Q$13/5*(U$8-U$9)*1000)*'Economic Forecasts'!W$9*1000000/SUM('Statistics NZ'!U$30:U$110,'Statistics NZ'!U$130:U$210,SUM($E$12:$T$13)*(U$8-U$9)*1000)</f>
        <v>18059.226112439057</v>
      </c>
      <c r="V192" s="45">
        <f>SUM('Statistics NZ'!V$192,$Q$13/5*(V$8-V$9)*1000)*'Economic Forecasts'!X$9*1000000/SUM('Statistics NZ'!V$30:V$110,'Statistics NZ'!V$130:V$210,SUM($E$12:$T$13)*(V$8-V$9)*1000)</f>
        <v>17923.08022137055</v>
      </c>
      <c r="W192" s="45">
        <f>SUM('Statistics NZ'!W$192,$Q$13/5*(W$8-W$9)*1000)*'Economic Forecasts'!Y$9*1000000/SUM('Statistics NZ'!W$30:W$110,'Statistics NZ'!W$130:W$210,SUM($E$12:$T$13)*(W$8-W$9)*1000)</f>
        <v>18382.179545857263</v>
      </c>
      <c r="X192" s="45">
        <f>SUM('Statistics NZ'!X$192,$Q$13/5*(X$8-X$9)*1000)*'Economic Forecasts'!Z$9*1000000/SUM('Statistics NZ'!X$30:X$110,'Statistics NZ'!X$130:X$210,SUM($E$12:$T$13)*(X$8-X$9)*1000)</f>
        <v>18435.403595504307</v>
      </c>
      <c r="Y192" s="45">
        <f>SUM('Statistics NZ'!Y$192,$Q$13/5*(Y$8-Y$9)*1000)*'Economic Forecasts'!AA$9*1000000/SUM('Statistics NZ'!Y$30:Y$110,'Statistics NZ'!Y$130:Y$210,SUM($E$12:$T$13)*(Y$8-Y$9)*1000)</f>
        <v>18758.817991513766</v>
      </c>
      <c r="Z192" s="46">
        <f>SUM(Y$192,'Statistics NZ'!Z$192-'Statistics NZ'!Y$192,$Q$13/5*(Z$8-Z$9)*1000)</f>
        <v>19129.618471159363</v>
      </c>
      <c r="AA192" s="46">
        <f>SUM(Z$192,'Statistics NZ'!AA$192-'Statistics NZ'!Z$192,$Q$13/5*(AA$8-AA$9)*1000)</f>
        <v>19900.098758946722</v>
      </c>
      <c r="AB192" s="46">
        <f>SUM(AA$192,'Statistics NZ'!AB$192-'Statistics NZ'!AA$192,$Q$13/5*(AB$8-AB$9)*1000)</f>
        <v>20410.322893247489</v>
      </c>
      <c r="AC192" s="46">
        <f>SUM(AB$192,'Statistics NZ'!AC$192-'Statistics NZ'!AB$192,$Q$13/5*(AC$8-AC$9)*1000)</f>
        <v>21080.322893247489</v>
      </c>
      <c r="AD192" s="46">
        <f>SUM(AC$192,'Statistics NZ'!AD$192-'Statistics NZ'!AC$192,$Q$13/5*(AD$8-AD$9)*1000)</f>
        <v>21670.322893247489</v>
      </c>
      <c r="AE192" s="46">
        <f>SUM(AD$192,'Statistics NZ'!AE$192-'Statistics NZ'!AD$192,$Q$13/5*(AE$8-AE$9)*1000)</f>
        <v>22340.322893247489</v>
      </c>
      <c r="AF192" s="46">
        <f>SUM(AE$192,'Statistics NZ'!AF$192-'Statistics NZ'!AE$192,$Q$13/5*(AF$8-AF$9)*1000)</f>
        <v>23320.322893247489</v>
      </c>
      <c r="AG192" s="46">
        <f>SUM(AF$192,'Statistics NZ'!AG$192-'Statistics NZ'!AF$192,$Q$13/5*(AG$8-AG$9)*1000)</f>
        <v>23730.322893247489</v>
      </c>
      <c r="AH192" s="46">
        <f>SUM(AG$192,'Statistics NZ'!AH$192-'Statistics NZ'!AG$192,$Q$13/5*(AH$8-AH$9)*1000)</f>
        <v>24810.322893247489</v>
      </c>
      <c r="AI192" s="46">
        <f>SUM(AH$192,'Statistics NZ'!AI$192-'Statistics NZ'!AH$192,$Q$13/5*(AI$8-AI$9)*1000)</f>
        <v>25440.322893247489</v>
      </c>
      <c r="AJ192" s="46">
        <f>SUM(AI$192,'Statistics NZ'!AJ$192-'Statistics NZ'!AI$192,$Q$13/5*(AJ$8-AJ$9)*1000)</f>
        <v>25730.322893247489</v>
      </c>
      <c r="AK192" s="46">
        <f>SUM(AJ$192,'Statistics NZ'!AK$192-'Statistics NZ'!AJ$192,$Q$13/5*(AK$8-AK$9)*1000)</f>
        <v>25560.322893247489</v>
      </c>
      <c r="AL192" s="46">
        <f>SUM(AK$192,'Statistics NZ'!AL$192-'Statistics NZ'!AK$192,$Q$13/5*(AL$8-AL$9)*1000)</f>
        <v>25100.322893247489</v>
      </c>
      <c r="AM192" s="46">
        <f>SUM(AL$192,'Statistics NZ'!AM$192-'Statistics NZ'!AL$192,$Q$13/5*(AM$8-AM$9)*1000)</f>
        <v>24940.322893247489</v>
      </c>
      <c r="AN192" s="46">
        <f>SUM(AM$192,'Statistics NZ'!AN$192-'Statistics NZ'!AM$192,$Q$13/5*(AN$8-AN$9)*1000)</f>
        <v>25070.322893247489</v>
      </c>
      <c r="AO192" s="46">
        <f>SUM(AN$192,'Statistics NZ'!AO$192-'Statistics NZ'!AN$192,$Q$13/5*(AO$8-AO$9)*1000)</f>
        <v>25720.322893247489</v>
      </c>
      <c r="AP192" s="46">
        <f>SUM(AO$192,'Statistics NZ'!AP$192-'Statistics NZ'!AO$192,$Q$13/5*(AP$8-AP$9)*1000)</f>
        <v>26440.322893247489</v>
      </c>
      <c r="AQ192" s="46">
        <f>SUM(AP$192,'Statistics NZ'!AQ$192-'Statistics NZ'!AP$192,$Q$13/5*(AQ$8-AQ$9)*1000)</f>
        <v>26580.322893247489</v>
      </c>
      <c r="AR192" s="46">
        <f>SUM(AQ$192,'Statistics NZ'!AR$192-'Statistics NZ'!AQ$192,$Q$13/5*(AR$8-AR$9)*1000)</f>
        <v>27660.322893247489</v>
      </c>
      <c r="AS192" s="46">
        <f>SUM(AR$192,'Statistics NZ'!AS$192-'Statistics NZ'!AR$192,$Q$13/5*(AS$8-AS$9)*1000)</f>
        <v>27600.322893247489</v>
      </c>
      <c r="AT192" s="46">
        <f>SUM(AS$192,'Statistics NZ'!AT$192-'Statistics NZ'!AS$192,$Q$13/5*(AT$8-AT$9)*1000)</f>
        <v>27050.322893247489</v>
      </c>
      <c r="AU192" s="46">
        <f>SUM(AT$192,'Statistics NZ'!AU$192-'Statistics NZ'!AT$192,$Q$13/5*(AU$8-AU$9)*1000)</f>
        <v>26550.322893247489</v>
      </c>
      <c r="AV192" s="46">
        <f>SUM(AU$192,'Statistics NZ'!AV$192-'Statistics NZ'!AU$192,$Q$13/5*(AV$8-AV$9)*1000)</f>
        <v>25870.322893247489</v>
      </c>
      <c r="AW192" s="46">
        <f>SUM(AV$192,'Statistics NZ'!AW$192-'Statistics NZ'!AV$192,$Q$13/5*(AW$8-AW$9)*1000)</f>
        <v>25890.322893247489</v>
      </c>
      <c r="AX192" s="46">
        <f>SUM(AW$192,'Statistics NZ'!AX$192-'Statistics NZ'!AW$192,$Q$13/5*(AX$8-AX$9)*1000)</f>
        <v>26350.322893247489</v>
      </c>
      <c r="AY192" s="46">
        <f>SUM(AX$192,'Statistics NZ'!AY$192-'Statistics NZ'!AX$192,$Q$13/5*(AY$8-AY$9)*1000)</f>
        <v>26280.322893247489</v>
      </c>
      <c r="AZ192" s="46">
        <f>SUM(AY$192,'Statistics NZ'!AZ$192-'Statistics NZ'!AY$192,$Q$13/5*(AZ$8-AZ$9)*1000)</f>
        <v>27550.322893247489</v>
      </c>
      <c r="BA192" s="46">
        <f>SUM(AZ$192,'Statistics NZ'!BA$192-'Statistics NZ'!AZ$192,$Q$13/5*(BA$8-BA$9)*1000)</f>
        <v>28640.322893247489</v>
      </c>
      <c r="BB192" s="46">
        <f>SUM(BA$192,'Statistics NZ'!BB$192-'Statistics NZ'!BA$192,$Q$13/5*(BB$8-BB$9)*1000)</f>
        <v>29610.322893247489</v>
      </c>
      <c r="BC192" s="46">
        <f>SUM(BB$192,'Statistics NZ'!BC$192-'Statistics NZ'!BB$192,$Q$13/5*(BC$8-BC$9)*1000)</f>
        <v>30550.322893247489</v>
      </c>
      <c r="BD192" s="46">
        <f>SUM(BC$192,'Statistics NZ'!BD$192-'Statistics NZ'!BC$192,$Q$13/5*(BD$8-BD$9)*1000)</f>
        <v>31900.322893247489</v>
      </c>
      <c r="BE192" s="46">
        <f>SUM(BD$192,'Statistics NZ'!BE$192-'Statistics NZ'!BD$192,$Q$13/5*(BE$8-BE$9)*1000)</f>
        <v>32900.322893247489</v>
      </c>
      <c r="BF192" s="46">
        <f>SUM(BE$192,'Statistics NZ'!BF$192-'Statistics NZ'!BE$192,$Q$13/5*(BF$8-BF$9)*1000)</f>
        <v>33560.322893247489</v>
      </c>
      <c r="BG192" s="46">
        <f>SUM(BF$192,'Statistics NZ'!BG$192-'Statistics NZ'!BF$192,$Q$13/5*(BG$8-BG$9)*1000)</f>
        <v>34730.322893247489</v>
      </c>
      <c r="BH192" s="46">
        <f>SUM(BG$192,'Statistics NZ'!BH$192-'Statistics NZ'!BG$192,$Q$13/5*(BH$8-BH$9)*1000)</f>
        <v>36680.322893247489</v>
      </c>
      <c r="BI192" s="46">
        <f>SUM(BH$192,'Statistics NZ'!BI$192-'Statistics NZ'!BH$192,$Q$13/5*(BI$8-BI$9)*1000)</f>
        <v>37900.322893247489</v>
      </c>
    </row>
    <row r="193" spans="1:61" x14ac:dyDescent="0.25">
      <c r="A193" s="11">
        <f>$A$93</f>
        <v>78</v>
      </c>
      <c r="B193" s="44">
        <f>'Statistics NZ'!B$193*'Economic Forecasts'!D$9*1000000/SUM('Statistics NZ'!B$30:B$110,'Statistics NZ'!B$130:B$210)</f>
        <v>8864.2504368507907</v>
      </c>
      <c r="C193" s="44">
        <f>'Statistics NZ'!C$193*'Economic Forecasts'!E$9*1000000/SUM('Statistics NZ'!C$30:C$110,'Statistics NZ'!C$130:C$210)</f>
        <v>8877.3507453729253</v>
      </c>
      <c r="D193" s="44">
        <f>'Statistics NZ'!D$193*'Economic Forecasts'!F$9*1000000/SUM('Statistics NZ'!D$30:D$110,'Statistics NZ'!D$130:D$210)</f>
        <v>8958.3240196894385</v>
      </c>
      <c r="E193" s="44">
        <f>'Statistics NZ'!E$193*'Economic Forecasts'!G$9*1000000/SUM('Statistics NZ'!E$30:E$110,'Statistics NZ'!E$130:E$210)</f>
        <v>9297.0577167317369</v>
      </c>
      <c r="F193" s="44">
        <f>'Statistics NZ'!F$193*'Economic Forecasts'!H$9*1000000/SUM('Statistics NZ'!F$30:F$110,'Statistics NZ'!F$130:F$210)</f>
        <v>9112.4043212655888</v>
      </c>
      <c r="G193" s="44">
        <f>'Statistics NZ'!G$193*'Economic Forecasts'!I$9*1000000/SUM('Statistics NZ'!G$30:G$110,'Statistics NZ'!G$130:G$210)</f>
        <v>8830.4025612824844</v>
      </c>
      <c r="H193" s="44">
        <f>'Statistics NZ'!H$193*'Economic Forecasts'!J$9*1000000/SUM('Statistics NZ'!H$30:H$110,'Statistics NZ'!H$130:H$210)</f>
        <v>9039.1261716840509</v>
      </c>
      <c r="I193" s="44">
        <f>'Statistics NZ'!I$193*'Economic Forecasts'!K$9*1000000/SUM('Statistics NZ'!I$30:I$110,'Statistics NZ'!I$130:I$210)</f>
        <v>9293.7704305594489</v>
      </c>
      <c r="J193" s="44">
        <f>'Statistics NZ'!J$193*'Economic Forecasts'!L$9*1000000/SUM('Statistics NZ'!J$30:J$110,'Statistics NZ'!J$130:J$210)</f>
        <v>9361.8069541770019</v>
      </c>
      <c r="K193" s="44">
        <f>'Statistics NZ'!K$193*'Economic Forecasts'!M$9*1000000/SUM('Statistics NZ'!K$30:K$110,'Statistics NZ'!K$130:K$210)</f>
        <v>9833.581535895506</v>
      </c>
      <c r="L193" s="44">
        <f>'Statistics NZ'!L$193*'Economic Forecasts'!N$9*1000000/SUM('Statistics NZ'!L$30:L$110,'Statistics NZ'!L$130:L$210)</f>
        <v>10281.865465455956</v>
      </c>
      <c r="M193" s="44">
        <f>'Statistics NZ'!M$193*'Economic Forecasts'!O$9*1000000/SUM('Statistics NZ'!M$30:M$110,'Statistics NZ'!M$130:M$210)</f>
        <v>10717.22250453346</v>
      </c>
      <c r="N193" s="44">
        <f>'Statistics NZ'!N$193*'Economic Forecasts'!P$9*1000000/SUM('Statistics NZ'!N$30:N$110,'Statistics NZ'!N$130:N$210)</f>
        <v>11829.985534149018</v>
      </c>
      <c r="O193" s="44">
        <f>'Statistics NZ'!O$193*'Economic Forecasts'!Q$9*1000000/SUM('Statistics NZ'!O$30:O$110,'Statistics NZ'!O$130:O$210)</f>
        <v>12812.135904188397</v>
      </c>
      <c r="P193" s="44">
        <f>'Statistics NZ'!P$193*'Economic Forecasts'!R$9*1000000/SUM('Statistics NZ'!P$30:P$110,'Statistics NZ'!P$130:P$210)</f>
        <v>13126.888383842075</v>
      </c>
      <c r="Q193" s="44">
        <f>'Statistics NZ'!Q$193*'Economic Forecasts'!S$9*1000000/SUM('Statistics NZ'!Q$30:Q$110,'Statistics NZ'!Q$130:Q$210)</f>
        <v>11841.610001287574</v>
      </c>
      <c r="R193" s="44">
        <f>'Statistics NZ'!R$193*'Economic Forecasts'!T$9*1000000/SUM('Statistics NZ'!R$30:R$110,'Statistics NZ'!R$130:R$210)</f>
        <v>13513.058512704953</v>
      </c>
      <c r="S193" s="44">
        <f>'Statistics NZ'!S$193*'Economic Forecasts'!U$9*1000000/SUM('Statistics NZ'!S$30:S$110,'Statistics NZ'!S$130:S$210)</f>
        <v>13713.678507094328</v>
      </c>
      <c r="T193" s="44">
        <f>'Statistics NZ'!T$193*'Economic Forecasts'!V$9*1000000/SUM('Statistics NZ'!T$30:T$110,'Statistics NZ'!T$130:T$210)</f>
        <v>14619.538630962732</v>
      </c>
      <c r="U193" s="45">
        <f>SUM('Statistics NZ'!U$193,$Q$13/5*(U$8-U$9)*1000)*'Economic Forecasts'!W$9*1000000/SUM('Statistics NZ'!U$30:U$110,'Statistics NZ'!U$130:U$210,SUM($E$12:$T$13)*(U$8-U$9)*1000)</f>
        <v>17484.739114559437</v>
      </c>
      <c r="V193" s="45">
        <f>SUM('Statistics NZ'!V$193,$Q$13/5*(V$8-V$9)*1000)*'Economic Forecasts'!X$9*1000000/SUM('Statistics NZ'!V$30:V$110,'Statistics NZ'!V$130:V$210,SUM($E$12:$T$13)*(V$8-V$9)*1000)</f>
        <v>17447.840954477884</v>
      </c>
      <c r="W193" s="45">
        <f>SUM('Statistics NZ'!W$193,$Q$13/5*(W$8-W$9)*1000)*'Economic Forecasts'!Y$9*1000000/SUM('Statistics NZ'!W$30:W$110,'Statistics NZ'!W$130:W$210,SUM($E$12:$T$13)*(W$8-W$9)*1000)</f>
        <v>17342.365001563514</v>
      </c>
      <c r="X193" s="45">
        <f>SUM('Statistics NZ'!X$193,$Q$13/5*(X$8-X$9)*1000)*'Economic Forecasts'!Z$9*1000000/SUM('Statistics NZ'!X$30:X$110,'Statistics NZ'!X$130:X$210,SUM($E$12:$T$13)*(X$8-X$9)*1000)</f>
        <v>17791.561622849469</v>
      </c>
      <c r="Y193" s="45">
        <f>SUM('Statistics NZ'!Y$193,$Q$13/5*(Y$8-Y$9)*1000)*'Economic Forecasts'!AA$9*1000000/SUM('Statistics NZ'!Y$30:Y$110,'Statistics NZ'!Y$130:Y$210,SUM($E$12:$T$13)*(Y$8-Y$9)*1000)</f>
        <v>17867.01693485173</v>
      </c>
      <c r="Z193" s="46">
        <f>SUM(Y$193,'Statistics NZ'!Z$193-'Statistics NZ'!Y$193,$Q$13/5*(Z$8-Z$9)*1000)</f>
        <v>18187.817414497327</v>
      </c>
      <c r="AA193" s="46">
        <f>SUM(Z$193,'Statistics NZ'!AA$193-'Statistics NZ'!Z$193,$Q$13/5*(AA$8-AA$9)*1000)</f>
        <v>18548.297702284686</v>
      </c>
      <c r="AB193" s="46">
        <f>SUM(AA$193,'Statistics NZ'!AB$193-'Statistics NZ'!AA$193,$Q$13/5*(AB$8-AB$9)*1000)</f>
        <v>19308.521836585453</v>
      </c>
      <c r="AC193" s="46">
        <f>SUM(AB$193,'Statistics NZ'!AC$193-'Statistics NZ'!AB$193,$Q$13/5*(AC$8-AC$9)*1000)</f>
        <v>19828.521836585453</v>
      </c>
      <c r="AD193" s="46">
        <f>SUM(AC$193,'Statistics NZ'!AD$193-'Statistics NZ'!AC$193,$Q$13/5*(AD$8-AD$9)*1000)</f>
        <v>20478.521836585453</v>
      </c>
      <c r="AE193" s="46">
        <f>SUM(AD$193,'Statistics NZ'!AE$193-'Statistics NZ'!AD$193,$Q$13/5*(AE$8-AE$9)*1000)</f>
        <v>21068.521836585453</v>
      </c>
      <c r="AF193" s="46">
        <f>SUM(AE$193,'Statistics NZ'!AF$193-'Statistics NZ'!AE$193,$Q$13/5*(AF$8-AF$9)*1000)</f>
        <v>21728.521836585453</v>
      </c>
      <c r="AG193" s="46">
        <f>SUM(AF$193,'Statistics NZ'!AG$193-'Statistics NZ'!AF$193,$Q$13/5*(AG$8-AG$9)*1000)</f>
        <v>22698.521836585453</v>
      </c>
      <c r="AH193" s="46">
        <f>SUM(AG$193,'Statistics NZ'!AH$193-'Statistics NZ'!AG$193,$Q$13/5*(AH$8-AH$9)*1000)</f>
        <v>23108.521836585453</v>
      </c>
      <c r="AI193" s="46">
        <f>SUM(AH$193,'Statistics NZ'!AI$193-'Statistics NZ'!AH$193,$Q$13/5*(AI$8-AI$9)*1000)</f>
        <v>24168.521836585453</v>
      </c>
      <c r="AJ193" s="46">
        <f>SUM(AI$193,'Statistics NZ'!AJ$193-'Statistics NZ'!AI$193,$Q$13/5*(AJ$8-AJ$9)*1000)</f>
        <v>24798.521836585453</v>
      </c>
      <c r="AK193" s="46">
        <f>SUM(AJ$193,'Statistics NZ'!AK$193-'Statistics NZ'!AJ$193,$Q$13/5*(AK$8-AK$9)*1000)</f>
        <v>25088.521836585453</v>
      </c>
      <c r="AL193" s="46">
        <f>SUM(AK$193,'Statistics NZ'!AL$193-'Statistics NZ'!AK$193,$Q$13/5*(AL$8-AL$9)*1000)</f>
        <v>24938.521836585453</v>
      </c>
      <c r="AM193" s="46">
        <f>SUM(AL$193,'Statistics NZ'!AM$193-'Statistics NZ'!AL$193,$Q$13/5*(AM$8-AM$9)*1000)</f>
        <v>24498.521836585453</v>
      </c>
      <c r="AN193" s="46">
        <f>SUM(AM$193,'Statistics NZ'!AN$193-'Statistics NZ'!AM$193,$Q$13/5*(AN$8-AN$9)*1000)</f>
        <v>24358.521836585453</v>
      </c>
      <c r="AO193" s="46">
        <f>SUM(AN$193,'Statistics NZ'!AO$193-'Statistics NZ'!AN$193,$Q$13/5*(AO$8-AO$9)*1000)</f>
        <v>24488.521836585453</v>
      </c>
      <c r="AP193" s="46">
        <f>SUM(AO$193,'Statistics NZ'!AP$193-'Statistics NZ'!AO$193,$Q$13/5*(AP$8-AP$9)*1000)</f>
        <v>25138.521836585453</v>
      </c>
      <c r="AQ193" s="46">
        <f>SUM(AP$193,'Statistics NZ'!AQ$193-'Statistics NZ'!AP$193,$Q$13/5*(AQ$8-AQ$9)*1000)</f>
        <v>25848.521836585453</v>
      </c>
      <c r="AR193" s="46">
        <f>SUM(AQ$193,'Statistics NZ'!AR$193-'Statistics NZ'!AQ$193,$Q$13/5*(AR$8-AR$9)*1000)</f>
        <v>25998.521836585453</v>
      </c>
      <c r="AS193" s="46">
        <f>SUM(AR$193,'Statistics NZ'!AS$193-'Statistics NZ'!AR$193,$Q$13/5*(AS$8-AS$9)*1000)</f>
        <v>27068.521836585453</v>
      </c>
      <c r="AT193" s="46">
        <f>SUM(AS$193,'Statistics NZ'!AT$193-'Statistics NZ'!AS$193,$Q$13/5*(AT$8-AT$9)*1000)</f>
        <v>27018.521836585453</v>
      </c>
      <c r="AU193" s="46">
        <f>SUM(AT$193,'Statistics NZ'!AU$193-'Statistics NZ'!AT$193,$Q$13/5*(AU$8-AU$9)*1000)</f>
        <v>26488.521836585453</v>
      </c>
      <c r="AV193" s="46">
        <f>SUM(AU$193,'Statistics NZ'!AV$193-'Statistics NZ'!AU$193,$Q$13/5*(AV$8-AV$9)*1000)</f>
        <v>26018.521836585453</v>
      </c>
      <c r="AW193" s="46">
        <f>SUM(AV$193,'Statistics NZ'!AW$193-'Statistics NZ'!AV$193,$Q$13/5*(AW$8-AW$9)*1000)</f>
        <v>25358.521836585453</v>
      </c>
      <c r="AX193" s="46">
        <f>SUM(AW$193,'Statistics NZ'!AX$193-'Statistics NZ'!AW$193,$Q$13/5*(AX$8-AX$9)*1000)</f>
        <v>25378.521836585453</v>
      </c>
      <c r="AY193" s="46">
        <f>SUM(AX$193,'Statistics NZ'!AY$193-'Statistics NZ'!AX$193,$Q$13/5*(AY$8-AY$9)*1000)</f>
        <v>25848.521836585453</v>
      </c>
      <c r="AZ193" s="46">
        <f>SUM(AY$193,'Statistics NZ'!AZ$193-'Statistics NZ'!AY$193,$Q$13/5*(AZ$8-AZ$9)*1000)</f>
        <v>25788.521836585453</v>
      </c>
      <c r="BA193" s="46">
        <f>SUM(AZ$193,'Statistics NZ'!BA$193-'Statistics NZ'!AZ$193,$Q$13/5*(BA$8-BA$9)*1000)</f>
        <v>27038.521836585453</v>
      </c>
      <c r="BB193" s="46">
        <f>SUM(BA$193,'Statistics NZ'!BB$193-'Statistics NZ'!BA$193,$Q$13/5*(BB$8-BB$9)*1000)</f>
        <v>28118.521836585453</v>
      </c>
      <c r="BC193" s="46">
        <f>SUM(BB$193,'Statistics NZ'!BC$193-'Statistics NZ'!BB$193,$Q$13/5*(BC$8-BC$9)*1000)</f>
        <v>29078.521836585453</v>
      </c>
      <c r="BD193" s="46">
        <f>SUM(BC$193,'Statistics NZ'!BD$193-'Statistics NZ'!BC$193,$Q$13/5*(BD$8-BD$9)*1000)</f>
        <v>30018.521836585453</v>
      </c>
      <c r="BE193" s="46">
        <f>SUM(BD$193,'Statistics NZ'!BE$193-'Statistics NZ'!BD$193,$Q$13/5*(BE$8-BE$9)*1000)</f>
        <v>31348.521836585453</v>
      </c>
      <c r="BF193" s="46">
        <f>SUM(BE$193,'Statistics NZ'!BF$193-'Statistics NZ'!BE$193,$Q$13/5*(BF$8-BF$9)*1000)</f>
        <v>32348.521836585453</v>
      </c>
      <c r="BG193" s="46">
        <f>SUM(BF$193,'Statistics NZ'!BG$193-'Statistics NZ'!BF$193,$Q$13/5*(BG$8-BG$9)*1000)</f>
        <v>33008.521836585453</v>
      </c>
      <c r="BH193" s="46">
        <f>SUM(BG$193,'Statistics NZ'!BH$193-'Statistics NZ'!BG$193,$Q$13/5*(BH$8-BH$9)*1000)</f>
        <v>34168.521836585453</v>
      </c>
      <c r="BI193" s="46">
        <f>SUM(BH$193,'Statistics NZ'!BI$193-'Statistics NZ'!BH$193,$Q$13/5*(BI$8-BI$9)*1000)</f>
        <v>36098.521836585453</v>
      </c>
    </row>
    <row r="194" spans="1:61" x14ac:dyDescent="0.25">
      <c r="A194" s="11">
        <f>$A$94</f>
        <v>79</v>
      </c>
      <c r="B194" s="44">
        <f>'Statistics NZ'!B$194*'Economic Forecasts'!D$9*1000000/SUM('Statistics NZ'!B$30:B$110,'Statistics NZ'!B$130:B$210)</f>
        <v>8042.3994029705855</v>
      </c>
      <c r="C194" s="44">
        <f>'Statistics NZ'!C$194*'Economic Forecasts'!E$9*1000000/SUM('Statistics NZ'!C$30:C$110,'Statistics NZ'!C$130:C$210)</f>
        <v>8396.1669107232865</v>
      </c>
      <c r="D194" s="44">
        <f>'Statistics NZ'!D$194*'Economic Forecasts'!F$9*1000000/SUM('Statistics NZ'!D$30:D$110,'Statistics NZ'!D$130:D$210)</f>
        <v>8427.8969395762488</v>
      </c>
      <c r="E194" s="44">
        <f>'Statistics NZ'!E$194*'Economic Forecasts'!G$9*1000000/SUM('Statistics NZ'!E$30:E$110,'Statistics NZ'!E$130:E$210)</f>
        <v>8443.846723740533</v>
      </c>
      <c r="F194" s="44">
        <f>'Statistics NZ'!F$194*'Economic Forecasts'!H$9*1000000/SUM('Statistics NZ'!F$30:F$110,'Statistics NZ'!F$130:F$210)</f>
        <v>8857.3747062463153</v>
      </c>
      <c r="G194" s="44">
        <f>'Statistics NZ'!G$194*'Economic Forecasts'!I$9*1000000/SUM('Statistics NZ'!G$30:G$110,'Statistics NZ'!G$130:G$210)</f>
        <v>8692.8879496496083</v>
      </c>
      <c r="H194" s="44">
        <f>'Statistics NZ'!H$194*'Economic Forecasts'!J$9*1000000/SUM('Statistics NZ'!H$30:H$110,'Statistics NZ'!H$130:H$210)</f>
        <v>8400.4922573802869</v>
      </c>
      <c r="I194" s="44">
        <f>'Statistics NZ'!I$194*'Economic Forecasts'!K$9*1000000/SUM('Statistics NZ'!I$30:I$110,'Statistics NZ'!I$130:I$210)</f>
        <v>8607.5215591046363</v>
      </c>
      <c r="J194" s="44">
        <f>'Statistics NZ'!J$194*'Economic Forecasts'!L$9*1000000/SUM('Statistics NZ'!J$30:J$110,'Statistics NZ'!J$130:J$210)</f>
        <v>8796.1977840288073</v>
      </c>
      <c r="K194" s="44">
        <f>'Statistics NZ'!K$194*'Economic Forecasts'!M$9*1000000/SUM('Statistics NZ'!K$30:K$110,'Statistics NZ'!K$130:K$210)</f>
        <v>8937.849356388193</v>
      </c>
      <c r="L194" s="44">
        <f>'Statistics NZ'!L$194*'Economic Forecasts'!N$9*1000000/SUM('Statistics NZ'!L$30:L$110,'Statistics NZ'!L$130:L$210)</f>
        <v>9395.8334982623055</v>
      </c>
      <c r="M194" s="44">
        <f>'Statistics NZ'!M$194*'Economic Forecasts'!O$9*1000000/SUM('Statistics NZ'!M$30:M$110,'Statistics NZ'!M$130:M$210)</f>
        <v>9828.1912849231176</v>
      </c>
      <c r="N194" s="44">
        <f>'Statistics NZ'!N$194*'Economic Forecasts'!P$9*1000000/SUM('Statistics NZ'!N$30:N$110,'Statistics NZ'!N$130:N$210)</f>
        <v>10283.965919264367</v>
      </c>
      <c r="O194" s="44">
        <f>'Statistics NZ'!O$194*'Economic Forecasts'!Q$9*1000000/SUM('Statistics NZ'!O$30:O$110,'Statistics NZ'!O$130:O$210)</f>
        <v>11356.881787672752</v>
      </c>
      <c r="P194" s="44">
        <f>'Statistics NZ'!P$194*'Economic Forecasts'!R$9*1000000/SUM('Statistics NZ'!P$30:P$110,'Statistics NZ'!P$130:P$210)</f>
        <v>12311.370617480628</v>
      </c>
      <c r="Q194" s="44">
        <f>'Statistics NZ'!Q$194*'Economic Forecasts'!S$9*1000000/SUM('Statistics NZ'!Q$30:Q$110,'Statistics NZ'!Q$130:Q$210)</f>
        <v>12705.888583596314</v>
      </c>
      <c r="R194" s="44">
        <f>'Statistics NZ'!R$194*'Economic Forecasts'!T$9*1000000/SUM('Statistics NZ'!R$30:R$110,'Statistics NZ'!R$130:R$210)</f>
        <v>11262.541767037066</v>
      </c>
      <c r="S194" s="44">
        <f>'Statistics NZ'!S$194*'Economic Forecasts'!U$9*1000000/SUM('Statistics NZ'!S$30:S$110,'Statistics NZ'!S$130:S$210)</f>
        <v>12731.323313176395</v>
      </c>
      <c r="T194" s="44">
        <f>'Statistics NZ'!T$194*'Economic Forecasts'!V$9*1000000/SUM('Statistics NZ'!T$30:T$110,'Statistics NZ'!T$130:T$210)</f>
        <v>13271.567611429897</v>
      </c>
      <c r="U194" s="45">
        <f>SUM('Statistics NZ'!U$194,$Q$13/5*(U$8-U$9)*1000)*'Economic Forecasts'!W$9*1000000/SUM('Statistics NZ'!U$30:U$110,'Statistics NZ'!U$130:U$210,SUM($E$12:$T$13)*(U$8-U$9)*1000)</f>
        <v>14047.722075521009</v>
      </c>
      <c r="V194" s="45">
        <f>SUM('Statistics NZ'!V$194,$Q$13/5*(V$8-V$9)*1000)*'Economic Forecasts'!X$9*1000000/SUM('Statistics NZ'!V$30:V$110,'Statistics NZ'!V$130:V$210,SUM($E$12:$T$13)*(V$8-V$9)*1000)</f>
        <v>16824.089416681254</v>
      </c>
      <c r="W194" s="45">
        <f>SUM('Statistics NZ'!W$194,$Q$13/5*(W$8-W$9)*1000)*'Economic Forecasts'!Y$9*1000000/SUM('Statistics NZ'!W$30:W$110,'Statistics NZ'!W$130:W$210,SUM($E$12:$T$13)*(W$8-W$9)*1000)</f>
        <v>16807.603235926726</v>
      </c>
      <c r="X194" s="45">
        <f>SUM('Statistics NZ'!X$194,$Q$13/5*(X$8-X$9)*1000)*'Economic Forecasts'!Z$9*1000000/SUM('Statistics NZ'!X$30:X$110,'Statistics NZ'!X$130:X$210,SUM($E$12:$T$13)*(X$8-X$9)*1000)</f>
        <v>16711.888161012888</v>
      </c>
      <c r="Y194" s="45">
        <f>SUM('Statistics NZ'!Y$194,$Q$13/5*(Y$8-Y$9)*1000)*'Economic Forecasts'!AA$9*1000000/SUM('Statistics NZ'!Y$30:Y$110,'Statistics NZ'!Y$130:Y$210,SUM($E$12:$T$13)*(Y$8-Y$9)*1000)</f>
        <v>17163.484990151679</v>
      </c>
      <c r="Z194" s="46">
        <f>SUM(Y$194,'Statistics NZ'!Z$194-'Statistics NZ'!Y$194,$Q$13/5*(Z$8-Z$9)*1000)</f>
        <v>17244.285469797276</v>
      </c>
      <c r="AA194" s="46">
        <f>SUM(Z$194,'Statistics NZ'!AA$194-'Statistics NZ'!Z$194,$Q$13/5*(AA$8-AA$9)*1000)</f>
        <v>17564.765757584635</v>
      </c>
      <c r="AB194" s="46">
        <f>SUM(AA$194,'Statistics NZ'!AB$194-'Statistics NZ'!AA$194,$Q$13/5*(AB$8-AB$9)*1000)</f>
        <v>17924.989891885401</v>
      </c>
      <c r="AC194" s="46">
        <f>SUM(AB$194,'Statistics NZ'!AC$194-'Statistics NZ'!AB$194,$Q$13/5*(AC$8-AC$9)*1000)</f>
        <v>18674.989891885401</v>
      </c>
      <c r="AD194" s="46">
        <f>SUM(AC$194,'Statistics NZ'!AD$194-'Statistics NZ'!AC$194,$Q$13/5*(AD$8-AD$9)*1000)</f>
        <v>19184.989891885401</v>
      </c>
      <c r="AE194" s="46">
        <f>SUM(AD$194,'Statistics NZ'!AE$194-'Statistics NZ'!AD$194,$Q$13/5*(AE$8-AE$9)*1000)</f>
        <v>19834.989891885401</v>
      </c>
      <c r="AF194" s="46">
        <f>SUM(AE$194,'Statistics NZ'!AF$194-'Statistics NZ'!AE$194,$Q$13/5*(AF$8-AF$9)*1000)</f>
        <v>20414.989891885401</v>
      </c>
      <c r="AG194" s="46">
        <f>SUM(AF$194,'Statistics NZ'!AG$194-'Statistics NZ'!AF$194,$Q$13/5*(AG$8-AG$9)*1000)</f>
        <v>21064.989891885401</v>
      </c>
      <c r="AH194" s="46">
        <f>SUM(AG$194,'Statistics NZ'!AH$194-'Statistics NZ'!AG$194,$Q$13/5*(AH$8-AH$9)*1000)</f>
        <v>22014.989891885401</v>
      </c>
      <c r="AI194" s="46">
        <f>SUM(AH$194,'Statistics NZ'!AI$194-'Statistics NZ'!AH$194,$Q$13/5*(AI$8-AI$9)*1000)</f>
        <v>22424.989891885401</v>
      </c>
      <c r="AJ194" s="46">
        <f>SUM(AI$194,'Statistics NZ'!AJ$194-'Statistics NZ'!AI$194,$Q$13/5*(AJ$8-AJ$9)*1000)</f>
        <v>23464.989891885401</v>
      </c>
      <c r="AK194" s="46">
        <f>SUM(AJ$194,'Statistics NZ'!AK$194-'Statistics NZ'!AJ$194,$Q$13/5*(AK$8-AK$9)*1000)</f>
        <v>24084.989891885401</v>
      </c>
      <c r="AL194" s="46">
        <f>SUM(AK$194,'Statistics NZ'!AL$194-'Statistics NZ'!AK$194,$Q$13/5*(AL$8-AL$9)*1000)</f>
        <v>24384.989891885401</v>
      </c>
      <c r="AM194" s="46">
        <f>SUM(AL$194,'Statistics NZ'!AM$194-'Statistics NZ'!AL$194,$Q$13/5*(AM$8-AM$9)*1000)</f>
        <v>24254.989891885401</v>
      </c>
      <c r="AN194" s="46">
        <f>SUM(AM$194,'Statistics NZ'!AN$194-'Statistics NZ'!AM$194,$Q$13/5*(AN$8-AN$9)*1000)</f>
        <v>23834.989891885401</v>
      </c>
      <c r="AO194" s="46">
        <f>SUM(AN$194,'Statistics NZ'!AO$194-'Statistics NZ'!AN$194,$Q$13/5*(AO$8-AO$9)*1000)</f>
        <v>23704.989891885401</v>
      </c>
      <c r="AP194" s="46">
        <f>SUM(AO$194,'Statistics NZ'!AP$194-'Statistics NZ'!AO$194,$Q$13/5*(AP$8-AP$9)*1000)</f>
        <v>23854.989891885401</v>
      </c>
      <c r="AQ194" s="46">
        <f>SUM(AP$194,'Statistics NZ'!AQ$194-'Statistics NZ'!AP$194,$Q$13/5*(AQ$8-AQ$9)*1000)</f>
        <v>24494.989891885401</v>
      </c>
      <c r="AR194" s="46">
        <f>SUM(AQ$194,'Statistics NZ'!AR$194-'Statistics NZ'!AQ$194,$Q$13/5*(AR$8-AR$9)*1000)</f>
        <v>25204.989891885401</v>
      </c>
      <c r="AS194" s="46">
        <f>SUM(AR$194,'Statistics NZ'!AS$194-'Statistics NZ'!AR$194,$Q$13/5*(AS$8-AS$9)*1000)</f>
        <v>25354.989891885401</v>
      </c>
      <c r="AT194" s="46">
        <f>SUM(AS$194,'Statistics NZ'!AT$194-'Statistics NZ'!AS$194,$Q$13/5*(AT$8-AT$9)*1000)</f>
        <v>26404.989891885401</v>
      </c>
      <c r="AU194" s="46">
        <f>SUM(AT$194,'Statistics NZ'!AU$194-'Statistics NZ'!AT$194,$Q$13/5*(AU$8-AU$9)*1000)</f>
        <v>26374.989891885401</v>
      </c>
      <c r="AV194" s="46">
        <f>SUM(AU$194,'Statistics NZ'!AV$194-'Statistics NZ'!AU$194,$Q$13/5*(AV$8-AV$9)*1000)</f>
        <v>25864.989891885401</v>
      </c>
      <c r="AW194" s="46">
        <f>SUM(AV$194,'Statistics NZ'!AW$194-'Statistics NZ'!AV$194,$Q$13/5*(AW$8-AW$9)*1000)</f>
        <v>25414.989891885401</v>
      </c>
      <c r="AX194" s="46">
        <f>SUM(AW$194,'Statistics NZ'!AX$194-'Statistics NZ'!AW$194,$Q$13/5*(AX$8-AX$9)*1000)</f>
        <v>24784.989891885401</v>
      </c>
      <c r="AY194" s="46">
        <f>SUM(AX$194,'Statistics NZ'!AY$194-'Statistics NZ'!AX$194,$Q$13/5*(AY$8-AY$9)*1000)</f>
        <v>24814.989891885401</v>
      </c>
      <c r="AZ194" s="46">
        <f>SUM(AY$194,'Statistics NZ'!AZ$194-'Statistics NZ'!AY$194,$Q$13/5*(AZ$8-AZ$9)*1000)</f>
        <v>25284.989891885401</v>
      </c>
      <c r="BA194" s="46">
        <f>SUM(AZ$194,'Statistics NZ'!BA$194-'Statistics NZ'!AZ$194,$Q$13/5*(BA$8-BA$9)*1000)</f>
        <v>25234.989891885401</v>
      </c>
      <c r="BB194" s="46">
        <f>SUM(BA$194,'Statistics NZ'!BB$194-'Statistics NZ'!BA$194,$Q$13/5*(BB$8-BB$9)*1000)</f>
        <v>26474.989891885401</v>
      </c>
      <c r="BC194" s="46">
        <f>SUM(BB$194,'Statistics NZ'!BC$194-'Statistics NZ'!BB$194,$Q$13/5*(BC$8-BC$9)*1000)</f>
        <v>27534.989891885401</v>
      </c>
      <c r="BD194" s="46">
        <f>SUM(BC$194,'Statistics NZ'!BD$194-'Statistics NZ'!BC$194,$Q$13/5*(BD$8-BD$9)*1000)</f>
        <v>28494.989891885401</v>
      </c>
      <c r="BE194" s="46">
        <f>SUM(BD$194,'Statistics NZ'!BE$194-'Statistics NZ'!BD$194,$Q$13/5*(BE$8-BE$9)*1000)</f>
        <v>29414.989891885401</v>
      </c>
      <c r="BF194" s="46">
        <f>SUM(BE$194,'Statistics NZ'!BF$194-'Statistics NZ'!BE$194,$Q$13/5*(BF$8-BF$9)*1000)</f>
        <v>30734.989891885401</v>
      </c>
      <c r="BG194" s="46">
        <f>SUM(BF$194,'Statistics NZ'!BG$194-'Statistics NZ'!BF$194,$Q$13/5*(BG$8-BG$9)*1000)</f>
        <v>31724.989891885401</v>
      </c>
      <c r="BH194" s="46">
        <f>SUM(BG$194,'Statistics NZ'!BH$194-'Statistics NZ'!BG$194,$Q$13/5*(BH$8-BH$9)*1000)</f>
        <v>32374.989891885401</v>
      </c>
      <c r="BI194" s="46">
        <f>SUM(BH$194,'Statistics NZ'!BI$194-'Statistics NZ'!BH$194,$Q$13/5*(BI$8-BI$9)*1000)</f>
        <v>33524.989891885401</v>
      </c>
    </row>
    <row r="195" spans="1:61" x14ac:dyDescent="0.25">
      <c r="A195" s="11">
        <f>$A$95</f>
        <v>80</v>
      </c>
      <c r="B195" s="44">
        <f>'Statistics NZ'!B$195*'Economic Forecasts'!D$9*1000000/SUM('Statistics NZ'!B$30:B$110,'Statistics NZ'!B$130:B$210)</f>
        <v>7357.523541403747</v>
      </c>
      <c r="C195" s="44">
        <f>'Statistics NZ'!C$195*'Economic Forecasts'!E$9*1000000/SUM('Statistics NZ'!C$30:C$110,'Statistics NZ'!C$130:C$210)</f>
        <v>7610.5606500708154</v>
      </c>
      <c r="D195" s="44">
        <f>'Statistics NZ'!D$195*'Economic Forecasts'!F$9*1000000/SUM('Statistics NZ'!D$30:D$110,'Statistics NZ'!D$130:D$210)</f>
        <v>7868.0016883456583</v>
      </c>
      <c r="E195" s="44">
        <f>'Statistics NZ'!E$195*'Economic Forecasts'!G$9*1000000/SUM('Statistics NZ'!E$30:E$110,'Statistics NZ'!E$130:E$210)</f>
        <v>7914.267486711512</v>
      </c>
      <c r="F195" s="44">
        <f>'Statistics NZ'!F$195*'Economic Forecasts'!H$9*1000000/SUM('Statistics NZ'!F$30:F$110,'Statistics NZ'!F$130:F$210)</f>
        <v>7964.7710536788563</v>
      </c>
      <c r="G195" s="44">
        <f>'Statistics NZ'!G$195*'Economic Forecasts'!I$9*1000000/SUM('Statistics NZ'!G$30:G$110,'Statistics NZ'!G$130:G$210)</f>
        <v>8408.0362541243667</v>
      </c>
      <c r="H195" s="44">
        <f>'Statistics NZ'!H$195*'Economic Forecasts'!J$9*1000000/SUM('Statistics NZ'!H$30:H$110,'Statistics NZ'!H$130:H$210)</f>
        <v>8243.2900630901295</v>
      </c>
      <c r="I195" s="44">
        <f>'Statistics NZ'!I$195*'Economic Forecasts'!K$9*1000000/SUM('Statistics NZ'!I$30:I$110,'Statistics NZ'!I$130:I$210)</f>
        <v>7940.8797982628184</v>
      </c>
      <c r="J195" s="44">
        <f>'Statistics NZ'!J$195*'Economic Forecasts'!L$9*1000000/SUM('Statistics NZ'!J$30:J$110,'Statistics NZ'!J$130:J$210)</f>
        <v>8133.0697914412704</v>
      </c>
      <c r="K195" s="44">
        <f>'Statistics NZ'!K$195*'Economic Forecasts'!M$9*1000000/SUM('Statistics NZ'!K$30:K$110,'Statistics NZ'!K$130:K$210)</f>
        <v>8324.4675378125321</v>
      </c>
      <c r="L195" s="44">
        <f>'Statistics NZ'!L$195*'Economic Forecasts'!N$9*1000000/SUM('Statistics NZ'!L$30:L$110,'Statistics NZ'!L$130:L$210)</f>
        <v>8500.0649160445537</v>
      </c>
      <c r="M195" s="44">
        <f>'Statistics NZ'!M$195*'Economic Forecasts'!O$9*1000000/SUM('Statistics NZ'!M$30:M$110,'Statistics NZ'!M$130:M$210)</f>
        <v>8948.9296391546468</v>
      </c>
      <c r="N195" s="44">
        <f>'Statistics NZ'!N$195*'Economic Forecasts'!P$9*1000000/SUM('Statistics NZ'!N$30:N$110,'Statistics NZ'!N$130:N$210)</f>
        <v>9364.1820977507123</v>
      </c>
      <c r="O195" s="44">
        <f>'Statistics NZ'!O$195*'Economic Forecasts'!Q$9*1000000/SUM('Statistics NZ'!O$30:O$110,'Statistics NZ'!O$130:O$210)</f>
        <v>9822.9652864805885</v>
      </c>
      <c r="P195" s="44">
        <f>'Statistics NZ'!P$195*'Economic Forecasts'!R$9*1000000/SUM('Statistics NZ'!P$30:P$110,'Statistics NZ'!P$130:P$210)</f>
        <v>10867.019874647705</v>
      </c>
      <c r="Q195" s="44">
        <f>'Statistics NZ'!Q$195*'Economic Forecasts'!S$9*1000000/SUM('Statistics NZ'!Q$30:Q$110,'Statistics NZ'!Q$130:Q$210)</f>
        <v>11861.478474444097</v>
      </c>
      <c r="R195" s="44">
        <f>'Statistics NZ'!R$195*'Economic Forecasts'!T$9*1000000/SUM('Statistics NZ'!R$30:R$110,'Statistics NZ'!R$130:R$210)</f>
        <v>12118.933095034581</v>
      </c>
      <c r="S195" s="44">
        <f>'Statistics NZ'!S$195*'Economic Forecasts'!U$9*1000000/SUM('Statistics NZ'!S$30:S$110,'Statistics NZ'!S$130:S$210)</f>
        <v>10511.20057492187</v>
      </c>
      <c r="T195" s="44">
        <f>'Statistics NZ'!T$195*'Economic Forecasts'!V$9*1000000/SUM('Statistics NZ'!T$30:T$110,'Statistics NZ'!T$130:T$210)</f>
        <v>12270.500898394484</v>
      </c>
      <c r="U195" s="45">
        <f>SUM('Statistics NZ'!U$195,$R$13/5*(U$8-U$9)*1000)*'Economic Forecasts'!W$9*1000000/SUM('Statistics NZ'!U$30:U$110,'Statistics NZ'!U$130:U$210,SUM($E$12:$T$13)*(U$8-U$9)*1000)</f>
        <v>12688.992660039536</v>
      </c>
      <c r="V195" s="45">
        <f>SUM('Statistics NZ'!V$195,$R$13/5*(V$8-V$9)*1000)*'Economic Forecasts'!X$9*1000000/SUM('Statistics NZ'!V$30:V$110,'Statistics NZ'!V$130:V$210,SUM($E$12:$T$13)*(V$8-V$9)*1000)</f>
        <v>13446.093196602216</v>
      </c>
      <c r="W195" s="45">
        <f>SUM('Statistics NZ'!W$195,$R$13/5*(W$8-W$9)*1000)*'Economic Forecasts'!Y$9*1000000/SUM('Statistics NZ'!W$30:W$110,'Statistics NZ'!W$130:W$210,SUM($E$12:$T$13)*(W$8-W$9)*1000)</f>
        <v>16122.744873373698</v>
      </c>
      <c r="X195" s="45">
        <f>SUM('Statistics NZ'!X$195,$R$13/5*(X$8-X$9)*1000)*'Economic Forecasts'!Z$9*1000000/SUM('Statistics NZ'!X$30:X$110,'Statistics NZ'!X$130:X$210,SUM($E$12:$T$13)*(X$8-X$9)*1000)</f>
        <v>16116.375223702897</v>
      </c>
      <c r="Y195" s="45">
        <f>SUM('Statistics NZ'!Y$195,$R$13/5*(Y$8-Y$9)*1000)*'Economic Forecasts'!AA$9*1000000/SUM('Statistics NZ'!Y$30:Y$110,'Statistics NZ'!Y$130:Y$210,SUM($E$12:$T$13)*(Y$8-Y$9)*1000)</f>
        <v>16042.892026298514</v>
      </c>
      <c r="Z195" s="46">
        <f>SUM(Y$195,'Statistics NZ'!Z$195-'Statistics NZ'!Y$195,$R$13/5*(Z$8-Z$9)*1000)</f>
        <v>16483.132912640074</v>
      </c>
      <c r="AA195" s="46">
        <f>SUM(Z$195,'Statistics NZ'!AA$195-'Statistics NZ'!Z$195,$R$13/5*(AA$8-AA$9)*1000)</f>
        <v>16573.277444445011</v>
      </c>
      <c r="AB195" s="46">
        <f>SUM(AA$195,'Statistics NZ'!AB$195-'Statistics NZ'!AA$195,$R$13/5*(AB$8-AB$9)*1000)</f>
        <v>16893.344892620647</v>
      </c>
      <c r="AC195" s="46">
        <f>SUM(AB$195,'Statistics NZ'!AC$195-'Statistics NZ'!AB$195,$R$13/5*(AC$8-AC$9)*1000)</f>
        <v>17253.344892620647</v>
      </c>
      <c r="AD195" s="46">
        <f>SUM(AC$195,'Statistics NZ'!AD$195-'Statistics NZ'!AC$195,$R$13/5*(AD$8-AD$9)*1000)</f>
        <v>17983.344892620647</v>
      </c>
      <c r="AE195" s="46">
        <f>SUM(AD$195,'Statistics NZ'!AE$195-'Statistics NZ'!AD$195,$R$13/5*(AE$8-AE$9)*1000)</f>
        <v>18483.344892620647</v>
      </c>
      <c r="AF195" s="46">
        <f>SUM(AE$195,'Statistics NZ'!AF$195-'Statistics NZ'!AE$195,$R$13/5*(AF$8-AF$9)*1000)</f>
        <v>19123.344892620647</v>
      </c>
      <c r="AG195" s="46">
        <f>SUM(AF$195,'Statistics NZ'!AG$195-'Statistics NZ'!AF$195,$R$13/5*(AG$8-AG$9)*1000)</f>
        <v>19703.344892620647</v>
      </c>
      <c r="AH195" s="46">
        <f>SUM(AG$195,'Statistics NZ'!AH$195-'Statistics NZ'!AG$195,$R$13/5*(AH$8-AH$9)*1000)</f>
        <v>20343.344892620647</v>
      </c>
      <c r="AI195" s="46">
        <f>SUM(AH$195,'Statistics NZ'!AI$195-'Statistics NZ'!AH$195,$R$13/5*(AI$8-AI$9)*1000)</f>
        <v>21273.344892620647</v>
      </c>
      <c r="AJ195" s="46">
        <f>SUM(AI$195,'Statistics NZ'!AJ$195-'Statistics NZ'!AI$195,$R$13/5*(AJ$8-AJ$9)*1000)</f>
        <v>21683.344892620647</v>
      </c>
      <c r="AK195" s="46">
        <f>SUM(AJ$195,'Statistics NZ'!AK$195-'Statistics NZ'!AJ$195,$R$13/5*(AK$8-AK$9)*1000)</f>
        <v>22703.344892620647</v>
      </c>
      <c r="AL195" s="46">
        <f>SUM(AK$195,'Statistics NZ'!AL$195-'Statistics NZ'!AK$195,$R$13/5*(AL$8-AL$9)*1000)</f>
        <v>23313.344892620647</v>
      </c>
      <c r="AM195" s="46">
        <f>SUM(AL$195,'Statistics NZ'!AM$195-'Statistics NZ'!AL$195,$R$13/5*(AM$8-AM$9)*1000)</f>
        <v>23613.344892620647</v>
      </c>
      <c r="AN195" s="46">
        <f>SUM(AM$195,'Statistics NZ'!AN$195-'Statistics NZ'!AM$195,$R$13/5*(AN$8-AN$9)*1000)</f>
        <v>23503.344892620647</v>
      </c>
      <c r="AO195" s="46">
        <f>SUM(AN$195,'Statistics NZ'!AO$195-'Statistics NZ'!AN$195,$R$13/5*(AO$8-AO$9)*1000)</f>
        <v>23113.344892620647</v>
      </c>
      <c r="AP195" s="46">
        <f>SUM(AO$195,'Statistics NZ'!AP$195-'Statistics NZ'!AO$195,$R$13/5*(AP$8-AP$9)*1000)</f>
        <v>22993.344892620647</v>
      </c>
      <c r="AQ195" s="46">
        <f>SUM(AP$195,'Statistics NZ'!AQ$195-'Statistics NZ'!AP$195,$R$13/5*(AQ$8-AQ$9)*1000)</f>
        <v>23143.344892620647</v>
      </c>
      <c r="AR195" s="46">
        <f>SUM(AQ$195,'Statistics NZ'!AR$195-'Statistics NZ'!AQ$195,$R$13/5*(AR$8-AR$9)*1000)</f>
        <v>23793.344892620647</v>
      </c>
      <c r="AS195" s="46">
        <f>SUM(AR$195,'Statistics NZ'!AS$195-'Statistics NZ'!AR$195,$R$13/5*(AS$8-AS$9)*1000)</f>
        <v>24483.344892620647</v>
      </c>
      <c r="AT195" s="46">
        <f>SUM(AS$195,'Statistics NZ'!AT$195-'Statistics NZ'!AS$195,$R$13/5*(AT$8-AT$9)*1000)</f>
        <v>24643.344892620647</v>
      </c>
      <c r="AU195" s="46">
        <f>SUM(AT$195,'Statistics NZ'!AU$195-'Statistics NZ'!AT$195,$R$13/5*(AU$8-AU$9)*1000)</f>
        <v>25683.344892620647</v>
      </c>
      <c r="AV195" s="46">
        <f>SUM(AU$195,'Statistics NZ'!AV$195-'Statistics NZ'!AU$195,$R$13/5*(AV$8-AV$9)*1000)</f>
        <v>25663.344892620647</v>
      </c>
      <c r="AW195" s="46">
        <f>SUM(AV$195,'Statistics NZ'!AW$195-'Statistics NZ'!AV$195,$R$13/5*(AW$8-AW$9)*1000)</f>
        <v>25183.344892620647</v>
      </c>
      <c r="AX195" s="46">
        <f>SUM(AW$195,'Statistics NZ'!AX$195-'Statistics NZ'!AW$195,$R$13/5*(AX$8-AX$9)*1000)</f>
        <v>24753.344892620647</v>
      </c>
      <c r="AY195" s="46">
        <f>SUM(AX$195,'Statistics NZ'!AY$195-'Statistics NZ'!AX$195,$R$13/5*(AY$8-AY$9)*1000)</f>
        <v>24143.344892620647</v>
      </c>
      <c r="AZ195" s="46">
        <f>SUM(AY$195,'Statistics NZ'!AZ$195-'Statistics NZ'!AY$195,$R$13/5*(AZ$8-AZ$9)*1000)</f>
        <v>24193.344892620647</v>
      </c>
      <c r="BA195" s="46">
        <f>SUM(AZ$195,'Statistics NZ'!BA$195-'Statistics NZ'!AZ$195,$R$13/5*(BA$8-BA$9)*1000)</f>
        <v>24653.344892620647</v>
      </c>
      <c r="BB195" s="46">
        <f>SUM(BA$195,'Statistics NZ'!BB$195-'Statistics NZ'!BA$195,$R$13/5*(BB$8-BB$9)*1000)</f>
        <v>24613.344892620647</v>
      </c>
      <c r="BC195" s="46">
        <f>SUM(BB$195,'Statistics NZ'!BC$195-'Statistics NZ'!BB$195,$R$13/5*(BC$8-BC$9)*1000)</f>
        <v>25833.344892620647</v>
      </c>
      <c r="BD195" s="46">
        <f>SUM(BC$195,'Statistics NZ'!BD$195-'Statistics NZ'!BC$195,$R$13/5*(BD$8-BD$9)*1000)</f>
        <v>26883.344892620647</v>
      </c>
      <c r="BE195" s="46">
        <f>SUM(BD$195,'Statistics NZ'!BE$195-'Statistics NZ'!BD$195,$R$13/5*(BE$8-BE$9)*1000)</f>
        <v>27823.344892620647</v>
      </c>
      <c r="BF195" s="46">
        <f>SUM(BE$195,'Statistics NZ'!BF$195-'Statistics NZ'!BE$195,$R$13/5*(BF$8-BF$9)*1000)</f>
        <v>28743.344892620647</v>
      </c>
      <c r="BG195" s="46">
        <f>SUM(BF$195,'Statistics NZ'!BG$195-'Statistics NZ'!BF$195,$R$13/5*(BG$8-BG$9)*1000)</f>
        <v>30043.344892620647</v>
      </c>
      <c r="BH195" s="46">
        <f>SUM(BG$195,'Statistics NZ'!BH$195-'Statistics NZ'!BG$195,$R$13/5*(BH$8-BH$9)*1000)</f>
        <v>31013.344892620647</v>
      </c>
      <c r="BI195" s="46">
        <f>SUM(BH$195,'Statistics NZ'!BI$195-'Statistics NZ'!BH$195,$R$13/5*(BI$8-BI$9)*1000)</f>
        <v>31673.344892620647</v>
      </c>
    </row>
    <row r="196" spans="1:61" x14ac:dyDescent="0.25">
      <c r="A196" s="11">
        <f>$A$96</f>
        <v>81</v>
      </c>
      <c r="B196" s="44">
        <f>'Statistics NZ'!B$196*'Economic Forecasts'!D$9*1000000/SUM('Statistics NZ'!B$30:B$110,'Statistics NZ'!B$130:B$210)</f>
        <v>6750.919206873119</v>
      </c>
      <c r="C196" s="44">
        <f>'Statistics NZ'!C$196*'Economic Forecasts'!E$9*1000000/SUM('Statistics NZ'!C$30:C$110,'Statistics NZ'!C$130:C$210)</f>
        <v>6864.2347024509691</v>
      </c>
      <c r="D196" s="44">
        <f>'Statistics NZ'!D$196*'Economic Forecasts'!F$9*1000000/SUM('Statistics NZ'!D$30:D$110,'Statistics NZ'!D$130:D$210)</f>
        <v>7082.1837918816718</v>
      </c>
      <c r="E196" s="44">
        <f>'Statistics NZ'!E$196*'Economic Forecasts'!G$9*1000000/SUM('Statistics NZ'!E$30:E$110,'Statistics NZ'!E$130:E$210)</f>
        <v>7355.2671809586536</v>
      </c>
      <c r="F196" s="44">
        <f>'Statistics NZ'!F$196*'Economic Forecasts'!H$9*1000000/SUM('Statistics NZ'!F$30:F$110,'Statistics NZ'!F$130:F$210)</f>
        <v>7415.4764982527286</v>
      </c>
      <c r="G196" s="44">
        <f>'Statistics NZ'!G$196*'Economic Forecasts'!I$9*1000000/SUM('Statistics NZ'!G$30:G$110,'Statistics NZ'!G$130:G$210)</f>
        <v>7514.1912785106779</v>
      </c>
      <c r="H196" s="44">
        <f>'Statistics NZ'!H$196*'Economic Forecasts'!J$9*1000000/SUM('Statistics NZ'!H$30:H$110,'Statistics NZ'!H$130:H$210)</f>
        <v>7899.4102630804109</v>
      </c>
      <c r="I196" s="44">
        <f>'Statistics NZ'!I$196*'Economic Forecasts'!K$9*1000000/SUM('Statistics NZ'!I$30:I$110,'Statistics NZ'!I$130:I$210)</f>
        <v>7744.8086921328722</v>
      </c>
      <c r="J196" s="44">
        <f>'Statistics NZ'!J$196*'Economic Forecasts'!L$9*1000000/SUM('Statistics NZ'!J$30:J$110,'Statistics NZ'!J$130:J$210)</f>
        <v>7450.438034365864</v>
      </c>
      <c r="K196" s="44">
        <f>'Statistics NZ'!K$196*'Economic Forecasts'!M$9*1000000/SUM('Statistics NZ'!K$30:K$110,'Statistics NZ'!K$130:K$210)</f>
        <v>7662.4046225245183</v>
      </c>
      <c r="L196" s="44">
        <f>'Statistics NZ'!L$196*'Economic Forecasts'!N$9*1000000/SUM('Statistics NZ'!L$30:L$110,'Statistics NZ'!L$130:L$210)</f>
        <v>7867.1849394776627</v>
      </c>
      <c r="M196" s="44">
        <f>'Statistics NZ'!M$196*'Economic Forecasts'!O$9*1000000/SUM('Statistics NZ'!M$30:M$110,'Statistics NZ'!M$130:M$210)</f>
        <v>7991.5114026512038</v>
      </c>
      <c r="N196" s="44">
        <f>'Statistics NZ'!N$196*'Economic Forecasts'!P$9*1000000/SUM('Statistics NZ'!N$30:N$110,'Statistics NZ'!N$130:N$210)</f>
        <v>8424.8284076942145</v>
      </c>
      <c r="O196" s="44">
        <f>'Statistics NZ'!O$196*'Economic Forecasts'!Q$9*1000000/SUM('Statistics NZ'!O$30:O$110,'Statistics NZ'!O$130:O$210)</f>
        <v>8869.1838722777684</v>
      </c>
      <c r="P196" s="44">
        <f>'Statistics NZ'!P$196*'Economic Forecasts'!R$9*1000000/SUM('Statistics NZ'!P$30:P$110,'Statistics NZ'!P$130:P$210)</f>
        <v>9294.9374334690146</v>
      </c>
      <c r="Q196" s="44">
        <f>'Statistics NZ'!Q$196*'Economic Forecasts'!S$9*1000000/SUM('Statistics NZ'!Q$30:Q$110,'Statistics NZ'!Q$130:Q$210)</f>
        <v>10391.21146086141</v>
      </c>
      <c r="R196" s="44">
        <f>'Statistics NZ'!R$196*'Economic Forecasts'!T$9*1000000/SUM('Statistics NZ'!R$30:R$110,'Statistics NZ'!R$130:R$210)</f>
        <v>11222.709612246485</v>
      </c>
      <c r="S196" s="44">
        <f>'Statistics NZ'!S$196*'Economic Forecasts'!U$9*1000000/SUM('Statistics NZ'!S$30:S$110,'Statistics NZ'!S$130:S$210)</f>
        <v>11287.261178117036</v>
      </c>
      <c r="T196" s="44">
        <f>'Statistics NZ'!T$196*'Economic Forecasts'!V$9*1000000/SUM('Statistics NZ'!T$30:T$110,'Statistics NZ'!T$130:T$210)</f>
        <v>10080.047991653626</v>
      </c>
      <c r="U196" s="45">
        <f>SUM('Statistics NZ'!U$196,$R$13/5*(U$8-U$9)*1000)*'Economic Forecasts'!W$9*1000000/SUM('Statistics NZ'!U$30:U$110,'Statistics NZ'!U$130:U$210,SUM($E$12:$T$13)*(U$8-U$9)*1000)</f>
        <v>11658.878043151937</v>
      </c>
      <c r="V196" s="45">
        <f>SUM('Statistics NZ'!V$196,$R$13/5*(V$8-V$9)*1000)*'Economic Forecasts'!X$9*1000000/SUM('Statistics NZ'!V$30:V$110,'Statistics NZ'!V$130:V$210,SUM($E$12:$T$13)*(V$8-V$9)*1000)</f>
        <v>12069.879486225534</v>
      </c>
      <c r="W196" s="45">
        <f>SUM('Statistics NZ'!W$196,$R$13/5*(W$8-W$9)*1000)*'Economic Forecasts'!Y$9*1000000/SUM('Statistics NZ'!W$30:W$110,'Statistics NZ'!W$130:W$210,SUM($E$12:$T$13)*(W$8-W$9)*1000)</f>
        <v>12805.241327293639</v>
      </c>
      <c r="X196" s="45">
        <f>SUM('Statistics NZ'!X$196,$R$13/5*(X$8-X$9)*1000)*'Economic Forecasts'!Z$9*1000000/SUM('Statistics NZ'!X$30:X$110,'Statistics NZ'!X$130:X$210,SUM($E$12:$T$13)*(X$8-X$9)*1000)</f>
        <v>15373.480639870389</v>
      </c>
      <c r="Y196" s="45">
        <f>SUM('Statistics NZ'!Y$196,$R$13/5*(Y$8-Y$9)*1000)*'Economic Forecasts'!AA$9*1000000/SUM('Statistics NZ'!Y$30:Y$110,'Statistics NZ'!Y$130:Y$210,SUM($E$12:$T$13)*(Y$8-Y$9)*1000)</f>
        <v>15378.99568411678</v>
      </c>
      <c r="Z196" s="46">
        <f>SUM(Y$196,'Statistics NZ'!Z$196-'Statistics NZ'!Y$196,$R$13/5*(Z$8-Z$9)*1000)</f>
        <v>15319.236570458341</v>
      </c>
      <c r="AA196" s="46">
        <f>SUM(Z$196,'Statistics NZ'!AA$196-'Statistics NZ'!Z$196,$R$13/5*(AA$8-AA$9)*1000)</f>
        <v>15759.381102263276</v>
      </c>
      <c r="AB196" s="46">
        <f>SUM(AA$196,'Statistics NZ'!AB$196-'Statistics NZ'!AA$196,$R$13/5*(AB$8-AB$9)*1000)</f>
        <v>15849.448550438914</v>
      </c>
      <c r="AC196" s="46">
        <f>SUM(AB$196,'Statistics NZ'!AC$196-'Statistics NZ'!AB$196,$R$13/5*(AC$8-AC$9)*1000)</f>
        <v>16169.448550438914</v>
      </c>
      <c r="AD196" s="46">
        <f>SUM(AC$196,'Statistics NZ'!AD$196-'Statistics NZ'!AC$196,$R$13/5*(AD$8-AD$9)*1000)</f>
        <v>16529.448550438916</v>
      </c>
      <c r="AE196" s="46">
        <f>SUM(AD$196,'Statistics NZ'!AE$196-'Statistics NZ'!AD$196,$R$13/5*(AE$8-AE$9)*1000)</f>
        <v>17239.448550438916</v>
      </c>
      <c r="AF196" s="46">
        <f>SUM(AE$196,'Statistics NZ'!AF$196-'Statistics NZ'!AE$196,$R$13/5*(AF$8-AF$9)*1000)</f>
        <v>17729.448550438916</v>
      </c>
      <c r="AG196" s="46">
        <f>SUM(AF$196,'Statistics NZ'!AG$196-'Statistics NZ'!AF$196,$R$13/5*(AG$8-AG$9)*1000)</f>
        <v>18359.448550438916</v>
      </c>
      <c r="AH196" s="46">
        <f>SUM(AG$196,'Statistics NZ'!AH$196-'Statistics NZ'!AG$196,$R$13/5*(AH$8-AH$9)*1000)</f>
        <v>18919.448550438916</v>
      </c>
      <c r="AI196" s="46">
        <f>SUM(AH$196,'Statistics NZ'!AI$196-'Statistics NZ'!AH$196,$R$13/5*(AI$8-AI$9)*1000)</f>
        <v>19549.448550438916</v>
      </c>
      <c r="AJ196" s="46">
        <f>SUM(AI$196,'Statistics NZ'!AJ$196-'Statistics NZ'!AI$196,$R$13/5*(AJ$8-AJ$9)*1000)</f>
        <v>20459.448550438916</v>
      </c>
      <c r="AK196" s="46">
        <f>SUM(AJ$196,'Statistics NZ'!AK$196-'Statistics NZ'!AJ$196,$R$13/5*(AK$8-AK$9)*1000)</f>
        <v>20859.448550438916</v>
      </c>
      <c r="AL196" s="46">
        <f>SUM(AK$196,'Statistics NZ'!AL$196-'Statistics NZ'!AK$196,$R$13/5*(AL$8-AL$9)*1000)</f>
        <v>21859.448550438916</v>
      </c>
      <c r="AM196" s="46">
        <f>SUM(AL$196,'Statistics NZ'!AM$196-'Statistics NZ'!AL$196,$R$13/5*(AM$8-AM$9)*1000)</f>
        <v>22459.448550438916</v>
      </c>
      <c r="AN196" s="46">
        <f>SUM(AM$196,'Statistics NZ'!AN$196-'Statistics NZ'!AM$196,$R$13/5*(AN$8-AN$9)*1000)</f>
        <v>22769.448550438916</v>
      </c>
      <c r="AO196" s="46">
        <f>SUM(AN$196,'Statistics NZ'!AO$196-'Statistics NZ'!AN$196,$R$13/5*(AO$8-AO$9)*1000)</f>
        <v>22669.448550438916</v>
      </c>
      <c r="AP196" s="46">
        <f>SUM(AO$196,'Statistics NZ'!AP$196-'Statistics NZ'!AO$196,$R$13/5*(AP$8-AP$9)*1000)</f>
        <v>22309.448550438916</v>
      </c>
      <c r="AQ196" s="46">
        <f>SUM(AP$196,'Statistics NZ'!AQ$196-'Statistics NZ'!AP$196,$R$13/5*(AQ$8-AQ$9)*1000)</f>
        <v>22209.448550438916</v>
      </c>
      <c r="AR196" s="46">
        <f>SUM(AQ$196,'Statistics NZ'!AR$196-'Statistics NZ'!AQ$196,$R$13/5*(AR$8-AR$9)*1000)</f>
        <v>22369.448550438916</v>
      </c>
      <c r="AS196" s="46">
        <f>SUM(AR$196,'Statistics NZ'!AS$196-'Statistics NZ'!AR$196,$R$13/5*(AS$8-AS$9)*1000)</f>
        <v>22999.448550438916</v>
      </c>
      <c r="AT196" s="46">
        <f>SUM(AS$196,'Statistics NZ'!AT$196-'Statistics NZ'!AS$196,$R$13/5*(AT$8-AT$9)*1000)</f>
        <v>23689.448550438916</v>
      </c>
      <c r="AU196" s="46">
        <f>SUM(AT$196,'Statistics NZ'!AU$196-'Statistics NZ'!AT$196,$R$13/5*(AU$8-AU$9)*1000)</f>
        <v>23859.448550438916</v>
      </c>
      <c r="AV196" s="46">
        <f>SUM(AU$196,'Statistics NZ'!AV$196-'Statistics NZ'!AU$196,$R$13/5*(AV$8-AV$9)*1000)</f>
        <v>24869.448550438916</v>
      </c>
      <c r="AW196" s="46">
        <f>SUM(AV$196,'Statistics NZ'!AW$196-'Statistics NZ'!AV$196,$R$13/5*(AW$8-AW$9)*1000)</f>
        <v>24869.448550438916</v>
      </c>
      <c r="AX196" s="46">
        <f>SUM(AW$196,'Statistics NZ'!AX$196-'Statistics NZ'!AW$196,$R$13/5*(AX$8-AX$9)*1000)</f>
        <v>24409.448550438916</v>
      </c>
      <c r="AY196" s="46">
        <f>SUM(AX$196,'Statistics NZ'!AY$196-'Statistics NZ'!AX$196,$R$13/5*(AY$8-AY$9)*1000)</f>
        <v>24009.448550438916</v>
      </c>
      <c r="AZ196" s="46">
        <f>SUM(AY$196,'Statistics NZ'!AZ$196-'Statistics NZ'!AY$196,$R$13/5*(AZ$8-AZ$9)*1000)</f>
        <v>23429.448550438916</v>
      </c>
      <c r="BA196" s="46">
        <f>SUM(AZ$196,'Statistics NZ'!BA$196-'Statistics NZ'!AZ$196,$R$13/5*(BA$8-BA$9)*1000)</f>
        <v>23489.448550438916</v>
      </c>
      <c r="BB196" s="46">
        <f>SUM(BA$196,'Statistics NZ'!BB$196-'Statistics NZ'!BA$196,$R$13/5*(BB$8-BB$9)*1000)</f>
        <v>23949.448550438916</v>
      </c>
      <c r="BC196" s="46">
        <f>SUM(BB$196,'Statistics NZ'!BC$196-'Statistics NZ'!BB$196,$R$13/5*(BC$8-BC$9)*1000)</f>
        <v>23919.448550438916</v>
      </c>
      <c r="BD196" s="46">
        <f>SUM(BC$196,'Statistics NZ'!BD$196-'Statistics NZ'!BC$196,$R$13/5*(BD$8-BD$9)*1000)</f>
        <v>25119.448550438916</v>
      </c>
      <c r="BE196" s="46">
        <f>SUM(BD$196,'Statistics NZ'!BE$196-'Statistics NZ'!BD$196,$R$13/5*(BE$8-BE$9)*1000)</f>
        <v>26149.448550438916</v>
      </c>
      <c r="BF196" s="46">
        <f>SUM(BE$196,'Statistics NZ'!BF$196-'Statistics NZ'!BE$196,$R$13/5*(BF$8-BF$9)*1000)</f>
        <v>27079.448550438916</v>
      </c>
      <c r="BG196" s="46">
        <f>SUM(BF$196,'Statistics NZ'!BG$196-'Statistics NZ'!BF$196,$R$13/5*(BG$8-BG$9)*1000)</f>
        <v>27979.448550438916</v>
      </c>
      <c r="BH196" s="46">
        <f>SUM(BG$196,'Statistics NZ'!BH$196-'Statistics NZ'!BG$196,$R$13/5*(BH$8-BH$9)*1000)</f>
        <v>29259.448550438916</v>
      </c>
      <c r="BI196" s="46">
        <f>SUM(BH$196,'Statistics NZ'!BI$196-'Statistics NZ'!BH$196,$R$13/5*(BI$8-BI$9)*1000)</f>
        <v>30219.448550438916</v>
      </c>
    </row>
    <row r="197" spans="1:61" x14ac:dyDescent="0.25">
      <c r="A197" s="11">
        <f>$A$97</f>
        <v>82</v>
      </c>
      <c r="B197" s="44">
        <f>'Statistics NZ'!B$197*'Economic Forecasts'!D$9*1000000/SUM('Statistics NZ'!B$30:B$110,'Statistics NZ'!B$130:B$210)</f>
        <v>5772.5251189204928</v>
      </c>
      <c r="C197" s="44">
        <f>'Statistics NZ'!C$197*'Economic Forecasts'!E$9*1000000/SUM('Statistics NZ'!C$30:C$110,'Statistics NZ'!C$130:C$210)</f>
        <v>6284.8500852197712</v>
      </c>
      <c r="D197" s="44">
        <f>'Statistics NZ'!D$197*'Economic Forecasts'!F$9*1000000/SUM('Statistics NZ'!D$30:D$110,'Statistics NZ'!D$130:D$210)</f>
        <v>6345.4795139466851</v>
      </c>
      <c r="E197" s="44">
        <f>'Statistics NZ'!E$197*'Economic Forecasts'!G$9*1000000/SUM('Statistics NZ'!E$30:E$110,'Statistics NZ'!E$130:E$210)</f>
        <v>6590.3193941389527</v>
      </c>
      <c r="F197" s="44">
        <f>'Statistics NZ'!F$197*'Economic Forecasts'!H$9*1000000/SUM('Statistics NZ'!F$30:F$110,'Statistics NZ'!F$130:F$210)</f>
        <v>6826.94661743902</v>
      </c>
      <c r="G197" s="44">
        <f>'Statistics NZ'!G$197*'Economic Forecasts'!I$9*1000000/SUM('Statistics NZ'!G$30:G$110,'Statistics NZ'!G$130:G$210)</f>
        <v>6915.0204706817231</v>
      </c>
      <c r="H197" s="44">
        <f>'Statistics NZ'!H$197*'Economic Forecasts'!J$9*1000000/SUM('Statistics NZ'!H$30:H$110,'Statistics NZ'!H$130:H$210)</f>
        <v>7005.3227830551396</v>
      </c>
      <c r="I197" s="44">
        <f>'Statistics NZ'!I$197*'Economic Forecasts'!K$9*1000000/SUM('Statistics NZ'!I$30:I$110,'Statistics NZ'!I$130:I$210)</f>
        <v>7391.8807010989694</v>
      </c>
      <c r="J197" s="44">
        <f>'Statistics NZ'!J$197*'Economic Forecasts'!L$9*1000000/SUM('Statistics NZ'!J$30:J$110,'Statistics NZ'!J$130:J$210)</f>
        <v>7177.385331535701</v>
      </c>
      <c r="K197" s="44">
        <f>'Statistics NZ'!K$197*'Economic Forecasts'!M$9*1000000/SUM('Statistics NZ'!K$30:K$110,'Statistics NZ'!K$130:K$210)</f>
        <v>6912.7157331542667</v>
      </c>
      <c r="L197" s="44">
        <f>'Statistics NZ'!L$197*'Economic Forecasts'!N$9*1000000/SUM('Statistics NZ'!L$30:L$110,'Statistics NZ'!L$130:L$210)</f>
        <v>7175.885272766136</v>
      </c>
      <c r="M197" s="44">
        <f>'Statistics NZ'!M$197*'Economic Forecasts'!O$9*1000000/SUM('Statistics NZ'!M$30:M$110,'Statistics NZ'!M$130:M$210)</f>
        <v>7385.7978244551468</v>
      </c>
      <c r="N197" s="44">
        <f>'Statistics NZ'!N$197*'Economic Forecasts'!P$9*1000000/SUM('Statistics NZ'!N$30:N$110,'Statistics NZ'!N$130:N$210)</f>
        <v>7465.9048490948726</v>
      </c>
      <c r="O197" s="44">
        <f>'Statistics NZ'!O$197*'Economic Forecasts'!Q$9*1000000/SUM('Statistics NZ'!O$30:O$110,'Statistics NZ'!O$130:O$210)</f>
        <v>7925.2352561595135</v>
      </c>
      <c r="P197" s="44">
        <f>'Statistics NZ'!P$197*'Economic Forecasts'!R$9*1000000/SUM('Statistics NZ'!P$30:P$110,'Statistics NZ'!P$130:P$210)</f>
        <v>8341.862453504431</v>
      </c>
      <c r="Q197" s="44">
        <f>'Statistics NZ'!Q$197*'Economic Forecasts'!S$9*1000000/SUM('Statistics NZ'!Q$30:Q$110,'Statistics NZ'!Q$130:Q$210)</f>
        <v>8841.4705546526347</v>
      </c>
      <c r="R197" s="44">
        <f>'Statistics NZ'!R$197*'Economic Forecasts'!T$9*1000000/SUM('Statistics NZ'!R$30:R$110,'Statistics NZ'!R$130:R$210)</f>
        <v>9748.9198849949498</v>
      </c>
      <c r="S197" s="44">
        <f>'Statistics NZ'!S$197*'Economic Forecasts'!U$9*1000000/SUM('Statistics NZ'!S$30:S$110,'Statistics NZ'!S$130:S$210)</f>
        <v>10403.141503590898</v>
      </c>
      <c r="T197" s="44">
        <f>'Statistics NZ'!T$197*'Economic Forecasts'!V$9*1000000/SUM('Statistics NZ'!T$30:T$110,'Statistics NZ'!T$130:T$210)</f>
        <v>10684.652640120559</v>
      </c>
      <c r="U197" s="45">
        <f>SUM('Statistics NZ'!U$197,$R$13/5*(U$8-U$9)*1000)*'Economic Forecasts'!W$9*1000000/SUM('Statistics NZ'!U$30:U$110,'Statistics NZ'!U$130:U$210,SUM($E$12:$T$13)*(U$8-U$9)*1000)</f>
        <v>9509.5042752230056</v>
      </c>
      <c r="V197" s="45">
        <f>SUM('Statistics NZ'!V$197,$R$13/5*(V$8-V$9)*1000)*'Economic Forecasts'!X$9*1000000/SUM('Statistics NZ'!V$30:V$110,'Statistics NZ'!V$130:V$210,SUM($E$12:$T$13)*(V$8-V$9)*1000)</f>
        <v>11010.4919537773</v>
      </c>
      <c r="W197" s="45">
        <f>SUM('Statistics NZ'!W$197,$R$13/5*(W$8-W$9)*1000)*'Economic Forecasts'!Y$9*1000000/SUM('Statistics NZ'!W$30:W$110,'Statistics NZ'!W$130:W$210,SUM($E$12:$T$13)*(W$8-W$9)*1000)</f>
        <v>11418.821934901971</v>
      </c>
      <c r="X197" s="45">
        <f>SUM('Statistics NZ'!X$197,$R$13/5*(X$8-X$9)*1000)*'Economic Forecasts'!Z$9*1000000/SUM('Statistics NZ'!X$30:X$110,'Statistics NZ'!X$130:X$210,SUM($E$12:$T$13)*(X$8-X$9)*1000)</f>
        <v>12134.460254360662</v>
      </c>
      <c r="Y197" s="45">
        <f>SUM('Statistics NZ'!Y$197,$R$13/5*(Y$8-Y$9)*1000)*'Economic Forecasts'!AA$9*1000000/SUM('Statistics NZ'!Y$30:Y$110,'Statistics NZ'!Y$130:Y$210,SUM($E$12:$T$13)*(Y$8-Y$9)*1000)</f>
        <v>14566.465832491369</v>
      </c>
      <c r="Z197" s="46">
        <f>SUM(Y$197,'Statistics NZ'!Z$197-'Statistics NZ'!Y$197,$R$13/5*(Z$8-Z$9)*1000)</f>
        <v>14586.706718832929</v>
      </c>
      <c r="AA197" s="46">
        <f>SUM(Z$197,'Statistics NZ'!AA$197-'Statistics NZ'!Z$197,$R$13/5*(AA$8-AA$9)*1000)</f>
        <v>14546.851250637865</v>
      </c>
      <c r="AB197" s="46">
        <f>SUM(AA$197,'Statistics NZ'!AB$197-'Statistics NZ'!AA$197,$R$13/5*(AB$8-AB$9)*1000)</f>
        <v>14966.918698813502</v>
      </c>
      <c r="AC197" s="46">
        <f>SUM(AB$197,'Statistics NZ'!AC$197-'Statistics NZ'!AB$197,$R$13/5*(AC$8-AC$9)*1000)</f>
        <v>15076.918698813502</v>
      </c>
      <c r="AD197" s="46">
        <f>SUM(AC$197,'Statistics NZ'!AD$197-'Statistics NZ'!AC$197,$R$13/5*(AD$8-AD$9)*1000)</f>
        <v>15386.918698813502</v>
      </c>
      <c r="AE197" s="46">
        <f>SUM(AD$197,'Statistics NZ'!AE$197-'Statistics NZ'!AD$197,$R$13/5*(AE$8-AE$9)*1000)</f>
        <v>15746.918698813502</v>
      </c>
      <c r="AF197" s="46">
        <f>SUM(AE$197,'Statistics NZ'!AF$197-'Statistics NZ'!AE$197,$R$13/5*(AF$8-AF$9)*1000)</f>
        <v>16436.918698813504</v>
      </c>
      <c r="AG197" s="46">
        <f>SUM(AF$197,'Statistics NZ'!AG$197-'Statistics NZ'!AF$197,$R$13/5*(AG$8-AG$9)*1000)</f>
        <v>16916.918698813504</v>
      </c>
      <c r="AH197" s="46">
        <f>SUM(AG$197,'Statistics NZ'!AH$197-'Statistics NZ'!AG$197,$R$13/5*(AH$8-AH$9)*1000)</f>
        <v>17526.918698813504</v>
      </c>
      <c r="AI197" s="46">
        <f>SUM(AH$197,'Statistics NZ'!AI$197-'Statistics NZ'!AH$197,$R$13/5*(AI$8-AI$9)*1000)</f>
        <v>18076.918698813504</v>
      </c>
      <c r="AJ197" s="46">
        <f>SUM(AI$197,'Statistics NZ'!AJ$197-'Statistics NZ'!AI$197,$R$13/5*(AJ$8-AJ$9)*1000)</f>
        <v>18686.918698813504</v>
      </c>
      <c r="AK197" s="46">
        <f>SUM(AJ$197,'Statistics NZ'!AK$197-'Statistics NZ'!AJ$197,$R$13/5*(AK$8-AK$9)*1000)</f>
        <v>19576.918698813504</v>
      </c>
      <c r="AL197" s="46">
        <f>SUM(AK$197,'Statistics NZ'!AL$197-'Statistics NZ'!AK$197,$R$13/5*(AL$8-AL$9)*1000)</f>
        <v>19966.918698813504</v>
      </c>
      <c r="AM197" s="46">
        <f>SUM(AL$197,'Statistics NZ'!AM$197-'Statistics NZ'!AL$197,$R$13/5*(AM$8-AM$9)*1000)</f>
        <v>20936.918698813504</v>
      </c>
      <c r="AN197" s="46">
        <f>SUM(AM$197,'Statistics NZ'!AN$197-'Statistics NZ'!AM$197,$R$13/5*(AN$8-AN$9)*1000)</f>
        <v>21536.918698813504</v>
      </c>
      <c r="AO197" s="46">
        <f>SUM(AN$197,'Statistics NZ'!AO$197-'Statistics NZ'!AN$197,$R$13/5*(AO$8-AO$9)*1000)</f>
        <v>21836.918698813504</v>
      </c>
      <c r="AP197" s="46">
        <f>SUM(AO$197,'Statistics NZ'!AP$197-'Statistics NZ'!AO$197,$R$13/5*(AP$8-AP$9)*1000)</f>
        <v>21756.918698813504</v>
      </c>
      <c r="AQ197" s="46">
        <f>SUM(AP$197,'Statistics NZ'!AQ$197-'Statistics NZ'!AP$197,$R$13/5*(AQ$8-AQ$9)*1000)</f>
        <v>21426.918698813504</v>
      </c>
      <c r="AR197" s="46">
        <f>SUM(AQ$197,'Statistics NZ'!AR$197-'Statistics NZ'!AQ$197,$R$13/5*(AR$8-AR$9)*1000)</f>
        <v>21346.918698813504</v>
      </c>
      <c r="AS197" s="46">
        <f>SUM(AR$197,'Statistics NZ'!AS$197-'Statistics NZ'!AR$197,$R$13/5*(AS$8-AS$9)*1000)</f>
        <v>21506.918698813504</v>
      </c>
      <c r="AT197" s="46">
        <f>SUM(AS$197,'Statistics NZ'!AT$197-'Statistics NZ'!AS$197,$R$13/5*(AT$8-AT$9)*1000)</f>
        <v>22126.918698813504</v>
      </c>
      <c r="AU197" s="46">
        <f>SUM(AT$197,'Statistics NZ'!AU$197-'Statistics NZ'!AT$197,$R$13/5*(AU$8-AU$9)*1000)</f>
        <v>22806.918698813504</v>
      </c>
      <c r="AV197" s="46">
        <f>SUM(AU$197,'Statistics NZ'!AV$197-'Statistics NZ'!AU$197,$R$13/5*(AV$8-AV$9)*1000)</f>
        <v>22976.918698813504</v>
      </c>
      <c r="AW197" s="46">
        <f>SUM(AV$197,'Statistics NZ'!AW$197-'Statistics NZ'!AV$197,$R$13/5*(AW$8-AW$9)*1000)</f>
        <v>23976.918698813504</v>
      </c>
      <c r="AX197" s="46">
        <f>SUM(AW$197,'Statistics NZ'!AX$197-'Statistics NZ'!AW$197,$R$13/5*(AX$8-AX$9)*1000)</f>
        <v>23976.918698813504</v>
      </c>
      <c r="AY197" s="46">
        <f>SUM(AX$197,'Statistics NZ'!AY$197-'Statistics NZ'!AX$197,$R$13/5*(AY$8-AY$9)*1000)</f>
        <v>23556.918698813504</v>
      </c>
      <c r="AZ197" s="46">
        <f>SUM(AY$197,'Statistics NZ'!AZ$197-'Statistics NZ'!AY$197,$R$13/5*(AZ$8-AZ$9)*1000)</f>
        <v>23176.918698813504</v>
      </c>
      <c r="BA197" s="46">
        <f>SUM(AZ$197,'Statistics NZ'!BA$197-'Statistics NZ'!AZ$197,$R$13/5*(BA$8-BA$9)*1000)</f>
        <v>22636.918698813504</v>
      </c>
      <c r="BB197" s="46">
        <f>SUM(BA$197,'Statistics NZ'!BB$197-'Statistics NZ'!BA$197,$R$13/5*(BB$8-BB$9)*1000)</f>
        <v>22696.918698813504</v>
      </c>
      <c r="BC197" s="46">
        <f>SUM(BB$197,'Statistics NZ'!BC$197-'Statistics NZ'!BB$197,$R$13/5*(BC$8-BC$9)*1000)</f>
        <v>23156.918698813504</v>
      </c>
      <c r="BD197" s="46">
        <f>SUM(BC$197,'Statistics NZ'!BD$197-'Statistics NZ'!BC$197,$R$13/5*(BD$8-BD$9)*1000)</f>
        <v>23146.918698813504</v>
      </c>
      <c r="BE197" s="46">
        <f>SUM(BD$197,'Statistics NZ'!BE$197-'Statistics NZ'!BD$197,$R$13/5*(BE$8-BE$9)*1000)</f>
        <v>24306.918698813504</v>
      </c>
      <c r="BF197" s="46">
        <f>SUM(BE$197,'Statistics NZ'!BF$197-'Statistics NZ'!BE$197,$R$13/5*(BF$8-BF$9)*1000)</f>
        <v>25326.918698813504</v>
      </c>
      <c r="BG197" s="46">
        <f>SUM(BF$197,'Statistics NZ'!BG$197-'Statistics NZ'!BF$197,$R$13/5*(BG$8-BG$9)*1000)</f>
        <v>26236.918698813504</v>
      </c>
      <c r="BH197" s="46">
        <f>SUM(BG$197,'Statistics NZ'!BH$197-'Statistics NZ'!BG$197,$R$13/5*(BH$8-BH$9)*1000)</f>
        <v>27126.918698813504</v>
      </c>
      <c r="BI197" s="46">
        <f>SUM(BH$197,'Statistics NZ'!BI$197-'Statistics NZ'!BH$197,$R$13/5*(BI$8-BI$9)*1000)</f>
        <v>28376.918698813504</v>
      </c>
    </row>
    <row r="198" spans="1:61" x14ac:dyDescent="0.25">
      <c r="A198" s="11">
        <f>$A$98</f>
        <v>83</v>
      </c>
      <c r="B198" s="44">
        <f>'Statistics NZ'!B$198*'Economic Forecasts'!D$9*1000000/SUM('Statistics NZ'!B$30:B$110,'Statistics NZ'!B$130:B$210)</f>
        <v>5097.4331982331814</v>
      </c>
      <c r="C198" s="44">
        <f>'Statistics NZ'!C$198*'Economic Forecasts'!E$9*1000000/SUM('Statistics NZ'!C$30:C$110,'Statistics NZ'!C$130:C$210)</f>
        <v>5342.1225724368051</v>
      </c>
      <c r="D198" s="44">
        <f>'Statistics NZ'!D$198*'Economic Forecasts'!F$9*1000000/SUM('Statistics NZ'!D$30:D$110,'Statistics NZ'!D$130:D$210)</f>
        <v>5726.6479204812977</v>
      </c>
      <c r="E198" s="44">
        <f>'Statistics NZ'!E$198*'Economic Forecasts'!G$9*1000000/SUM('Statistics NZ'!E$30:E$110,'Statistics NZ'!E$130:E$210)</f>
        <v>5825.3716073192527</v>
      </c>
      <c r="F198" s="44">
        <f>'Statistics NZ'!F$198*'Economic Forecasts'!H$9*1000000/SUM('Statistics NZ'!F$30:F$110,'Statistics NZ'!F$130:F$210)</f>
        <v>6091.2842664218842</v>
      </c>
      <c r="G198" s="44">
        <f>'Statistics NZ'!G$198*'Economic Forecasts'!I$9*1000000/SUM('Statistics NZ'!G$30:G$110,'Statistics NZ'!G$130:G$210)</f>
        <v>6286.3822460742922</v>
      </c>
      <c r="H198" s="44">
        <f>'Statistics NZ'!H$198*'Economic Forecasts'!J$9*1000000/SUM('Statistics NZ'!H$30:H$110,'Statistics NZ'!H$130:H$210)</f>
        <v>6425.6396916101849</v>
      </c>
      <c r="I198" s="44">
        <f>'Statistics NZ'!I$198*'Economic Forecasts'!K$9*1000000/SUM('Statistics NZ'!I$30:I$110,'Statistics NZ'!I$130:I$210)</f>
        <v>6440.9358363687306</v>
      </c>
      <c r="J198" s="44">
        <f>'Statistics NZ'!J$198*'Economic Forecasts'!L$9*1000000/SUM('Statistics NZ'!J$30:J$110,'Statistics NZ'!J$130:J$210)</f>
        <v>6826.317570754064</v>
      </c>
      <c r="K198" s="44">
        <f>'Statistics NZ'!K$198*'Economic Forecasts'!M$9*1000000/SUM('Statistics NZ'!K$30:K$110,'Statistics NZ'!K$130:K$210)</f>
        <v>6640.1015915650842</v>
      </c>
      <c r="L198" s="44">
        <f>'Statistics NZ'!L$198*'Economic Forecasts'!N$9*1000000/SUM('Statistics NZ'!L$30:L$110,'Statistics NZ'!L$130:L$210)</f>
        <v>6435.9025309340777</v>
      </c>
      <c r="M198" s="44">
        <f>'Statistics NZ'!M$198*'Economic Forecasts'!O$9*1000000/SUM('Statistics NZ'!M$30:M$110,'Statistics NZ'!M$130:M$210)</f>
        <v>6701.927655524114</v>
      </c>
      <c r="N198" s="44">
        <f>'Statistics NZ'!N$198*'Economic Forecasts'!P$9*1000000/SUM('Statistics NZ'!N$30:N$110,'Statistics NZ'!N$130:N$210)</f>
        <v>6859.2389242667177</v>
      </c>
      <c r="O198" s="44">
        <f>'Statistics NZ'!O$198*'Economic Forecasts'!Q$9*1000000/SUM('Statistics NZ'!O$30:O$110,'Statistics NZ'!O$130:O$210)</f>
        <v>6941.9554477029978</v>
      </c>
      <c r="P198" s="44">
        <f>'Statistics NZ'!P$198*'Economic Forecasts'!R$9*1000000/SUM('Statistics NZ'!P$30:P$110,'Statistics NZ'!P$130:P$210)</f>
        <v>7418.2640193119505</v>
      </c>
      <c r="Q198" s="44">
        <f>'Statistics NZ'!Q$198*'Economic Forecasts'!S$9*1000000/SUM('Statistics NZ'!Q$30:Q$110,'Statistics NZ'!Q$130:Q$210)</f>
        <v>7848.0468968264959</v>
      </c>
      <c r="R198" s="44">
        <f>'Statistics NZ'!R$198*'Economic Forecasts'!T$9*1000000/SUM('Statistics NZ'!R$30:R$110,'Statistics NZ'!R$130:R$210)</f>
        <v>8225.3399642551867</v>
      </c>
      <c r="S198" s="44">
        <f>'Statistics NZ'!S$198*'Economic Forecasts'!U$9*1000000/SUM('Statistics NZ'!S$30:S$110,'Statistics NZ'!S$130:S$210)</f>
        <v>8949.2558165923583</v>
      </c>
      <c r="T198" s="44">
        <f>'Statistics NZ'!T$198*'Economic Forecasts'!V$9*1000000/SUM('Statistics NZ'!T$30:T$110,'Statistics NZ'!T$130:T$210)</f>
        <v>9762.8783399988406</v>
      </c>
      <c r="U198" s="45">
        <f>SUM('Statistics NZ'!U$198,$R$13/5*(U$8-U$9)*1000)*'Economic Forecasts'!W$9*1000000/SUM('Statistics NZ'!U$30:U$110,'Statistics NZ'!U$130:U$210,SUM($E$12:$T$13)*(U$8-U$9)*1000)</f>
        <v>10004.751687188198</v>
      </c>
      <c r="V198" s="45">
        <f>SUM('Statistics NZ'!V$198,$R$13/5*(V$8-V$9)*1000)*'Economic Forecasts'!X$9*1000000/SUM('Statistics NZ'!V$30:V$110,'Statistics NZ'!V$130:V$210,SUM($E$12:$T$13)*(V$8-V$9)*1000)</f>
        <v>8911.518525001351</v>
      </c>
      <c r="W198" s="45">
        <f>SUM('Statistics NZ'!W$198,$R$13/5*(W$8-W$9)*1000)*'Economic Forecasts'!Y$9*1000000/SUM('Statistics NZ'!W$30:W$110,'Statistics NZ'!W$130:W$210,SUM($E$12:$T$13)*(W$8-W$9)*1000)</f>
        <v>10339.395407968461</v>
      </c>
      <c r="X198" s="45">
        <f>SUM('Statistics NZ'!X$198,$R$13/5*(X$8-X$9)*1000)*'Economic Forecasts'!Z$9*1000000/SUM('Statistics NZ'!X$30:X$110,'Statistics NZ'!X$130:X$210,SUM($E$12:$T$13)*(X$8-X$9)*1000)</f>
        <v>10727.913175637781</v>
      </c>
      <c r="Y198" s="45">
        <f>SUM('Statistics NZ'!Y$198,$R$13/5*(Y$8-Y$9)*1000)*'Economic Forecasts'!AA$9*1000000/SUM('Statistics NZ'!Y$30:Y$110,'Statistics NZ'!Y$130:Y$210,SUM($E$12:$T$13)*(Y$8-Y$9)*1000)</f>
        <v>11415.435432285509</v>
      </c>
      <c r="Z198" s="46">
        <f>SUM(Y$198,'Statistics NZ'!Z$198-'Statistics NZ'!Y$198,$R$13/5*(Z$8-Z$9)*1000)</f>
        <v>13735.676318627069</v>
      </c>
      <c r="AA198" s="46">
        <f>SUM(Z$198,'Statistics NZ'!AA$198-'Statistics NZ'!Z$198,$R$13/5*(AA$8-AA$9)*1000)</f>
        <v>13765.820850432005</v>
      </c>
      <c r="AB198" s="46">
        <f>SUM(AA$198,'Statistics NZ'!AB$198-'Statistics NZ'!AA$198,$R$13/5*(AB$8-AB$9)*1000)</f>
        <v>13735.888298607642</v>
      </c>
      <c r="AC198" s="46">
        <f>SUM(AB$198,'Statistics NZ'!AC$198-'Statistics NZ'!AB$198,$R$13/5*(AC$8-AC$9)*1000)</f>
        <v>14145.888298607642</v>
      </c>
      <c r="AD198" s="46">
        <f>SUM(AC$198,'Statistics NZ'!AD$198-'Statistics NZ'!AC$198,$R$13/5*(AD$8-AD$9)*1000)</f>
        <v>14255.888298607642</v>
      </c>
      <c r="AE198" s="46">
        <f>SUM(AD$198,'Statistics NZ'!AE$198-'Statistics NZ'!AD$198,$R$13/5*(AE$8-AE$9)*1000)</f>
        <v>14565.888298607642</v>
      </c>
      <c r="AF198" s="46">
        <f>SUM(AE$198,'Statistics NZ'!AF$198-'Statistics NZ'!AE$198,$R$13/5*(AF$8-AF$9)*1000)</f>
        <v>14915.888298607642</v>
      </c>
      <c r="AG198" s="46">
        <f>SUM(AF$198,'Statistics NZ'!AG$198-'Statistics NZ'!AF$198,$R$13/5*(AG$8-AG$9)*1000)</f>
        <v>15585.888298607642</v>
      </c>
      <c r="AH198" s="46">
        <f>SUM(AG$198,'Statistics NZ'!AH$198-'Statistics NZ'!AG$198,$R$13/5*(AH$8-AH$9)*1000)</f>
        <v>16055.888298607642</v>
      </c>
      <c r="AI198" s="46">
        <f>SUM(AH$198,'Statistics NZ'!AI$198-'Statistics NZ'!AH$198,$R$13/5*(AI$8-AI$9)*1000)</f>
        <v>16645.888298607642</v>
      </c>
      <c r="AJ198" s="46">
        <f>SUM(AI$198,'Statistics NZ'!AJ$198-'Statistics NZ'!AI$198,$R$13/5*(AJ$8-AJ$9)*1000)</f>
        <v>17175.888298607642</v>
      </c>
      <c r="AK198" s="46">
        <f>SUM(AJ$198,'Statistics NZ'!AK$198-'Statistics NZ'!AJ$198,$R$13/5*(AK$8-AK$9)*1000)</f>
        <v>17775.888298607642</v>
      </c>
      <c r="AL198" s="46">
        <f>SUM(AK$198,'Statistics NZ'!AL$198-'Statistics NZ'!AK$198,$R$13/5*(AL$8-AL$9)*1000)</f>
        <v>18625.888298607642</v>
      </c>
      <c r="AM198" s="46">
        <f>SUM(AL$198,'Statistics NZ'!AM$198-'Statistics NZ'!AL$198,$R$13/5*(AM$8-AM$9)*1000)</f>
        <v>19025.888298607642</v>
      </c>
      <c r="AN198" s="46">
        <f>SUM(AM$198,'Statistics NZ'!AN$198-'Statistics NZ'!AM$198,$R$13/5*(AN$8-AN$9)*1000)</f>
        <v>19955.888298607642</v>
      </c>
      <c r="AO198" s="46">
        <f>SUM(AN$198,'Statistics NZ'!AO$198-'Statistics NZ'!AN$198,$R$13/5*(AO$8-AO$9)*1000)</f>
        <v>20535.888298607642</v>
      </c>
      <c r="AP198" s="46">
        <f>SUM(AO$198,'Statistics NZ'!AP$198-'Statistics NZ'!AO$198,$R$13/5*(AP$8-AP$9)*1000)</f>
        <v>20845.888298607642</v>
      </c>
      <c r="AQ198" s="46">
        <f>SUM(AP$198,'Statistics NZ'!AQ$198-'Statistics NZ'!AP$198,$R$13/5*(AQ$8-AQ$9)*1000)</f>
        <v>20775.888298607642</v>
      </c>
      <c r="AR198" s="46">
        <f>SUM(AQ$198,'Statistics NZ'!AR$198-'Statistics NZ'!AQ$198,$R$13/5*(AR$8-AR$9)*1000)</f>
        <v>20475.888298607642</v>
      </c>
      <c r="AS198" s="46">
        <f>SUM(AR$198,'Statistics NZ'!AS$198-'Statistics NZ'!AR$198,$R$13/5*(AS$8-AS$9)*1000)</f>
        <v>20415.888298607642</v>
      </c>
      <c r="AT198" s="46">
        <f>SUM(AS$198,'Statistics NZ'!AT$198-'Statistics NZ'!AS$198,$R$13/5*(AT$8-AT$9)*1000)</f>
        <v>20585.888298607642</v>
      </c>
      <c r="AU198" s="46">
        <f>SUM(AT$198,'Statistics NZ'!AU$198-'Statistics NZ'!AT$198,$R$13/5*(AU$8-AU$9)*1000)</f>
        <v>21195.888298607642</v>
      </c>
      <c r="AV198" s="46">
        <f>SUM(AU$198,'Statistics NZ'!AV$198-'Statistics NZ'!AU$198,$R$13/5*(AV$8-AV$9)*1000)</f>
        <v>21845.888298607642</v>
      </c>
      <c r="AW198" s="46">
        <f>SUM(AV$198,'Statistics NZ'!AW$198-'Statistics NZ'!AV$198,$R$13/5*(AW$8-AW$9)*1000)</f>
        <v>22035.888298607642</v>
      </c>
      <c r="AX198" s="46">
        <f>SUM(AW$198,'Statistics NZ'!AX$198-'Statistics NZ'!AW$198,$R$13/5*(AX$8-AX$9)*1000)</f>
        <v>22995.888298607642</v>
      </c>
      <c r="AY198" s="46">
        <f>SUM(AX$198,'Statistics NZ'!AY$198-'Statistics NZ'!AX$198,$R$13/5*(AY$8-AY$9)*1000)</f>
        <v>23015.888298607642</v>
      </c>
      <c r="AZ198" s="46">
        <f>SUM(AY$198,'Statistics NZ'!AZ$198-'Statistics NZ'!AY$198,$R$13/5*(AZ$8-AZ$9)*1000)</f>
        <v>22625.888298607642</v>
      </c>
      <c r="BA198" s="46">
        <f>SUM(AZ$198,'Statistics NZ'!BA$198-'Statistics NZ'!AZ$198,$R$13/5*(BA$8-BA$9)*1000)</f>
        <v>22275.888298607642</v>
      </c>
      <c r="BB198" s="46">
        <f>SUM(BA$198,'Statistics NZ'!BB$198-'Statistics NZ'!BA$198,$R$13/5*(BB$8-BB$9)*1000)</f>
        <v>21765.888298607642</v>
      </c>
      <c r="BC198" s="46">
        <f>SUM(BB$198,'Statistics NZ'!BC$198-'Statistics NZ'!BB$198,$R$13/5*(BC$8-BC$9)*1000)</f>
        <v>21835.888298607642</v>
      </c>
      <c r="BD198" s="46">
        <f>SUM(BC$198,'Statistics NZ'!BD$198-'Statistics NZ'!BC$198,$R$13/5*(BD$8-BD$9)*1000)</f>
        <v>22295.888298607642</v>
      </c>
      <c r="BE198" s="46">
        <f>SUM(BD$198,'Statistics NZ'!BE$198-'Statistics NZ'!BD$198,$R$13/5*(BE$8-BE$9)*1000)</f>
        <v>22295.888298607642</v>
      </c>
      <c r="BF198" s="46">
        <f>SUM(BE$198,'Statistics NZ'!BF$198-'Statistics NZ'!BE$198,$R$13/5*(BF$8-BF$9)*1000)</f>
        <v>23425.888298607642</v>
      </c>
      <c r="BG198" s="46">
        <f>SUM(BF$198,'Statistics NZ'!BG$198-'Statistics NZ'!BF$198,$R$13/5*(BG$8-BG$9)*1000)</f>
        <v>24415.888298607642</v>
      </c>
      <c r="BH198" s="46">
        <f>SUM(BG$198,'Statistics NZ'!BH$198-'Statistics NZ'!BG$198,$R$13/5*(BH$8-BH$9)*1000)</f>
        <v>25305.888298607642</v>
      </c>
      <c r="BI198" s="46">
        <f>SUM(BH$198,'Statistics NZ'!BI$198-'Statistics NZ'!BH$198,$R$13/5*(BI$8-BI$9)*1000)</f>
        <v>26175.888298607642</v>
      </c>
    </row>
    <row r="199" spans="1:61" x14ac:dyDescent="0.25">
      <c r="A199" s="11">
        <f>$A$99</f>
        <v>84</v>
      </c>
      <c r="B199" s="44">
        <f>'Statistics NZ'!B$199*'Economic Forecasts'!D$9*1000000/SUM('Statistics NZ'!B$30:B$110,'Statistics NZ'!B$130:B$210)</f>
        <v>4549.5325089797107</v>
      </c>
      <c r="C199" s="44">
        <f>'Statistics NZ'!C$199*'Economic Forecasts'!E$9*1000000/SUM('Statistics NZ'!C$30:C$110,'Statistics NZ'!C$130:C$210)</f>
        <v>4644.8970161077368</v>
      </c>
      <c r="D199" s="44">
        <f>'Statistics NZ'!D$199*'Economic Forecasts'!F$9*1000000/SUM('Statistics NZ'!D$30:D$110,'Statistics NZ'!D$130:D$210)</f>
        <v>4862.2482343709125</v>
      </c>
      <c r="E199" s="44">
        <f>'Statistics NZ'!E$199*'Economic Forecasts'!G$9*1000000/SUM('Statistics NZ'!E$30:E$110,'Statistics NZ'!E$130:E$210)</f>
        <v>5187.9151183028362</v>
      </c>
      <c r="F199" s="44">
        <f>'Statistics NZ'!F$199*'Economic Forecasts'!H$9*1000000/SUM('Statistics NZ'!F$30:F$110,'Statistics NZ'!F$130:F$210)</f>
        <v>5277.1512646295869</v>
      </c>
      <c r="G199" s="44">
        <f>'Statistics NZ'!G$199*'Economic Forecasts'!I$9*1000000/SUM('Statistics NZ'!G$30:G$110,'Statistics NZ'!G$130:G$210)</f>
        <v>5598.8091879099175</v>
      </c>
      <c r="H199" s="44">
        <f>'Statistics NZ'!H$199*'Economic Forecasts'!J$9*1000000/SUM('Statistics NZ'!H$30:H$110,'Statistics NZ'!H$130:H$210)</f>
        <v>5757.5303658770154</v>
      </c>
      <c r="I199" s="44">
        <f>'Statistics NZ'!I$199*'Economic Forecasts'!K$9*1000000/SUM('Statistics NZ'!I$30:I$110,'Statistics NZ'!I$130:I$210)</f>
        <v>5882.1331838983842</v>
      </c>
      <c r="J199" s="44">
        <f>'Statistics NZ'!J$199*'Economic Forecasts'!L$9*1000000/SUM('Statistics NZ'!J$30:J$110,'Statistics NZ'!J$130:J$210)</f>
        <v>5841.377464116691</v>
      </c>
      <c r="K199" s="44">
        <f>'Statistics NZ'!K$199*'Economic Forecasts'!M$9*1000000/SUM('Statistics NZ'!K$30:K$110,'Statistics NZ'!K$130:K$210)</f>
        <v>6309.0701339210773</v>
      </c>
      <c r="L199" s="44">
        <f>'Statistics NZ'!L$199*'Economic Forecasts'!N$9*1000000/SUM('Statistics NZ'!L$30:L$110,'Statistics NZ'!L$130:L$210)</f>
        <v>6085.3843900662623</v>
      </c>
      <c r="M199" s="44">
        <f>'Statistics NZ'!M$199*'Economic Forecasts'!O$9*1000000/SUM('Statistics NZ'!M$30:M$110,'Statistics NZ'!M$130:M$210)</f>
        <v>5900.8226004906201</v>
      </c>
      <c r="N199" s="44">
        <f>'Statistics NZ'!N$199*'Economic Forecasts'!P$9*1000000/SUM('Statistics NZ'!N$30:N$110,'Statistics NZ'!N$130:N$210)</f>
        <v>6164.5085909957661</v>
      </c>
      <c r="O199" s="44">
        <f>'Statistics NZ'!O$199*'Economic Forecasts'!Q$9*1000000/SUM('Statistics NZ'!O$30:O$110,'Statistics NZ'!O$130:O$210)</f>
        <v>6351.9875626290886</v>
      </c>
      <c r="P199" s="44">
        <f>'Statistics NZ'!P$199*'Economic Forecasts'!R$9*1000000/SUM('Statistics NZ'!P$30:P$110,'Statistics NZ'!P$130:P$210)</f>
        <v>6455.3635240900021</v>
      </c>
      <c r="Q199" s="44">
        <f>'Statistics NZ'!Q$199*'Economic Forecasts'!S$9*1000000/SUM('Statistics NZ'!Q$30:Q$110,'Statistics NZ'!Q$130:Q$210)</f>
        <v>6904.2944218916637</v>
      </c>
      <c r="R199" s="44">
        <f>'Statistics NZ'!R$199*'Economic Forecasts'!T$9*1000000/SUM('Statistics NZ'!R$30:R$110,'Statistics NZ'!R$130:R$210)</f>
        <v>7259.4102105835736</v>
      </c>
      <c r="S199" s="44">
        <f>'Statistics NZ'!S$199*'Economic Forecasts'!U$9*1000000/SUM('Statistics NZ'!S$30:S$110,'Statistics NZ'!S$130:S$210)</f>
        <v>7426.6052660195646</v>
      </c>
      <c r="T199" s="44">
        <f>'Statistics NZ'!T$199*'Economic Forecasts'!V$9*1000000/SUM('Statistics NZ'!T$30:T$110,'Statistics NZ'!T$130:T$210)</f>
        <v>8335.6149075523099</v>
      </c>
      <c r="U199" s="45">
        <f>SUM('Statistics NZ'!U$199,$R$13/5*(U$8-U$9)*1000)*'Economic Forecasts'!W$9*1000000/SUM('Statistics NZ'!U$30:U$110,'Statistics NZ'!U$130:U$210,SUM($E$12:$T$13)*(U$8-U$9)*1000)</f>
        <v>9053.8766562150304</v>
      </c>
      <c r="V199" s="45">
        <f>SUM('Statistics NZ'!V$199,$R$13/5*(V$8-V$9)*1000)*'Economic Forecasts'!X$9*1000000/SUM('Statistics NZ'!V$30:V$110,'Statistics NZ'!V$130:V$210,SUM($E$12:$T$13)*(V$8-V$9)*1000)</f>
        <v>9287.7496112913814</v>
      </c>
      <c r="W199" s="45">
        <f>SUM('Statistics NZ'!W$199,$R$13/5*(W$8-W$9)*1000)*'Economic Forecasts'!Y$9*1000000/SUM('Statistics NZ'!W$30:W$110,'Statistics NZ'!W$130:W$210,SUM($E$12:$T$13)*(W$8-W$9)*1000)</f>
        <v>8289.4753063607805</v>
      </c>
      <c r="X199" s="45">
        <f>SUM('Statistics NZ'!X$199,$R$13/5*(X$8-X$9)*1000)*'Economic Forecasts'!Z$9*1000000/SUM('Statistics NZ'!X$30:X$110,'Statistics NZ'!X$130:X$210,SUM($E$12:$T$13)*(X$8-X$9)*1000)</f>
        <v>9628.4291915656704</v>
      </c>
      <c r="Y199" s="45">
        <f>SUM('Statistics NZ'!Y$199,$R$13/5*(Y$8-Y$9)*1000)*'Economic Forecasts'!AA$9*1000000/SUM('Statistics NZ'!Y$30:Y$110,'Statistics NZ'!Y$130:Y$210,SUM($E$12:$T$13)*(Y$8-Y$9)*1000)</f>
        <v>10008.371542885408</v>
      </c>
      <c r="Z199" s="46">
        <f>SUM(Y$199,'Statistics NZ'!Z$199-'Statistics NZ'!Y$199,$R$13/5*(Z$8-Z$9)*1000)</f>
        <v>10648.612429226969</v>
      </c>
      <c r="AA199" s="46">
        <f>SUM(Z$199,'Statistics NZ'!AA$199-'Statistics NZ'!Z$199,$R$13/5*(AA$8-AA$9)*1000)</f>
        <v>12828.756961031904</v>
      </c>
      <c r="AB199" s="46">
        <f>SUM(AA$199,'Statistics NZ'!AB$199-'Statistics NZ'!AA$199,$R$13/5*(AB$8-AB$9)*1000)</f>
        <v>12868.824409207542</v>
      </c>
      <c r="AC199" s="46">
        <f>SUM(AB$199,'Statistics NZ'!AC$199-'Statistics NZ'!AB$199,$R$13/5*(AC$8-AC$9)*1000)</f>
        <v>12858.824409207542</v>
      </c>
      <c r="AD199" s="46">
        <f>SUM(AC$199,'Statistics NZ'!AD$199-'Statistics NZ'!AC$199,$R$13/5*(AD$8-AD$9)*1000)</f>
        <v>13258.824409207542</v>
      </c>
      <c r="AE199" s="46">
        <f>SUM(AD$199,'Statistics NZ'!AE$199-'Statistics NZ'!AD$199,$R$13/5*(AE$8-AE$9)*1000)</f>
        <v>13368.824409207542</v>
      </c>
      <c r="AF199" s="46">
        <f>SUM(AE$199,'Statistics NZ'!AF$199-'Statistics NZ'!AE$199,$R$13/5*(AF$8-AF$9)*1000)</f>
        <v>13668.824409207542</v>
      </c>
      <c r="AG199" s="46">
        <f>SUM(AF$199,'Statistics NZ'!AG$199-'Statistics NZ'!AF$199,$R$13/5*(AG$8-AG$9)*1000)</f>
        <v>14008.824409207542</v>
      </c>
      <c r="AH199" s="46">
        <f>SUM(AG$199,'Statistics NZ'!AH$199-'Statistics NZ'!AG$199,$R$13/5*(AH$8-AH$9)*1000)</f>
        <v>14648.824409207542</v>
      </c>
      <c r="AI199" s="46">
        <f>SUM(AH$199,'Statistics NZ'!AI$199-'Statistics NZ'!AH$199,$R$13/5*(AI$8-AI$9)*1000)</f>
        <v>15108.824409207542</v>
      </c>
      <c r="AJ199" s="46">
        <f>SUM(AI$199,'Statistics NZ'!AJ$199-'Statistics NZ'!AI$199,$R$13/5*(AJ$8-AJ$9)*1000)</f>
        <v>15668.824409207542</v>
      </c>
      <c r="AK199" s="46">
        <f>SUM(AJ$199,'Statistics NZ'!AK$199-'Statistics NZ'!AJ$199,$R$13/5*(AK$8-AK$9)*1000)</f>
        <v>16188.824409207542</v>
      </c>
      <c r="AL199" s="46">
        <f>SUM(AK$199,'Statistics NZ'!AL$199-'Statistics NZ'!AK$199,$R$13/5*(AL$8-AL$9)*1000)</f>
        <v>16768.82440920754</v>
      </c>
      <c r="AM199" s="46">
        <f>SUM(AL$199,'Statistics NZ'!AM$199-'Statistics NZ'!AL$199,$R$13/5*(AM$8-AM$9)*1000)</f>
        <v>17588.82440920754</v>
      </c>
      <c r="AN199" s="46">
        <f>SUM(AM$199,'Statistics NZ'!AN$199-'Statistics NZ'!AM$199,$R$13/5*(AN$8-AN$9)*1000)</f>
        <v>17968.82440920754</v>
      </c>
      <c r="AO199" s="46">
        <f>SUM(AN$199,'Statistics NZ'!AO$199-'Statistics NZ'!AN$199,$R$13/5*(AO$8-AO$9)*1000)</f>
        <v>18868.82440920754</v>
      </c>
      <c r="AP199" s="46">
        <f>SUM(AO$199,'Statistics NZ'!AP$199-'Statistics NZ'!AO$199,$R$13/5*(AP$8-AP$9)*1000)</f>
        <v>19428.82440920754</v>
      </c>
      <c r="AQ199" s="46">
        <f>SUM(AP$199,'Statistics NZ'!AQ$199-'Statistics NZ'!AP$199,$R$13/5*(AQ$8-AQ$9)*1000)</f>
        <v>19738.82440920754</v>
      </c>
      <c r="AR199" s="46">
        <f>SUM(AQ$199,'Statistics NZ'!AR$199-'Statistics NZ'!AQ$199,$R$13/5*(AR$8-AR$9)*1000)</f>
        <v>19688.82440920754</v>
      </c>
      <c r="AS199" s="46">
        <f>SUM(AR$199,'Statistics NZ'!AS$199-'Statistics NZ'!AR$199,$R$13/5*(AS$8-AS$9)*1000)</f>
        <v>19418.82440920754</v>
      </c>
      <c r="AT199" s="46">
        <f>SUM(AS$199,'Statistics NZ'!AT$199-'Statistics NZ'!AS$199,$R$13/5*(AT$8-AT$9)*1000)</f>
        <v>19368.82440920754</v>
      </c>
      <c r="AU199" s="46">
        <f>SUM(AT$199,'Statistics NZ'!AU$199-'Statistics NZ'!AT$199,$R$13/5*(AU$8-AU$9)*1000)</f>
        <v>19548.82440920754</v>
      </c>
      <c r="AV199" s="46">
        <f>SUM(AU$199,'Statistics NZ'!AV$199-'Statistics NZ'!AU$199,$R$13/5*(AV$8-AV$9)*1000)</f>
        <v>20138.82440920754</v>
      </c>
      <c r="AW199" s="46">
        <f>SUM(AV$199,'Statistics NZ'!AW$199-'Statistics NZ'!AV$199,$R$13/5*(AW$8-AW$9)*1000)</f>
        <v>20778.82440920754</v>
      </c>
      <c r="AX199" s="46">
        <f>SUM(AW$199,'Statistics NZ'!AX$199-'Statistics NZ'!AW$199,$R$13/5*(AX$8-AX$9)*1000)</f>
        <v>20968.82440920754</v>
      </c>
      <c r="AY199" s="46">
        <f>SUM(AX$199,'Statistics NZ'!AY$199-'Statistics NZ'!AX$199,$R$13/5*(AY$8-AY$9)*1000)</f>
        <v>21898.82440920754</v>
      </c>
      <c r="AZ199" s="46">
        <f>SUM(AY$199,'Statistics NZ'!AZ$199-'Statistics NZ'!AY$199,$R$13/5*(AZ$8-AZ$9)*1000)</f>
        <v>21928.82440920754</v>
      </c>
      <c r="BA199" s="46">
        <f>SUM(AZ$199,'Statistics NZ'!BA$199-'Statistics NZ'!AZ$199,$R$13/5*(BA$8-BA$9)*1000)</f>
        <v>21568.82440920754</v>
      </c>
      <c r="BB199" s="46">
        <f>SUM(BA$199,'Statistics NZ'!BB$199-'Statistics NZ'!BA$199,$R$13/5*(BB$8-BB$9)*1000)</f>
        <v>21248.82440920754</v>
      </c>
      <c r="BC199" s="46">
        <f>SUM(BB$199,'Statistics NZ'!BC$199-'Statistics NZ'!BB$199,$R$13/5*(BC$8-BC$9)*1000)</f>
        <v>20778.82440920754</v>
      </c>
      <c r="BD199" s="46">
        <f>SUM(BC$199,'Statistics NZ'!BD$199-'Statistics NZ'!BC$199,$R$13/5*(BD$8-BD$9)*1000)</f>
        <v>20858.82440920754</v>
      </c>
      <c r="BE199" s="46">
        <f>SUM(BD$199,'Statistics NZ'!BE$199-'Statistics NZ'!BD$199,$R$13/5*(BE$8-BE$9)*1000)</f>
        <v>21308.82440920754</v>
      </c>
      <c r="BF199" s="46">
        <f>SUM(BE$199,'Statistics NZ'!BF$199-'Statistics NZ'!BE$199,$R$13/5*(BF$8-BF$9)*1000)</f>
        <v>21318.82440920754</v>
      </c>
      <c r="BG199" s="46">
        <f>SUM(BF$199,'Statistics NZ'!BG$199-'Statistics NZ'!BF$199,$R$13/5*(BG$8-BG$9)*1000)</f>
        <v>22418.82440920754</v>
      </c>
      <c r="BH199" s="46">
        <f>SUM(BG$199,'Statistics NZ'!BH$199-'Statistics NZ'!BG$199,$R$13/5*(BH$8-BH$9)*1000)</f>
        <v>23378.82440920754</v>
      </c>
      <c r="BI199" s="46">
        <f>SUM(BH$199,'Statistics NZ'!BI$199-'Statistics NZ'!BH$199,$R$13/5*(BI$8-BI$9)*1000)</f>
        <v>24248.82440920754</v>
      </c>
    </row>
    <row r="200" spans="1:61" x14ac:dyDescent="0.25">
      <c r="A200" s="11">
        <f>$A$100</f>
        <v>85</v>
      </c>
      <c r="B200" s="44">
        <f>'Statistics NZ'!B$200*'Economic Forecasts'!D$9*1000000/SUM('Statistics NZ'!B$30:B$110,'Statistics NZ'!B$130:B$210)</f>
        <v>3766.8172386176097</v>
      </c>
      <c r="C200" s="44">
        <f>'Statistics NZ'!C$200*'Economic Forecasts'!E$9*1000000/SUM('Statistics NZ'!C$30:C$110,'Statistics NZ'!C$130:C$210)</f>
        <v>4065.512398876539</v>
      </c>
      <c r="D200" s="44">
        <f>'Statistics NZ'!D$200*'Economic Forecasts'!F$9*1000000/SUM('Statistics NZ'!D$30:D$110,'Statistics NZ'!D$130:D$210)</f>
        <v>4174.6575749649255</v>
      </c>
      <c r="E200" s="44">
        <f>'Statistics NZ'!E$200*'Economic Forecasts'!G$9*1000000/SUM('Statistics NZ'!E$30:E$110,'Statistics NZ'!E$130:E$210)</f>
        <v>4354.3181711275229</v>
      </c>
      <c r="F200" s="44">
        <f>'Statistics NZ'!F$200*'Economic Forecasts'!H$9*1000000/SUM('Statistics NZ'!F$30:F$110,'Statistics NZ'!F$130:F$210)</f>
        <v>4669.0037211220879</v>
      </c>
      <c r="G200" s="44">
        <f>'Statistics NZ'!G$200*'Economic Forecasts'!I$9*1000000/SUM('Statistics NZ'!G$30:G$110,'Statistics NZ'!G$130:G$210)</f>
        <v>4744.2541013341925</v>
      </c>
      <c r="H200" s="44">
        <f>'Statistics NZ'!H$200*'Economic Forecasts'!J$9*1000000/SUM('Statistics NZ'!H$30:H$110,'Statistics NZ'!H$130:H$210)</f>
        <v>5069.7707658575773</v>
      </c>
      <c r="I200" s="44">
        <f>'Statistics NZ'!I$200*'Economic Forecasts'!K$9*1000000/SUM('Statistics NZ'!I$30:I$110,'Statistics NZ'!I$130:I$210)</f>
        <v>5176.2772018305777</v>
      </c>
      <c r="J200" s="44">
        <f>'Statistics NZ'!J$200*'Economic Forecasts'!L$9*1000000/SUM('Statistics NZ'!J$30:J$110,'Statistics NZ'!J$130:J$210)</f>
        <v>5305.0239407003</v>
      </c>
      <c r="K200" s="44">
        <f>'Statistics NZ'!K$200*'Economic Forecasts'!M$9*1000000/SUM('Statistics NZ'!K$30:K$110,'Statistics NZ'!K$130:K$210)</f>
        <v>5306.2395416465852</v>
      </c>
      <c r="L200" s="44">
        <f>'Statistics NZ'!L$200*'Economic Forecasts'!N$9*1000000/SUM('Statistics NZ'!L$30:L$110,'Statistics NZ'!L$130:L$210)</f>
        <v>5754.3394792466561</v>
      </c>
      <c r="M200" s="44">
        <f>'Statistics NZ'!M$200*'Economic Forecasts'!O$9*1000000/SUM('Statistics NZ'!M$30:M$110,'Statistics NZ'!M$130:M$210)</f>
        <v>5490.5004991320002</v>
      </c>
      <c r="N200" s="44">
        <f>'Statistics NZ'!N$200*'Economic Forecasts'!P$9*1000000/SUM('Statistics NZ'!N$30:N$110,'Statistics NZ'!N$130:N$210)</f>
        <v>5362.1439807391744</v>
      </c>
      <c r="O200" s="44">
        <f>'Statistics NZ'!O$200*'Economic Forecasts'!Q$9*1000000/SUM('Statistics NZ'!O$30:O$110,'Statistics NZ'!O$130:O$210)</f>
        <v>5663.6916967095285</v>
      </c>
      <c r="P200" s="44">
        <f>'Statistics NZ'!P$200*'Economic Forecasts'!R$9*1000000/SUM('Statistics NZ'!P$30:P$110,'Statistics NZ'!P$130:P$210)</f>
        <v>5826.5305476185258</v>
      </c>
      <c r="Q200" s="44">
        <f>'Statistics NZ'!Q$200*'Economic Forecasts'!S$9*1000000/SUM('Statistics NZ'!Q$30:Q$110,'Statistics NZ'!Q$130:Q$210)</f>
        <v>5980.410420113355</v>
      </c>
      <c r="R200" s="44">
        <f>'Statistics NZ'!R$200*'Economic Forecasts'!T$9*1000000/SUM('Statistics NZ'!R$30:R$110,'Statistics NZ'!R$130:R$210)</f>
        <v>6243.6902634237322</v>
      </c>
      <c r="S200" s="44">
        <f>'Statistics NZ'!S$200*'Economic Forecasts'!U$9*1000000/SUM('Statistics NZ'!S$30:S$110,'Statistics NZ'!S$130:S$210)</f>
        <v>6503.1913837367083</v>
      </c>
      <c r="T200" s="44">
        <f>'Statistics NZ'!T$200*'Economic Forecasts'!V$9*1000000/SUM('Statistics NZ'!T$30:T$110,'Statistics NZ'!T$130:T$210)</f>
        <v>6868.7052686489305</v>
      </c>
      <c r="U200" s="45">
        <f>SUM('Statistics NZ'!U$200,$S$13/5*(U$8-U$9)*1000)*'Economic Forecasts'!W$9*1000000/SUM('Statistics NZ'!U$30:U$110,'Statistics NZ'!U$130:U$210,SUM($E$12:$T$13)*(U$8-U$9)*1000)</f>
        <v>7647.2156086025734</v>
      </c>
      <c r="V200" s="45">
        <f>SUM('Statistics NZ'!V$200,$S$13/5*(V$8-V$9)*1000)*'Economic Forecasts'!X$9*1000000/SUM('Statistics NZ'!V$30:V$110,'Statistics NZ'!V$130:V$210,SUM($E$12:$T$13)*(V$8-V$9)*1000)</f>
        <v>8317.3050972113306</v>
      </c>
      <c r="W200" s="45">
        <f>SUM('Statistics NZ'!W$200,$S$13/5*(W$8-W$9)*1000)*'Economic Forecasts'!Y$9*1000000/SUM('Statistics NZ'!W$30:W$110,'Statistics NZ'!W$130:W$210,SUM($E$12:$T$13)*(W$8-W$9)*1000)</f>
        <v>8546.8128688555844</v>
      </c>
      <c r="X200" s="45">
        <f>SUM('Statistics NZ'!X$200,$S$13/5*(X$8-X$9)*1000)*'Economic Forecasts'!Z$9*1000000/SUM('Statistics NZ'!X$30:X$110,'Statistics NZ'!X$130:X$210,SUM($E$12:$T$13)*(X$8-X$9)*1000)</f>
        <v>7637.3634316758298</v>
      </c>
      <c r="Y200" s="45">
        <f>SUM('Statistics NZ'!Y$200,$S$13/5*(Y$8-Y$9)*1000)*'Economic Forecasts'!AA$9*1000000/SUM('Statistics NZ'!Y$30:Y$110,'Statistics NZ'!Y$130:Y$210,SUM($E$12:$T$13)*(Y$8-Y$9)*1000)</f>
        <v>8878.6766377782933</v>
      </c>
      <c r="Z200" s="46">
        <f>SUM(Y$200,'Statistics NZ'!Z$200-'Statistics NZ'!Y$200,$S$13/5*(Z$8-Z$9)*1000)</f>
        <v>9238.8669172600476</v>
      </c>
      <c r="AA200" s="46">
        <f>SUM(Z$200,'Statistics NZ'!AA$200-'Statistics NZ'!Z$200,$S$13/5*(AA$8-AA$9)*1000)</f>
        <v>9848.9810849491005</v>
      </c>
      <c r="AB200" s="46">
        <f>SUM(AA$200,'Statistics NZ'!AB$200-'Statistics NZ'!AA$200,$S$13/5*(AB$8-AB$9)*1000)</f>
        <v>11879.034363203991</v>
      </c>
      <c r="AC200" s="46">
        <f>SUM(AB$200,'Statistics NZ'!AC$200-'Statistics NZ'!AB$200,$S$13/5*(AC$8-AC$9)*1000)</f>
        <v>11929.034363203991</v>
      </c>
      <c r="AD200" s="46">
        <f>SUM(AC$200,'Statistics NZ'!AD$200-'Statistics NZ'!AC$200,$S$13/5*(AD$8-AD$9)*1000)</f>
        <v>11919.034363203991</v>
      </c>
      <c r="AE200" s="46">
        <f>SUM(AD$200,'Statistics NZ'!AE$200-'Statistics NZ'!AD$200,$S$13/5*(AE$8-AE$9)*1000)</f>
        <v>12299.034363203991</v>
      </c>
      <c r="AF200" s="46">
        <f>SUM(AE$200,'Statistics NZ'!AF$200-'Statistics NZ'!AE$200,$S$13/5*(AF$8-AF$9)*1000)</f>
        <v>12419.034363203991</v>
      </c>
      <c r="AG200" s="46">
        <f>SUM(AF$200,'Statistics NZ'!AG$200-'Statistics NZ'!AF$200,$S$13/5*(AG$8-AG$9)*1000)</f>
        <v>12719.034363203991</v>
      </c>
      <c r="AH200" s="46">
        <f>SUM(AG$200,'Statistics NZ'!AH$200-'Statistics NZ'!AG$200,$S$13/5*(AH$8-AH$9)*1000)</f>
        <v>13039.034363203991</v>
      </c>
      <c r="AI200" s="46">
        <f>SUM(AH$200,'Statistics NZ'!AI$200-'Statistics NZ'!AH$200,$S$13/5*(AI$8-AI$9)*1000)</f>
        <v>13649.034363203991</v>
      </c>
      <c r="AJ200" s="46">
        <f>SUM(AI$200,'Statistics NZ'!AJ$200-'Statistics NZ'!AI$200,$S$13/5*(AJ$8-AJ$9)*1000)</f>
        <v>14079.034363203991</v>
      </c>
      <c r="AK200" s="46">
        <f>SUM(AJ$200,'Statistics NZ'!AK$200-'Statistics NZ'!AJ$200,$S$13/5*(AK$8-AK$9)*1000)</f>
        <v>14629.034363203991</v>
      </c>
      <c r="AL200" s="46">
        <f>SUM(AK$200,'Statistics NZ'!AL$200-'Statistics NZ'!AK$200,$S$13/5*(AL$8-AL$9)*1000)</f>
        <v>15119.034363203991</v>
      </c>
      <c r="AM200" s="46">
        <f>SUM(AL$200,'Statistics NZ'!AM$200-'Statistics NZ'!AL$200,$S$13/5*(AM$8-AM$9)*1000)</f>
        <v>15669.034363203991</v>
      </c>
      <c r="AN200" s="46">
        <f>SUM(AM$200,'Statistics NZ'!AN$200-'Statistics NZ'!AM$200,$S$13/5*(AN$8-AN$9)*1000)</f>
        <v>16449.034363203991</v>
      </c>
      <c r="AO200" s="46">
        <f>SUM(AN$200,'Statistics NZ'!AO$200-'Statistics NZ'!AN$200,$S$13/5*(AO$8-AO$9)*1000)</f>
        <v>16829.034363203991</v>
      </c>
      <c r="AP200" s="46">
        <f>SUM(AO$200,'Statistics NZ'!AP$200-'Statistics NZ'!AO$200,$S$13/5*(AP$8-AP$9)*1000)</f>
        <v>17689.034363203991</v>
      </c>
      <c r="AQ200" s="46">
        <f>SUM(AP$200,'Statistics NZ'!AQ$200-'Statistics NZ'!AP$200,$S$13/5*(AQ$8-AQ$9)*1000)</f>
        <v>18229.034363203991</v>
      </c>
      <c r="AR200" s="46">
        <f>SUM(AQ$200,'Statistics NZ'!AR$200-'Statistics NZ'!AQ$200,$S$13/5*(AR$8-AR$9)*1000)</f>
        <v>18529.034363203991</v>
      </c>
      <c r="AS200" s="46">
        <f>SUM(AR$200,'Statistics NZ'!AS$200-'Statistics NZ'!AR$200,$S$13/5*(AS$8-AS$9)*1000)</f>
        <v>18499.034363203991</v>
      </c>
      <c r="AT200" s="46">
        <f>SUM(AS$200,'Statistics NZ'!AT$200-'Statistics NZ'!AS$200,$S$13/5*(AT$8-AT$9)*1000)</f>
        <v>18259.034363203991</v>
      </c>
      <c r="AU200" s="46">
        <f>SUM(AT$200,'Statistics NZ'!AU$200-'Statistics NZ'!AT$200,$S$13/5*(AU$8-AU$9)*1000)</f>
        <v>18229.034363203991</v>
      </c>
      <c r="AV200" s="46">
        <f>SUM(AU$200,'Statistics NZ'!AV$200-'Statistics NZ'!AU$200,$S$13/5*(AV$8-AV$9)*1000)</f>
        <v>18409.034363203991</v>
      </c>
      <c r="AW200" s="46">
        <f>SUM(AV$200,'Statistics NZ'!AW$200-'Statistics NZ'!AV$200,$S$13/5*(AW$8-AW$9)*1000)</f>
        <v>18979.034363203991</v>
      </c>
      <c r="AX200" s="46">
        <f>SUM(AW$200,'Statistics NZ'!AX$200-'Statistics NZ'!AW$200,$S$13/5*(AX$8-AX$9)*1000)</f>
        <v>19589.034363203991</v>
      </c>
      <c r="AY200" s="46">
        <f>SUM(AX$200,'Statistics NZ'!AY$200-'Statistics NZ'!AX$200,$S$13/5*(AY$8-AY$9)*1000)</f>
        <v>19789.034363203991</v>
      </c>
      <c r="AZ200" s="46">
        <f>SUM(AY$200,'Statistics NZ'!AZ$200-'Statistics NZ'!AY$200,$S$13/5*(AZ$8-AZ$9)*1000)</f>
        <v>20679.034363203991</v>
      </c>
      <c r="BA200" s="46">
        <f>SUM(AZ$200,'Statistics NZ'!BA$200-'Statistics NZ'!AZ$200,$S$13/5*(BA$8-BA$9)*1000)</f>
        <v>20729.034363203991</v>
      </c>
      <c r="BB200" s="46">
        <f>SUM(BA$200,'Statistics NZ'!BB$200-'Statistics NZ'!BA$200,$S$13/5*(BB$8-BB$9)*1000)</f>
        <v>20399.034363203991</v>
      </c>
      <c r="BC200" s="46">
        <f>SUM(BB$200,'Statistics NZ'!BC$200-'Statistics NZ'!BB$200,$S$13/5*(BC$8-BC$9)*1000)</f>
        <v>20109.034363203991</v>
      </c>
      <c r="BD200" s="46">
        <f>SUM(BC$200,'Statistics NZ'!BD$200-'Statistics NZ'!BC$200,$S$13/5*(BD$8-BD$9)*1000)</f>
        <v>19679.034363203991</v>
      </c>
      <c r="BE200" s="46">
        <f>SUM(BD$200,'Statistics NZ'!BE$200-'Statistics NZ'!BD$200,$S$13/5*(BE$8-BE$9)*1000)</f>
        <v>19769.034363203991</v>
      </c>
      <c r="BF200" s="46">
        <f>SUM(BE$200,'Statistics NZ'!BF$200-'Statistics NZ'!BE$200,$S$13/5*(BF$8-BF$9)*1000)</f>
        <v>20209.034363203991</v>
      </c>
      <c r="BG200" s="46">
        <f>SUM(BF$200,'Statistics NZ'!BG$200-'Statistics NZ'!BF$200,$S$13/5*(BG$8-BG$9)*1000)</f>
        <v>20229.034363203991</v>
      </c>
      <c r="BH200" s="46">
        <f>SUM(BG$200,'Statistics NZ'!BH$200-'Statistics NZ'!BG$200,$S$13/5*(BH$8-BH$9)*1000)</f>
        <v>21289.034363203991</v>
      </c>
      <c r="BI200" s="46">
        <f>SUM(BH$200,'Statistics NZ'!BI$200-'Statistics NZ'!BH$200,$S$13/5*(BI$8-BI$9)*1000)</f>
        <v>22219.034363203991</v>
      </c>
    </row>
    <row r="201" spans="1:61" x14ac:dyDescent="0.25">
      <c r="A201" s="11">
        <f>$A$101</f>
        <v>86</v>
      </c>
      <c r="B201" s="44">
        <f>'Statistics NZ'!B$201*'Economic Forecasts'!D$9*1000000/SUM('Statistics NZ'!B$30:B$110,'Statistics NZ'!B$130:B$210)</f>
        <v>3218.9165493641394</v>
      </c>
      <c r="C201" s="44">
        <f>'Statistics NZ'!C$201*'Economic Forecasts'!E$9*1000000/SUM('Statistics NZ'!C$30:C$110,'Statistics NZ'!C$130:C$210)</f>
        <v>3358.4667642893151</v>
      </c>
      <c r="D201" s="44">
        <f>'Statistics NZ'!D$201*'Economic Forecasts'!F$9*1000000/SUM('Statistics NZ'!D$30:D$110,'Statistics NZ'!D$130:D$210)</f>
        <v>3575.4714289111353</v>
      </c>
      <c r="E201" s="44">
        <f>'Statistics NZ'!E$201*'Economic Forecasts'!G$9*1000000/SUM('Statistics NZ'!E$30:E$110,'Statistics NZ'!E$130:E$210)</f>
        <v>3716.8616821111059</v>
      </c>
      <c r="F201" s="44">
        <f>'Statistics NZ'!F$201*'Economic Forecasts'!H$9*1000000/SUM('Statistics NZ'!F$30:F$110,'Statistics NZ'!F$130:F$210)</f>
        <v>3894.1060447173718</v>
      </c>
      <c r="G201" s="44">
        <f>'Statistics NZ'!G$201*'Economic Forecasts'!I$9*1000000/SUM('Statistics NZ'!G$30:G$110,'Statistics NZ'!G$130:G$210)</f>
        <v>4174.55071028371</v>
      </c>
      <c r="H201" s="44">
        <f>'Statistics NZ'!H$201*'Economic Forecasts'!J$9*1000000/SUM('Statistics NZ'!H$30:H$110,'Statistics NZ'!H$130:H$210)</f>
        <v>4234.6341086911152</v>
      </c>
      <c r="I201" s="44">
        <f>'Statistics NZ'!I$201*'Economic Forecasts'!K$9*1000000/SUM('Statistics NZ'!I$30:I$110,'Statistics NZ'!I$130:I$210)</f>
        <v>4519.4389962952591</v>
      </c>
      <c r="J201" s="44">
        <f>'Statistics NZ'!J$201*'Economic Forecasts'!L$9*1000000/SUM('Statistics NZ'!J$30:J$110,'Statistics NZ'!J$130:J$210)</f>
        <v>4612.6403013809604</v>
      </c>
      <c r="K201" s="44">
        <f>'Statistics NZ'!K$201*'Economic Forecasts'!M$9*1000000/SUM('Statistics NZ'!K$30:K$110,'Statistics NZ'!K$130:K$210)</f>
        <v>4731.8026004408075</v>
      </c>
      <c r="L201" s="44">
        <f>'Statistics NZ'!L$201*'Economic Forecasts'!N$9*1000000/SUM('Statistics NZ'!L$30:L$110,'Statistics NZ'!L$130:L$210)</f>
        <v>4761.2047467878419</v>
      </c>
      <c r="M201" s="44">
        <f>'Statistics NZ'!M$201*'Economic Forecasts'!O$9*1000000/SUM('Statistics NZ'!M$30:M$110,'Statistics NZ'!M$130:M$210)</f>
        <v>5168.1045623502268</v>
      </c>
      <c r="N201" s="44">
        <f>'Statistics NZ'!N$201*'Economic Forecasts'!P$9*1000000/SUM('Statistics NZ'!N$30:N$110,'Statistics NZ'!N$130:N$210)</f>
        <v>4912.0370042537697</v>
      </c>
      <c r="O201" s="44">
        <f>'Statistics NZ'!O$201*'Economic Forecasts'!Q$9*1000000/SUM('Statistics NZ'!O$30:O$110,'Statistics NZ'!O$130:O$210)</f>
        <v>4877.0678499443165</v>
      </c>
      <c r="P201" s="44">
        <f>'Statistics NZ'!P$201*'Economic Forecasts'!R$9*1000000/SUM('Statistics NZ'!P$30:P$110,'Statistics NZ'!P$130:P$210)</f>
        <v>5128.9189643454811</v>
      </c>
      <c r="Q201" s="44">
        <f>'Statistics NZ'!Q$201*'Economic Forecasts'!S$9*1000000/SUM('Statistics NZ'!Q$30:Q$110,'Statistics NZ'!Q$130:Q$210)</f>
        <v>5344.619279104626</v>
      </c>
      <c r="R201" s="44">
        <f>'Statistics NZ'!R$201*'Economic Forecasts'!T$9*1000000/SUM('Statistics NZ'!R$30:R$110,'Statistics NZ'!R$130:R$210)</f>
        <v>5397.2569741238649</v>
      </c>
      <c r="S201" s="44">
        <f>'Statistics NZ'!S$201*'Economic Forecasts'!U$9*1000000/SUM('Statistics NZ'!S$30:S$110,'Statistics NZ'!S$130:S$210)</f>
        <v>5540.4832936971352</v>
      </c>
      <c r="T201" s="44">
        <f>'Statistics NZ'!T$201*'Economic Forecasts'!V$9*1000000/SUM('Statistics NZ'!T$30:T$110,'Statistics NZ'!T$130:T$210)</f>
        <v>5956.8425201414257</v>
      </c>
      <c r="U201" s="45">
        <f>SUM('Statistics NZ'!U$201,$S$13/5*(U$8-U$9)*1000)*'Economic Forecasts'!W$9*1000000/SUM('Statistics NZ'!U$30:U$110,'Statistics NZ'!U$130:U$210,SUM($E$12:$T$13)*(U$8-U$9)*1000)</f>
        <v>6220.9030621428201</v>
      </c>
      <c r="V201" s="45">
        <f>SUM('Statistics NZ'!V$201,$S$13/5*(V$8-V$9)*1000)*'Economic Forecasts'!X$9*1000000/SUM('Statistics NZ'!V$30:V$110,'Statistics NZ'!V$130:V$210,SUM($E$12:$T$13)*(V$8-V$9)*1000)</f>
        <v>6941.0913868346479</v>
      </c>
      <c r="W201" s="45">
        <f>SUM('Statistics NZ'!W$201,$S$13/5*(W$8-W$9)*1000)*'Economic Forecasts'!Y$9*1000000/SUM('Statistics NZ'!W$30:W$110,'Statistics NZ'!W$130:W$210,SUM($E$12:$T$13)*(W$8-W$9)*1000)</f>
        <v>7556.5133028615382</v>
      </c>
      <c r="X201" s="45">
        <f>SUM('Statistics NZ'!X$201,$S$13/5*(X$8-X$9)*1000)*'Economic Forecasts'!Z$9*1000000/SUM('Statistics NZ'!X$30:X$110,'Statistics NZ'!X$130:X$210,SUM($E$12:$T$13)*(X$8-X$9)*1000)</f>
        <v>7785.9423484423332</v>
      </c>
      <c r="Y201" s="45">
        <f>SUM('Statistics NZ'!Y$201,$S$13/5*(Y$8-Y$9)*1000)*'Economic Forecasts'!AA$9*1000000/SUM('Statistics NZ'!Y$30:Y$110,'Statistics NZ'!Y$130:Y$210,SUM($E$12:$T$13)*(Y$8-Y$9)*1000)</f>
        <v>6966.2588162697057</v>
      </c>
      <c r="Z201" s="46">
        <f>SUM(Y$201,'Statistics NZ'!Z$201-'Statistics NZ'!Y$201,$S$13/5*(Z$8-Z$9)*1000)</f>
        <v>8116.449095751459</v>
      </c>
      <c r="AA201" s="46">
        <f>SUM(Z$201,'Statistics NZ'!AA$201-'Statistics NZ'!Z$201,$S$13/5*(AA$8-AA$9)*1000)</f>
        <v>8446.5632634405119</v>
      </c>
      <c r="AB201" s="46">
        <f>SUM(AA$201,'Statistics NZ'!AB$201-'Statistics NZ'!AA$201,$S$13/5*(AB$8-AB$9)*1000)</f>
        <v>9016.6165416954027</v>
      </c>
      <c r="AC201" s="46">
        <f>SUM(AB$201,'Statistics NZ'!AC$201-'Statistics NZ'!AB$201,$S$13/5*(AC$8-AC$9)*1000)</f>
        <v>10876.616541695403</v>
      </c>
      <c r="AD201" s="46">
        <f>SUM(AC$201,'Statistics NZ'!AD$201-'Statistics NZ'!AC$201,$S$13/5*(AD$8-AD$9)*1000)</f>
        <v>10936.616541695403</v>
      </c>
      <c r="AE201" s="46">
        <f>SUM(AD$201,'Statistics NZ'!AE$201-'Statistics NZ'!AD$201,$S$13/5*(AE$8-AE$9)*1000)</f>
        <v>10946.616541695403</v>
      </c>
      <c r="AF201" s="46">
        <f>SUM(AE$201,'Statistics NZ'!AF$201-'Statistics NZ'!AE$201,$S$13/5*(AF$8-AF$9)*1000)</f>
        <v>11306.616541695403</v>
      </c>
      <c r="AG201" s="46">
        <f>SUM(AF$201,'Statistics NZ'!AG$201-'Statistics NZ'!AF$201,$S$13/5*(AG$8-AG$9)*1000)</f>
        <v>11426.616541695403</v>
      </c>
      <c r="AH201" s="46">
        <f>SUM(AG$201,'Statistics NZ'!AH$201-'Statistics NZ'!AG$201,$S$13/5*(AH$8-AH$9)*1000)</f>
        <v>11706.616541695403</v>
      </c>
      <c r="AI201" s="46">
        <f>SUM(AH$201,'Statistics NZ'!AI$201-'Statistics NZ'!AH$201,$S$13/5*(AI$8-AI$9)*1000)</f>
        <v>12016.616541695403</v>
      </c>
      <c r="AJ201" s="46">
        <f>SUM(AI$201,'Statistics NZ'!AJ$201-'Statistics NZ'!AI$201,$S$13/5*(AJ$8-AJ$9)*1000)</f>
        <v>12596.616541695403</v>
      </c>
      <c r="AK201" s="46">
        <f>SUM(AJ$201,'Statistics NZ'!AK$201-'Statistics NZ'!AJ$201,$S$13/5*(AK$8-AK$9)*1000)</f>
        <v>13006.616541695403</v>
      </c>
      <c r="AL201" s="46">
        <f>SUM(AK$201,'Statistics NZ'!AL$201-'Statistics NZ'!AK$201,$S$13/5*(AL$8-AL$9)*1000)</f>
        <v>13516.616541695403</v>
      </c>
      <c r="AM201" s="46">
        <f>SUM(AL$201,'Statistics NZ'!AM$201-'Statistics NZ'!AL$201,$S$13/5*(AM$8-AM$9)*1000)</f>
        <v>13986.616541695403</v>
      </c>
      <c r="AN201" s="46">
        <f>SUM(AM$201,'Statistics NZ'!AN$201-'Statistics NZ'!AM$201,$S$13/5*(AN$8-AN$9)*1000)</f>
        <v>14516.616541695403</v>
      </c>
      <c r="AO201" s="46">
        <f>SUM(AN$201,'Statistics NZ'!AO$201-'Statistics NZ'!AN$201,$S$13/5*(AO$8-AO$9)*1000)</f>
        <v>15246.616541695403</v>
      </c>
      <c r="AP201" s="46">
        <f>SUM(AO$201,'Statistics NZ'!AP$201-'Statistics NZ'!AO$201,$S$13/5*(AP$8-AP$9)*1000)</f>
        <v>15606.616541695403</v>
      </c>
      <c r="AQ201" s="46">
        <f>SUM(AP$201,'Statistics NZ'!AQ$201-'Statistics NZ'!AP$201,$S$13/5*(AQ$8-AQ$9)*1000)</f>
        <v>16416.616541695403</v>
      </c>
      <c r="AR201" s="46">
        <f>SUM(AQ$201,'Statistics NZ'!AR$201-'Statistics NZ'!AQ$201,$S$13/5*(AR$8-AR$9)*1000)</f>
        <v>16936.616541695403</v>
      </c>
      <c r="AS201" s="46">
        <f>SUM(AR$201,'Statistics NZ'!AS$201-'Statistics NZ'!AR$201,$S$13/5*(AS$8-AS$9)*1000)</f>
        <v>17226.616541695403</v>
      </c>
      <c r="AT201" s="46">
        <f>SUM(AS$201,'Statistics NZ'!AT$201-'Statistics NZ'!AS$201,$S$13/5*(AT$8-AT$9)*1000)</f>
        <v>17216.616541695403</v>
      </c>
      <c r="AU201" s="46">
        <f>SUM(AT$201,'Statistics NZ'!AU$201-'Statistics NZ'!AT$201,$S$13/5*(AU$8-AU$9)*1000)</f>
        <v>17006.616541695403</v>
      </c>
      <c r="AV201" s="46">
        <f>SUM(AU$201,'Statistics NZ'!AV$201-'Statistics NZ'!AU$201,$S$13/5*(AV$8-AV$9)*1000)</f>
        <v>16996.616541695403</v>
      </c>
      <c r="AW201" s="46">
        <f>SUM(AV$201,'Statistics NZ'!AW$201-'Statistics NZ'!AV$201,$S$13/5*(AW$8-AW$9)*1000)</f>
        <v>17176.616541695403</v>
      </c>
      <c r="AX201" s="46">
        <f>SUM(AW$201,'Statistics NZ'!AX$201-'Statistics NZ'!AW$201,$S$13/5*(AX$8-AX$9)*1000)</f>
        <v>17716.616541695403</v>
      </c>
      <c r="AY201" s="46">
        <f>SUM(AX$201,'Statistics NZ'!AY$201-'Statistics NZ'!AX$201,$S$13/5*(AY$8-AY$9)*1000)</f>
        <v>18306.616541695403</v>
      </c>
      <c r="AZ201" s="46">
        <f>SUM(AY$201,'Statistics NZ'!AZ$201-'Statistics NZ'!AY$201,$S$13/5*(AZ$8-AZ$9)*1000)</f>
        <v>18506.616541695403</v>
      </c>
      <c r="BA201" s="46">
        <f>SUM(AZ$201,'Statistics NZ'!BA$201-'Statistics NZ'!AZ$201,$S$13/5*(BA$8-BA$9)*1000)</f>
        <v>19356.616541695403</v>
      </c>
      <c r="BB201" s="46">
        <f>SUM(BA$201,'Statistics NZ'!BB$201-'Statistics NZ'!BA$201,$S$13/5*(BB$8-BB$9)*1000)</f>
        <v>19416.616541695403</v>
      </c>
      <c r="BC201" s="46">
        <f>SUM(BB$201,'Statistics NZ'!BC$201-'Statistics NZ'!BB$201,$S$13/5*(BC$8-BC$9)*1000)</f>
        <v>19116.616541695403</v>
      </c>
      <c r="BD201" s="46">
        <f>SUM(BC$201,'Statistics NZ'!BD$201-'Statistics NZ'!BC$201,$S$13/5*(BD$8-BD$9)*1000)</f>
        <v>18866.616541695403</v>
      </c>
      <c r="BE201" s="46">
        <f>SUM(BD$201,'Statistics NZ'!BE$201-'Statistics NZ'!BD$201,$S$13/5*(BE$8-BE$9)*1000)</f>
        <v>18476.616541695403</v>
      </c>
      <c r="BF201" s="46">
        <f>SUM(BE$201,'Statistics NZ'!BF$201-'Statistics NZ'!BE$201,$S$13/5*(BF$8-BF$9)*1000)</f>
        <v>18576.616541695403</v>
      </c>
      <c r="BG201" s="46">
        <f>SUM(BF$201,'Statistics NZ'!BG$201-'Statistics NZ'!BF$201,$S$13/5*(BG$8-BG$9)*1000)</f>
        <v>18996.616541695403</v>
      </c>
      <c r="BH201" s="46">
        <f>SUM(BG$201,'Statistics NZ'!BH$201-'Statistics NZ'!BG$201,$S$13/5*(BH$8-BH$9)*1000)</f>
        <v>19036.616541695403</v>
      </c>
      <c r="BI201" s="46">
        <f>SUM(BH$201,'Statistics NZ'!BI$201-'Statistics NZ'!BH$201,$S$13/5*(BI$8-BI$9)*1000)</f>
        <v>20046.616541695403</v>
      </c>
    </row>
    <row r="202" spans="1:61" x14ac:dyDescent="0.25">
      <c r="A202" s="11">
        <f>$A$102</f>
        <v>87</v>
      </c>
      <c r="B202" s="44">
        <f>'Statistics NZ'!B$202*'Economic Forecasts'!D$9*1000000/SUM('Statistics NZ'!B$30:B$110,'Statistics NZ'!B$130:B$210)</f>
        <v>2328.5779293272494</v>
      </c>
      <c r="C202" s="44">
        <f>'Statistics NZ'!C$202*'Economic Forecasts'!E$9*1000000/SUM('Statistics NZ'!C$30:C$110,'Statistics NZ'!C$130:C$210)</f>
        <v>2798.7223035744291</v>
      </c>
      <c r="D202" s="44">
        <f>'Statistics NZ'!D$202*'Economic Forecasts'!F$9*1000000/SUM('Statistics NZ'!D$30:D$110,'Statistics NZ'!D$130:D$210)</f>
        <v>2927.1716643283471</v>
      </c>
      <c r="E202" s="44">
        <f>'Statistics NZ'!E$202*'Economic Forecasts'!G$9*1000000/SUM('Statistics NZ'!E$30:E$110,'Statistics NZ'!E$130:E$210)</f>
        <v>3138.2473305423591</v>
      </c>
      <c r="F202" s="44">
        <f>'Statistics NZ'!F$202*'Economic Forecasts'!H$9*1000000/SUM('Statistics NZ'!F$30:F$110,'Statistics NZ'!F$130:F$210)</f>
        <v>3266.3408385160828</v>
      </c>
      <c r="G202" s="44">
        <f>'Statistics NZ'!G$202*'Economic Forecasts'!I$9*1000000/SUM('Statistics NZ'!G$30:G$110,'Statistics NZ'!G$130:G$210)</f>
        <v>3418.2203463028968</v>
      </c>
      <c r="H202" s="44">
        <f>'Statistics NZ'!H$202*'Economic Forecasts'!J$9*1000000/SUM('Statistics NZ'!H$30:H$110,'Statistics NZ'!H$130:H$210)</f>
        <v>3694.251565818699</v>
      </c>
      <c r="I202" s="44">
        <f>'Statistics NZ'!I$202*'Economic Forecasts'!K$9*1000000/SUM('Statistics NZ'!I$30:I$110,'Statistics NZ'!I$130:I$210)</f>
        <v>3686.1367952429878</v>
      </c>
      <c r="J202" s="44">
        <f>'Statistics NZ'!J$202*'Economic Forecasts'!L$9*1000000/SUM('Statistics NZ'!J$30:J$110,'Statistics NZ'!J$130:J$210)</f>
        <v>3959.2641910373563</v>
      </c>
      <c r="K202" s="44">
        <f>'Statistics NZ'!K$202*'Economic Forecasts'!M$9*1000000/SUM('Statistics NZ'!K$30:K$110,'Statistics NZ'!K$130:K$210)</f>
        <v>4011.3223690979689</v>
      </c>
      <c r="L202" s="44">
        <f>'Statistics NZ'!L$202*'Economic Forecasts'!N$9*1000000/SUM('Statistics NZ'!L$30:L$110,'Statistics NZ'!L$130:L$210)</f>
        <v>4206.2176904137996</v>
      </c>
      <c r="M202" s="44">
        <f>'Statistics NZ'!M$202*'Economic Forecasts'!O$9*1000000/SUM('Statistics NZ'!M$30:M$110,'Statistics NZ'!M$130:M$210)</f>
        <v>4249.7646212142699</v>
      </c>
      <c r="N202" s="44">
        <f>'Statistics NZ'!N$202*'Economic Forecasts'!P$9*1000000/SUM('Statistics NZ'!N$30:N$110,'Statistics NZ'!N$130:N$210)</f>
        <v>4540.2095019397393</v>
      </c>
      <c r="O202" s="44">
        <f>'Statistics NZ'!O$202*'Economic Forecasts'!Q$9*1000000/SUM('Statistics NZ'!O$30:O$110,'Statistics NZ'!O$130:O$210)</f>
        <v>4424.759138054319</v>
      </c>
      <c r="P202" s="44">
        <f>'Statistics NZ'!P$202*'Economic Forecasts'!R$9*1000000/SUM('Statistics NZ'!P$30:P$110,'Statistics NZ'!P$130:P$210)</f>
        <v>4333.0522284987683</v>
      </c>
      <c r="Q202" s="44">
        <f>'Statistics NZ'!Q$202*'Economic Forecasts'!S$9*1000000/SUM('Statistics NZ'!Q$30:Q$110,'Statistics NZ'!Q$130:Q$210)</f>
        <v>4659.1569552045903</v>
      </c>
      <c r="R202" s="44">
        <f>'Statistics NZ'!R$202*'Economic Forecasts'!T$9*1000000/SUM('Statistics NZ'!R$30:R$110,'Statistics NZ'!R$130:R$210)</f>
        <v>4789.8166135674874</v>
      </c>
      <c r="S202" s="44">
        <f>'Statistics NZ'!S$202*'Economic Forecasts'!U$9*1000000/SUM('Statistics NZ'!S$30:S$110,'Statistics NZ'!S$130:S$210)</f>
        <v>4725.1284827452519</v>
      </c>
      <c r="T202" s="44">
        <f>'Statistics NZ'!T$202*'Economic Forecasts'!V$9*1000000/SUM('Statistics NZ'!T$30:T$110,'Statistics NZ'!T$130:T$210)</f>
        <v>4985.5104619486465</v>
      </c>
      <c r="U202" s="45">
        <f>SUM('Statistics NZ'!U$202,$S$13/5*(U$8-U$9)*1000)*'Economic Forecasts'!W$9*1000000/SUM('Statistics NZ'!U$30:U$110,'Statistics NZ'!U$130:U$210,SUM($E$12:$T$13)*(U$8-U$9)*1000)</f>
        <v>5319.5527723661726</v>
      </c>
      <c r="V202" s="45">
        <f>SUM('Statistics NZ'!V$202,$S$13/5*(V$8-V$9)*1000)*'Economic Forecasts'!X$9*1000000/SUM('Statistics NZ'!V$30:V$110,'Statistics NZ'!V$130:V$210,SUM($E$12:$T$13)*(V$8-V$9)*1000)</f>
        <v>5574.7784945182311</v>
      </c>
      <c r="W202" s="45">
        <f>SUM('Statistics NZ'!W$202,$S$13/5*(W$8-W$9)*1000)*'Economic Forecasts'!Y$9*1000000/SUM('Statistics NZ'!W$30:W$110,'Statistics NZ'!W$130:W$210,SUM($E$12:$T$13)*(W$8-W$9)*1000)</f>
        <v>6229.511884429513</v>
      </c>
      <c r="X202" s="45">
        <f>SUM('Statistics NZ'!X$202,$S$13/5*(X$8-X$9)*1000)*'Economic Forecasts'!Z$9*1000000/SUM('Statistics NZ'!X$30:X$110,'Statistics NZ'!X$130:X$210,SUM($E$12:$T$13)*(X$8-X$9)*1000)</f>
        <v>6785.5109755478907</v>
      </c>
      <c r="Y202" s="45">
        <f>SUM('Statistics NZ'!Y$202,$S$13/5*(Y$8-Y$9)*1000)*'Economic Forecasts'!AA$9*1000000/SUM('Statistics NZ'!Y$30:Y$110,'Statistics NZ'!Y$130:Y$210,SUM($E$12:$T$13)*(Y$8-Y$9)*1000)</f>
        <v>6995.9855181584398</v>
      </c>
      <c r="Z202" s="46">
        <f>SUM(Y$202,'Statistics NZ'!Z$202-'Statistics NZ'!Y$202,$S$13/5*(Z$8-Z$9)*1000)</f>
        <v>6256.1757976401932</v>
      </c>
      <c r="AA202" s="46">
        <f>SUM(Z$202,'Statistics NZ'!AA$202-'Statistics NZ'!Z$202,$S$13/5*(AA$8-AA$9)*1000)</f>
        <v>7306.2899653292452</v>
      </c>
      <c r="AB202" s="46">
        <f>SUM(AA$202,'Statistics NZ'!AB$202-'Statistics NZ'!AA$202,$S$13/5*(AB$8-AB$9)*1000)</f>
        <v>7616.343243584136</v>
      </c>
      <c r="AC202" s="46">
        <f>SUM(AB$202,'Statistics NZ'!AC$202-'Statistics NZ'!AB$202,$S$13/5*(AC$8-AC$9)*1000)</f>
        <v>8136.343243584136</v>
      </c>
      <c r="AD202" s="46">
        <f>SUM(AC$202,'Statistics NZ'!AD$202-'Statistics NZ'!AC$202,$S$13/5*(AD$8-AD$9)*1000)</f>
        <v>9826.3432435841351</v>
      </c>
      <c r="AE202" s="46">
        <f>SUM(AD$202,'Statistics NZ'!AE$202-'Statistics NZ'!AD$202,$S$13/5*(AE$8-AE$9)*1000)</f>
        <v>9886.3432435841351</v>
      </c>
      <c r="AF202" s="46">
        <f>SUM(AE$202,'Statistics NZ'!AF$202-'Statistics NZ'!AE$202,$S$13/5*(AF$8-AF$9)*1000)</f>
        <v>9906.3432435841351</v>
      </c>
      <c r="AG202" s="46">
        <f>SUM(AF$202,'Statistics NZ'!AG$202-'Statistics NZ'!AF$202,$S$13/5*(AG$8-AG$9)*1000)</f>
        <v>10246.343243584135</v>
      </c>
      <c r="AH202" s="46">
        <f>SUM(AG$202,'Statistics NZ'!AH$202-'Statistics NZ'!AG$202,$S$13/5*(AH$8-AH$9)*1000)</f>
        <v>10366.343243584135</v>
      </c>
      <c r="AI202" s="46">
        <f>SUM(AH$202,'Statistics NZ'!AI$202-'Statistics NZ'!AH$202,$S$13/5*(AI$8-AI$9)*1000)</f>
        <v>10636.343243584135</v>
      </c>
      <c r="AJ202" s="46">
        <f>SUM(AI$202,'Statistics NZ'!AJ$202-'Statistics NZ'!AI$202,$S$13/5*(AJ$8-AJ$9)*1000)</f>
        <v>10926.343243584135</v>
      </c>
      <c r="AK202" s="46">
        <f>SUM(AJ$202,'Statistics NZ'!AK$202-'Statistics NZ'!AJ$202,$S$13/5*(AK$8-AK$9)*1000)</f>
        <v>11456.343243584135</v>
      </c>
      <c r="AL202" s="46">
        <f>SUM(AK$202,'Statistics NZ'!AL$202-'Statistics NZ'!AK$202,$S$13/5*(AL$8-AL$9)*1000)</f>
        <v>11846.343243584135</v>
      </c>
      <c r="AM202" s="46">
        <f>SUM(AL$202,'Statistics NZ'!AM$202-'Statistics NZ'!AL$202,$S$13/5*(AM$8-AM$9)*1000)</f>
        <v>12326.343243584135</v>
      </c>
      <c r="AN202" s="46">
        <f>SUM(AM$202,'Statistics NZ'!AN$202-'Statistics NZ'!AM$202,$S$13/5*(AN$8-AN$9)*1000)</f>
        <v>12766.343243584135</v>
      </c>
      <c r="AO202" s="46">
        <f>SUM(AN$202,'Statistics NZ'!AO$202-'Statistics NZ'!AN$202,$S$13/5*(AO$8-AO$9)*1000)</f>
        <v>13256.343243584135</v>
      </c>
      <c r="AP202" s="46">
        <f>SUM(AO$202,'Statistics NZ'!AP$202-'Statistics NZ'!AO$202,$S$13/5*(AP$8-AP$9)*1000)</f>
        <v>13946.343243584135</v>
      </c>
      <c r="AQ202" s="46">
        <f>SUM(AP$202,'Statistics NZ'!AQ$202-'Statistics NZ'!AP$202,$S$13/5*(AQ$8-AQ$9)*1000)</f>
        <v>14286.343243584135</v>
      </c>
      <c r="AR202" s="46">
        <f>SUM(AQ$202,'Statistics NZ'!AR$202-'Statistics NZ'!AQ$202,$S$13/5*(AR$8-AR$9)*1000)</f>
        <v>15046.343243584135</v>
      </c>
      <c r="AS202" s="46">
        <f>SUM(AR$202,'Statistics NZ'!AS$202-'Statistics NZ'!AR$202,$S$13/5*(AS$8-AS$9)*1000)</f>
        <v>15526.343243584135</v>
      </c>
      <c r="AT202" s="46">
        <f>SUM(AS$202,'Statistics NZ'!AT$202-'Statistics NZ'!AS$202,$S$13/5*(AT$8-AT$9)*1000)</f>
        <v>15816.343243584135</v>
      </c>
      <c r="AU202" s="46">
        <f>SUM(AT$202,'Statistics NZ'!AU$202-'Statistics NZ'!AT$202,$S$13/5*(AU$8-AU$9)*1000)</f>
        <v>15816.343243584135</v>
      </c>
      <c r="AV202" s="46">
        <f>SUM(AU$202,'Statistics NZ'!AV$202-'Statistics NZ'!AU$202,$S$13/5*(AV$8-AV$9)*1000)</f>
        <v>15636.343243584135</v>
      </c>
      <c r="AW202" s="46">
        <f>SUM(AV$202,'Statistics NZ'!AW$202-'Statistics NZ'!AV$202,$S$13/5*(AW$8-AW$9)*1000)</f>
        <v>15636.343243584135</v>
      </c>
      <c r="AX202" s="46">
        <f>SUM(AW$202,'Statistics NZ'!AX$202-'Statistics NZ'!AW$202,$S$13/5*(AX$8-AX$9)*1000)</f>
        <v>15826.343243584135</v>
      </c>
      <c r="AY202" s="46">
        <f>SUM(AX$202,'Statistics NZ'!AY$202-'Statistics NZ'!AX$202,$S$13/5*(AY$8-AY$9)*1000)</f>
        <v>16336.343243584135</v>
      </c>
      <c r="AZ202" s="46">
        <f>SUM(AY$202,'Statistics NZ'!AZ$202-'Statistics NZ'!AY$202,$S$13/5*(AZ$8-AZ$9)*1000)</f>
        <v>16896.343243584135</v>
      </c>
      <c r="BA202" s="46">
        <f>SUM(AZ$202,'Statistics NZ'!BA$202-'Statistics NZ'!AZ$202,$S$13/5*(BA$8-BA$9)*1000)</f>
        <v>17086.343243584135</v>
      </c>
      <c r="BB202" s="46">
        <f>SUM(BA$202,'Statistics NZ'!BB$202-'Statistics NZ'!BA$202,$S$13/5*(BB$8-BB$9)*1000)</f>
        <v>17886.343243584135</v>
      </c>
      <c r="BC202" s="46">
        <f>SUM(BB$202,'Statistics NZ'!BC$202-'Statistics NZ'!BB$202,$S$13/5*(BC$8-BC$9)*1000)</f>
        <v>17956.343243584135</v>
      </c>
      <c r="BD202" s="46">
        <f>SUM(BC$202,'Statistics NZ'!BD$202-'Statistics NZ'!BC$202,$S$13/5*(BD$8-BD$9)*1000)</f>
        <v>17706.343243584135</v>
      </c>
      <c r="BE202" s="46">
        <f>SUM(BD$202,'Statistics NZ'!BE$202-'Statistics NZ'!BD$202,$S$13/5*(BE$8-BE$9)*1000)</f>
        <v>17486.343243584135</v>
      </c>
      <c r="BF202" s="46">
        <f>SUM(BE$202,'Statistics NZ'!BF$202-'Statistics NZ'!BE$202,$S$13/5*(BF$8-BF$9)*1000)</f>
        <v>17136.343243584135</v>
      </c>
      <c r="BG202" s="46">
        <f>SUM(BF$202,'Statistics NZ'!BG$202-'Statistics NZ'!BF$202,$S$13/5*(BG$8-BG$9)*1000)</f>
        <v>17246.343243584135</v>
      </c>
      <c r="BH202" s="46">
        <f>SUM(BG$202,'Statistics NZ'!BH$202-'Statistics NZ'!BG$202,$S$13/5*(BH$8-BH$9)*1000)</f>
        <v>17646.343243584135</v>
      </c>
      <c r="BI202" s="46">
        <f>SUM(BH$202,'Statistics NZ'!BI$202-'Statistics NZ'!BH$202,$S$13/5*(BI$8-BI$9)*1000)</f>
        <v>17696.343243584135</v>
      </c>
    </row>
    <row r="203" spans="1:61" x14ac:dyDescent="0.25">
      <c r="A203" s="11">
        <f>$A$103</f>
        <v>88</v>
      </c>
      <c r="B203" s="44">
        <f>'Statistics NZ'!B$203*'Economic Forecasts'!D$9*1000000/SUM('Statistics NZ'!B$30:B$110,'Statistics NZ'!B$130:B$210)</f>
        <v>1888.3005897485677</v>
      </c>
      <c r="C203" s="44">
        <f>'Statistics NZ'!C$203*'Economic Forecasts'!E$9*1000000/SUM('Statistics NZ'!C$30:C$110,'Statistics NZ'!C$130:C$210)</f>
        <v>1983.65580814749</v>
      </c>
      <c r="D203" s="44">
        <f>'Statistics NZ'!D$203*'Economic Forecasts'!F$9*1000000/SUM('Statistics NZ'!D$30:D$110,'Statistics NZ'!D$130:D$210)</f>
        <v>2436.0354790383562</v>
      </c>
      <c r="E203" s="44">
        <f>'Statistics NZ'!E$203*'Economic Forecasts'!G$9*1000000/SUM('Statistics NZ'!E$30:E$110,'Statistics NZ'!E$130:E$210)</f>
        <v>2540.0189331577221</v>
      </c>
      <c r="F203" s="44">
        <f>'Statistics NZ'!F$203*'Economic Forecasts'!H$9*1000000/SUM('Statistics NZ'!F$30:F$110,'Statistics NZ'!F$130:F$210)</f>
        <v>2736.663945783745</v>
      </c>
      <c r="G203" s="44">
        <f>'Statistics NZ'!G$203*'Economic Forecasts'!I$9*1000000/SUM('Statistics NZ'!G$30:G$110,'Statistics NZ'!G$130:G$210)</f>
        <v>2868.1618997713963</v>
      </c>
      <c r="H203" s="44">
        <f>'Statistics NZ'!H$203*'Economic Forecasts'!J$9*1000000/SUM('Statistics NZ'!H$30:H$110,'Statistics NZ'!H$130:H$210)</f>
        <v>2937.7160057973169</v>
      </c>
      <c r="I203" s="44">
        <f>'Statistics NZ'!I$203*'Economic Forecasts'!K$9*1000000/SUM('Statistics NZ'!I$30:I$110,'Statistics NZ'!I$130:I$210)</f>
        <v>3146.9412533856357</v>
      </c>
      <c r="J203" s="44">
        <f>'Statistics NZ'!J$203*'Economic Forecasts'!L$9*1000000/SUM('Statistics NZ'!J$30:J$110,'Statistics NZ'!J$130:J$210)</f>
        <v>3218.1211404983442</v>
      </c>
      <c r="K203" s="44">
        <f>'Statistics NZ'!K$203*'Economic Forecasts'!M$9*1000000/SUM('Statistics NZ'!K$30:K$110,'Statistics NZ'!K$130:K$210)</f>
        <v>3407.6767698647795</v>
      </c>
      <c r="L203" s="44">
        <f>'Statistics NZ'!L$203*'Economic Forecasts'!N$9*1000000/SUM('Statistics NZ'!L$30:L$110,'Statistics NZ'!L$130:L$210)</f>
        <v>3514.9180237022729</v>
      </c>
      <c r="M203" s="44">
        <f>'Statistics NZ'!M$203*'Economic Forecasts'!O$9*1000000/SUM('Statistics NZ'!M$30:M$110,'Statistics NZ'!M$130:M$210)</f>
        <v>3683.1293383857014</v>
      </c>
      <c r="N203" s="44">
        <f>'Statistics NZ'!N$203*'Economic Forecasts'!P$9*1000000/SUM('Statistics NZ'!N$30:N$110,'Statistics NZ'!N$130:N$210)</f>
        <v>3698.70515459746</v>
      </c>
      <c r="O203" s="44">
        <f>'Statistics NZ'!O$203*'Economic Forecasts'!Q$9*1000000/SUM('Statistics NZ'!O$30:O$110,'Statistics NZ'!O$130:O$210)</f>
        <v>3972.4504261643224</v>
      </c>
      <c r="P203" s="44">
        <f>'Statistics NZ'!P$203*'Economic Forecasts'!R$9*1000000/SUM('Statistics NZ'!P$30:P$110,'Statistics NZ'!P$130:P$210)</f>
        <v>3881.078526659895</v>
      </c>
      <c r="Q203" s="44">
        <f>'Statistics NZ'!Q$203*'Economic Forecasts'!S$9*1000000/SUM('Statistics NZ'!Q$30:Q$110,'Statistics NZ'!Q$130:Q$210)</f>
        <v>3854.4837923654181</v>
      </c>
      <c r="R203" s="44">
        <f>'Statistics NZ'!R$203*'Economic Forecasts'!T$9*1000000/SUM('Statistics NZ'!R$30:R$110,'Statistics NZ'!R$130:R$210)</f>
        <v>4092.7539047323025</v>
      </c>
      <c r="S203" s="44">
        <f>'Statistics NZ'!S$203*'Economic Forecasts'!U$9*1000000/SUM('Statistics NZ'!S$30:S$110,'Statistics NZ'!S$130:S$210)</f>
        <v>4096.421158637776</v>
      </c>
      <c r="T203" s="44">
        <f>'Statistics NZ'!T$203*'Economic Forecasts'!V$9*1000000/SUM('Statistics NZ'!T$30:T$110,'Statistics NZ'!T$130:T$210)</f>
        <v>4182.6747811974737</v>
      </c>
      <c r="U203" s="45">
        <f>SUM('Statistics NZ'!U$203,$S$13/5*(U$8-U$9)*1000)*'Economic Forecasts'!W$9*1000000/SUM('Statistics NZ'!U$30:U$110,'Statistics NZ'!U$130:U$210,SUM($E$12:$T$13)*(U$8-U$9)*1000)</f>
        <v>4378.5826896323088</v>
      </c>
      <c r="V203" s="45">
        <f>SUM('Statistics NZ'!V$203,$S$13/5*(V$8-V$9)*1000)*'Economic Forecasts'!X$9*1000000/SUM('Statistics NZ'!V$30:V$110,'Statistics NZ'!V$130:V$210,SUM($E$12:$T$13)*(V$8-V$9)*1000)</f>
        <v>4683.7048690944803</v>
      </c>
      <c r="W203" s="45">
        <f>SUM('Statistics NZ'!W$203,$S$13/5*(W$8-W$9)*1000)*'Economic Forecasts'!Y$9*1000000/SUM('Statistics NZ'!W$30:W$110,'Statistics NZ'!W$130:W$210,SUM($E$12:$T$13)*(W$8-W$9)*1000)</f>
        <v>4912.4134616574311</v>
      </c>
      <c r="X203" s="45">
        <f>SUM('Statistics NZ'!X$203,$S$13/5*(X$8-X$9)*1000)*'Economic Forecasts'!Z$9*1000000/SUM('Statistics NZ'!X$30:X$110,'Statistics NZ'!X$130:X$210,SUM($E$12:$T$13)*(X$8-X$9)*1000)</f>
        <v>5497.8270302382107</v>
      </c>
      <c r="Y203" s="45">
        <f>SUM('Statistics NZ'!Y$203,$S$13/5*(Y$8-Y$9)*1000)*'Economic Forecasts'!AA$9*1000000/SUM('Statistics NZ'!Y$30:Y$110,'Statistics NZ'!Y$130:Y$210,SUM($E$12:$T$13)*(Y$8-Y$9)*1000)</f>
        <v>6005.0954552006224</v>
      </c>
      <c r="Z203" s="46">
        <f>SUM(Y$203,'Statistics NZ'!Z$203-'Statistics NZ'!Y$203,$S$13/5*(Z$8-Z$9)*1000)</f>
        <v>6195.2857346823757</v>
      </c>
      <c r="AA203" s="46">
        <f>SUM(Z$203,'Statistics NZ'!AA$203-'Statistics NZ'!Z$203,$S$13/5*(AA$8-AA$9)*1000)</f>
        <v>5555.3999023714277</v>
      </c>
      <c r="AB203" s="46">
        <f>SUM(AA$203,'Statistics NZ'!AB$203-'Statistics NZ'!AA$203,$S$13/5*(AB$8-AB$9)*1000)</f>
        <v>6485.4531806263185</v>
      </c>
      <c r="AC203" s="46">
        <f>SUM(AB$203,'Statistics NZ'!AC$203-'Statistics NZ'!AB$203,$S$13/5*(AC$8-AC$9)*1000)</f>
        <v>6765.4531806263185</v>
      </c>
      <c r="AD203" s="46">
        <f>SUM(AC$203,'Statistics NZ'!AD$203-'Statistics NZ'!AC$203,$S$13/5*(AD$8-AD$9)*1000)</f>
        <v>7235.4531806263185</v>
      </c>
      <c r="AE203" s="46">
        <f>SUM(AD$203,'Statistics NZ'!AE$203-'Statistics NZ'!AD$203,$S$13/5*(AE$8-AE$9)*1000)</f>
        <v>8755.4531806263185</v>
      </c>
      <c r="AF203" s="46">
        <f>SUM(AE$203,'Statistics NZ'!AF$203-'Statistics NZ'!AE$203,$S$13/5*(AF$8-AF$9)*1000)</f>
        <v>8825.4531806263185</v>
      </c>
      <c r="AG203" s="46">
        <f>SUM(AF$203,'Statistics NZ'!AG$203-'Statistics NZ'!AF$203,$S$13/5*(AG$8-AG$9)*1000)</f>
        <v>8845.4531806263185</v>
      </c>
      <c r="AH203" s="46">
        <f>SUM(AG$203,'Statistics NZ'!AH$203-'Statistics NZ'!AG$203,$S$13/5*(AH$8-AH$9)*1000)</f>
        <v>9165.4531806263185</v>
      </c>
      <c r="AI203" s="46">
        <f>SUM(AH$203,'Statistics NZ'!AI$203-'Statistics NZ'!AH$203,$S$13/5*(AI$8-AI$9)*1000)</f>
        <v>9275.4531806263185</v>
      </c>
      <c r="AJ203" s="46">
        <f>SUM(AI$203,'Statistics NZ'!AJ$203-'Statistics NZ'!AI$203,$S$13/5*(AJ$8-AJ$9)*1000)</f>
        <v>9525.4531806263185</v>
      </c>
      <c r="AK203" s="46">
        <f>SUM(AJ$203,'Statistics NZ'!AK$203-'Statistics NZ'!AJ$203,$S$13/5*(AK$8-AK$9)*1000)</f>
        <v>9805.4531806263185</v>
      </c>
      <c r="AL203" s="46">
        <f>SUM(AK$203,'Statistics NZ'!AL$203-'Statistics NZ'!AK$203,$S$13/5*(AL$8-AL$9)*1000)</f>
        <v>10285.453180626318</v>
      </c>
      <c r="AM203" s="46">
        <f>SUM(AL$203,'Statistics NZ'!AM$203-'Statistics NZ'!AL$203,$S$13/5*(AM$8-AM$9)*1000)</f>
        <v>10645.453180626318</v>
      </c>
      <c r="AN203" s="46">
        <f>SUM(AM$203,'Statistics NZ'!AN$203-'Statistics NZ'!AM$203,$S$13/5*(AN$8-AN$9)*1000)</f>
        <v>11095.453180626318</v>
      </c>
      <c r="AO203" s="46">
        <f>SUM(AN$203,'Statistics NZ'!AO$203-'Statistics NZ'!AN$203,$S$13/5*(AO$8-AO$9)*1000)</f>
        <v>11505.453180626318</v>
      </c>
      <c r="AP203" s="46">
        <f>SUM(AO$203,'Statistics NZ'!AP$203-'Statistics NZ'!AO$203,$S$13/5*(AP$8-AP$9)*1000)</f>
        <v>11955.453180626318</v>
      </c>
      <c r="AQ203" s="46">
        <f>SUM(AP$203,'Statistics NZ'!AQ$203-'Statistics NZ'!AP$203,$S$13/5*(AQ$8-AQ$9)*1000)</f>
        <v>12585.453180626318</v>
      </c>
      <c r="AR203" s="46">
        <f>SUM(AQ$203,'Statistics NZ'!AR$203-'Statistics NZ'!AQ$203,$S$13/5*(AR$8-AR$9)*1000)</f>
        <v>12905.453180626318</v>
      </c>
      <c r="AS203" s="46">
        <f>SUM(AR$203,'Statistics NZ'!AS$203-'Statistics NZ'!AR$203,$S$13/5*(AS$8-AS$9)*1000)</f>
        <v>13605.453180626318</v>
      </c>
      <c r="AT203" s="46">
        <f>SUM(AS$203,'Statistics NZ'!AT$203-'Statistics NZ'!AS$203,$S$13/5*(AT$8-AT$9)*1000)</f>
        <v>14055.453180626318</v>
      </c>
      <c r="AU203" s="46">
        <f>SUM(AT$203,'Statistics NZ'!AU$203-'Statistics NZ'!AT$203,$S$13/5*(AU$8-AU$9)*1000)</f>
        <v>14325.453180626318</v>
      </c>
      <c r="AV203" s="46">
        <f>SUM(AU$203,'Statistics NZ'!AV$203-'Statistics NZ'!AU$203,$S$13/5*(AV$8-AV$9)*1000)</f>
        <v>14345.453180626318</v>
      </c>
      <c r="AW203" s="46">
        <f>SUM(AV$203,'Statistics NZ'!AW$203-'Statistics NZ'!AV$203,$S$13/5*(AW$8-AW$9)*1000)</f>
        <v>14195.453180626318</v>
      </c>
      <c r="AX203" s="46">
        <f>SUM(AW$203,'Statistics NZ'!AX$203-'Statistics NZ'!AW$203,$S$13/5*(AX$8-AX$9)*1000)</f>
        <v>14215.453180626318</v>
      </c>
      <c r="AY203" s="46">
        <f>SUM(AX$203,'Statistics NZ'!AY$203-'Statistics NZ'!AX$203,$S$13/5*(AY$8-AY$9)*1000)</f>
        <v>14385.453180626318</v>
      </c>
      <c r="AZ203" s="46">
        <f>SUM(AY$203,'Statistics NZ'!AZ$203-'Statistics NZ'!AY$203,$S$13/5*(AZ$8-AZ$9)*1000)</f>
        <v>14875.453180626318</v>
      </c>
      <c r="BA203" s="46">
        <f>SUM(AZ$203,'Statistics NZ'!BA$203-'Statistics NZ'!AZ$203,$S$13/5*(BA$8-BA$9)*1000)</f>
        <v>15395.453180626318</v>
      </c>
      <c r="BB203" s="46">
        <f>SUM(BA$203,'Statistics NZ'!BB$203-'Statistics NZ'!BA$203,$S$13/5*(BB$8-BB$9)*1000)</f>
        <v>15585.453180626318</v>
      </c>
      <c r="BC203" s="46">
        <f>SUM(BB$203,'Statistics NZ'!BC$203-'Statistics NZ'!BB$203,$S$13/5*(BC$8-BC$9)*1000)</f>
        <v>16325.453180626318</v>
      </c>
      <c r="BD203" s="46">
        <f>SUM(BC$203,'Statistics NZ'!BD$203-'Statistics NZ'!BC$203,$S$13/5*(BD$8-BD$9)*1000)</f>
        <v>16405.453180626318</v>
      </c>
      <c r="BE203" s="46">
        <f>SUM(BD$203,'Statistics NZ'!BE$203-'Statistics NZ'!BD$203,$S$13/5*(BE$8-BE$9)*1000)</f>
        <v>16185.453180626318</v>
      </c>
      <c r="BF203" s="46">
        <f>SUM(BE$203,'Statistics NZ'!BF$203-'Statistics NZ'!BE$203,$S$13/5*(BF$8-BF$9)*1000)</f>
        <v>15995.453180626318</v>
      </c>
      <c r="BG203" s="46">
        <f>SUM(BF$203,'Statistics NZ'!BG$203-'Statistics NZ'!BF$203,$S$13/5*(BG$8-BG$9)*1000)</f>
        <v>15695.453180626318</v>
      </c>
      <c r="BH203" s="46">
        <f>SUM(BG$203,'Statistics NZ'!BH$203-'Statistics NZ'!BG$203,$S$13/5*(BH$8-BH$9)*1000)</f>
        <v>15805.453180626318</v>
      </c>
      <c r="BI203" s="46">
        <f>SUM(BH$203,'Statistics NZ'!BI$203-'Statistics NZ'!BH$203,$S$13/5*(BI$8-BI$9)*1000)</f>
        <v>16185.453180626318</v>
      </c>
    </row>
    <row r="204" spans="1:61" x14ac:dyDescent="0.25">
      <c r="A204" s="11">
        <f>$A$104</f>
        <v>89</v>
      </c>
      <c r="B204" s="44">
        <f>'Statistics NZ'!B$204*'Economic Forecasts'!D$9*1000000/SUM('Statistics NZ'!B$30:B$110,'Statistics NZ'!B$130:B$210)</f>
        <v>1682.8378312785167</v>
      </c>
      <c r="C204" s="44">
        <f>'Statistics NZ'!C$204*'Economic Forecasts'!E$9*1000000/SUM('Statistics NZ'!C$30:C$110,'Statistics NZ'!C$130:C$210)</f>
        <v>1590.8526778212542</v>
      </c>
      <c r="D204" s="44">
        <f>'Statistics NZ'!D$204*'Economic Forecasts'!F$9*1000000/SUM('Statistics NZ'!D$30:D$110,'Statistics NZ'!D$130:D$210)</f>
        <v>1689.5084773975695</v>
      </c>
      <c r="E204" s="44">
        <f>'Statistics NZ'!E$204*'Economic Forecasts'!G$9*1000000/SUM('Statistics NZ'!E$30:E$110,'Statistics NZ'!E$130:E$210)</f>
        <v>2088.8958793922575</v>
      </c>
      <c r="F204" s="44">
        <f>'Statistics NZ'!F$204*'Economic Forecasts'!H$9*1000000/SUM('Statistics NZ'!F$30:F$110,'Statistics NZ'!F$130:F$210)</f>
        <v>2148.1340649700364</v>
      </c>
      <c r="G204" s="44">
        <f>'Statistics NZ'!G$204*'Economic Forecasts'!I$9*1000000/SUM('Statistics NZ'!G$30:G$110,'Statistics NZ'!G$130:G$210)</f>
        <v>2318.1034532398958</v>
      </c>
      <c r="H204" s="44">
        <f>'Statistics NZ'!H$204*'Economic Forecasts'!J$9*1000000/SUM('Statistics NZ'!H$30:H$110,'Statistics NZ'!H$130:H$210)</f>
        <v>2416.9837372111706</v>
      </c>
      <c r="I204" s="44">
        <f>'Statistics NZ'!I$204*'Economic Forecasts'!K$9*1000000/SUM('Statistics NZ'!I$30:I$110,'Statistics NZ'!I$130:I$210)</f>
        <v>2421.4781607048353</v>
      </c>
      <c r="J204" s="44">
        <f>'Statistics NZ'!J$204*'Economic Forecasts'!L$9*1000000/SUM('Statistics NZ'!J$30:J$110,'Statistics NZ'!J$130:J$210)</f>
        <v>2691.5194993258883</v>
      </c>
      <c r="K204" s="44">
        <f>'Statistics NZ'!K$204*'Economic Forecasts'!M$9*1000000/SUM('Statistics NZ'!K$30:K$110,'Statistics NZ'!K$130:K$210)</f>
        <v>2735.8776352342943</v>
      </c>
      <c r="L204" s="44">
        <f>'Statistics NZ'!L$204*'Economic Forecasts'!N$9*1000000/SUM('Statistics NZ'!L$30:L$110,'Statistics NZ'!L$130:L$210)</f>
        <v>2930.7211222559117</v>
      </c>
      <c r="M204" s="44">
        <f>'Statistics NZ'!M$204*'Economic Forecasts'!O$9*1000000/SUM('Statistics NZ'!M$30:M$110,'Statistics NZ'!M$130:M$210)</f>
        <v>3028.567890980285</v>
      </c>
      <c r="N204" s="44">
        <f>'Statistics NZ'!N$204*'Economic Forecasts'!P$9*1000000/SUM('Statistics NZ'!N$30:N$110,'Statistics NZ'!N$130:N$210)</f>
        <v>3189.8885724835236</v>
      </c>
      <c r="O204" s="44">
        <f>'Statistics NZ'!O$204*'Economic Forecasts'!Q$9*1000000/SUM('Statistics NZ'!O$30:O$110,'Statistics NZ'!O$130:O$210)</f>
        <v>3185.8265793991095</v>
      </c>
      <c r="P204" s="44">
        <f>'Statistics NZ'!P$204*'Economic Forecasts'!R$9*1000000/SUM('Statistics NZ'!P$30:P$110,'Statistics NZ'!P$130:P$210)</f>
        <v>3399.6282790489204</v>
      </c>
      <c r="Q204" s="44">
        <f>'Statistics NZ'!Q$204*'Economic Forecasts'!S$9*1000000/SUM('Statistics NZ'!Q$30:Q$110,'Statistics NZ'!Q$130:Q$210)</f>
        <v>3387.5746731871332</v>
      </c>
      <c r="R204" s="44">
        <f>'Statistics NZ'!R$204*'Economic Forecasts'!T$9*1000000/SUM('Statistics NZ'!R$30:R$110,'Statistics NZ'!R$130:R$210)</f>
        <v>3296.1108089206623</v>
      </c>
      <c r="S204" s="44">
        <f>'Statistics NZ'!S$204*'Economic Forecasts'!U$9*1000000/SUM('Statistics NZ'!S$30:S$110,'Statistics NZ'!S$130:S$210)</f>
        <v>3457.89028259112</v>
      </c>
      <c r="T204" s="44">
        <f>'Statistics NZ'!T$204*'Economic Forecasts'!V$9*1000000/SUM('Statistics NZ'!T$30:T$110,'Statistics NZ'!T$130:T$210)</f>
        <v>3498.7777198168437</v>
      </c>
      <c r="U204" s="45">
        <f>SUM('Statistics NZ'!U$204,$S$13/5*(U$8-U$9)*1000)*'Economic Forecasts'!W$9*1000000/SUM('Statistics NZ'!U$30:U$110,'Statistics NZ'!U$130:U$210,SUM($E$12:$T$13)*(U$8-U$9)*1000)</f>
        <v>3615.9016752059138</v>
      </c>
      <c r="V204" s="45">
        <f>SUM('Statistics NZ'!V$204,$S$13/5*(V$8-V$9)*1000)*'Economic Forecasts'!X$9*1000000/SUM('Statistics NZ'!V$30:V$110,'Statistics NZ'!V$130:V$210,SUM($E$12:$T$13)*(V$8-V$9)*1000)</f>
        <v>3792.6312436707294</v>
      </c>
      <c r="W204" s="45">
        <f>SUM('Statistics NZ'!W$204,$S$13/5*(W$8-W$9)*1000)*'Economic Forecasts'!Y$9*1000000/SUM('Statistics NZ'!W$30:W$110,'Statistics NZ'!W$130:W$210,SUM($E$12:$T$13)*(W$8-W$9)*1000)</f>
        <v>4060.7558349025494</v>
      </c>
      <c r="X204" s="45">
        <f>SUM('Statistics NZ'!X$204,$S$13/5*(X$8-X$9)*1000)*'Economic Forecasts'!Z$9*1000000/SUM('Statistics NZ'!X$30:X$110,'Statistics NZ'!X$130:X$210,SUM($E$12:$T$13)*(X$8-X$9)*1000)</f>
        <v>4259.6693905173652</v>
      </c>
      <c r="Y204" s="45">
        <f>SUM('Statistics NZ'!Y$204,$S$13/5*(Y$8-Y$9)*1000)*'Economic Forecasts'!AA$9*1000000/SUM('Statistics NZ'!Y$30:Y$110,'Statistics NZ'!Y$130:Y$210,SUM($E$12:$T$13)*(Y$8-Y$9)*1000)</f>
        <v>4776.3917771329279</v>
      </c>
      <c r="Z204" s="46">
        <f>SUM(Y$204,'Statistics NZ'!Z$204-'Statistics NZ'!Y$204,$S$13/5*(Z$8-Z$9)*1000)</f>
        <v>5226.5820566146813</v>
      </c>
      <c r="AA204" s="46">
        <f>SUM(Z$204,'Statistics NZ'!AA$204-'Statistics NZ'!Z$204,$S$13/5*(AA$8-AA$9)*1000)</f>
        <v>5396.6962243037333</v>
      </c>
      <c r="AB204" s="46">
        <f>SUM(AA$204,'Statistics NZ'!AB$204-'Statistics NZ'!AA$204,$S$13/5*(AB$8-AB$9)*1000)</f>
        <v>4846.749502558624</v>
      </c>
      <c r="AC204" s="46">
        <f>SUM(AB$204,'Statistics NZ'!AC$204-'Statistics NZ'!AB$204,$S$13/5*(AC$8-AC$9)*1000)</f>
        <v>5666.749502558624</v>
      </c>
      <c r="AD204" s="46">
        <f>SUM(AC$204,'Statistics NZ'!AD$204-'Statistics NZ'!AC$204,$S$13/5*(AD$8-AD$9)*1000)</f>
        <v>5926.749502558624</v>
      </c>
      <c r="AE204" s="46">
        <f>SUM(AD$204,'Statistics NZ'!AE$204-'Statistics NZ'!AD$204,$S$13/5*(AE$8-AE$9)*1000)</f>
        <v>6336.749502558624</v>
      </c>
      <c r="AF204" s="46">
        <f>SUM(AE$204,'Statistics NZ'!AF$204-'Statistics NZ'!AE$204,$S$13/5*(AF$8-AF$9)*1000)</f>
        <v>7676.749502558624</v>
      </c>
      <c r="AG204" s="46">
        <f>SUM(AF$204,'Statistics NZ'!AG$204-'Statistics NZ'!AF$204,$S$13/5*(AG$8-AG$9)*1000)</f>
        <v>7746.749502558624</v>
      </c>
      <c r="AH204" s="46">
        <f>SUM(AG$204,'Statistics NZ'!AH$204-'Statistics NZ'!AG$204,$S$13/5*(AH$8-AH$9)*1000)</f>
        <v>7776.749502558624</v>
      </c>
      <c r="AI204" s="46">
        <f>SUM(AH$204,'Statistics NZ'!AI$204-'Statistics NZ'!AH$204,$S$13/5*(AI$8-AI$9)*1000)</f>
        <v>8056.749502558624</v>
      </c>
      <c r="AJ204" s="46">
        <f>SUM(AI$204,'Statistics NZ'!AJ$204-'Statistics NZ'!AI$204,$S$13/5*(AJ$8-AJ$9)*1000)</f>
        <v>8176.749502558624</v>
      </c>
      <c r="AK204" s="46">
        <f>SUM(AJ$204,'Statistics NZ'!AK$204-'Statistics NZ'!AJ$204,$S$13/5*(AK$8-AK$9)*1000)</f>
        <v>8396.749502558625</v>
      </c>
      <c r="AL204" s="46">
        <f>SUM(AK$204,'Statistics NZ'!AL$204-'Statistics NZ'!AK$204,$S$13/5*(AL$8-AL$9)*1000)</f>
        <v>8656.749502558625</v>
      </c>
      <c r="AM204" s="46">
        <f>SUM(AL$204,'Statistics NZ'!AM$204-'Statistics NZ'!AL$204,$S$13/5*(AM$8-AM$9)*1000)</f>
        <v>9096.749502558625</v>
      </c>
      <c r="AN204" s="46">
        <f>SUM(AM$204,'Statistics NZ'!AN$204-'Statistics NZ'!AM$204,$S$13/5*(AN$8-AN$9)*1000)</f>
        <v>9416.749502558625</v>
      </c>
      <c r="AO204" s="46">
        <f>SUM(AN$204,'Statistics NZ'!AO$204-'Statistics NZ'!AN$204,$S$13/5*(AO$8-AO$9)*1000)</f>
        <v>9826.749502558625</v>
      </c>
      <c r="AP204" s="46">
        <f>SUM(AO$204,'Statistics NZ'!AP$204-'Statistics NZ'!AO$204,$S$13/5*(AP$8-AP$9)*1000)</f>
        <v>10196.749502558625</v>
      </c>
      <c r="AQ204" s="46">
        <f>SUM(AP$204,'Statistics NZ'!AQ$204-'Statistics NZ'!AP$204,$S$13/5*(AQ$8-AQ$9)*1000)</f>
        <v>10606.749502558625</v>
      </c>
      <c r="AR204" s="46">
        <f>SUM(AQ$204,'Statistics NZ'!AR$204-'Statistics NZ'!AQ$204,$S$13/5*(AR$8-AR$9)*1000)</f>
        <v>11176.749502558625</v>
      </c>
      <c r="AS204" s="46">
        <f>SUM(AR$204,'Statistics NZ'!AS$204-'Statistics NZ'!AR$204,$S$13/5*(AS$8-AS$9)*1000)</f>
        <v>11476.749502558625</v>
      </c>
      <c r="AT204" s="46">
        <f>SUM(AS$204,'Statistics NZ'!AT$204-'Statistics NZ'!AS$204,$S$13/5*(AT$8-AT$9)*1000)</f>
        <v>12106.749502558625</v>
      </c>
      <c r="AU204" s="46">
        <f>SUM(AT$204,'Statistics NZ'!AU$204-'Statistics NZ'!AT$204,$S$13/5*(AU$8-AU$9)*1000)</f>
        <v>12526.749502558625</v>
      </c>
      <c r="AV204" s="46">
        <f>SUM(AU$204,'Statistics NZ'!AV$204-'Statistics NZ'!AU$204,$S$13/5*(AV$8-AV$9)*1000)</f>
        <v>12776.749502558625</v>
      </c>
      <c r="AW204" s="46">
        <f>SUM(AV$204,'Statistics NZ'!AW$204-'Statistics NZ'!AV$204,$S$13/5*(AW$8-AW$9)*1000)</f>
        <v>12806.749502558625</v>
      </c>
      <c r="AX204" s="46">
        <f>SUM(AW$204,'Statistics NZ'!AX$204-'Statistics NZ'!AW$204,$S$13/5*(AX$8-AX$9)*1000)</f>
        <v>12686.749502558625</v>
      </c>
      <c r="AY204" s="46">
        <f>SUM(AX$204,'Statistics NZ'!AY$204-'Statistics NZ'!AX$204,$S$13/5*(AY$8-AY$9)*1000)</f>
        <v>12716.749502558625</v>
      </c>
      <c r="AZ204" s="46">
        <f>SUM(AY$204,'Statistics NZ'!AZ$204-'Statistics NZ'!AY$204,$S$13/5*(AZ$8-AZ$9)*1000)</f>
        <v>12886.749502558625</v>
      </c>
      <c r="BA204" s="46">
        <f>SUM(AZ$204,'Statistics NZ'!BA$204-'Statistics NZ'!AZ$204,$S$13/5*(BA$8-BA$9)*1000)</f>
        <v>13326.749502558625</v>
      </c>
      <c r="BB204" s="46">
        <f>SUM(BA$204,'Statistics NZ'!BB$204-'Statistics NZ'!BA$204,$S$13/5*(BB$8-BB$9)*1000)</f>
        <v>13806.749502558625</v>
      </c>
      <c r="BC204" s="46">
        <f>SUM(BB$204,'Statistics NZ'!BC$204-'Statistics NZ'!BB$204,$S$13/5*(BC$8-BC$9)*1000)</f>
        <v>13996.749502558625</v>
      </c>
      <c r="BD204" s="46">
        <f>SUM(BC$204,'Statistics NZ'!BD$204-'Statistics NZ'!BC$204,$S$13/5*(BD$8-BD$9)*1000)</f>
        <v>14676.749502558625</v>
      </c>
      <c r="BE204" s="46">
        <f>SUM(BD$204,'Statistics NZ'!BE$204-'Statistics NZ'!BD$204,$S$13/5*(BE$8-BE$9)*1000)</f>
        <v>14756.749502558625</v>
      </c>
      <c r="BF204" s="46">
        <f>SUM(BE$204,'Statistics NZ'!BF$204-'Statistics NZ'!BE$204,$S$13/5*(BF$8-BF$9)*1000)</f>
        <v>14576.749502558625</v>
      </c>
      <c r="BG204" s="46">
        <f>SUM(BF$204,'Statistics NZ'!BG$204-'Statistics NZ'!BF$204,$S$13/5*(BG$8-BG$9)*1000)</f>
        <v>14416.749502558625</v>
      </c>
      <c r="BH204" s="46">
        <f>SUM(BG$204,'Statistics NZ'!BH$204-'Statistics NZ'!BG$204,$S$13/5*(BH$8-BH$9)*1000)</f>
        <v>14156.749502558625</v>
      </c>
      <c r="BI204" s="46">
        <f>SUM(BH$204,'Statistics NZ'!BI$204-'Statistics NZ'!BH$204,$S$13/5*(BI$8-BI$9)*1000)</f>
        <v>14266.749502558625</v>
      </c>
    </row>
    <row r="205" spans="1:61" x14ac:dyDescent="0.25">
      <c r="A205" s="11">
        <f>$A$105</f>
        <v>90</v>
      </c>
      <c r="B205" s="44">
        <f>'Statistics NZ'!B$205*'Economic Forecasts'!D$9*1000000/SUM('Statistics NZ'!B$30:B$110,'Statistics NZ'!B$130:B$210)</f>
        <v>1350.1838413746239</v>
      </c>
      <c r="C205" s="44">
        <f>'Statistics NZ'!C$205*'Economic Forecasts'!E$9*1000000/SUM('Statistics NZ'!C$30:C$110,'Statistics NZ'!C$130:C$210)</f>
        <v>1374.8109561418246</v>
      </c>
      <c r="D205" s="44">
        <f>'Statistics NZ'!D$205*'Economic Forecasts'!F$9*1000000/SUM('Statistics NZ'!D$30:D$110,'Statistics NZ'!D$130:D$210)</f>
        <v>1296.5995291655768</v>
      </c>
      <c r="E205" s="44">
        <f>'Statistics NZ'!E$205*'Economic Forecasts'!G$9*1000000/SUM('Statistics NZ'!E$30:E$110,'Statistics NZ'!E$130:E$210)</f>
        <v>1402.4042758361165</v>
      </c>
      <c r="F205" s="44">
        <f>'Statistics NZ'!F$205*'Economic Forecasts'!H$9*1000000/SUM('Statistics NZ'!F$30:F$110,'Statistics NZ'!F$130:F$210)</f>
        <v>1736.1631484004404</v>
      </c>
      <c r="G205" s="44">
        <f>'Statistics NZ'!G$205*'Economic Forecasts'!I$9*1000000/SUM('Statistics NZ'!G$30:G$110,'Statistics NZ'!G$130:G$210)</f>
        <v>1797.5124234868683</v>
      </c>
      <c r="H205" s="44">
        <f>'Statistics NZ'!H$205*'Economic Forecasts'!J$9*1000000/SUM('Statistics NZ'!H$30:H$110,'Statistics NZ'!H$130:H$210)</f>
        <v>1925.7268800544284</v>
      </c>
      <c r="I205" s="44">
        <f>'Statistics NZ'!I$205*'Economic Forecasts'!K$9*1000000/SUM('Statistics NZ'!I$30:I$110,'Statistics NZ'!I$130:I$210)</f>
        <v>2019.5323931384453</v>
      </c>
      <c r="J205" s="44">
        <f>'Statistics NZ'!J$205*'Economic Forecasts'!L$9*1000000/SUM('Statistics NZ'!J$30:J$110,'Statistics NZ'!J$130:J$210)</f>
        <v>2057.6471534701532</v>
      </c>
      <c r="K205" s="44">
        <f>'Statistics NZ'!K$205*'Economic Forecasts'!M$9*1000000/SUM('Statistics NZ'!K$30:K$110,'Statistics NZ'!K$130:K$210)</f>
        <v>2268.5391067956957</v>
      </c>
      <c r="L205" s="44">
        <f>'Statistics NZ'!L$205*'Economic Forecasts'!N$9*1000000/SUM('Statistics NZ'!L$30:L$110,'Statistics NZ'!L$130:L$210)</f>
        <v>2278.3679156408084</v>
      </c>
      <c r="M205" s="44">
        <f>'Statistics NZ'!M$205*'Economic Forecasts'!O$9*1000000/SUM('Statistics NZ'!M$30:M$110,'Statistics NZ'!M$130:M$210)</f>
        <v>2481.4717558354591</v>
      </c>
      <c r="N205" s="44">
        <f>'Statistics NZ'!N$205*'Economic Forecasts'!P$9*1000000/SUM('Statistics NZ'!N$30:N$110,'Statistics NZ'!N$130:N$210)</f>
        <v>2504.9431734839941</v>
      </c>
      <c r="O205" s="44">
        <f>'Statistics NZ'!O$205*'Economic Forecasts'!Q$9*1000000/SUM('Statistics NZ'!O$30:O$110,'Statistics NZ'!O$130:O$210)</f>
        <v>2704.0194732554169</v>
      </c>
      <c r="P205" s="44">
        <f>'Statistics NZ'!P$205*'Economic Forecasts'!R$9*1000000/SUM('Statistics NZ'!P$30:P$110,'Statistics NZ'!P$130:P$210)</f>
        <v>2741.3187568053431</v>
      </c>
      <c r="Q205" s="44">
        <f>'Statistics NZ'!Q$205*'Economic Forecasts'!S$9*1000000/SUM('Statistics NZ'!Q$30:Q$110,'Statistics NZ'!Q$130:Q$210)</f>
        <v>2950.4682637436322</v>
      </c>
      <c r="R205" s="44">
        <f>'Statistics NZ'!R$205*'Economic Forecasts'!T$9*1000000/SUM('Statistics NZ'!R$30:R$110,'Statistics NZ'!R$130:R$210)</f>
        <v>2818.1249514336782</v>
      </c>
      <c r="S205" s="44">
        <f>'Statistics NZ'!S$205*'Economic Forecasts'!U$9*1000000/SUM('Statistics NZ'!S$30:S$110,'Statistics NZ'!S$130:S$210)</f>
        <v>2740.7709910310296</v>
      </c>
      <c r="T205" s="44">
        <f>'Statistics NZ'!T$205*'Economic Forecasts'!V$9*1000000/SUM('Statistics NZ'!T$30:T$110,'Statistics NZ'!T$130:T$210)</f>
        <v>2933.8192778067582</v>
      </c>
      <c r="U205" s="45">
        <f>SUM('Statistics NZ'!U$205,$T$13/6*(U$8-U$9)*1000)*'Economic Forecasts'!W$9*1000000/SUM('Statistics NZ'!U$30:U$110,'Statistics NZ'!U$130:U$210,SUM($E$12:$T$13)*(U$8-U$9)*1000)</f>
        <v>2961.9701126340869</v>
      </c>
      <c r="V205" s="45">
        <f>SUM('Statistics NZ'!V$205,$T$13/6*(V$8-V$9)*1000)*'Economic Forecasts'!X$9*1000000/SUM('Statistics NZ'!V$30:V$110,'Statistics NZ'!V$130:V$210,SUM($E$12:$T$13)*(V$8-V$9)*1000)</f>
        <v>3059.7580331473282</v>
      </c>
      <c r="W205" s="45">
        <f>SUM('Statistics NZ'!W$205,$T$13/6*(W$8-W$9)*1000)*'Economic Forecasts'!Y$9*1000000/SUM('Statistics NZ'!W$30:W$110,'Statistics NZ'!W$130:W$210,SUM($E$12:$T$13)*(W$8-W$9)*1000)</f>
        <v>3218.8196128468876</v>
      </c>
      <c r="X205" s="45">
        <f>SUM('Statistics NZ'!X$205,$T$13/6*(X$8-X$9)*1000)*'Economic Forecasts'!Z$9*1000000/SUM('Statistics NZ'!X$30:X$110,'Statistics NZ'!X$130:X$210,SUM($E$12:$T$13)*(X$8-X$9)*1000)</f>
        <v>3447.297862358671</v>
      </c>
      <c r="Y205" s="45">
        <f>SUM('Statistics NZ'!Y$205,$T$13/6*(Y$8-Y$9)*1000)*'Economic Forecasts'!AA$9*1000000/SUM('Statistics NZ'!Y$30:Y$110,'Statistics NZ'!Y$130:Y$210,SUM($E$12:$T$13)*(Y$8-Y$9)*1000)</f>
        <v>3626.8554759647236</v>
      </c>
      <c r="Z205" s="46">
        <f>SUM(Y$205,'Statistics NZ'!Z$205-'Statistics NZ'!Y$205,$T$13/6*(Z$8-Z$9)*1000)</f>
        <v>4076.9802662583866</v>
      </c>
      <c r="AA205" s="46">
        <f>SUM(Z$205,'Statistics NZ'!AA$205-'Statistics NZ'!Z$205,$T$13/6*(AA$8-AA$9)*1000)</f>
        <v>4467.0551404345842</v>
      </c>
      <c r="AB205" s="46">
        <f>SUM(AA$205,'Statistics NZ'!AB$205-'Statistics NZ'!AA$205,$T$13/6*(AB$8-AB$9)*1000)</f>
        <v>4617.0900817168094</v>
      </c>
      <c r="AC205" s="46">
        <f>SUM(AB$205,'Statistics NZ'!AC$205-'Statistics NZ'!AB$205,$T$13/6*(AC$8-AC$9)*1000)</f>
        <v>4147.0900817168094</v>
      </c>
      <c r="AD205" s="46">
        <f>SUM(AC$205,'Statistics NZ'!AD$205-'Statistics NZ'!AC$205,$T$13/6*(AD$8-AD$9)*1000)</f>
        <v>4857.0900817168094</v>
      </c>
      <c r="AE205" s="46">
        <f>SUM(AD$205,'Statistics NZ'!AE$205-'Statistics NZ'!AD$205,$T$13/6*(AE$8-AE$9)*1000)</f>
        <v>5087.0900817168094</v>
      </c>
      <c r="AF205" s="46">
        <f>SUM(AE$205,'Statistics NZ'!AF$205-'Statistics NZ'!AE$205,$T$13/6*(AF$8-AF$9)*1000)</f>
        <v>5447.0900817168094</v>
      </c>
      <c r="AG205" s="46">
        <f>SUM(AF$205,'Statistics NZ'!AG$205-'Statistics NZ'!AF$205,$T$13/6*(AG$8-AG$9)*1000)</f>
        <v>6607.0900817168094</v>
      </c>
      <c r="AH205" s="46">
        <f>SUM(AG$205,'Statistics NZ'!AH$205-'Statistics NZ'!AG$205,$T$13/6*(AH$8-AH$9)*1000)</f>
        <v>6677.0900817168094</v>
      </c>
      <c r="AI205" s="46">
        <f>SUM(AH$205,'Statistics NZ'!AI$205-'Statistics NZ'!AH$205,$T$13/6*(AI$8-AI$9)*1000)</f>
        <v>6707.0900817168094</v>
      </c>
      <c r="AJ205" s="46">
        <f>SUM(AI$205,'Statistics NZ'!AJ$205-'Statistics NZ'!AI$205,$T$13/6*(AJ$8-AJ$9)*1000)</f>
        <v>6967.0900817168094</v>
      </c>
      <c r="AK205" s="46">
        <f>SUM(AJ$205,'Statistics NZ'!AK$205-'Statistics NZ'!AJ$205,$T$13/6*(AK$8-AK$9)*1000)</f>
        <v>7067.0900817168094</v>
      </c>
      <c r="AL205" s="46">
        <f>SUM(AK$205,'Statistics NZ'!AL$205-'Statistics NZ'!AK$205,$T$13/6*(AL$8-AL$9)*1000)</f>
        <v>7277.0900817168094</v>
      </c>
      <c r="AM205" s="46">
        <f>SUM(AL$205,'Statistics NZ'!AM$205-'Statistics NZ'!AL$205,$T$13/6*(AM$8-AM$9)*1000)</f>
        <v>7497.0900817168094</v>
      </c>
      <c r="AN205" s="46">
        <f>SUM(AM$205,'Statistics NZ'!AN$205-'Statistics NZ'!AM$205,$T$13/6*(AN$8-AN$9)*1000)</f>
        <v>7887.0900817168094</v>
      </c>
      <c r="AO205" s="46">
        <f>SUM(AN$205,'Statistics NZ'!AO$205-'Statistics NZ'!AN$205,$T$13/6*(AO$8-AO$9)*1000)</f>
        <v>8187.0900817168094</v>
      </c>
      <c r="AP205" s="46">
        <f>SUM(AO$205,'Statistics NZ'!AP$205-'Statistics NZ'!AO$205,$T$13/6*(AP$8-AP$9)*1000)</f>
        <v>8547.0900817168094</v>
      </c>
      <c r="AQ205" s="46">
        <f>SUM(AP$205,'Statistics NZ'!AQ$205-'Statistics NZ'!AP$205,$T$13/6*(AQ$8-AQ$9)*1000)</f>
        <v>8877.0900817168094</v>
      </c>
      <c r="AR205" s="46">
        <f>SUM(AQ$205,'Statistics NZ'!AR$205-'Statistics NZ'!AQ$205,$T$13/6*(AR$8-AR$9)*1000)</f>
        <v>9247.0900817168094</v>
      </c>
      <c r="AS205" s="46">
        <f>SUM(AR$205,'Statistics NZ'!AS$205-'Statistics NZ'!AR$205,$T$13/6*(AS$8-AS$9)*1000)</f>
        <v>9757.0900817168094</v>
      </c>
      <c r="AT205" s="46">
        <f>SUM(AS$205,'Statistics NZ'!AT$205-'Statistics NZ'!AS$205,$T$13/6*(AT$8-AT$9)*1000)</f>
        <v>10027.090081716809</v>
      </c>
      <c r="AU205" s="46">
        <f>SUM(AT$205,'Statistics NZ'!AU$205-'Statistics NZ'!AT$205,$T$13/6*(AU$8-AU$9)*1000)</f>
        <v>10587.090081716809</v>
      </c>
      <c r="AV205" s="46">
        <f>SUM(AU$205,'Statistics NZ'!AV$205-'Statistics NZ'!AU$205,$T$13/6*(AV$8-AV$9)*1000)</f>
        <v>10957.090081716809</v>
      </c>
      <c r="AW205" s="46">
        <f>SUM(AV$205,'Statistics NZ'!AW$205-'Statistics NZ'!AV$205,$T$13/6*(AW$8-AW$9)*1000)</f>
        <v>11197.090081716809</v>
      </c>
      <c r="AX205" s="46">
        <f>SUM(AW$205,'Statistics NZ'!AX$205-'Statistics NZ'!AW$205,$T$13/6*(AX$8-AX$9)*1000)</f>
        <v>11237.090081716809</v>
      </c>
      <c r="AY205" s="46">
        <f>SUM(AX$205,'Statistics NZ'!AY$205-'Statistics NZ'!AX$205,$T$13/6*(AY$8-AY$9)*1000)</f>
        <v>11137.090081716809</v>
      </c>
      <c r="AZ205" s="46">
        <f>SUM(AY$205,'Statistics NZ'!AZ$205-'Statistics NZ'!AY$205,$T$13/6*(AZ$8-AZ$9)*1000)</f>
        <v>11167.090081716809</v>
      </c>
      <c r="BA205" s="46">
        <f>SUM(AZ$205,'Statistics NZ'!BA$205-'Statistics NZ'!AZ$205,$T$13/6*(BA$8-BA$9)*1000)</f>
        <v>11337.090081716809</v>
      </c>
      <c r="BB205" s="46">
        <f>SUM(BA$205,'Statistics NZ'!BB$205-'Statistics NZ'!BA$205,$T$13/6*(BB$8-BB$9)*1000)</f>
        <v>11737.090081716809</v>
      </c>
      <c r="BC205" s="46">
        <f>SUM(BB$205,'Statistics NZ'!BC$205-'Statistics NZ'!BB$205,$T$13/6*(BC$8-BC$9)*1000)</f>
        <v>12167.090081716809</v>
      </c>
      <c r="BD205" s="46">
        <f>SUM(BC$205,'Statistics NZ'!BD$205-'Statistics NZ'!BC$205,$T$13/6*(BD$8-BD$9)*1000)</f>
        <v>12347.090081716809</v>
      </c>
      <c r="BE205" s="46">
        <f>SUM(BD$205,'Statistics NZ'!BE$205-'Statistics NZ'!BD$205,$T$13/6*(BE$8-BE$9)*1000)</f>
        <v>12957.090081716809</v>
      </c>
      <c r="BF205" s="46">
        <f>SUM(BE$205,'Statistics NZ'!BF$205-'Statistics NZ'!BE$205,$T$13/6*(BF$8-BF$9)*1000)</f>
        <v>13047.090081716809</v>
      </c>
      <c r="BG205" s="46">
        <f>SUM(BF$205,'Statistics NZ'!BG$205-'Statistics NZ'!BF$205,$T$13/6*(BG$8-BG$9)*1000)</f>
        <v>12897.090081716809</v>
      </c>
      <c r="BH205" s="46">
        <f>SUM(BG$205,'Statistics NZ'!BH$205-'Statistics NZ'!BG$205,$T$13/6*(BH$8-BH$9)*1000)</f>
        <v>12767.090081716809</v>
      </c>
      <c r="BI205" s="46">
        <f>SUM(BH$205,'Statistics NZ'!BI$205-'Statistics NZ'!BH$205,$T$13/6*(BI$8-BI$9)*1000)</f>
        <v>12547.090081716809</v>
      </c>
    </row>
    <row r="206" spans="1:61" x14ac:dyDescent="0.25">
      <c r="A206" s="11">
        <f>$A$106</f>
        <v>91</v>
      </c>
      <c r="B206" s="44">
        <f>'Statistics NZ'!B$206*'Economic Forecasts'!D$9*1000000/SUM('Statistics NZ'!B$30:B$110,'Statistics NZ'!B$130:B$210)</f>
        <v>997.96196971167853</v>
      </c>
      <c r="C206" s="44">
        <f>'Statistics NZ'!C$206*'Economic Forecasts'!E$9*1000000/SUM('Statistics NZ'!C$30:C$110,'Statistics NZ'!C$130:C$210)</f>
        <v>1109.6688431716157</v>
      </c>
      <c r="D206" s="44">
        <f>'Statistics NZ'!D$206*'Economic Forecasts'!F$9*1000000/SUM('Statistics NZ'!D$30:D$110,'Statistics NZ'!D$130:D$210)</f>
        <v>1129.6132261669795</v>
      </c>
      <c r="E206" s="44">
        <f>'Statistics NZ'!E$206*'Economic Forecasts'!G$9*1000000/SUM('Statistics NZ'!E$30:E$110,'Statistics NZ'!E$130:E$210)</f>
        <v>1059.1584740580461</v>
      </c>
      <c r="F206" s="44">
        <f>'Statistics NZ'!F$206*'Economic Forecasts'!H$9*1000000/SUM('Statistics NZ'!F$30:F$110,'Statistics NZ'!F$130:F$210)</f>
        <v>1128.0156048929414</v>
      </c>
      <c r="G206" s="44">
        <f>'Statistics NZ'!G$206*'Economic Forecasts'!I$9*1000000/SUM('Statistics NZ'!G$30:G$110,'Statistics NZ'!G$130:G$210)</f>
        <v>1414.436005366716</v>
      </c>
      <c r="H206" s="44">
        <f>'Statistics NZ'!H$206*'Economic Forecasts'!J$9*1000000/SUM('Statistics NZ'!H$30:H$110,'Statistics NZ'!H$130:H$210)</f>
        <v>1454.1202971839559</v>
      </c>
      <c r="I206" s="44">
        <f>'Statistics NZ'!I$206*'Economic Forecasts'!K$9*1000000/SUM('Statistics NZ'!I$30:I$110,'Statistics NZ'!I$130:I$210)</f>
        <v>1558.765293733072</v>
      </c>
      <c r="J206" s="44">
        <f>'Statistics NZ'!J$206*'Economic Forecasts'!L$9*1000000/SUM('Statistics NZ'!J$30:J$110,'Statistics NZ'!J$130:J$210)</f>
        <v>1667.5718637127782</v>
      </c>
      <c r="K206" s="44">
        <f>'Statistics NZ'!K$206*'Economic Forecasts'!M$9*1000000/SUM('Statistics NZ'!K$30:K$110,'Statistics NZ'!K$130:K$210)</f>
        <v>1674.6297269049771</v>
      </c>
      <c r="L206" s="44">
        <f>'Statistics NZ'!L$206*'Economic Forecasts'!N$9*1000000/SUM('Statistics NZ'!L$30:L$110,'Statistics NZ'!L$130:L$210)</f>
        <v>1869.4300846283554</v>
      </c>
      <c r="M206" s="44">
        <f>'Statistics NZ'!M$206*'Economic Forecasts'!O$9*1000000/SUM('Statistics NZ'!M$30:M$110,'Statistics NZ'!M$130:M$210)</f>
        <v>1875.7581776394022</v>
      </c>
      <c r="N206" s="44">
        <f>'Statistics NZ'!N$206*'Economic Forecasts'!P$9*1000000/SUM('Statistics NZ'!N$30:N$110,'Statistics NZ'!N$130:N$210)</f>
        <v>2025.4813941843233</v>
      </c>
      <c r="O206" s="44">
        <f>'Statistics NZ'!O$206*'Economic Forecasts'!Q$9*1000000/SUM('Statistics NZ'!O$30:O$110,'Statistics NZ'!O$130:O$210)</f>
        <v>2064.8875977586822</v>
      </c>
      <c r="P206" s="44">
        <f>'Statistics NZ'!P$206*'Economic Forecasts'!R$9*1000000/SUM('Statistics NZ'!P$30:P$110,'Statistics NZ'!P$130:P$210)</f>
        <v>2240.2174786796354</v>
      </c>
      <c r="Q206" s="44">
        <f>'Statistics NZ'!Q$206*'Economic Forecasts'!S$9*1000000/SUM('Statistics NZ'!Q$30:Q$110,'Statistics NZ'!Q$130:Q$210)</f>
        <v>2344.4798324696872</v>
      </c>
      <c r="R206" s="44">
        <f>'Statistics NZ'!R$206*'Economic Forecasts'!T$9*1000000/SUM('Statistics NZ'!R$30:R$110,'Statistics NZ'!R$130:R$210)</f>
        <v>2439.7194809231487</v>
      </c>
      <c r="S206" s="44">
        <f>'Statistics NZ'!S$206*'Economic Forecasts'!U$9*1000000/SUM('Statistics NZ'!S$30:S$110,'Statistics NZ'!S$130:S$210)</f>
        <v>2308.5347057071399</v>
      </c>
      <c r="T206" s="44">
        <f>'Statistics NZ'!T$206*'Economic Forecasts'!V$9*1000000/SUM('Statistics NZ'!T$30:T$110,'Statistics NZ'!T$130:T$210)</f>
        <v>2269.7453196545534</v>
      </c>
      <c r="U206" s="45">
        <f>SUM('Statistics NZ'!U$206,$T$13/6*(U$8-U$9)*1000)*'Economic Forecasts'!W$9*1000000/SUM('Statistics NZ'!U$30:U$110,'Statistics NZ'!U$130:U$210,SUM($E$12:$T$13)*(U$8-U$9)*1000)</f>
        <v>2417.1979594723762</v>
      </c>
      <c r="V206" s="45">
        <f>SUM('Statistics NZ'!V$206,$T$13/6*(V$8-V$9)*1000)*'Economic Forecasts'!X$9*1000000/SUM('Statistics NZ'!V$30:V$110,'Statistics NZ'!V$130:V$210,SUM($E$12:$T$13)*(V$8-V$9)*1000)</f>
        <v>2445.9073134109667</v>
      </c>
      <c r="W206" s="45">
        <f>SUM('Statistics NZ'!W$206,$T$13/6*(W$8-W$9)*1000)*'Economic Forecasts'!Y$9*1000000/SUM('Statistics NZ'!W$30:W$110,'Statistics NZ'!W$130:W$210,SUM($E$12:$T$13)*(W$8-W$9)*1000)</f>
        <v>2535.512912310995</v>
      </c>
      <c r="X206" s="45">
        <f>SUM('Statistics NZ'!X$206,$T$13/6*(X$8-X$9)*1000)*'Economic Forecasts'!Z$9*1000000/SUM('Statistics NZ'!X$30:X$110,'Statistics NZ'!X$130:X$210,SUM($E$12:$T$13)*(X$8-X$9)*1000)</f>
        <v>2674.6874951728637</v>
      </c>
      <c r="Y206" s="45">
        <f>SUM('Statistics NZ'!Y$206,$T$13/6*(Y$8-Y$9)*1000)*'Economic Forecasts'!AA$9*1000000/SUM('Statistics NZ'!Y$30:Y$110,'Statistics NZ'!Y$130:Y$210,SUM($E$12:$T$13)*(Y$8-Y$9)*1000)</f>
        <v>2873.7790281167822</v>
      </c>
      <c r="Z206" s="46">
        <f>SUM(Y$206,'Statistics NZ'!Z$206-'Statistics NZ'!Y$206,$T$13/6*(Z$8-Z$9)*1000)</f>
        <v>3023.9038184104452</v>
      </c>
      <c r="AA206" s="46">
        <f>SUM(Z$206,'Statistics NZ'!AA$206-'Statistics NZ'!Z$206,$T$13/6*(AA$8-AA$9)*1000)</f>
        <v>3403.9786925866429</v>
      </c>
      <c r="AB206" s="46">
        <f>SUM(AA$206,'Statistics NZ'!AB$206-'Statistics NZ'!AA$206,$T$13/6*(AB$8-AB$9)*1000)</f>
        <v>3734.0136338688685</v>
      </c>
      <c r="AC206" s="46">
        <f>SUM(AB$206,'Statistics NZ'!AC$206-'Statistics NZ'!AB$206,$T$13/6*(AC$8-AC$9)*1000)</f>
        <v>3874.0136338688685</v>
      </c>
      <c r="AD206" s="46">
        <f>SUM(AC$206,'Statistics NZ'!AD$206-'Statistics NZ'!AC$206,$T$13/6*(AD$8-AD$9)*1000)</f>
        <v>3484.0136338688685</v>
      </c>
      <c r="AE206" s="46">
        <f>SUM(AD$206,'Statistics NZ'!AE$206-'Statistics NZ'!AD$206,$T$13/6*(AE$8-AE$9)*1000)</f>
        <v>4084.0136338688685</v>
      </c>
      <c r="AF206" s="46">
        <f>SUM(AE$206,'Statistics NZ'!AF$206-'Statistics NZ'!AE$206,$T$13/6*(AF$8-AF$9)*1000)</f>
        <v>4274.0136338688681</v>
      </c>
      <c r="AG206" s="46">
        <f>SUM(AF$206,'Statistics NZ'!AG$206-'Statistics NZ'!AF$206,$T$13/6*(AG$8-AG$9)*1000)</f>
        <v>4594.0136338688681</v>
      </c>
      <c r="AH206" s="46">
        <f>SUM(AG$206,'Statistics NZ'!AH$206-'Statistics NZ'!AG$206,$T$13/6*(AH$8-AH$9)*1000)</f>
        <v>5574.0136338688681</v>
      </c>
      <c r="AI206" s="46">
        <f>SUM(AH$206,'Statistics NZ'!AI$206-'Statistics NZ'!AH$206,$T$13/6*(AI$8-AI$9)*1000)</f>
        <v>5634.0136338688681</v>
      </c>
      <c r="AJ206" s="46">
        <f>SUM(AI$206,'Statistics NZ'!AJ$206-'Statistics NZ'!AI$206,$T$13/6*(AJ$8-AJ$9)*1000)</f>
        <v>5674.0136338688681</v>
      </c>
      <c r="AK206" s="46">
        <f>SUM(AJ$206,'Statistics NZ'!AK$206-'Statistics NZ'!AJ$206,$T$13/6*(AK$8-AK$9)*1000)</f>
        <v>5894.0136338688681</v>
      </c>
      <c r="AL206" s="46">
        <f>SUM(AK$206,'Statistics NZ'!AL$206-'Statistics NZ'!AK$206,$T$13/6*(AL$8-AL$9)*1000)</f>
        <v>5984.0136338688681</v>
      </c>
      <c r="AM206" s="46">
        <f>SUM(AL$206,'Statistics NZ'!AM$206-'Statistics NZ'!AL$206,$T$13/6*(AM$8-AM$9)*1000)</f>
        <v>6174.0136338688681</v>
      </c>
      <c r="AN206" s="46">
        <f>SUM(AM$206,'Statistics NZ'!AN$206-'Statistics NZ'!AM$206,$T$13/6*(AN$8-AN$9)*1000)</f>
        <v>6364.0136338688681</v>
      </c>
      <c r="AO206" s="46">
        <f>SUM(AN$206,'Statistics NZ'!AO$206-'Statistics NZ'!AN$206,$T$13/6*(AO$8-AO$9)*1000)</f>
        <v>6704.0136338688681</v>
      </c>
      <c r="AP206" s="46">
        <f>SUM(AO$206,'Statistics NZ'!AP$206-'Statistics NZ'!AO$206,$T$13/6*(AP$8-AP$9)*1000)</f>
        <v>6964.0136338688681</v>
      </c>
      <c r="AQ206" s="46">
        <f>SUM(AP$206,'Statistics NZ'!AQ$206-'Statistics NZ'!AP$206,$T$13/6*(AQ$8-AQ$9)*1000)</f>
        <v>7274.0136338688681</v>
      </c>
      <c r="AR206" s="46">
        <f>SUM(AQ$206,'Statistics NZ'!AR$206-'Statistics NZ'!AQ$206,$T$13/6*(AR$8-AR$9)*1000)</f>
        <v>7574.0136338688681</v>
      </c>
      <c r="AS206" s="46">
        <f>SUM(AR$206,'Statistics NZ'!AS$206-'Statistics NZ'!AR$206,$T$13/6*(AS$8-AS$9)*1000)</f>
        <v>7894.0136338688681</v>
      </c>
      <c r="AT206" s="46">
        <f>SUM(AS$206,'Statistics NZ'!AT$206-'Statistics NZ'!AS$206,$T$13/6*(AT$8-AT$9)*1000)</f>
        <v>8334.0136338688681</v>
      </c>
      <c r="AU206" s="46">
        <f>SUM(AT$206,'Statistics NZ'!AU$206-'Statistics NZ'!AT$206,$T$13/6*(AU$8-AU$9)*1000)</f>
        <v>8574.0136338688681</v>
      </c>
      <c r="AV206" s="46">
        <f>SUM(AU$206,'Statistics NZ'!AV$206-'Statistics NZ'!AU$206,$T$13/6*(AV$8-AV$9)*1000)</f>
        <v>9064.0136338688681</v>
      </c>
      <c r="AW206" s="46">
        <f>SUM(AV$206,'Statistics NZ'!AW$206-'Statistics NZ'!AV$206,$T$13/6*(AW$8-AW$9)*1000)</f>
        <v>9404.0136338688681</v>
      </c>
      <c r="AX206" s="46">
        <f>SUM(AW$206,'Statistics NZ'!AX$206-'Statistics NZ'!AW$206,$T$13/6*(AX$8-AX$9)*1000)</f>
        <v>9614.0136338688681</v>
      </c>
      <c r="AY206" s="46">
        <f>SUM(AX$206,'Statistics NZ'!AY$206-'Statistics NZ'!AX$206,$T$13/6*(AY$8-AY$9)*1000)</f>
        <v>9654.0136338688681</v>
      </c>
      <c r="AZ206" s="46">
        <f>SUM(AY$206,'Statistics NZ'!AZ$206-'Statistics NZ'!AY$206,$T$13/6*(AZ$8-AZ$9)*1000)</f>
        <v>9574.0136338688681</v>
      </c>
      <c r="BA206" s="46">
        <f>SUM(AZ$206,'Statistics NZ'!BA$206-'Statistics NZ'!AZ$206,$T$13/6*(BA$8-BA$9)*1000)</f>
        <v>9614.0136338688681</v>
      </c>
      <c r="BB206" s="46">
        <f>SUM(BA$206,'Statistics NZ'!BB$206-'Statistics NZ'!BA$206,$T$13/6*(BB$8-BB$9)*1000)</f>
        <v>9764.0136338688681</v>
      </c>
      <c r="BC206" s="46">
        <f>SUM(BB$206,'Statistics NZ'!BC$206-'Statistics NZ'!BB$206,$T$13/6*(BC$8-BC$9)*1000)</f>
        <v>10124.013633868868</v>
      </c>
      <c r="BD206" s="46">
        <f>SUM(BC$206,'Statistics NZ'!BD$206-'Statistics NZ'!BC$206,$T$13/6*(BD$8-BD$9)*1000)</f>
        <v>10514.013633868868</v>
      </c>
      <c r="BE206" s="46">
        <f>SUM(BD$206,'Statistics NZ'!BE$206-'Statistics NZ'!BD$206,$T$13/6*(BE$8-BE$9)*1000)</f>
        <v>10674.013633868868</v>
      </c>
      <c r="BF206" s="46">
        <f>SUM(BE$206,'Statistics NZ'!BF$206-'Statistics NZ'!BE$206,$T$13/6*(BF$8-BF$9)*1000)</f>
        <v>11214.013633868868</v>
      </c>
      <c r="BG206" s="46">
        <f>SUM(BF$206,'Statistics NZ'!BG$206-'Statistics NZ'!BF$206,$T$13/6*(BG$8-BG$9)*1000)</f>
        <v>11304.013633868868</v>
      </c>
      <c r="BH206" s="46">
        <f>SUM(BG$206,'Statistics NZ'!BH$206-'Statistics NZ'!BG$206,$T$13/6*(BH$8-BH$9)*1000)</f>
        <v>11184.013633868868</v>
      </c>
      <c r="BI206" s="46">
        <f>SUM(BH$206,'Statistics NZ'!BI$206-'Statistics NZ'!BH$206,$T$13/6*(BI$8-BI$9)*1000)</f>
        <v>11084.013633868868</v>
      </c>
    </row>
    <row r="207" spans="1:61" x14ac:dyDescent="0.25">
      <c r="A207" s="11">
        <f>$A$107</f>
        <v>92</v>
      </c>
      <c r="B207" s="44">
        <f>'Statistics NZ'!B$207*'Economic Forecasts'!D$9*1000000/SUM('Statistics NZ'!B$30:B$110,'Statistics NZ'!B$130:B$210)</f>
        <v>772.93132948257437</v>
      </c>
      <c r="C207" s="44">
        <f>'Statistics NZ'!C$207*'Economic Forecasts'!E$9*1000000/SUM('Statistics NZ'!C$30:C$110,'Statistics NZ'!C$130:C$210)</f>
        <v>795.42633891062712</v>
      </c>
      <c r="D207" s="44">
        <f>'Statistics NZ'!D$207*'Economic Forecasts'!F$9*1000000/SUM('Statistics NZ'!D$30:D$110,'Statistics NZ'!D$130:D$210)</f>
        <v>874.22240981618415</v>
      </c>
      <c r="E207" s="44">
        <f>'Statistics NZ'!E$207*'Economic Forecasts'!G$9*1000000/SUM('Statistics NZ'!E$30:E$110,'Statistics NZ'!E$130:E$210)</f>
        <v>902.24610753092804</v>
      </c>
      <c r="F207" s="44">
        <f>'Statistics NZ'!F$207*'Economic Forecasts'!H$9*1000000/SUM('Statistics NZ'!F$30:F$110,'Statistics NZ'!F$130:F$210)</f>
        <v>843.55949583298229</v>
      </c>
      <c r="G207" s="44">
        <f>'Statistics NZ'!G$207*'Economic Forecasts'!I$9*1000000/SUM('Statistics NZ'!G$30:G$110,'Statistics NZ'!G$130:G$210)</f>
        <v>913.4899201326707</v>
      </c>
      <c r="H207" s="44">
        <f>'Statistics NZ'!H$207*'Economic Forecasts'!J$9*1000000/SUM('Statistics NZ'!H$30:H$110,'Statistics NZ'!H$130:H$210)</f>
        <v>1120.0656343173716</v>
      </c>
      <c r="I207" s="44">
        <f>'Statistics NZ'!I$207*'Economic Forecasts'!K$9*1000000/SUM('Statistics NZ'!I$30:I$110,'Statistics NZ'!I$130:I$210)</f>
        <v>1156.8195261666822</v>
      </c>
      <c r="J207" s="44">
        <f>'Statistics NZ'!J$207*'Economic Forecasts'!L$9*1000000/SUM('Statistics NZ'!J$30:J$110,'Statistics NZ'!J$130:J$210)</f>
        <v>1257.9928094675345</v>
      </c>
      <c r="K207" s="44">
        <f>'Statistics NZ'!K$207*'Economic Forecasts'!M$9*1000000/SUM('Statistics NZ'!K$30:K$110,'Statistics NZ'!K$130:K$210)</f>
        <v>1314.3896112335576</v>
      </c>
      <c r="L207" s="44">
        <f>'Statistics NZ'!L$207*'Economic Forecasts'!N$9*1000000/SUM('Statistics NZ'!L$30:L$110,'Statistics NZ'!L$130:L$210)</f>
        <v>1363.1261033748426</v>
      </c>
      <c r="M207" s="44">
        <f>'Statistics NZ'!M$207*'Economic Forecasts'!O$9*1000000/SUM('Statistics NZ'!M$30:M$110,'Statistics NZ'!M$130:M$210)</f>
        <v>1514.2839454901425</v>
      </c>
      <c r="N207" s="44">
        <f>'Statistics NZ'!N$207*'Economic Forecasts'!P$9*1000000/SUM('Statistics NZ'!N$30:N$110,'Statistics NZ'!N$130:N$210)</f>
        <v>1516.6648120703869</v>
      </c>
      <c r="O207" s="44">
        <f>'Statistics NZ'!O$207*'Economic Forecasts'!Q$9*1000000/SUM('Statistics NZ'!O$30:O$110,'Statistics NZ'!O$130:O$210)</f>
        <v>1642.0772801223804</v>
      </c>
      <c r="P207" s="44">
        <f>'Statistics NZ'!P$207*'Economic Forecasts'!R$9*1000000/SUM('Statistics NZ'!P$30:P$110,'Statistics NZ'!P$130:P$210)</f>
        <v>1670.3375937523599</v>
      </c>
      <c r="Q207" s="44">
        <f>'Statistics NZ'!Q$207*'Economic Forecasts'!S$9*1000000/SUM('Statistics NZ'!Q$30:Q$110,'Statistics NZ'!Q$130:Q$210)</f>
        <v>1857.7022401348795</v>
      </c>
      <c r="R207" s="44">
        <f>'Statistics NZ'!R$207*'Economic Forecasts'!T$9*1000000/SUM('Statistics NZ'!R$30:R$110,'Statistics NZ'!R$130:R$210)</f>
        <v>1872.1112751573551</v>
      </c>
      <c r="S207" s="44">
        <f>'Statistics NZ'!S$207*'Economic Forecasts'!U$9*1000000/SUM('Statistics NZ'!S$30:S$110,'Statistics NZ'!S$130:S$210)</f>
        <v>1895.9455242616084</v>
      </c>
      <c r="T207" s="44">
        <f>'Statistics NZ'!T$207*'Economic Forecasts'!V$9*1000000/SUM('Statistics NZ'!T$30:T$110,'Statistics NZ'!T$130:T$210)</f>
        <v>1853.460151857648</v>
      </c>
      <c r="U207" s="45">
        <f>SUM('Statistics NZ'!U$207,$T$13/6*(U$8-U$9)*1000)*'Economic Forecasts'!W$9*1000000/SUM('Statistics NZ'!U$30:U$110,'Statistics NZ'!U$130:U$210,SUM($E$12:$T$13)*(U$8-U$9)*1000)</f>
        <v>1832.8060133534505</v>
      </c>
      <c r="V207" s="45">
        <f>SUM('Statistics NZ'!V$207,$T$13/6*(V$8-V$9)*1000)*'Economic Forecasts'!X$9*1000000/SUM('Statistics NZ'!V$30:V$110,'Statistics NZ'!V$130:V$210,SUM($E$12:$T$13)*(V$8-V$9)*1000)</f>
        <v>1960.7672284580356</v>
      </c>
      <c r="W207" s="45">
        <f>SUM('Statistics NZ'!W$207,$T$13/6*(W$8-W$9)*1000)*'Economic Forecasts'!Y$9*1000000/SUM('Statistics NZ'!W$30:W$110,'Statistics NZ'!W$130:W$210,SUM($E$12:$T$13)*(W$8-W$9)*1000)</f>
        <v>1980.9451553543281</v>
      </c>
      <c r="X207" s="45">
        <f>SUM('Statistics NZ'!X$207,$T$13/6*(X$8-X$9)*1000)*'Economic Forecasts'!Z$9*1000000/SUM('Statistics NZ'!X$30:X$110,'Statistics NZ'!X$130:X$210,SUM($E$12:$T$13)*(X$8-X$9)*1000)</f>
        <v>2060.5613058713243</v>
      </c>
      <c r="Y207" s="45">
        <f>SUM('Statistics NZ'!Y$207,$T$13/6*(Y$8-Y$9)*1000)*'Economic Forecasts'!AA$9*1000000/SUM('Statistics NZ'!Y$30:Y$110,'Statistics NZ'!Y$130:Y$210,SUM($E$12:$T$13)*(Y$8-Y$9)*1000)</f>
        <v>2170.2470834167316</v>
      </c>
      <c r="Z207" s="46">
        <f>SUM(Y$207,'Statistics NZ'!Z$207-'Statistics NZ'!Y$207,$T$13/6*(Z$8-Z$9)*1000)</f>
        <v>2340.3718737103945</v>
      </c>
      <c r="AA207" s="46">
        <f>SUM(Z$207,'Statistics NZ'!AA$207-'Statistics NZ'!Z$207,$T$13/6*(AA$8-AA$9)*1000)</f>
        <v>2470.4467478865922</v>
      </c>
      <c r="AB207" s="46">
        <f>SUM(AA$207,'Statistics NZ'!AB$207-'Statistics NZ'!AA$207,$T$13/6*(AB$8-AB$9)*1000)</f>
        <v>2780.4816891688179</v>
      </c>
      <c r="AC207" s="46">
        <f>SUM(AB$207,'Statistics NZ'!AC$207-'Statistics NZ'!AB$207,$T$13/6*(AC$8-AC$9)*1000)</f>
        <v>3060.4816891688179</v>
      </c>
      <c r="AD207" s="46">
        <f>SUM(AC$207,'Statistics NZ'!AD$207-'Statistics NZ'!AC$207,$T$13/6*(AD$8-AD$9)*1000)</f>
        <v>3170.4816891688179</v>
      </c>
      <c r="AE207" s="46">
        <f>SUM(AD$207,'Statistics NZ'!AE$207-'Statistics NZ'!AD$207,$T$13/6*(AE$8-AE$9)*1000)</f>
        <v>2860.4816891688179</v>
      </c>
      <c r="AF207" s="46">
        <f>SUM(AE$207,'Statistics NZ'!AF$207-'Statistics NZ'!AE$207,$T$13/6*(AF$8-AF$9)*1000)</f>
        <v>3350.4816891688179</v>
      </c>
      <c r="AG207" s="46">
        <f>SUM(AF$207,'Statistics NZ'!AG$207-'Statistics NZ'!AF$207,$T$13/6*(AG$8-AG$9)*1000)</f>
        <v>3520.4816891688179</v>
      </c>
      <c r="AH207" s="46">
        <f>SUM(AG$207,'Statistics NZ'!AH$207-'Statistics NZ'!AG$207,$T$13/6*(AH$8-AH$9)*1000)</f>
        <v>3780.4816891688179</v>
      </c>
      <c r="AI207" s="46">
        <f>SUM(AH$207,'Statistics NZ'!AI$207-'Statistics NZ'!AH$207,$T$13/6*(AI$8-AI$9)*1000)</f>
        <v>4590.4816891688179</v>
      </c>
      <c r="AJ207" s="46">
        <f>SUM(AI$207,'Statistics NZ'!AJ$207-'Statistics NZ'!AI$207,$T$13/6*(AJ$8-AJ$9)*1000)</f>
        <v>4650.4816891688179</v>
      </c>
      <c r="AK207" s="46">
        <f>SUM(AJ$207,'Statistics NZ'!AK$207-'Statistics NZ'!AJ$207,$T$13/6*(AK$8-AK$9)*1000)</f>
        <v>4690.4816891688179</v>
      </c>
      <c r="AL207" s="46">
        <f>SUM(AK$207,'Statistics NZ'!AL$207-'Statistics NZ'!AK$207,$T$13/6*(AL$8-AL$9)*1000)</f>
        <v>4880.4816891688179</v>
      </c>
      <c r="AM207" s="46">
        <f>SUM(AL$207,'Statistics NZ'!AM$207-'Statistics NZ'!AL$207,$T$13/6*(AM$8-AM$9)*1000)</f>
        <v>4960.4816891688179</v>
      </c>
      <c r="AN207" s="46">
        <f>SUM(AM$207,'Statistics NZ'!AN$207-'Statistics NZ'!AM$207,$T$13/6*(AN$8-AN$9)*1000)</f>
        <v>5120.4816891688179</v>
      </c>
      <c r="AO207" s="46">
        <f>SUM(AN$207,'Statistics NZ'!AO$207-'Statistics NZ'!AN$207,$T$13/6*(AO$8-AO$9)*1000)</f>
        <v>5290.4816891688179</v>
      </c>
      <c r="AP207" s="46">
        <f>SUM(AO$207,'Statistics NZ'!AP$207-'Statistics NZ'!AO$207,$T$13/6*(AP$8-AP$9)*1000)</f>
        <v>5580.4816891688179</v>
      </c>
      <c r="AQ207" s="46">
        <f>SUM(AP$207,'Statistics NZ'!AQ$207-'Statistics NZ'!AP$207,$T$13/6*(AQ$8-AQ$9)*1000)</f>
        <v>5800.4816891688179</v>
      </c>
      <c r="AR207" s="46">
        <f>SUM(AQ$207,'Statistics NZ'!AR$207-'Statistics NZ'!AQ$207,$T$13/6*(AR$8-AR$9)*1000)</f>
        <v>6070.4816891688179</v>
      </c>
      <c r="AS207" s="46">
        <f>SUM(AR$207,'Statistics NZ'!AS$207-'Statistics NZ'!AR$207,$T$13/6*(AS$8-AS$9)*1000)</f>
        <v>6320.4816891688179</v>
      </c>
      <c r="AT207" s="46">
        <f>SUM(AS$207,'Statistics NZ'!AT$207-'Statistics NZ'!AS$207,$T$13/6*(AT$8-AT$9)*1000)</f>
        <v>6590.4816891688179</v>
      </c>
      <c r="AU207" s="46">
        <f>SUM(AT$207,'Statistics NZ'!AU$207-'Statistics NZ'!AT$207,$T$13/6*(AU$8-AU$9)*1000)</f>
        <v>6970.4816891688179</v>
      </c>
      <c r="AV207" s="46">
        <f>SUM(AU$207,'Statistics NZ'!AV$207-'Statistics NZ'!AU$207,$T$13/6*(AV$8-AV$9)*1000)</f>
        <v>7180.4816891688179</v>
      </c>
      <c r="AW207" s="46">
        <f>SUM(AV$207,'Statistics NZ'!AW$207-'Statistics NZ'!AV$207,$T$13/6*(AW$8-AW$9)*1000)</f>
        <v>7600.4816891688179</v>
      </c>
      <c r="AX207" s="46">
        <f>SUM(AW$207,'Statistics NZ'!AX$207-'Statistics NZ'!AW$207,$T$13/6*(AX$8-AX$9)*1000)</f>
        <v>7880.4816891688179</v>
      </c>
      <c r="AY207" s="46">
        <f>SUM(AX$207,'Statistics NZ'!AY$207-'Statistics NZ'!AX$207,$T$13/6*(AY$8-AY$9)*1000)</f>
        <v>8070.4816891688179</v>
      </c>
      <c r="AZ207" s="46">
        <f>SUM(AY$207,'Statistics NZ'!AZ$207-'Statistics NZ'!AY$207,$T$13/6*(AZ$8-AZ$9)*1000)</f>
        <v>8110.4816891688179</v>
      </c>
      <c r="BA207" s="46">
        <f>SUM(AZ$207,'Statistics NZ'!BA$207-'Statistics NZ'!AZ$207,$T$13/6*(BA$8-BA$9)*1000)</f>
        <v>8060.4816891688179</v>
      </c>
      <c r="BB207" s="46">
        <f>SUM(BA$207,'Statistics NZ'!BB$207-'Statistics NZ'!BA$207,$T$13/6*(BB$8-BB$9)*1000)</f>
        <v>8100.4816891688179</v>
      </c>
      <c r="BC207" s="46">
        <f>SUM(BB$207,'Statistics NZ'!BC$207-'Statistics NZ'!BB$207,$T$13/6*(BC$8-BC$9)*1000)</f>
        <v>8240.481689168817</v>
      </c>
      <c r="BD207" s="46">
        <f>SUM(BC$207,'Statistics NZ'!BD$207-'Statistics NZ'!BC$207,$T$13/6*(BD$8-BD$9)*1000)</f>
        <v>8550.481689168817</v>
      </c>
      <c r="BE207" s="46">
        <f>SUM(BD$207,'Statistics NZ'!BE$207-'Statistics NZ'!BD$207,$T$13/6*(BE$8-BE$9)*1000)</f>
        <v>8880.481689168817</v>
      </c>
      <c r="BF207" s="46">
        <f>SUM(BE$207,'Statistics NZ'!BF$207-'Statistics NZ'!BE$207,$T$13/6*(BF$8-BF$9)*1000)</f>
        <v>9030.481689168817</v>
      </c>
      <c r="BG207" s="46">
        <f>SUM(BF$207,'Statistics NZ'!BG$207-'Statistics NZ'!BF$207,$T$13/6*(BG$8-BG$9)*1000)</f>
        <v>9490.481689168817</v>
      </c>
      <c r="BH207" s="46">
        <f>SUM(BG$207,'Statistics NZ'!BH$207-'Statistics NZ'!BG$207,$T$13/6*(BH$8-BH$9)*1000)</f>
        <v>9580.481689168817</v>
      </c>
      <c r="BI207" s="46">
        <f>SUM(BH$207,'Statistics NZ'!BI$207-'Statistics NZ'!BH$207,$T$13/6*(BI$8-BI$9)*1000)</f>
        <v>9480.481689168817</v>
      </c>
    </row>
    <row r="208" spans="1:61" x14ac:dyDescent="0.25">
      <c r="A208" s="11">
        <f>$A$108</f>
        <v>93</v>
      </c>
      <c r="B208" s="44">
        <f>'Statistics NZ'!B$208*'Economic Forecasts'!D$9*1000000/SUM('Statistics NZ'!B$30:B$110,'Statistics NZ'!B$130:B$210)</f>
        <v>567.46857101252306</v>
      </c>
      <c r="C208" s="44">
        <f>'Statistics NZ'!C$208*'Economic Forecasts'!E$9*1000000/SUM('Statistics NZ'!C$30:C$110,'Statistics NZ'!C$130:C$210)</f>
        <v>589.20469548935353</v>
      </c>
      <c r="D208" s="44">
        <f>'Statistics NZ'!D$208*'Economic Forecasts'!F$9*1000000/SUM('Statistics NZ'!D$30:D$110,'Statistics NZ'!D$130:D$210)</f>
        <v>658.12248828858822</v>
      </c>
      <c r="E208" s="44">
        <f>'Statistics NZ'!E$208*'Economic Forecasts'!G$9*1000000/SUM('Statistics NZ'!E$30:E$110,'Statistics NZ'!E$130:E$210)</f>
        <v>676.68458064819606</v>
      </c>
      <c r="F208" s="44">
        <f>'Statistics NZ'!F$208*'Economic Forecasts'!H$9*1000000/SUM('Statistics NZ'!F$30:F$110,'Statistics NZ'!F$130:F$210)</f>
        <v>706.23585697645035</v>
      </c>
      <c r="G208" s="44">
        <f>'Statistics NZ'!G$208*'Economic Forecasts'!I$9*1000000/SUM('Statistics NZ'!G$30:G$110,'Statistics NZ'!G$130:G$210)</f>
        <v>658.10564138590257</v>
      </c>
      <c r="H208" s="44">
        <f>'Statistics NZ'!H$208*'Economic Forecasts'!J$9*1000000/SUM('Statistics NZ'!H$30:H$110,'Statistics NZ'!H$130:H$210)</f>
        <v>717.23501144884324</v>
      </c>
      <c r="I208" s="44">
        <f>'Statistics NZ'!I$208*'Economic Forecasts'!K$9*1000000/SUM('Statistics NZ'!I$30:I$110,'Statistics NZ'!I$130:I$210)</f>
        <v>892.12353289125508</v>
      </c>
      <c r="J208" s="44">
        <f>'Statistics NZ'!J$208*'Economic Forecasts'!L$9*1000000/SUM('Statistics NZ'!J$30:J$110,'Statistics NZ'!J$130:J$210)</f>
        <v>945.93257766163458</v>
      </c>
      <c r="K208" s="44">
        <f>'Statistics NZ'!K$208*'Economic Forecasts'!M$9*1000000/SUM('Statistics NZ'!K$30:K$110,'Statistics NZ'!K$130:K$210)</f>
        <v>1012.5668116169629</v>
      </c>
      <c r="L208" s="44">
        <f>'Statistics NZ'!L$208*'Economic Forecasts'!N$9*1000000/SUM('Statistics NZ'!L$30:L$110,'Statistics NZ'!L$130:L$210)</f>
        <v>1051.5544226034499</v>
      </c>
      <c r="M208" s="44">
        <f>'Statistics NZ'!M$208*'Economic Forecasts'!O$9*1000000/SUM('Statistics NZ'!M$30:M$110,'Statistics NZ'!M$130:M$210)</f>
        <v>1074.6531226059074</v>
      </c>
      <c r="N208" s="44">
        <f>'Statistics NZ'!N$208*'Economic Forecasts'!P$9*1000000/SUM('Statistics NZ'!N$30:N$110,'Statistics NZ'!N$130:N$210)</f>
        <v>1183.977046842044</v>
      </c>
      <c r="O208" s="44">
        <f>'Statistics NZ'!O$208*'Economic Forecasts'!Q$9*1000000/SUM('Statistics NZ'!O$30:O$110,'Statistics NZ'!O$130:O$210)</f>
        <v>1170.1029720632532</v>
      </c>
      <c r="P208" s="44">
        <f>'Statistics NZ'!P$208*'Economic Forecasts'!R$9*1000000/SUM('Statistics NZ'!P$30:P$110,'Statistics NZ'!P$130:P$210)</f>
        <v>1306.7935292297873</v>
      </c>
      <c r="Q208" s="44">
        <f>'Statistics NZ'!Q$208*'Economic Forecasts'!S$9*1000000/SUM('Statistics NZ'!Q$30:Q$110,'Statistics NZ'!Q$130:Q$210)</f>
        <v>1341.1219380652872</v>
      </c>
      <c r="R208" s="44">
        <f>'Statistics NZ'!R$208*'Economic Forecasts'!T$9*1000000/SUM('Statistics NZ'!R$30:R$110,'Statistics NZ'!R$130:R$210)</f>
        <v>1473.7897272515349</v>
      </c>
      <c r="S208" s="44">
        <f>'Statistics NZ'!S$208*'Economic Forecasts'!U$9*1000000/SUM('Statistics NZ'!S$30:S$110,'Statistics NZ'!S$130:S$210)</f>
        <v>1463.7092389377183</v>
      </c>
      <c r="T208" s="44">
        <f>'Statistics NZ'!T$208*'Economic Forecasts'!V$9*1000000/SUM('Statistics NZ'!T$30:T$110,'Statistics NZ'!T$130:T$210)</f>
        <v>1526.3789485886512</v>
      </c>
      <c r="U208" s="45">
        <f>SUM('Statistics NZ'!U$208,$T$13/6*(U$8-U$9)*1000)*'Economic Forecasts'!W$9*1000000/SUM('Statistics NZ'!U$30:U$110,'Statistics NZ'!U$130:U$210,SUM($E$12:$T$13)*(U$8-U$9)*1000)</f>
        <v>1456.4179802599047</v>
      </c>
      <c r="V208" s="45">
        <f>SUM('Statistics NZ'!V$208,$T$13/6*(V$8-V$9)*1000)*'Economic Forecasts'!X$9*1000000/SUM('Statistics NZ'!V$30:V$110,'Statistics NZ'!V$130:V$210,SUM($E$12:$T$13)*(V$8-V$9)*1000)</f>
        <v>1445.9246893243126</v>
      </c>
      <c r="W208" s="45">
        <f>SUM('Statistics NZ'!W$208,$T$13/6*(W$8-W$9)*1000)*'Economic Forecasts'!Y$9*1000000/SUM('Statistics NZ'!W$30:W$110,'Statistics NZ'!W$130:W$210,SUM($E$12:$T$13)*(W$8-W$9)*1000)</f>
        <v>1545.2133463169473</v>
      </c>
      <c r="X208" s="45">
        <f>SUM('Statistics NZ'!X$208,$T$13/6*(X$8-X$9)*1000)*'Economic Forecasts'!Z$9*1000000/SUM('Statistics NZ'!X$30:X$110,'Statistics NZ'!X$130:X$210,SUM($E$12:$T$13)*(X$8-X$9)*1000)</f>
        <v>1575.2035111007528</v>
      </c>
      <c r="Y208" s="45">
        <f>SUM('Statistics NZ'!Y$208,$T$13/6*(Y$8-Y$9)*1000)*'Economic Forecasts'!AA$9*1000000/SUM('Statistics NZ'!Y$30:Y$110,'Statistics NZ'!Y$130:Y$210,SUM($E$12:$T$13)*(Y$8-Y$9)*1000)</f>
        <v>1635.1664494195099</v>
      </c>
      <c r="Z208" s="46">
        <f>SUM(Y$208,'Statistics NZ'!Z$208-'Statistics NZ'!Y$208,$T$13/6*(Z$8-Z$9)*1000)</f>
        <v>1725.2912397131729</v>
      </c>
      <c r="AA208" s="46">
        <f>SUM(Z$208,'Statistics NZ'!AA$208-'Statistics NZ'!Z$208,$T$13/6*(AA$8-AA$9)*1000)</f>
        <v>1865.3661138893706</v>
      </c>
      <c r="AB208" s="46">
        <f>SUM(AA$208,'Statistics NZ'!AB$208-'Statistics NZ'!AA$208,$T$13/6*(AB$8-AB$9)*1000)</f>
        <v>1965.4010551715962</v>
      </c>
      <c r="AC208" s="46">
        <f>SUM(AB$208,'Statistics NZ'!AC$208-'Statistics NZ'!AB$208,$T$13/6*(AC$8-AC$9)*1000)</f>
        <v>2225.4010551715965</v>
      </c>
      <c r="AD208" s="46">
        <f>SUM(AC$208,'Statistics NZ'!AD$208-'Statistics NZ'!AC$208,$T$13/6*(AD$8-AD$9)*1000)</f>
        <v>2445.4010551715965</v>
      </c>
      <c r="AE208" s="46">
        <f>SUM(AD$208,'Statistics NZ'!AE$208-'Statistics NZ'!AD$208,$T$13/6*(AE$8-AE$9)*1000)</f>
        <v>2535.4010551715965</v>
      </c>
      <c r="AF208" s="46">
        <f>SUM(AE$208,'Statistics NZ'!AF$208-'Statistics NZ'!AE$208,$T$13/6*(AF$8-AF$9)*1000)</f>
        <v>2295.4010551715965</v>
      </c>
      <c r="AG208" s="46">
        <f>SUM(AF$208,'Statistics NZ'!AG$208-'Statistics NZ'!AF$208,$T$13/6*(AG$8-AG$9)*1000)</f>
        <v>2695.4010551715965</v>
      </c>
      <c r="AH208" s="46">
        <f>SUM(AG$208,'Statistics NZ'!AH$208-'Statistics NZ'!AG$208,$T$13/6*(AH$8-AH$9)*1000)</f>
        <v>2825.4010551715965</v>
      </c>
      <c r="AI208" s="46">
        <f>SUM(AH$208,'Statistics NZ'!AI$208-'Statistics NZ'!AH$208,$T$13/6*(AI$8-AI$9)*1000)</f>
        <v>3045.4010551715965</v>
      </c>
      <c r="AJ208" s="46">
        <f>SUM(AI$208,'Statistics NZ'!AJ$208-'Statistics NZ'!AI$208,$T$13/6*(AJ$8-AJ$9)*1000)</f>
        <v>3705.4010551715965</v>
      </c>
      <c r="AK208" s="46">
        <f>SUM(AJ$208,'Statistics NZ'!AK$208-'Statistics NZ'!AJ$208,$T$13/6*(AK$8-AK$9)*1000)</f>
        <v>3755.4010551715965</v>
      </c>
      <c r="AL208" s="46">
        <f>SUM(AK$208,'Statistics NZ'!AL$208-'Statistics NZ'!AK$208,$T$13/6*(AL$8-AL$9)*1000)</f>
        <v>3785.4010551715965</v>
      </c>
      <c r="AM208" s="46">
        <f>SUM(AL$208,'Statistics NZ'!AM$208-'Statistics NZ'!AL$208,$T$13/6*(AM$8-AM$9)*1000)</f>
        <v>3945.4010551715965</v>
      </c>
      <c r="AN208" s="46">
        <f>SUM(AM$208,'Statistics NZ'!AN$208-'Statistics NZ'!AM$208,$T$13/6*(AN$8-AN$9)*1000)</f>
        <v>4015.4010551715965</v>
      </c>
      <c r="AO208" s="46">
        <f>SUM(AN$208,'Statistics NZ'!AO$208-'Statistics NZ'!AN$208,$T$13/6*(AO$8-AO$9)*1000)</f>
        <v>4145.4010551715965</v>
      </c>
      <c r="AP208" s="46">
        <f>SUM(AO$208,'Statistics NZ'!AP$208-'Statistics NZ'!AO$208,$T$13/6*(AP$8-AP$9)*1000)</f>
        <v>4295.4010551715965</v>
      </c>
      <c r="AQ208" s="46">
        <f>SUM(AP$208,'Statistics NZ'!AQ$208-'Statistics NZ'!AP$208,$T$13/6*(AQ$8-AQ$9)*1000)</f>
        <v>4525.4010551715965</v>
      </c>
      <c r="AR208" s="46">
        <f>SUM(AQ$208,'Statistics NZ'!AR$208-'Statistics NZ'!AQ$208,$T$13/6*(AR$8-AR$9)*1000)</f>
        <v>4715.4010551715965</v>
      </c>
      <c r="AS208" s="46">
        <f>SUM(AR$208,'Statistics NZ'!AS$208-'Statistics NZ'!AR$208,$T$13/6*(AS$8-AS$9)*1000)</f>
        <v>4935.4010551715965</v>
      </c>
      <c r="AT208" s="46">
        <f>SUM(AS$208,'Statistics NZ'!AT$208-'Statistics NZ'!AS$208,$T$13/6*(AT$8-AT$9)*1000)</f>
        <v>5145.4010551715965</v>
      </c>
      <c r="AU208" s="46">
        <f>SUM(AT$208,'Statistics NZ'!AU$208-'Statistics NZ'!AT$208,$T$13/6*(AU$8-AU$9)*1000)</f>
        <v>5375.4010551715965</v>
      </c>
      <c r="AV208" s="46">
        <f>SUM(AU$208,'Statistics NZ'!AV$208-'Statistics NZ'!AU$208,$T$13/6*(AV$8-AV$9)*1000)</f>
        <v>5695.4010551715965</v>
      </c>
      <c r="AW208" s="46">
        <f>SUM(AV$208,'Statistics NZ'!AW$208-'Statistics NZ'!AV$208,$T$13/6*(AW$8-AW$9)*1000)</f>
        <v>5875.4010551715965</v>
      </c>
      <c r="AX208" s="46">
        <f>SUM(AW$208,'Statistics NZ'!AX$208-'Statistics NZ'!AW$208,$T$13/6*(AX$8-AX$9)*1000)</f>
        <v>6215.4010551715965</v>
      </c>
      <c r="AY208" s="46">
        <f>SUM(AX$208,'Statistics NZ'!AY$208-'Statistics NZ'!AX$208,$T$13/6*(AY$8-AY$9)*1000)</f>
        <v>6455.4010551715965</v>
      </c>
      <c r="AZ208" s="46">
        <f>SUM(AY$208,'Statistics NZ'!AZ$208-'Statistics NZ'!AY$208,$T$13/6*(AZ$8-AZ$9)*1000)</f>
        <v>6615.4010551715965</v>
      </c>
      <c r="BA208" s="46">
        <f>SUM(AZ$208,'Statistics NZ'!BA$208-'Statistics NZ'!AZ$208,$T$13/6*(BA$8-BA$9)*1000)</f>
        <v>6665.4010551715965</v>
      </c>
      <c r="BB208" s="46">
        <f>SUM(BA$208,'Statistics NZ'!BB$208-'Statistics NZ'!BA$208,$T$13/6*(BB$8-BB$9)*1000)</f>
        <v>6625.4010551715965</v>
      </c>
      <c r="BC208" s="46">
        <f>SUM(BB$208,'Statistics NZ'!BC$208-'Statistics NZ'!BB$208,$T$13/6*(BC$8-BC$9)*1000)</f>
        <v>6665.4010551715965</v>
      </c>
      <c r="BD208" s="46">
        <f>SUM(BC$208,'Statistics NZ'!BD$208-'Statistics NZ'!BC$208,$T$13/6*(BD$8-BD$9)*1000)</f>
        <v>6785.4010551715965</v>
      </c>
      <c r="BE208" s="46">
        <f>SUM(BD$208,'Statistics NZ'!BE$208-'Statistics NZ'!BD$208,$T$13/6*(BE$8-BE$9)*1000)</f>
        <v>7045.4010551715965</v>
      </c>
      <c r="BF208" s="46">
        <f>SUM(BE$208,'Statistics NZ'!BF$208-'Statistics NZ'!BE$208,$T$13/6*(BF$8-BF$9)*1000)</f>
        <v>7335.4010551715965</v>
      </c>
      <c r="BG208" s="46">
        <f>SUM(BF$208,'Statistics NZ'!BG$208-'Statistics NZ'!BF$208,$T$13/6*(BG$8-BG$9)*1000)</f>
        <v>7455.4010551715965</v>
      </c>
      <c r="BH208" s="46">
        <f>SUM(BG$208,'Statistics NZ'!BH$208-'Statistics NZ'!BG$208,$T$13/6*(BH$8-BH$9)*1000)</f>
        <v>7855.4010551715965</v>
      </c>
      <c r="BI208" s="46">
        <f>SUM(BH$208,'Statistics NZ'!BI$208-'Statistics NZ'!BH$208,$T$13/6*(BI$8-BI$9)*1000)</f>
        <v>7925.4010551715965</v>
      </c>
    </row>
    <row r="209" spans="1:61" x14ac:dyDescent="0.25">
      <c r="A209" s="11">
        <f>$A$109</f>
        <v>94</v>
      </c>
      <c r="B209" s="44">
        <f>'Statistics NZ'!B$209*'Economic Forecasts'!D$9*1000000/SUM('Statistics NZ'!B$30:B$110,'Statistics NZ'!B$130:B$210)</f>
        <v>391.3576351810504</v>
      </c>
      <c r="C209" s="44">
        <f>'Statistics NZ'!C$209*'Economic Forecasts'!E$9*1000000/SUM('Statistics NZ'!C$30:C$110,'Statistics NZ'!C$130:C$210)</f>
        <v>451.72359987517103</v>
      </c>
      <c r="D209" s="44">
        <f>'Statistics NZ'!D$209*'Economic Forecasts'!F$9*1000000/SUM('Statistics NZ'!D$30:D$110,'Statistics NZ'!D$130:D$210)</f>
        <v>442.02256676099211</v>
      </c>
      <c r="E209" s="44">
        <f>'Statistics NZ'!E$209*'Economic Forecasts'!G$9*1000000/SUM('Statistics NZ'!E$30:E$110,'Statistics NZ'!E$130:E$210)</f>
        <v>500.15816830518844</v>
      </c>
      <c r="F209" s="44">
        <f>'Statistics NZ'!F$209*'Economic Forecasts'!H$9*1000000/SUM('Statistics NZ'!F$30:F$110,'Statistics NZ'!F$130:F$210)</f>
        <v>519.86806138544262</v>
      </c>
      <c r="G209" s="44">
        <f>'Statistics NZ'!G$209*'Economic Forecasts'!I$9*1000000/SUM('Statistics NZ'!G$30:G$110,'Statistics NZ'!G$130:G$210)</f>
        <v>540.23597427200957</v>
      </c>
      <c r="H209" s="44">
        <f>'Statistics NZ'!H$209*'Economic Forecasts'!J$9*1000000/SUM('Statistics NZ'!H$30:H$110,'Statistics NZ'!H$130:H$210)</f>
        <v>510.90713144301162</v>
      </c>
      <c r="I209" s="44">
        <f>'Statistics NZ'!I$209*'Economic Forecasts'!K$9*1000000/SUM('Statistics NZ'!I$30:I$110,'Statistics NZ'!I$130:I$210)</f>
        <v>548.99909716384923</v>
      </c>
      <c r="J209" s="44">
        <f>'Statistics NZ'!J$209*'Economic Forecasts'!L$9*1000000/SUM('Statistics NZ'!J$30:J$110,'Statistics NZ'!J$130:J$210)</f>
        <v>711.88740380720958</v>
      </c>
      <c r="K209" s="44">
        <f>'Statistics NZ'!K$209*'Economic Forecasts'!M$9*1000000/SUM('Statistics NZ'!K$30:K$110,'Statistics NZ'!K$130:K$210)</f>
        <v>730.21645068530984</v>
      </c>
      <c r="L209" s="44">
        <f>'Statistics NZ'!L$209*'Economic Forecasts'!N$9*1000000/SUM('Statistics NZ'!L$30:L$110,'Statistics NZ'!L$130:L$210)</f>
        <v>778.92920192848158</v>
      </c>
      <c r="M209" s="44">
        <f>'Statistics NZ'!M$209*'Economic Forecasts'!O$9*1000000/SUM('Statistics NZ'!M$30:M$110,'Statistics NZ'!M$130:M$210)</f>
        <v>801.10505503349475</v>
      </c>
      <c r="N209" s="44">
        <f>'Statistics NZ'!N$209*'Economic Forecasts'!P$9*1000000/SUM('Statistics NZ'!N$30:N$110,'Statistics NZ'!N$130:N$210)</f>
        <v>821.93447879943551</v>
      </c>
      <c r="O209" s="44">
        <f>'Statistics NZ'!O$209*'Economic Forecasts'!Q$9*1000000/SUM('Statistics NZ'!O$30:O$110,'Statistics NZ'!O$130:O$210)</f>
        <v>914.45022186455924</v>
      </c>
      <c r="P209" s="44">
        <f>'Statistics NZ'!P$209*'Economic Forecasts'!R$9*1000000/SUM('Statistics NZ'!P$30:P$110,'Statistics NZ'!P$130:P$210)</f>
        <v>894.12188842038086</v>
      </c>
      <c r="Q209" s="44">
        <f>'Statistics NZ'!Q$209*'Economic Forecasts'!S$9*1000000/SUM('Statistics NZ'!Q$30:Q$110,'Statistics NZ'!Q$130:Q$210)</f>
        <v>1003.3578944044</v>
      </c>
      <c r="R209" s="44">
        <f>'Statistics NZ'!R$209*'Economic Forecasts'!T$9*1000000/SUM('Statistics NZ'!R$30:R$110,'Statistics NZ'!R$130:R$210)</f>
        <v>1025.6779858574871</v>
      </c>
      <c r="S209" s="44">
        <f>'Statistics NZ'!S$209*'Economic Forecasts'!U$9*1000000/SUM('Statistics NZ'!S$30:S$110,'Statistics NZ'!S$130:S$210)</f>
        <v>1090.4142652489043</v>
      </c>
      <c r="T209" s="44">
        <f>'Statistics NZ'!T$209*'Economic Forecasts'!V$9*1000000/SUM('Statistics NZ'!T$30:T$110,'Statistics NZ'!T$130:T$210)</f>
        <v>1100.1822291775343</v>
      </c>
      <c r="U209" s="45">
        <f>SUM('Statistics NZ'!U$209,$T$13/6*(U$8-U$9)*1000)*'Economic Forecasts'!W$9*1000000/SUM('Statistics NZ'!U$30:U$110,'Statistics NZ'!U$130:U$210,SUM($E$12:$T$13)*(U$8-U$9)*1000)</f>
        <v>1179.0794295593976</v>
      </c>
      <c r="V209" s="45">
        <f>SUM('Statistics NZ'!V$209,$T$13/6*(V$8-V$9)*1000)*'Economic Forecasts'!X$9*1000000/SUM('Statistics NZ'!V$30:V$110,'Statistics NZ'!V$130:V$210,SUM($E$12:$T$13)*(V$8-V$9)*1000)</f>
        <v>1119.1976933356041</v>
      </c>
      <c r="W209" s="45">
        <f>SUM('Statistics NZ'!W$209,$T$13/6*(W$8-W$9)*1000)*'Economic Forecasts'!Y$9*1000000/SUM('Statistics NZ'!W$30:W$110,'Statistics NZ'!W$130:W$210,SUM($E$12:$T$13)*(W$8-W$9)*1000)</f>
        <v>1109.4815372795665</v>
      </c>
      <c r="X209" s="45">
        <f>SUM('Statistics NZ'!X$209,$T$13/6*(X$8-X$9)*1000)*'Economic Forecasts'!Z$9*1000000/SUM('Statistics NZ'!X$30:X$110,'Statistics NZ'!X$130:X$210,SUM($E$12:$T$13)*(X$8-X$9)*1000)</f>
        <v>1198.8035886256162</v>
      </c>
      <c r="Y209" s="45">
        <f>SUM('Statistics NZ'!Y$209,$T$13/6*(Y$8-Y$9)*1000)*'Economic Forecasts'!AA$9*1000000/SUM('Statistics NZ'!Y$30:Y$110,'Statistics NZ'!Y$130:Y$210,SUM($E$12:$T$13)*(Y$8-Y$9)*1000)</f>
        <v>1218.9926229772263</v>
      </c>
      <c r="Z209" s="46">
        <f>SUM(Y$209,'Statistics NZ'!Z$209-'Statistics NZ'!Y$209,$T$13/6*(Z$8-Z$9)*1000)</f>
        <v>1269.1174132708893</v>
      </c>
      <c r="AA209" s="46">
        <f>SUM(Z$209,'Statistics NZ'!AA$209-'Statistics NZ'!Z$209,$T$13/6*(AA$8-AA$9)*1000)</f>
        <v>1339.192287447087</v>
      </c>
      <c r="AB209" s="46">
        <f>SUM(AA$209,'Statistics NZ'!AB$209-'Statistics NZ'!AA$209,$T$13/6*(AB$8-AB$9)*1000)</f>
        <v>1449.2272287293126</v>
      </c>
      <c r="AC209" s="46">
        <f>SUM(AB$209,'Statistics NZ'!AC$209-'Statistics NZ'!AB$209,$T$13/6*(AC$8-AC$9)*1000)</f>
        <v>1529.2272287293126</v>
      </c>
      <c r="AD209" s="46">
        <f>SUM(AC$209,'Statistics NZ'!AD$209-'Statistics NZ'!AC$209,$T$13/6*(AD$8-AD$9)*1000)</f>
        <v>1729.2272287293126</v>
      </c>
      <c r="AE209" s="46">
        <f>SUM(AD$209,'Statistics NZ'!AE$209-'Statistics NZ'!AD$209,$T$13/6*(AE$8-AE$9)*1000)</f>
        <v>1909.2272287293126</v>
      </c>
      <c r="AF209" s="46">
        <f>SUM(AE$209,'Statistics NZ'!AF$209-'Statistics NZ'!AE$209,$T$13/6*(AF$8-AF$9)*1000)</f>
        <v>1979.2272287293126</v>
      </c>
      <c r="AG209" s="46">
        <f>SUM(AF$209,'Statistics NZ'!AG$209-'Statistics NZ'!AF$209,$T$13/6*(AG$8-AG$9)*1000)</f>
        <v>1789.2272287293126</v>
      </c>
      <c r="AH209" s="46">
        <f>SUM(AG$209,'Statistics NZ'!AH$209-'Statistics NZ'!AG$209,$T$13/6*(AH$8-AH$9)*1000)</f>
        <v>2109.2272287293126</v>
      </c>
      <c r="AI209" s="46">
        <f>SUM(AH$209,'Statistics NZ'!AI$209-'Statistics NZ'!AH$209,$T$13/6*(AI$8-AI$9)*1000)</f>
        <v>2219.2272287293126</v>
      </c>
      <c r="AJ209" s="46">
        <f>SUM(AI$209,'Statistics NZ'!AJ$209-'Statistics NZ'!AI$209,$T$13/6*(AJ$8-AJ$9)*1000)</f>
        <v>2389.2272287293126</v>
      </c>
      <c r="AK209" s="46">
        <f>SUM(AJ$209,'Statistics NZ'!AK$209-'Statistics NZ'!AJ$209,$T$13/6*(AK$8-AK$9)*1000)</f>
        <v>2909.2272287293126</v>
      </c>
      <c r="AL209" s="46">
        <f>SUM(AK$209,'Statistics NZ'!AL$209-'Statistics NZ'!AK$209,$T$13/6*(AL$8-AL$9)*1000)</f>
        <v>2949.2272287293126</v>
      </c>
      <c r="AM209" s="46">
        <f>SUM(AL$209,'Statistics NZ'!AM$209-'Statistics NZ'!AL$209,$T$13/6*(AM$8-AM$9)*1000)</f>
        <v>2979.2272287293126</v>
      </c>
      <c r="AN209" s="46">
        <f>SUM(AM$209,'Statistics NZ'!AN$209-'Statistics NZ'!AM$209,$T$13/6*(AN$8-AN$9)*1000)</f>
        <v>3109.2272287293126</v>
      </c>
      <c r="AO209" s="46">
        <f>SUM(AN$209,'Statistics NZ'!AO$209-'Statistics NZ'!AN$209,$T$13/6*(AO$8-AO$9)*1000)</f>
        <v>3169.2272287293126</v>
      </c>
      <c r="AP209" s="46">
        <f>SUM(AO$209,'Statistics NZ'!AP$209-'Statistics NZ'!AO$209,$T$13/6*(AP$8-AP$9)*1000)</f>
        <v>3279.2272287293126</v>
      </c>
      <c r="AQ209" s="46">
        <f>SUM(AP$209,'Statistics NZ'!AQ$209-'Statistics NZ'!AP$209,$T$13/6*(AQ$8-AQ$9)*1000)</f>
        <v>3399.2272287293126</v>
      </c>
      <c r="AR209" s="46">
        <f>SUM(AQ$209,'Statistics NZ'!AR$209-'Statistics NZ'!AQ$209,$T$13/6*(AR$8-AR$9)*1000)</f>
        <v>3589.2272287293126</v>
      </c>
      <c r="AS209" s="46">
        <f>SUM(AR$209,'Statistics NZ'!AS$209-'Statistics NZ'!AR$209,$T$13/6*(AS$8-AS$9)*1000)</f>
        <v>3739.2272287293126</v>
      </c>
      <c r="AT209" s="46">
        <f>SUM(AS$209,'Statistics NZ'!AT$209-'Statistics NZ'!AS$209,$T$13/6*(AT$8-AT$9)*1000)</f>
        <v>3919.2272287293126</v>
      </c>
      <c r="AU209" s="46">
        <f>SUM(AT$209,'Statistics NZ'!AU$209-'Statistics NZ'!AT$209,$T$13/6*(AU$8-AU$9)*1000)</f>
        <v>4089.2272287293126</v>
      </c>
      <c r="AV209" s="46">
        <f>SUM(AU$209,'Statistics NZ'!AV$209-'Statistics NZ'!AU$209,$T$13/6*(AV$8-AV$9)*1000)</f>
        <v>4279.2272287293126</v>
      </c>
      <c r="AW209" s="46">
        <f>SUM(AV$209,'Statistics NZ'!AW$209-'Statistics NZ'!AV$209,$T$13/6*(AW$8-AW$9)*1000)</f>
        <v>4539.2272287293126</v>
      </c>
      <c r="AX209" s="46">
        <f>SUM(AW$209,'Statistics NZ'!AX$209-'Statistics NZ'!AW$209,$T$13/6*(AX$8-AX$9)*1000)</f>
        <v>4679.2272287293126</v>
      </c>
      <c r="AY209" s="46">
        <f>SUM(AX$209,'Statistics NZ'!AY$209-'Statistics NZ'!AX$209,$T$13/6*(AY$8-AY$9)*1000)</f>
        <v>4969.2272287293126</v>
      </c>
      <c r="AZ209" s="46">
        <f>SUM(AY$209,'Statistics NZ'!AZ$209-'Statistics NZ'!AY$209,$T$13/6*(AZ$8-AZ$9)*1000)</f>
        <v>5169.2272287293126</v>
      </c>
      <c r="BA209" s="46">
        <f>SUM(AZ$209,'Statistics NZ'!BA$209-'Statistics NZ'!AZ$209,$T$13/6*(BA$8-BA$9)*1000)</f>
        <v>5299.2272287293126</v>
      </c>
      <c r="BB209" s="46">
        <f>SUM(BA$209,'Statistics NZ'!BB$209-'Statistics NZ'!BA$209,$T$13/6*(BB$8-BB$9)*1000)</f>
        <v>5339.2272287293126</v>
      </c>
      <c r="BC209" s="46">
        <f>SUM(BB$209,'Statistics NZ'!BC$209-'Statistics NZ'!BB$209,$T$13/6*(BC$8-BC$9)*1000)</f>
        <v>5319.2272287293126</v>
      </c>
      <c r="BD209" s="46">
        <f>SUM(BC$209,'Statistics NZ'!BD$209-'Statistics NZ'!BC$209,$T$13/6*(BD$8-BD$9)*1000)</f>
        <v>5359.2272287293126</v>
      </c>
      <c r="BE209" s="46">
        <f>SUM(BD$209,'Statistics NZ'!BE$209-'Statistics NZ'!BD$209,$T$13/6*(BE$8-BE$9)*1000)</f>
        <v>5459.2272287293126</v>
      </c>
      <c r="BF209" s="46">
        <f>SUM(BE$209,'Statistics NZ'!BF$209-'Statistics NZ'!BE$209,$T$13/6*(BF$8-BF$9)*1000)</f>
        <v>5669.2272287293126</v>
      </c>
      <c r="BG209" s="46">
        <f>SUM(BF$209,'Statistics NZ'!BG$209-'Statistics NZ'!BF$209,$T$13/6*(BG$8-BG$9)*1000)</f>
        <v>5909.2272287293126</v>
      </c>
      <c r="BH209" s="46">
        <f>SUM(BG$209,'Statistics NZ'!BH$209-'Statistics NZ'!BG$209,$T$13/6*(BH$8-BH$9)*1000)</f>
        <v>6019.2272287293126</v>
      </c>
      <c r="BI209" s="46">
        <f>SUM(BH$209,'Statistics NZ'!BI$209-'Statistics NZ'!BH$209,$T$13/6*(BI$8-BI$9)*1000)</f>
        <v>6339.2272287293126</v>
      </c>
    </row>
    <row r="210" spans="1:61" x14ac:dyDescent="0.25">
      <c r="A210" s="11" t="str">
        <f>$A$110</f>
        <v>95 &amp; over</v>
      </c>
      <c r="B210" s="44">
        <f>'Statistics NZ'!B$210*'Economic Forecasts'!D$9*1000000/SUM('Statistics NZ'!B$30:B$110,'Statistics NZ'!B$130:B$210)</f>
        <v>831.63497475973202</v>
      </c>
      <c r="C210" s="44">
        <f>'Statistics NZ'!C$210*'Economic Forecasts'!E$9*1000000/SUM('Statistics NZ'!C$30:C$110,'Statistics NZ'!C$130:C$210)</f>
        <v>864.16688671771851</v>
      </c>
      <c r="D210" s="44">
        <f>'Statistics NZ'!D$210*'Economic Forecasts'!F$9*1000000/SUM('Statistics NZ'!D$30:D$110,'Statistics NZ'!D$130:D$210)</f>
        <v>962.62692316838275</v>
      </c>
      <c r="E210" s="44">
        <f>'Statistics NZ'!E$210*'Economic Forecasts'!G$9*1000000/SUM('Statistics NZ'!E$30:E$110,'Statistics NZ'!E$130:E$210)</f>
        <v>1000.3163366103769</v>
      </c>
      <c r="F210" s="44">
        <f>'Statistics NZ'!F$210*'Economic Forecasts'!H$9*1000000/SUM('Statistics NZ'!F$30:F$110,'Statistics NZ'!F$130:F$210)</f>
        <v>1039.7361227708852</v>
      </c>
      <c r="G210" s="44">
        <f>'Statistics NZ'!G$210*'Economic Forecasts'!I$9*1000000/SUM('Statistics NZ'!G$30:G$110,'Statistics NZ'!G$130:G$210)</f>
        <v>1100.1168930630013</v>
      </c>
      <c r="H210" s="44">
        <f>'Statistics NZ'!H$210*'Economic Forecasts'!J$9*1000000/SUM('Statistics NZ'!H$30:H$110,'Statistics NZ'!H$130:H$210)</f>
        <v>1169.1913200330457</v>
      </c>
      <c r="I210" s="44">
        <f>'Statistics NZ'!I$210*'Economic Forecasts'!K$9*1000000/SUM('Statistics NZ'!I$30:I$110,'Statistics NZ'!I$130:I$210)</f>
        <v>1176.426636779677</v>
      </c>
      <c r="J210" s="44">
        <f>'Statistics NZ'!J$210*'Economic Forecasts'!L$9*1000000/SUM('Statistics NZ'!J$30:J$110,'Statistics NZ'!J$130:J$210)</f>
        <v>1218.9852804917969</v>
      </c>
      <c r="K210" s="44">
        <f>'Statistics NZ'!K$210*'Economic Forecasts'!M$9*1000000/SUM('Statistics NZ'!K$30:K$110,'Statistics NZ'!K$130:K$210)</f>
        <v>1333.8620499184992</v>
      </c>
      <c r="L210" s="44">
        <f>'Statistics NZ'!L$210*'Economic Forecasts'!N$9*1000000/SUM('Statistics NZ'!L$30:L$110,'Statistics NZ'!L$130:L$210)</f>
        <v>1470.2288686400086</v>
      </c>
      <c r="M210" s="44">
        <f>'Statistics NZ'!M$210*'Economic Forecasts'!O$9*1000000/SUM('Statistics NZ'!M$30:M$110,'Statistics NZ'!M$130:M$210)</f>
        <v>1651.057979276349</v>
      </c>
      <c r="N210" s="44">
        <f>'Statistics NZ'!N$210*'Economic Forecasts'!P$9*1000000/SUM('Statistics NZ'!N$30:N$110,'Statistics NZ'!N$130:N$210)</f>
        <v>1741.7183003130897</v>
      </c>
      <c r="O210" s="44">
        <f>'Statistics NZ'!O$210*'Economic Forecasts'!Q$9*1000000/SUM('Statistics NZ'!O$30:O$110,'Statistics NZ'!O$130:O$210)</f>
        <v>1868.231636067379</v>
      </c>
      <c r="P210" s="44">
        <f>'Statistics NZ'!P$210*'Economic Forecasts'!R$9*1000000/SUM('Statistics NZ'!P$30:P$110,'Statistics NZ'!P$130:P$210)</f>
        <v>2024.0561430175653</v>
      </c>
      <c r="Q210" s="44">
        <f>'Statistics NZ'!Q$210*'Economic Forecasts'!S$9*1000000/SUM('Statistics NZ'!Q$30:Q$110,'Statistics NZ'!Q$130:Q$210)</f>
        <v>2145.7951009044596</v>
      </c>
      <c r="R210" s="44">
        <f>'Statistics NZ'!R$210*'Economic Forecasts'!T$9*1000000/SUM('Statistics NZ'!R$30:R$110,'Statistics NZ'!R$130:R$210)</f>
        <v>2150.9363586914296</v>
      </c>
      <c r="S210" s="44">
        <f>'Statistics NZ'!S$210*'Economic Forecasts'!U$9*1000000/SUM('Statistics NZ'!S$30:S$110,'Statistics NZ'!S$130:S$210)</f>
        <v>2102.240114984374</v>
      </c>
      <c r="T210" s="44">
        <f>'Statistics NZ'!T$210*'Economic Forecasts'!V$9*1000000/SUM('Statistics NZ'!T$30:T$110,'Statistics NZ'!T$130:T$210)</f>
        <v>2279.6568712687649</v>
      </c>
      <c r="U210" s="45">
        <f>SUM('Statistics NZ'!U$210,$T$13/6*(U$8-U$9)*1000)*'Economic Forecasts'!W$9*1000000/SUM('Statistics NZ'!U$30:U$110,'Statistics NZ'!U$130:U$210,SUM($E$12:$T$13)*(U$8-U$9)*1000)</f>
        <v>2456.8177524295916</v>
      </c>
      <c r="V210" s="45">
        <f>SUM('Statistics NZ'!V$210,$T$13/6*(V$8-V$9)*1000)*'Economic Forecasts'!X$9*1000000/SUM('Statistics NZ'!V$30:V$110,'Statistics NZ'!V$130:V$210,SUM($E$12:$T$13)*(V$8-V$9)*1000)</f>
        <v>2624.1220384957169</v>
      </c>
      <c r="W210" s="45">
        <f>SUM('Statistics NZ'!W$210,$T$13/6*(W$8-W$9)*1000)*'Economic Forecasts'!Y$9*1000000/SUM('Statistics NZ'!W$30:W$110,'Statistics NZ'!W$130:W$210,SUM($E$12:$T$13)*(W$8-W$9)*1000)</f>
        <v>2713.7668341899234</v>
      </c>
      <c r="X210" s="45">
        <f>SUM('Statistics NZ'!X$210,$T$13/6*(X$8-X$9)*1000)*'Economic Forecasts'!Z$9*1000000/SUM('Statistics NZ'!X$30:X$110,'Statistics NZ'!X$130:X$210,SUM($E$12:$T$13)*(X$8-X$9)*1000)</f>
        <v>2763.8348452327641</v>
      </c>
      <c r="Y210" s="45">
        <f>SUM('Statistics NZ'!Y$210,$T$13/6*(Y$8-Y$9)*1000)*'Economic Forecasts'!AA$9*1000000/SUM('Statistics NZ'!Y$30:Y$110,'Statistics NZ'!Y$130:Y$210,SUM($E$12:$T$13)*(Y$8-Y$9)*1000)</f>
        <v>2863.8701274872042</v>
      </c>
      <c r="Z210" s="46">
        <f>SUM(Y$210,'Statistics NZ'!Z$210-'Statistics NZ'!Y$210,$T$13/6*(Z$8-Z$9)*1000)</f>
        <v>2943.9949177808671</v>
      </c>
      <c r="AA210" s="46">
        <f>SUM(Z$210,'Statistics NZ'!AA$210-'Statistics NZ'!Z$210,$T$13/6*(AA$8-AA$9)*1000)</f>
        <v>3044.0697919570648</v>
      </c>
      <c r="AB210" s="46">
        <f>SUM(AA$210,'Statistics NZ'!AB$210-'Statistics NZ'!AA$210,$T$13/6*(AB$8-AB$9)*1000)</f>
        <v>3174.1047332392905</v>
      </c>
      <c r="AC210" s="46">
        <f>SUM(AB$210,'Statistics NZ'!AC$210-'Statistics NZ'!AB$210,$T$13/6*(AC$8-AC$9)*1000)</f>
        <v>3344.1047332392905</v>
      </c>
      <c r="AD210" s="46">
        <f>SUM(AC$210,'Statistics NZ'!AD$210-'Statistics NZ'!AC$210,$T$13/6*(AD$8-AD$9)*1000)</f>
        <v>3544.1047332392905</v>
      </c>
      <c r="AE210" s="46">
        <f>SUM(AD$210,'Statistics NZ'!AE$210-'Statistics NZ'!AD$210,$T$13/6*(AE$8-AE$9)*1000)</f>
        <v>3834.1047332392905</v>
      </c>
      <c r="AF210" s="46">
        <f>SUM(AE$210,'Statistics NZ'!AF$210-'Statistics NZ'!AE$210,$T$13/6*(AF$8-AF$9)*1000)</f>
        <v>4184.10473323929</v>
      </c>
      <c r="AG210" s="46">
        <f>SUM(AF$210,'Statistics NZ'!AG$210-'Statistics NZ'!AF$210,$T$13/6*(AG$8-AG$9)*1000)</f>
        <v>4494.10473323929</v>
      </c>
      <c r="AH210" s="46">
        <f>SUM(AG$210,'Statistics NZ'!AH$210-'Statistics NZ'!AG$210,$T$13/6*(AH$8-AH$9)*1000)</f>
        <v>4574.10473323929</v>
      </c>
      <c r="AI210" s="46">
        <f>SUM(AH$210,'Statistics NZ'!AI$210-'Statistics NZ'!AH$210,$T$13/6*(AI$8-AI$9)*1000)</f>
        <v>4874.10473323929</v>
      </c>
      <c r="AJ210" s="46">
        <f>SUM(AI$210,'Statistics NZ'!AJ$210-'Statistics NZ'!AI$210,$T$13/6*(AJ$8-AJ$9)*1000)</f>
        <v>5174.10473323929</v>
      </c>
      <c r="AK210" s="46">
        <f>SUM(AJ$210,'Statistics NZ'!AK$210-'Statistics NZ'!AJ$210,$T$13/6*(AK$8-AK$9)*1000)</f>
        <v>5534.10473323929</v>
      </c>
      <c r="AL210" s="46">
        <f>SUM(AK$210,'Statistics NZ'!AL$210-'Statistics NZ'!AK$210,$T$13/6*(AL$8-AL$9)*1000)</f>
        <v>6194.10473323929</v>
      </c>
      <c r="AM210" s="46">
        <f>SUM(AL$210,'Statistics NZ'!AM$210-'Statistics NZ'!AL$210,$T$13/6*(AM$8-AM$9)*1000)</f>
        <v>6714.10473323929</v>
      </c>
      <c r="AN210" s="46">
        <f>SUM(AM$210,'Statistics NZ'!AN$210-'Statistics NZ'!AM$210,$T$13/6*(AN$8-AN$9)*1000)</f>
        <v>7114.10473323929</v>
      </c>
      <c r="AO210" s="46">
        <f>SUM(AN$210,'Statistics NZ'!AO$210-'Statistics NZ'!AN$210,$T$13/6*(AO$8-AO$9)*1000)</f>
        <v>7504.10473323929</v>
      </c>
      <c r="AP210" s="46">
        <f>SUM(AO$210,'Statistics NZ'!AP$210-'Statistics NZ'!AO$210,$T$13/6*(AP$8-AP$9)*1000)</f>
        <v>7844.10473323929</v>
      </c>
      <c r="AQ210" s="46">
        <f>SUM(AP$210,'Statistics NZ'!AQ$210-'Statistics NZ'!AP$210,$T$13/6*(AQ$8-AQ$9)*1000)</f>
        <v>8164.10473323929</v>
      </c>
      <c r="AR210" s="46">
        <f>SUM(AQ$210,'Statistics NZ'!AR$210-'Statistics NZ'!AQ$210,$T$13/6*(AR$8-AR$9)*1000)</f>
        <v>8494.10473323929</v>
      </c>
      <c r="AS210" s="46">
        <f>SUM(AR$210,'Statistics NZ'!AS$210-'Statistics NZ'!AR$210,$T$13/6*(AS$8-AS$9)*1000)</f>
        <v>8894.10473323929</v>
      </c>
      <c r="AT210" s="46">
        <f>SUM(AS$210,'Statistics NZ'!AT$210-'Statistics NZ'!AS$210,$T$13/6*(AT$8-AT$9)*1000)</f>
        <v>9304.10473323929</v>
      </c>
      <c r="AU210" s="46">
        <f>SUM(AT$210,'Statistics NZ'!AU$210-'Statistics NZ'!AT$210,$T$13/6*(AU$8-AU$9)*1000)</f>
        <v>9744.10473323929</v>
      </c>
      <c r="AV210" s="46">
        <f>SUM(AU$210,'Statistics NZ'!AV$210-'Statistics NZ'!AU$210,$T$13/6*(AV$8-AV$9)*1000)</f>
        <v>10214.10473323929</v>
      </c>
      <c r="AW210" s="46">
        <f>SUM(AV$210,'Statistics NZ'!AW$210-'Statistics NZ'!AV$210,$T$13/6*(AW$8-AW$9)*1000)</f>
        <v>10714.10473323929</v>
      </c>
      <c r="AX210" s="46">
        <f>SUM(AW$210,'Statistics NZ'!AX$210-'Statistics NZ'!AW$210,$T$13/6*(AX$8-AX$9)*1000)</f>
        <v>11284.10473323929</v>
      </c>
      <c r="AY210" s="46">
        <f>SUM(AX$210,'Statistics NZ'!AY$210-'Statistics NZ'!AX$210,$T$13/6*(AY$8-AY$9)*1000)</f>
        <v>11824.10473323929</v>
      </c>
      <c r="AZ210" s="46">
        <f>SUM(AY$210,'Statistics NZ'!AZ$210-'Statistics NZ'!AY$210,$T$13/6*(AZ$8-AZ$9)*1000)</f>
        <v>12444.10473323929</v>
      </c>
      <c r="BA210" s="46">
        <f>SUM(AZ$210,'Statistics NZ'!BA$210-'Statistics NZ'!AZ$210,$T$13/6*(BA$8-BA$9)*1000)</f>
        <v>13074.10473323929</v>
      </c>
      <c r="BB210" s="46">
        <f>SUM(BA$210,'Statistics NZ'!BB$210-'Statistics NZ'!BA$210,$T$13/6*(BB$8-BB$9)*1000)</f>
        <v>13644.10473323929</v>
      </c>
      <c r="BC210" s="46">
        <f>SUM(BB$210,'Statistics NZ'!BC$210-'Statistics NZ'!BB$210,$T$13/6*(BC$8-BC$9)*1000)</f>
        <v>14104.10473323929</v>
      </c>
      <c r="BD210" s="46">
        <f>SUM(BC$210,'Statistics NZ'!BD$210-'Statistics NZ'!BC$210,$T$13/6*(BD$8-BD$9)*1000)</f>
        <v>14434.10473323929</v>
      </c>
      <c r="BE210" s="46">
        <f>SUM(BD$210,'Statistics NZ'!BE$210-'Statistics NZ'!BD$210,$T$13/6*(BE$8-BE$9)*1000)</f>
        <v>14714.10473323929</v>
      </c>
      <c r="BF210" s="46">
        <f>SUM(BE$210,'Statistics NZ'!BF$210-'Statistics NZ'!BE$210,$T$13/6*(BF$8-BF$9)*1000)</f>
        <v>14994.10473323929</v>
      </c>
      <c r="BG210" s="46">
        <f>SUM(BF$210,'Statistics NZ'!BG$210-'Statistics NZ'!BF$210,$T$13/6*(BG$8-BG$9)*1000)</f>
        <v>15394.10473323929</v>
      </c>
      <c r="BH210" s="46">
        <f>SUM(BG$210,'Statistics NZ'!BH$210-'Statistics NZ'!BG$210,$T$13/6*(BH$8-BH$9)*1000)</f>
        <v>15884.10473323929</v>
      </c>
      <c r="BI210" s="46">
        <f>SUM(BH$210,'Statistics NZ'!BI$210-'Statistics NZ'!BH$210,$T$13/6*(BI$8-BI$9)*1000)</f>
        <v>16344.10473323929</v>
      </c>
    </row>
    <row r="211" spans="1:61" x14ac:dyDescent="0.25">
      <c r="A211" s="9" t="s">
        <v>11</v>
      </c>
      <c r="B211" s="78">
        <f>SUM(B$115:B$210)</f>
        <v>2041347.5175145019</v>
      </c>
      <c r="C211" s="78">
        <f t="shared" ref="C211:T211" si="35">SUM(C$115:C$210)</f>
        <v>2062144.8938604787</v>
      </c>
      <c r="D211" s="78">
        <f t="shared" si="35"/>
        <v>2079616.102546884</v>
      </c>
      <c r="E211" s="78">
        <f t="shared" si="35"/>
        <v>2098364.9078065469</v>
      </c>
      <c r="F211" s="78">
        <f t="shared" si="35"/>
        <v>2122463.1437124098</v>
      </c>
      <c r="G211" s="78">
        <f t="shared" si="35"/>
        <v>2141194.8971482366</v>
      </c>
      <c r="H211" s="78">
        <f t="shared" si="35"/>
        <v>2153506.5737652774</v>
      </c>
      <c r="I211" s="78">
        <f t="shared" si="35"/>
        <v>2167973.1665009554</v>
      </c>
      <c r="J211" s="78">
        <f t="shared" si="35"/>
        <v>2203729.8711572946</v>
      </c>
      <c r="K211" s="78">
        <f t="shared" si="35"/>
        <v>2255706.7716331822</v>
      </c>
      <c r="L211" s="78">
        <f t="shared" si="35"/>
        <v>2311998.068229863</v>
      </c>
      <c r="M211" s="78">
        <f t="shared" si="35"/>
        <v>2367277.9516496491</v>
      </c>
      <c r="N211" s="78">
        <f t="shared" si="35"/>
        <v>2416599.3931199699</v>
      </c>
      <c r="O211" s="78">
        <f t="shared" si="35"/>
        <v>2458891.0142205558</v>
      </c>
      <c r="P211" s="78">
        <f t="shared" si="35"/>
        <v>2511565.6882787789</v>
      </c>
      <c r="Q211" s="78">
        <f t="shared" si="35"/>
        <v>2536002.7498683841</v>
      </c>
      <c r="R211" s="78">
        <f t="shared" si="35"/>
        <v>2541019.886364026</v>
      </c>
      <c r="S211" s="78">
        <f t="shared" si="35"/>
        <v>2584264.3223147499</v>
      </c>
      <c r="T211" s="78">
        <f t="shared" si="35"/>
        <v>2646601.2411454632</v>
      </c>
      <c r="U211" s="79">
        <f t="shared" ref="U211:BI211" si="36">SUM(U$115:U$210)</f>
        <v>2672851.102669524</v>
      </c>
      <c r="V211" s="79">
        <f t="shared" si="36"/>
        <v>2703126.5519827884</v>
      </c>
      <c r="W211" s="79">
        <f t="shared" si="36"/>
        <v>2735957.1220530607</v>
      </c>
      <c r="X211" s="79">
        <f t="shared" si="36"/>
        <v>2769144.0014292169</v>
      </c>
      <c r="Y211" s="79">
        <f t="shared" si="36"/>
        <v>2802474.3706037588</v>
      </c>
      <c r="Z211" s="80">
        <f t="shared" si="36"/>
        <v>2831443.2127205841</v>
      </c>
      <c r="AA211" s="80">
        <f t="shared" si="36"/>
        <v>2859724.5179906809</v>
      </c>
      <c r="AB211" s="80">
        <f t="shared" si="36"/>
        <v>2887385.7937833918</v>
      </c>
      <c r="AC211" s="80">
        <f t="shared" si="36"/>
        <v>2914475.7937833918</v>
      </c>
      <c r="AD211" s="80">
        <f t="shared" si="36"/>
        <v>2941385.7937833918</v>
      </c>
      <c r="AE211" s="80">
        <f t="shared" si="36"/>
        <v>2967995.7937833918</v>
      </c>
      <c r="AF211" s="80">
        <f t="shared" si="36"/>
        <v>2994545.7937833918</v>
      </c>
      <c r="AG211" s="80">
        <f t="shared" si="36"/>
        <v>3020955.7937833918</v>
      </c>
      <c r="AH211" s="80">
        <f t="shared" si="36"/>
        <v>3047305.7937833918</v>
      </c>
      <c r="AI211" s="80">
        <f t="shared" si="36"/>
        <v>3073505.7937833918</v>
      </c>
      <c r="AJ211" s="80">
        <f t="shared" si="36"/>
        <v>3099715.7937833918</v>
      </c>
      <c r="AK211" s="80">
        <f t="shared" si="36"/>
        <v>3125795.7937833914</v>
      </c>
      <c r="AL211" s="80">
        <f t="shared" si="36"/>
        <v>3151855.7937833914</v>
      </c>
      <c r="AM211" s="80">
        <f t="shared" si="36"/>
        <v>3177765.7937833914</v>
      </c>
      <c r="AN211" s="80">
        <f t="shared" si="36"/>
        <v>3203605.7937833914</v>
      </c>
      <c r="AO211" s="80">
        <f t="shared" si="36"/>
        <v>3229305.7937833914</v>
      </c>
      <c r="AP211" s="80">
        <f t="shared" si="36"/>
        <v>3254875.7937833914</v>
      </c>
      <c r="AQ211" s="80">
        <f t="shared" si="36"/>
        <v>3280155.7937833914</v>
      </c>
      <c r="AR211" s="80">
        <f t="shared" si="36"/>
        <v>3305285.7937833914</v>
      </c>
      <c r="AS211" s="80">
        <f t="shared" si="36"/>
        <v>3330125.7937833914</v>
      </c>
      <c r="AT211" s="80">
        <f t="shared" si="36"/>
        <v>3354755.7937833914</v>
      </c>
      <c r="AU211" s="80">
        <f t="shared" si="36"/>
        <v>3379155.7937833914</v>
      </c>
      <c r="AV211" s="80">
        <f t="shared" si="36"/>
        <v>3403275.7937833914</v>
      </c>
      <c r="AW211" s="80">
        <f t="shared" si="36"/>
        <v>3427285.7937833914</v>
      </c>
      <c r="AX211" s="80">
        <f t="shared" si="36"/>
        <v>3451005.7937833914</v>
      </c>
      <c r="AY211" s="80">
        <f t="shared" si="36"/>
        <v>3474545.7937833914</v>
      </c>
      <c r="AZ211" s="80">
        <f t="shared" si="36"/>
        <v>3497945.7937833914</v>
      </c>
      <c r="BA211" s="80">
        <f t="shared" si="36"/>
        <v>3521265.7937833914</v>
      </c>
      <c r="BB211" s="80">
        <f t="shared" si="36"/>
        <v>3544445.7937833914</v>
      </c>
      <c r="BC211" s="80">
        <f t="shared" si="36"/>
        <v>3567695.7937833914</v>
      </c>
      <c r="BD211" s="80">
        <f t="shared" si="36"/>
        <v>3590905.7937833914</v>
      </c>
      <c r="BE211" s="80">
        <f t="shared" si="36"/>
        <v>3613935.7937833918</v>
      </c>
      <c r="BF211" s="80">
        <f t="shared" si="36"/>
        <v>3637055.7937833918</v>
      </c>
      <c r="BG211" s="80">
        <f t="shared" si="36"/>
        <v>3660155.7937833918</v>
      </c>
      <c r="BH211" s="80">
        <f t="shared" si="36"/>
        <v>3683285.7937833918</v>
      </c>
      <c r="BI211" s="80">
        <f t="shared" si="36"/>
        <v>3706355.7937833923</v>
      </c>
    </row>
    <row r="212" spans="1:61" x14ac:dyDescent="0.25">
      <c r="A212" s="9"/>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row>
    <row r="213" spans="1:61" x14ac:dyDescent="0.25">
      <c r="A213" s="9" t="s">
        <v>109</v>
      </c>
      <c r="B213" s="11"/>
      <c r="C213" s="46"/>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row>
    <row r="214" spans="1:61" x14ac:dyDescent="0.25">
      <c r="A214" s="9" t="s">
        <v>1306</v>
      </c>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row>
    <row r="215" spans="1:61" x14ac:dyDescent="0.25">
      <c r="A215" s="11" t="s">
        <v>847</v>
      </c>
      <c r="B215" s="11"/>
      <c r="C215" s="18">
        <f>SUM(C$31:C$34)/SUM(B$31:B$34)-1</f>
        <v>2.6295548318437056E-2</v>
      </c>
      <c r="D215" s="18">
        <f t="shared" ref="D215:BI215" si="37">SUM(D$31:D$34)/SUM(C$31:C$34)-1</f>
        <v>6.5976756778252099E-3</v>
      </c>
      <c r="E215" s="18">
        <f t="shared" si="37"/>
        <v>4.9961512931062657E-3</v>
      </c>
      <c r="F215" s="18">
        <f t="shared" si="37"/>
        <v>-4.8762190921467496E-3</v>
      </c>
      <c r="G215" s="18">
        <f t="shared" si="37"/>
        <v>-1.1101841140114921E-2</v>
      </c>
      <c r="H215" s="18">
        <f t="shared" si="37"/>
        <v>-1.0191784185323516E-2</v>
      </c>
      <c r="I215" s="18">
        <f t="shared" si="37"/>
        <v>-6.9024483442401419E-3</v>
      </c>
      <c r="J215" s="18">
        <f t="shared" si="37"/>
        <v>-2.5889814854160864E-3</v>
      </c>
      <c r="K215" s="18">
        <f t="shared" si="37"/>
        <v>-2.5009781979873358E-3</v>
      </c>
      <c r="L215" s="18">
        <f t="shared" si="37"/>
        <v>9.419589252742E-3</v>
      </c>
      <c r="M215" s="18">
        <f t="shared" si="37"/>
        <v>1.0681205164694285E-2</v>
      </c>
      <c r="N215" s="18">
        <f t="shared" si="37"/>
        <v>1.2509207246511611E-3</v>
      </c>
      <c r="O215" s="18">
        <f t="shared" si="37"/>
        <v>5.0528424722786625E-3</v>
      </c>
      <c r="P215" s="18">
        <f t="shared" si="37"/>
        <v>-1.8629797401533699E-3</v>
      </c>
      <c r="Q215" s="18">
        <f t="shared" si="37"/>
        <v>-1.277734183018242E-3</v>
      </c>
      <c r="R215" s="18">
        <f t="shared" si="37"/>
        <v>5.4115512840646751E-3</v>
      </c>
      <c r="S215" s="18">
        <f t="shared" si="37"/>
        <v>2.8718160552369421E-2</v>
      </c>
      <c r="T215" s="18">
        <f t="shared" si="37"/>
        <v>4.8644967653673099E-2</v>
      </c>
      <c r="U215" s="18">
        <f t="shared" si="37"/>
        <v>2.474835983675705E-2</v>
      </c>
      <c r="V215" s="18">
        <f t="shared" si="37"/>
        <v>2.5416833561968444E-2</v>
      </c>
      <c r="W215" s="18">
        <f t="shared" si="37"/>
        <v>1.050924689639543E-2</v>
      </c>
      <c r="X215" s="18">
        <f t="shared" si="37"/>
        <v>3.6011543075105124E-3</v>
      </c>
      <c r="Y215" s="18">
        <f t="shared" si="37"/>
        <v>8.2818555741002164E-3</v>
      </c>
      <c r="Z215" s="18">
        <f t="shared" si="37"/>
        <v>-3.6462173959582733E-3</v>
      </c>
      <c r="AA215" s="18">
        <f t="shared" si="37"/>
        <v>-3.4786096425831747E-3</v>
      </c>
      <c r="AB215" s="18">
        <f t="shared" si="37"/>
        <v>-7.5612079605278382E-3</v>
      </c>
      <c r="AC215" s="18">
        <f t="shared" si="37"/>
        <v>-4.2763495262699847E-3</v>
      </c>
      <c r="AD215" s="18">
        <f t="shared" si="37"/>
        <v>-2.6484077249866456E-3</v>
      </c>
      <c r="AE215" s="18">
        <f t="shared" si="37"/>
        <v>-2.7989777335618582E-3</v>
      </c>
      <c r="AF215" s="18">
        <f t="shared" si="37"/>
        <v>-2.0151628713842573E-3</v>
      </c>
      <c r="AG215" s="18">
        <f t="shared" si="37"/>
        <v>-4.4711564665687042E-3</v>
      </c>
      <c r="AH215" s="18">
        <f t="shared" si="37"/>
        <v>2.1731794316730557E-3</v>
      </c>
      <c r="AI215" s="18">
        <f t="shared" si="37"/>
        <v>-1.6769477853920134E-2</v>
      </c>
      <c r="AJ215" s="18">
        <f t="shared" si="37"/>
        <v>-1.360028258141488E-2</v>
      </c>
      <c r="AK215" s="18">
        <f t="shared" si="37"/>
        <v>-1.0955711800518908E-2</v>
      </c>
      <c r="AL215" s="18">
        <f t="shared" si="37"/>
        <v>-1.3036278454527483E-2</v>
      </c>
      <c r="AM215" s="18">
        <f t="shared" si="37"/>
        <v>6.7187581453953538E-3</v>
      </c>
      <c r="AN215" s="18">
        <f t="shared" si="37"/>
        <v>5.4604781234537381E-3</v>
      </c>
      <c r="AO215" s="18">
        <f t="shared" si="37"/>
        <v>1.3577058080007642E-3</v>
      </c>
      <c r="AP215" s="18">
        <f t="shared" si="37"/>
        <v>1.0545616217840781E-3</v>
      </c>
      <c r="AQ215" s="18">
        <f t="shared" si="37"/>
        <v>9.0295773695370229E-4</v>
      </c>
      <c r="AR215" s="18">
        <f t="shared" si="37"/>
        <v>1.0525003297967572E-3</v>
      </c>
      <c r="AS215" s="18">
        <f t="shared" si="37"/>
        <v>1.4268915009487682E-3</v>
      </c>
      <c r="AT215" s="18">
        <f t="shared" si="37"/>
        <v>2.174783847175954E-3</v>
      </c>
      <c r="AU215" s="18">
        <f t="shared" si="37"/>
        <v>3.0680221196794921E-3</v>
      </c>
      <c r="AV215" s="18">
        <f t="shared" si="37"/>
        <v>4.0284502465766092E-3</v>
      </c>
      <c r="AW215" s="18">
        <f t="shared" si="37"/>
        <v>4.9039062700597658E-3</v>
      </c>
      <c r="AX215" s="18">
        <f t="shared" si="37"/>
        <v>5.9890606303691918E-3</v>
      </c>
      <c r="AY215" s="18">
        <f t="shared" si="37"/>
        <v>6.6148948054678414E-3</v>
      </c>
      <c r="AZ215" s="18">
        <f t="shared" si="37"/>
        <v>7.0825363904918337E-3</v>
      </c>
      <c r="BA215" s="18">
        <f t="shared" si="37"/>
        <v>7.1052291853013205E-3</v>
      </c>
      <c r="BB215" s="18">
        <f t="shared" si="37"/>
        <v>7.0551010752364363E-3</v>
      </c>
      <c r="BC215" s="18">
        <f t="shared" si="37"/>
        <v>6.5767564300849291E-3</v>
      </c>
      <c r="BD215" s="18">
        <f t="shared" si="37"/>
        <v>5.8235912594659656E-3</v>
      </c>
      <c r="BE215" s="18">
        <f t="shared" si="37"/>
        <v>4.9425748564935201E-3</v>
      </c>
      <c r="BF215" s="18">
        <f t="shared" si="37"/>
        <v>4.075134651600143E-3</v>
      </c>
      <c r="BG215" s="18">
        <f t="shared" si="37"/>
        <v>3.0789343876216346E-3</v>
      </c>
      <c r="BH215" s="18">
        <f t="shared" si="37"/>
        <v>2.1625907526079402E-3</v>
      </c>
      <c r="BI215" s="18">
        <f t="shared" si="37"/>
        <v>1.3922090619491456E-3</v>
      </c>
    </row>
    <row r="216" spans="1:61" x14ac:dyDescent="0.25">
      <c r="A216" s="11" t="s">
        <v>848</v>
      </c>
      <c r="B216" s="11"/>
      <c r="C216" s="18">
        <f>SUM(C$35:C$39)/SUM(B$35:B$39)-1</f>
        <v>-1.8997984469797391E-3</v>
      </c>
      <c r="D216" s="18">
        <f t="shared" ref="D216:BI216" si="38">SUM(D$35:D$39)/SUM(C$35:C$39)-1</f>
        <v>-9.7627378712339397E-4</v>
      </c>
      <c r="E216" s="18">
        <f t="shared" si="38"/>
        <v>7.8765783414751489E-3</v>
      </c>
      <c r="F216" s="18">
        <f t="shared" si="38"/>
        <v>2.4823543349302035E-2</v>
      </c>
      <c r="G216" s="18">
        <f t="shared" si="38"/>
        <v>2.4259295759812893E-2</v>
      </c>
      <c r="H216" s="18">
        <f t="shared" si="38"/>
        <v>1.0553672016346827E-2</v>
      </c>
      <c r="I216" s="18">
        <f t="shared" si="38"/>
        <v>7.1153756377564381E-3</v>
      </c>
      <c r="J216" s="18">
        <f t="shared" si="38"/>
        <v>1.3698879598035063E-2</v>
      </c>
      <c r="K216" s="18">
        <f t="shared" si="38"/>
        <v>1.4560906814758745E-2</v>
      </c>
      <c r="L216" s="18">
        <f t="shared" si="38"/>
        <v>1.206989886522214E-2</v>
      </c>
      <c r="M216" s="18">
        <f t="shared" si="38"/>
        <v>7.1349765660801978E-3</v>
      </c>
      <c r="N216" s="18">
        <f t="shared" si="38"/>
        <v>-1.7901446131111109E-3</v>
      </c>
      <c r="O216" s="18">
        <f t="shared" si="38"/>
        <v>-3.0476025999561784E-3</v>
      </c>
      <c r="P216" s="18">
        <f t="shared" si="38"/>
        <v>8.8824244897653948E-3</v>
      </c>
      <c r="Q216" s="18">
        <f t="shared" si="38"/>
        <v>-1.2055456488516247E-2</v>
      </c>
      <c r="R216" s="18">
        <f t="shared" si="38"/>
        <v>-2.1941033782021946E-2</v>
      </c>
      <c r="S216" s="18">
        <f t="shared" si="38"/>
        <v>-3.1931143568479925E-3</v>
      </c>
      <c r="T216" s="18">
        <f t="shared" si="38"/>
        <v>2.2213571733262549E-2</v>
      </c>
      <c r="U216" s="18">
        <f t="shared" si="38"/>
        <v>-6.5228280314086895E-3</v>
      </c>
      <c r="V216" s="18">
        <f t="shared" si="38"/>
        <v>2.7821225971260688E-3</v>
      </c>
      <c r="W216" s="18">
        <f t="shared" si="38"/>
        <v>2.2388003502223475E-2</v>
      </c>
      <c r="X216" s="18">
        <f t="shared" si="38"/>
        <v>2.9985578466924956E-2</v>
      </c>
      <c r="Y216" s="18">
        <f t="shared" si="38"/>
        <v>2.1141278812086162E-2</v>
      </c>
      <c r="Z216" s="18">
        <f t="shared" si="38"/>
        <v>2.6033032391815647E-2</v>
      </c>
      <c r="AA216" s="18">
        <f t="shared" si="38"/>
        <v>2.190527397704134E-2</v>
      </c>
      <c r="AB216" s="18">
        <f t="shared" si="38"/>
        <v>9.932060423798017E-3</v>
      </c>
      <c r="AC216" s="18">
        <f t="shared" si="38"/>
        <v>3.900143085860952E-3</v>
      </c>
      <c r="AD216" s="18">
        <f t="shared" si="38"/>
        <v>2.4419943836015978E-3</v>
      </c>
      <c r="AE216" s="18">
        <f t="shared" si="38"/>
        <v>-2.6575042625364143E-3</v>
      </c>
      <c r="AF216" s="18">
        <f t="shared" si="38"/>
        <v>-4.9960976430383219E-3</v>
      </c>
      <c r="AG216" s="18">
        <f t="shared" si="38"/>
        <v>-3.0127103810568823E-3</v>
      </c>
      <c r="AH216" s="18">
        <f t="shared" si="38"/>
        <v>-6.3234260784168494E-3</v>
      </c>
      <c r="AI216" s="18">
        <f t="shared" si="38"/>
        <v>-1.3515751330717141E-3</v>
      </c>
      <c r="AJ216" s="18">
        <f t="shared" si="38"/>
        <v>-3.49629459860612E-3</v>
      </c>
      <c r="AK216" s="18">
        <f t="shared" si="38"/>
        <v>-3.3953821581766963E-4</v>
      </c>
      <c r="AL216" s="18">
        <f t="shared" si="38"/>
        <v>-1.245396317641756E-3</v>
      </c>
      <c r="AM216" s="18">
        <f t="shared" si="38"/>
        <v>-1.2526172148615178E-2</v>
      </c>
      <c r="AN216" s="18">
        <f t="shared" si="38"/>
        <v>-1.1996285542650087E-2</v>
      </c>
      <c r="AO216" s="18">
        <f t="shared" si="38"/>
        <v>-7.1457372409385878E-3</v>
      </c>
      <c r="AP216" s="18">
        <f t="shared" si="38"/>
        <v>-7.8993288660722527E-3</v>
      </c>
      <c r="AQ216" s="18">
        <f t="shared" si="38"/>
        <v>-9.4956906755875314E-3</v>
      </c>
      <c r="AR216" s="18">
        <f t="shared" si="38"/>
        <v>5.656762156714068E-3</v>
      </c>
      <c r="AS216" s="18">
        <f t="shared" si="38"/>
        <v>4.6775843377273585E-3</v>
      </c>
      <c r="AT216" s="18">
        <f t="shared" si="38"/>
        <v>1.5322907174066813E-3</v>
      </c>
      <c r="AU216" s="18">
        <f t="shared" si="38"/>
        <v>1.2357259342195004E-3</v>
      </c>
      <c r="AV216" s="18">
        <f t="shared" si="38"/>
        <v>1.4105152003227595E-3</v>
      </c>
      <c r="AW216" s="18">
        <f t="shared" si="38"/>
        <v>1.4672171349319196E-3</v>
      </c>
      <c r="AX216" s="18">
        <f t="shared" si="38"/>
        <v>2.1096972902880928E-3</v>
      </c>
      <c r="AY216" s="18">
        <f t="shared" si="38"/>
        <v>2.92396644132209E-3</v>
      </c>
      <c r="AZ216" s="18">
        <f t="shared" si="38"/>
        <v>3.7317654878388229E-3</v>
      </c>
      <c r="BA216" s="18">
        <f t="shared" si="38"/>
        <v>4.7054560371022625E-3</v>
      </c>
      <c r="BB216" s="18">
        <f t="shared" si="38"/>
        <v>5.5507181246041704E-3</v>
      </c>
      <c r="BC216" s="18">
        <f t="shared" si="38"/>
        <v>6.3250890645982771E-3</v>
      </c>
      <c r="BD216" s="18">
        <f t="shared" si="38"/>
        <v>6.8567277476843103E-3</v>
      </c>
      <c r="BE216" s="18">
        <f t="shared" si="38"/>
        <v>7.1505348642539879E-3</v>
      </c>
      <c r="BF216" s="18">
        <f t="shared" si="38"/>
        <v>7.1561150905070647E-3</v>
      </c>
      <c r="BG216" s="18">
        <f t="shared" si="38"/>
        <v>6.8255339692817607E-3</v>
      </c>
      <c r="BH216" s="18">
        <f t="shared" si="38"/>
        <v>6.2235846831342201E-3</v>
      </c>
      <c r="BI216" s="18">
        <f t="shared" si="38"/>
        <v>5.4671788674680588E-3</v>
      </c>
    </row>
    <row r="217" spans="1:61" x14ac:dyDescent="0.25">
      <c r="A217" s="11" t="s">
        <v>849</v>
      </c>
      <c r="B217" s="11"/>
      <c r="C217" s="18">
        <f>SUM(C$40:C$44)/SUM(B$40:B$44)-1</f>
        <v>1.7817371420800088E-2</v>
      </c>
      <c r="D217" s="18">
        <f t="shared" ref="D217:BI217" si="39">SUM(D$40:D$44)/SUM(C$40:C$44)-1</f>
        <v>1.4666537513140954E-2</v>
      </c>
      <c r="E217" s="18">
        <f t="shared" si="39"/>
        <v>9.8073214614891047E-3</v>
      </c>
      <c r="F217" s="18">
        <f t="shared" si="39"/>
        <v>1.1337537862573521E-2</v>
      </c>
      <c r="G217" s="18">
        <f t="shared" si="39"/>
        <v>3.1718767027328898E-3</v>
      </c>
      <c r="H217" s="18">
        <f t="shared" si="39"/>
        <v>-1.4337031290928559E-3</v>
      </c>
      <c r="I217" s="18">
        <f t="shared" si="39"/>
        <v>9.0904537027076682E-3</v>
      </c>
      <c r="J217" s="18">
        <f t="shared" si="39"/>
        <v>3.6645630570751431E-2</v>
      </c>
      <c r="K217" s="18">
        <f t="shared" si="39"/>
        <v>5.6623391094337228E-2</v>
      </c>
      <c r="L217" s="18">
        <f t="shared" si="39"/>
        <v>7.0205502029406786E-2</v>
      </c>
      <c r="M217" s="18">
        <f t="shared" si="39"/>
        <v>5.7208291364206465E-2</v>
      </c>
      <c r="N217" s="18">
        <f t="shared" si="39"/>
        <v>3.0353735863084985E-2</v>
      </c>
      <c r="O217" s="18">
        <f t="shared" si="39"/>
        <v>1.2627468420936427E-2</v>
      </c>
      <c r="P217" s="18">
        <f t="shared" si="39"/>
        <v>1.7416779328695453E-2</v>
      </c>
      <c r="Q217" s="18">
        <f t="shared" si="39"/>
        <v>-3.0875118943093915E-2</v>
      </c>
      <c r="R217" s="18">
        <f t="shared" si="39"/>
        <v>-4.5748182152518635E-2</v>
      </c>
      <c r="S217" s="18">
        <f t="shared" si="39"/>
        <v>4.5720844826968587E-3</v>
      </c>
      <c r="T217" s="18">
        <f t="shared" si="39"/>
        <v>2.8720620981359524E-4</v>
      </c>
      <c r="U217" s="18">
        <f t="shared" si="39"/>
        <v>-7.1299319131098438E-3</v>
      </c>
      <c r="V217" s="18">
        <f t="shared" si="39"/>
        <v>-5.4510497678393888E-3</v>
      </c>
      <c r="W217" s="18">
        <f t="shared" si="39"/>
        <v>-7.901805126459438E-3</v>
      </c>
      <c r="X217" s="18">
        <f t="shared" si="39"/>
        <v>-5.7631578039840647E-3</v>
      </c>
      <c r="Y217" s="18">
        <f t="shared" si="39"/>
        <v>7.0571975208957305E-3</v>
      </c>
      <c r="Z217" s="18">
        <f t="shared" si="39"/>
        <v>8.9421494382557754E-4</v>
      </c>
      <c r="AA217" s="18">
        <f t="shared" si="39"/>
        <v>6.8136205821196505E-3</v>
      </c>
      <c r="AB217" s="18">
        <f t="shared" si="39"/>
        <v>2.3395483400298511E-2</v>
      </c>
      <c r="AC217" s="18">
        <f t="shared" si="39"/>
        <v>2.9302260934491065E-2</v>
      </c>
      <c r="AD217" s="18">
        <f t="shared" si="39"/>
        <v>2.0237705657191407E-2</v>
      </c>
      <c r="AE217" s="18">
        <f t="shared" si="39"/>
        <v>2.5140670330053405E-2</v>
      </c>
      <c r="AF217" s="18">
        <f t="shared" si="39"/>
        <v>2.091287388810259E-2</v>
      </c>
      <c r="AG217" s="18">
        <f t="shared" si="39"/>
        <v>9.925471846023104E-3</v>
      </c>
      <c r="AH217" s="18">
        <f t="shared" si="39"/>
        <v>4.0775433728907906E-3</v>
      </c>
      <c r="AI217" s="18">
        <f t="shared" si="39"/>
        <v>2.7593869258095705E-3</v>
      </c>
      <c r="AJ217" s="18">
        <f t="shared" si="39"/>
        <v>-2.0249047704122836E-3</v>
      </c>
      <c r="AK217" s="18">
        <f t="shared" si="39"/>
        <v>-4.4222085379602705E-3</v>
      </c>
      <c r="AL217" s="18">
        <f t="shared" si="39"/>
        <v>-2.1947971281797152E-3</v>
      </c>
      <c r="AM217" s="18">
        <f t="shared" si="39"/>
        <v>-5.4990621462556177E-3</v>
      </c>
      <c r="AN217" s="18">
        <f t="shared" si="39"/>
        <v>-7.8992414859191395E-4</v>
      </c>
      <c r="AO217" s="18">
        <f t="shared" si="39"/>
        <v>-2.8986782808099187E-3</v>
      </c>
      <c r="AP217" s="18">
        <f t="shared" si="39"/>
        <v>2.642822766416586E-4</v>
      </c>
      <c r="AQ217" s="18">
        <f t="shared" si="39"/>
        <v>-7.3979485992681226E-4</v>
      </c>
      <c r="AR217" s="18">
        <f t="shared" si="39"/>
        <v>-1.1210901646304783E-2</v>
      </c>
      <c r="AS217" s="18">
        <f t="shared" si="39"/>
        <v>-1.0696236766206235E-2</v>
      </c>
      <c r="AT217" s="18">
        <f t="shared" si="39"/>
        <v>-6.2168328567402398E-3</v>
      </c>
      <c r="AU217" s="18">
        <f t="shared" si="39"/>
        <v>-6.908494808000043E-3</v>
      </c>
      <c r="AV217" s="18">
        <f t="shared" si="39"/>
        <v>-8.3807305613181615E-3</v>
      </c>
      <c r="AW217" s="18">
        <f t="shared" si="39"/>
        <v>5.8000907556214898E-3</v>
      </c>
      <c r="AX217" s="18">
        <f t="shared" si="39"/>
        <v>4.7231557914086952E-3</v>
      </c>
      <c r="AY217" s="18">
        <f t="shared" si="39"/>
        <v>1.9131783269759062E-3</v>
      </c>
      <c r="AZ217" s="18">
        <f t="shared" si="39"/>
        <v>1.6367357700057816E-3</v>
      </c>
      <c r="BA217" s="18">
        <f t="shared" si="39"/>
        <v>1.5795925354009643E-3</v>
      </c>
      <c r="BB217" s="18">
        <f t="shared" si="39"/>
        <v>2.0121638014183318E-3</v>
      </c>
      <c r="BC217" s="18">
        <f t="shared" si="39"/>
        <v>2.3880383152701246E-3</v>
      </c>
      <c r="BD217" s="18">
        <f t="shared" si="39"/>
        <v>3.1403693659406429E-3</v>
      </c>
      <c r="BE217" s="18">
        <f t="shared" si="39"/>
        <v>3.8861854998253342E-3</v>
      </c>
      <c r="BF217" s="18">
        <f t="shared" si="39"/>
        <v>4.7851610526756794E-3</v>
      </c>
      <c r="BG217" s="18">
        <f t="shared" si="39"/>
        <v>5.5115095551532267E-3</v>
      </c>
      <c r="BH217" s="18">
        <f t="shared" si="39"/>
        <v>6.4391962903855848E-3</v>
      </c>
      <c r="BI217" s="18">
        <f t="shared" si="39"/>
        <v>6.6623784193209357E-3</v>
      </c>
    </row>
    <row r="218" spans="1:61" x14ac:dyDescent="0.25">
      <c r="A218" s="11" t="s">
        <v>850</v>
      </c>
      <c r="B218" s="11"/>
      <c r="C218" s="18">
        <f>SUM(C$45:C$49)/SUM(B$45:B$49)-1</f>
        <v>-2.3328204551282483E-2</v>
      </c>
      <c r="D218" s="18">
        <f t="shared" ref="D218:BI218" si="40">SUM(D$45:D$49)/SUM(C$45:C$49)-1</f>
        <v>-2.4521027790977312E-2</v>
      </c>
      <c r="E218" s="18">
        <f t="shared" si="40"/>
        <v>-1.2844051493260622E-2</v>
      </c>
      <c r="F218" s="18">
        <f t="shared" si="40"/>
        <v>-3.7323040134429331E-3</v>
      </c>
      <c r="G218" s="18">
        <f t="shared" si="40"/>
        <v>2.1064669711154949E-3</v>
      </c>
      <c r="H218" s="18">
        <f t="shared" si="40"/>
        <v>2.2718473863301281E-3</v>
      </c>
      <c r="I218" s="18">
        <f t="shared" si="40"/>
        <v>7.0502297618637577E-3</v>
      </c>
      <c r="J218" s="18">
        <f t="shared" si="40"/>
        <v>1.6228452875831856E-2</v>
      </c>
      <c r="K218" s="18">
        <f t="shared" si="40"/>
        <v>3.2285685555778265E-2</v>
      </c>
      <c r="L218" s="18">
        <f t="shared" si="40"/>
        <v>4.3773610996669321E-2</v>
      </c>
      <c r="M218" s="18">
        <f t="shared" si="40"/>
        <v>4.6968551720495189E-2</v>
      </c>
      <c r="N218" s="18">
        <f t="shared" si="40"/>
        <v>5.1690857708691196E-2</v>
      </c>
      <c r="O218" s="18">
        <f t="shared" si="40"/>
        <v>4.3966129463893111E-2</v>
      </c>
      <c r="P218" s="18">
        <f t="shared" si="40"/>
        <v>4.9933766644699284E-2</v>
      </c>
      <c r="Q218" s="18">
        <f t="shared" si="40"/>
        <v>3.3595903901695978E-2</v>
      </c>
      <c r="R218" s="18">
        <f t="shared" si="40"/>
        <v>7.4909387255714943E-3</v>
      </c>
      <c r="S218" s="18">
        <f t="shared" si="40"/>
        <v>2.6404974147868909E-2</v>
      </c>
      <c r="T218" s="18">
        <f t="shared" si="40"/>
        <v>2.6551726381599305E-2</v>
      </c>
      <c r="U218" s="18">
        <f t="shared" si="40"/>
        <v>-7.9026152928542981E-3</v>
      </c>
      <c r="V218" s="18">
        <f t="shared" si="40"/>
        <v>-1.9454873463235267E-2</v>
      </c>
      <c r="W218" s="18">
        <f t="shared" si="40"/>
        <v>-1.810602894863611E-2</v>
      </c>
      <c r="X218" s="18">
        <f t="shared" si="40"/>
        <v>-1.7671631741228988E-2</v>
      </c>
      <c r="Y218" s="18">
        <f t="shared" si="40"/>
        <v>-1.6389816448237893E-2</v>
      </c>
      <c r="Z218" s="18">
        <f t="shared" si="40"/>
        <v>-4.8657442683217589E-3</v>
      </c>
      <c r="AA218" s="18">
        <f t="shared" si="40"/>
        <v>-1.5487286695358149E-3</v>
      </c>
      <c r="AB218" s="18">
        <f t="shared" si="40"/>
        <v>-4.704666603075891E-3</v>
      </c>
      <c r="AC218" s="18">
        <f t="shared" si="40"/>
        <v>-3.4298032229030939E-3</v>
      </c>
      <c r="AD218" s="18">
        <f t="shared" si="40"/>
        <v>7.6480161301566429E-3</v>
      </c>
      <c r="AE218" s="18">
        <f t="shared" si="40"/>
        <v>-5.4214056664170229E-5</v>
      </c>
      <c r="AF218" s="18">
        <f t="shared" si="40"/>
        <v>5.8012185706539654E-3</v>
      </c>
      <c r="AG218" s="18">
        <f t="shared" si="40"/>
        <v>2.1238288465588395E-2</v>
      </c>
      <c r="AH218" s="18">
        <f t="shared" si="40"/>
        <v>2.7077812050280592E-2</v>
      </c>
      <c r="AI218" s="18">
        <f t="shared" si="40"/>
        <v>1.8860748384242676E-2</v>
      </c>
      <c r="AJ218" s="18">
        <f t="shared" si="40"/>
        <v>2.3202557487867148E-2</v>
      </c>
      <c r="AK218" s="18">
        <f t="shared" si="40"/>
        <v>1.9472131972640305E-2</v>
      </c>
      <c r="AL218" s="18">
        <f t="shared" si="40"/>
        <v>9.4292176737784672E-3</v>
      </c>
      <c r="AM218" s="18">
        <f t="shared" si="40"/>
        <v>4.0717781242658457E-3</v>
      </c>
      <c r="AN218" s="18">
        <f t="shared" si="40"/>
        <v>2.9102497039805719E-3</v>
      </c>
      <c r="AO218" s="18">
        <f t="shared" si="40"/>
        <v>-1.4746876484681426E-3</v>
      </c>
      <c r="AP218" s="18">
        <f t="shared" si="40"/>
        <v>-3.62070267272252E-3</v>
      </c>
      <c r="AQ218" s="18">
        <f t="shared" si="40"/>
        <v>-1.7213020098667542E-3</v>
      </c>
      <c r="AR218" s="18">
        <f t="shared" si="40"/>
        <v>-4.5980533314189387E-3</v>
      </c>
      <c r="AS218" s="18">
        <f t="shared" si="40"/>
        <v>-3.8494109061570914E-4</v>
      </c>
      <c r="AT218" s="18">
        <f t="shared" si="40"/>
        <v>-2.262399798012793E-3</v>
      </c>
      <c r="AU218" s="18">
        <f t="shared" si="40"/>
        <v>5.7894379330303281E-4</v>
      </c>
      <c r="AV218" s="18">
        <f t="shared" si="40"/>
        <v>-2.8930440566143911E-4</v>
      </c>
      <c r="AW218" s="18">
        <f t="shared" si="40"/>
        <v>-9.8874276698194263E-3</v>
      </c>
      <c r="AX218" s="18">
        <f t="shared" si="40"/>
        <v>-9.4016091463912099E-3</v>
      </c>
      <c r="AY218" s="18">
        <f t="shared" si="40"/>
        <v>-5.2617600929760755E-3</v>
      </c>
      <c r="AZ218" s="18">
        <f t="shared" si="40"/>
        <v>-5.8333825602276956E-3</v>
      </c>
      <c r="BA218" s="18">
        <f t="shared" si="40"/>
        <v>-7.2101994383800827E-3</v>
      </c>
      <c r="BB218" s="18">
        <f t="shared" si="40"/>
        <v>5.6097045860876715E-3</v>
      </c>
      <c r="BC218" s="18">
        <f t="shared" si="40"/>
        <v>4.7316881955856704E-3</v>
      </c>
      <c r="BD218" s="18">
        <f t="shared" si="40"/>
        <v>1.9829072676511572E-3</v>
      </c>
      <c r="BE218" s="18">
        <f t="shared" si="40"/>
        <v>1.8800339712434777E-3</v>
      </c>
      <c r="BF218" s="18">
        <f t="shared" si="40"/>
        <v>1.8765060760732588E-3</v>
      </c>
      <c r="BG218" s="18">
        <f t="shared" si="40"/>
        <v>2.1194376326978404E-3</v>
      </c>
      <c r="BH218" s="18">
        <f t="shared" si="40"/>
        <v>2.6068051444938511E-3</v>
      </c>
      <c r="BI218" s="18">
        <f t="shared" si="40"/>
        <v>3.1396557038425588E-3</v>
      </c>
    </row>
    <row r="219" spans="1:61" x14ac:dyDescent="0.25">
      <c r="A219" s="11" t="s">
        <v>851</v>
      </c>
      <c r="B219" s="11"/>
      <c r="C219" s="18">
        <f>SUM(C$50:C$54)/SUM(B$50:B$54)-1</f>
        <v>1.4073188208088006E-2</v>
      </c>
      <c r="D219" s="18">
        <f t="shared" ref="D219:BI219" si="41">SUM(D$50:D$54)/SUM(C$50:C$54)-1</f>
        <v>-1.4874862750132722E-3</v>
      </c>
      <c r="E219" s="18">
        <f t="shared" si="41"/>
        <v>-1.1896211644865651E-2</v>
      </c>
      <c r="F219" s="18">
        <f t="shared" si="41"/>
        <v>-1.6370881318205965E-2</v>
      </c>
      <c r="G219" s="18">
        <f t="shared" si="41"/>
        <v>-3.4252888775728296E-2</v>
      </c>
      <c r="H219" s="18">
        <f t="shared" si="41"/>
        <v>-3.5676652398317965E-2</v>
      </c>
      <c r="I219" s="18">
        <f t="shared" si="41"/>
        <v>-3.0963302924344571E-2</v>
      </c>
      <c r="J219" s="18">
        <f t="shared" si="41"/>
        <v>-1.3923653780334E-2</v>
      </c>
      <c r="K219" s="18">
        <f t="shared" si="41"/>
        <v>2.9828964971445604E-3</v>
      </c>
      <c r="L219" s="18">
        <f t="shared" si="41"/>
        <v>2.2641212006034195E-2</v>
      </c>
      <c r="M219" s="18">
        <f t="shared" si="41"/>
        <v>3.2974387926108184E-2</v>
      </c>
      <c r="N219" s="18">
        <f t="shared" si="41"/>
        <v>3.6329850743334502E-2</v>
      </c>
      <c r="O219" s="18">
        <f t="shared" si="41"/>
        <v>3.8338938032204561E-2</v>
      </c>
      <c r="P219" s="18">
        <f t="shared" si="41"/>
        <v>3.7417795038033219E-2</v>
      </c>
      <c r="Q219" s="18">
        <f t="shared" si="41"/>
        <v>3.0499536516751524E-2</v>
      </c>
      <c r="R219" s="18">
        <f t="shared" si="41"/>
        <v>1.6982638739000411E-2</v>
      </c>
      <c r="S219" s="18">
        <f t="shared" si="41"/>
        <v>4.2412996941017411E-2</v>
      </c>
      <c r="T219" s="18">
        <f t="shared" si="41"/>
        <v>6.3355647974294937E-2</v>
      </c>
      <c r="U219" s="18">
        <f t="shared" si="41"/>
        <v>3.6828533726000368E-2</v>
      </c>
      <c r="V219" s="18">
        <f t="shared" si="41"/>
        <v>3.491946138401647E-2</v>
      </c>
      <c r="W219" s="18">
        <f t="shared" si="41"/>
        <v>2.4598341375954291E-2</v>
      </c>
      <c r="X219" s="18">
        <f t="shared" si="41"/>
        <v>1.1636672211798205E-2</v>
      </c>
      <c r="Y219" s="18">
        <f t="shared" si="41"/>
        <v>1.5209125443393923E-3</v>
      </c>
      <c r="Z219" s="18">
        <f t="shared" si="41"/>
        <v>-6.8017101846999939E-3</v>
      </c>
      <c r="AA219" s="18">
        <f t="shared" si="41"/>
        <v>-1.5703898165820185E-2</v>
      </c>
      <c r="AB219" s="18">
        <f t="shared" si="41"/>
        <v>-1.5009118422481538E-2</v>
      </c>
      <c r="AC219" s="18">
        <f t="shared" si="41"/>
        <v>-1.5070413372584746E-2</v>
      </c>
      <c r="AD219" s="18">
        <f t="shared" si="41"/>
        <v>-1.43662177167454E-2</v>
      </c>
      <c r="AE219" s="18">
        <f t="shared" si="41"/>
        <v>-5.3909805808980416E-3</v>
      </c>
      <c r="AF219" s="18">
        <f t="shared" si="41"/>
        <v>-1.7063595041968416E-3</v>
      </c>
      <c r="AG219" s="18">
        <f t="shared" si="41"/>
        <v>-4.4240088427508484E-3</v>
      </c>
      <c r="AH219" s="18">
        <f t="shared" si="41"/>
        <v>-2.7267960688818205E-3</v>
      </c>
      <c r="AI219" s="18">
        <f t="shared" si="41"/>
        <v>7.3926067617371416E-3</v>
      </c>
      <c r="AJ219" s="18">
        <f t="shared" si="41"/>
        <v>4.0210176289767752E-4</v>
      </c>
      <c r="AK219" s="18">
        <f t="shared" si="41"/>
        <v>5.7276470243248223E-3</v>
      </c>
      <c r="AL219" s="18">
        <f t="shared" si="41"/>
        <v>1.9982554086442672E-2</v>
      </c>
      <c r="AM219" s="18">
        <f t="shared" si="41"/>
        <v>2.5370441325950566E-2</v>
      </c>
      <c r="AN219" s="18">
        <f t="shared" si="41"/>
        <v>1.7816660326680278E-2</v>
      </c>
      <c r="AO219" s="18">
        <f t="shared" si="41"/>
        <v>2.1963106430769264E-2</v>
      </c>
      <c r="AP219" s="18">
        <f t="shared" si="41"/>
        <v>1.8506220883163005E-2</v>
      </c>
      <c r="AQ219" s="18">
        <f t="shared" si="41"/>
        <v>9.1075251414305392E-3</v>
      </c>
      <c r="AR219" s="18">
        <f t="shared" si="41"/>
        <v>4.1105448569525027E-3</v>
      </c>
      <c r="AS219" s="18">
        <f t="shared" si="41"/>
        <v>2.9812942282541055E-3</v>
      </c>
      <c r="AT219" s="18">
        <f t="shared" si="41"/>
        <v>-9.7602262254681271E-4</v>
      </c>
      <c r="AU219" s="18">
        <f t="shared" si="41"/>
        <v>-3.0197445359443353E-3</v>
      </c>
      <c r="AV219" s="18">
        <f t="shared" si="41"/>
        <v>-1.3362754469253835E-3</v>
      </c>
      <c r="AW219" s="18">
        <f t="shared" si="41"/>
        <v>-3.8803840580249327E-3</v>
      </c>
      <c r="AX219" s="18">
        <f t="shared" si="41"/>
        <v>0</v>
      </c>
      <c r="AY219" s="18">
        <f t="shared" si="41"/>
        <v>-1.8358103893572064E-3</v>
      </c>
      <c r="AZ219" s="18">
        <f t="shared" si="41"/>
        <v>7.6258964362652115E-4</v>
      </c>
      <c r="BA219" s="18">
        <f t="shared" si="41"/>
        <v>8.9648063976710546E-5</v>
      </c>
      <c r="BB219" s="18">
        <f t="shared" si="41"/>
        <v>-8.7847227363386793E-3</v>
      </c>
      <c r="BC219" s="18">
        <f t="shared" si="41"/>
        <v>-8.3199712090535893E-3</v>
      </c>
      <c r="BD219" s="18">
        <f t="shared" si="41"/>
        <v>-4.5596597207813172E-3</v>
      </c>
      <c r="BE219" s="18">
        <f t="shared" si="41"/>
        <v>-5.0844054487961809E-3</v>
      </c>
      <c r="BF219" s="18">
        <f t="shared" si="41"/>
        <v>-6.3994958059641061E-3</v>
      </c>
      <c r="BG219" s="18">
        <f t="shared" si="41"/>
        <v>5.513991809978025E-3</v>
      </c>
      <c r="BH219" s="18">
        <f t="shared" si="41"/>
        <v>4.7464429125507746E-3</v>
      </c>
      <c r="BI219" s="18">
        <f t="shared" si="41"/>
        <v>2.2473496145634098E-3</v>
      </c>
    </row>
    <row r="220" spans="1:61" x14ac:dyDescent="0.25">
      <c r="A220" s="11" t="s">
        <v>852</v>
      </c>
      <c r="B220" s="11"/>
      <c r="C220" s="18">
        <f>SUM(C$55:C$59)/SUM(B$55:B$59)-1</f>
        <v>-4.9849676860570513E-3</v>
      </c>
      <c r="D220" s="18">
        <f t="shared" ref="D220:BI220" si="42">SUM(D$55:D$59)/SUM(C$55:C$59)-1</f>
        <v>-1.0696614343906896E-2</v>
      </c>
      <c r="E220" s="18">
        <f t="shared" si="42"/>
        <v>-2.8824157429747643E-3</v>
      </c>
      <c r="F220" s="18">
        <f t="shared" si="42"/>
        <v>5.6428530048759917E-3</v>
      </c>
      <c r="G220" s="18">
        <f t="shared" si="42"/>
        <v>1.3360706071056327E-2</v>
      </c>
      <c r="H220" s="18">
        <f t="shared" si="42"/>
        <v>5.1542057402502728E-3</v>
      </c>
      <c r="I220" s="18">
        <f t="shared" si="42"/>
        <v>-4.2312176467422802E-3</v>
      </c>
      <c r="J220" s="18">
        <f t="shared" si="42"/>
        <v>-1.2324818030672646E-2</v>
      </c>
      <c r="K220" s="18">
        <f t="shared" si="42"/>
        <v>-1.2724920568316422E-2</v>
      </c>
      <c r="L220" s="18">
        <f t="shared" si="42"/>
        <v>-2.4687993603176306E-2</v>
      </c>
      <c r="M220" s="18">
        <f t="shared" si="42"/>
        <v>-1.7080640916962264E-2</v>
      </c>
      <c r="N220" s="18">
        <f t="shared" si="42"/>
        <v>-1.2608487096106402E-2</v>
      </c>
      <c r="O220" s="18">
        <f t="shared" si="42"/>
        <v>2.2141354605429431E-3</v>
      </c>
      <c r="P220" s="18">
        <f t="shared" si="42"/>
        <v>1.1695544347045672E-2</v>
      </c>
      <c r="Q220" s="18">
        <f t="shared" si="42"/>
        <v>2.3884088633834288E-2</v>
      </c>
      <c r="R220" s="18">
        <f t="shared" si="42"/>
        <v>1.4372482286836297E-2</v>
      </c>
      <c r="S220" s="18">
        <f t="shared" si="42"/>
        <v>3.2216757499828219E-2</v>
      </c>
      <c r="T220" s="18">
        <f t="shared" si="42"/>
        <v>5.0258635010981267E-2</v>
      </c>
      <c r="U220" s="18">
        <f t="shared" si="42"/>
        <v>2.9526282962222927E-2</v>
      </c>
      <c r="V220" s="18">
        <f t="shared" si="42"/>
        <v>2.7673446795571932E-2</v>
      </c>
      <c r="W220" s="18">
        <f t="shared" si="42"/>
        <v>2.9492860485577976E-2</v>
      </c>
      <c r="X220" s="18">
        <f t="shared" si="42"/>
        <v>3.5046181069873228E-2</v>
      </c>
      <c r="Y220" s="18">
        <f t="shared" si="42"/>
        <v>3.56408770824721E-2</v>
      </c>
      <c r="Z220" s="18">
        <f t="shared" si="42"/>
        <v>3.6978800530006906E-2</v>
      </c>
      <c r="AA220" s="18">
        <f t="shared" si="42"/>
        <v>3.6108515891464021E-2</v>
      </c>
      <c r="AB220" s="18">
        <f t="shared" si="42"/>
        <v>2.5161010880703882E-2</v>
      </c>
      <c r="AC220" s="18">
        <f t="shared" si="42"/>
        <v>1.2213661162879808E-2</v>
      </c>
      <c r="AD220" s="18">
        <f t="shared" si="42"/>
        <v>2.0557378898713452E-3</v>
      </c>
      <c r="AE220" s="18">
        <f t="shared" si="42"/>
        <v>-6.8681338526629387E-3</v>
      </c>
      <c r="AF220" s="18">
        <f t="shared" si="42"/>
        <v>-1.5088650184020835E-2</v>
      </c>
      <c r="AG220" s="18">
        <f t="shared" si="42"/>
        <v>-1.4179938897266209E-2</v>
      </c>
      <c r="AH220" s="18">
        <f t="shared" si="42"/>
        <v>-1.4013897841704814E-2</v>
      </c>
      <c r="AI220" s="18">
        <f t="shared" si="42"/>
        <v>-1.327492147660625E-2</v>
      </c>
      <c r="AJ220" s="18">
        <f t="shared" si="42"/>
        <v>-4.7538925240305785E-3</v>
      </c>
      <c r="AK220" s="18">
        <f t="shared" si="42"/>
        <v>-1.3852139904020344E-3</v>
      </c>
      <c r="AL220" s="18">
        <f t="shared" si="42"/>
        <v>-3.8744128640957332E-3</v>
      </c>
      <c r="AM220" s="18">
        <f t="shared" si="42"/>
        <v>-2.3048784144878987E-3</v>
      </c>
      <c r="AN220" s="18">
        <f t="shared" si="42"/>
        <v>7.363772546571834E-3</v>
      </c>
      <c r="AO220" s="18">
        <f t="shared" si="42"/>
        <v>6.6888374487006352E-4</v>
      </c>
      <c r="AP220" s="18">
        <f t="shared" si="42"/>
        <v>5.7772023753324131E-3</v>
      </c>
      <c r="AQ220" s="18">
        <f t="shared" si="42"/>
        <v>1.9273316664762286E-2</v>
      </c>
      <c r="AR220" s="18">
        <f t="shared" si="42"/>
        <v>2.445113771884766E-2</v>
      </c>
      <c r="AS220" s="18">
        <f t="shared" si="42"/>
        <v>1.7184635273841398E-2</v>
      </c>
      <c r="AT220" s="18">
        <f t="shared" si="42"/>
        <v>2.1140237814890162E-2</v>
      </c>
      <c r="AU220" s="18">
        <f t="shared" si="42"/>
        <v>1.7857616870965876E-2</v>
      </c>
      <c r="AV220" s="18">
        <f t="shared" si="42"/>
        <v>8.8581601430690604E-3</v>
      </c>
      <c r="AW220" s="18">
        <f t="shared" si="42"/>
        <v>4.3049446278271564E-3</v>
      </c>
      <c r="AX220" s="18">
        <f t="shared" si="42"/>
        <v>3.098157236641752E-3</v>
      </c>
      <c r="AY220" s="18">
        <f t="shared" si="42"/>
        <v>-6.7695086124608395E-4</v>
      </c>
      <c r="AZ220" s="18">
        <f t="shared" si="42"/>
        <v>-2.6249615573157303E-3</v>
      </c>
      <c r="BA220" s="18">
        <f t="shared" si="42"/>
        <v>-9.3388939571326102E-4</v>
      </c>
      <c r="BB220" s="18">
        <f t="shared" si="42"/>
        <v>-3.4841142522848978E-3</v>
      </c>
      <c r="BC220" s="18">
        <f t="shared" si="42"/>
        <v>2.9846427101065665E-4</v>
      </c>
      <c r="BD220" s="18">
        <f t="shared" si="42"/>
        <v>-1.4918760833453337E-3</v>
      </c>
      <c r="BE220" s="18">
        <f t="shared" si="42"/>
        <v>1.109906647953629E-3</v>
      </c>
      <c r="BF220" s="18">
        <f t="shared" si="42"/>
        <v>3.4113111414058039E-4</v>
      </c>
      <c r="BG220" s="18">
        <f t="shared" si="42"/>
        <v>-8.0138474096060897E-3</v>
      </c>
      <c r="BH220" s="18">
        <f t="shared" si="42"/>
        <v>-7.6918470669880001E-3</v>
      </c>
      <c r="BI220" s="18">
        <f t="shared" si="42"/>
        <v>-4.0273001547034282E-3</v>
      </c>
    </row>
    <row r="221" spans="1:61" x14ac:dyDescent="0.25">
      <c r="A221" s="11" t="s">
        <v>853</v>
      </c>
      <c r="B221" s="11"/>
      <c r="C221" s="18">
        <f>SUM(C$60:C$64)/SUM(B$60:B$64)-1</f>
        <v>3.3666061135733116E-2</v>
      </c>
      <c r="D221" s="18">
        <f t="shared" ref="D221:BI221" si="43">SUM(D$60:D$64)/SUM(C$60:C$64)-1</f>
        <v>2.6348221594605592E-2</v>
      </c>
      <c r="E221" s="18">
        <f t="shared" si="43"/>
        <v>1.0147485078875418E-2</v>
      </c>
      <c r="F221" s="18">
        <f t="shared" si="43"/>
        <v>3.1218895962148441E-3</v>
      </c>
      <c r="G221" s="18">
        <f t="shared" si="43"/>
        <v>-8.1845643988308625E-3</v>
      </c>
      <c r="H221" s="18">
        <f t="shared" si="43"/>
        <v>-1.2644767100507659E-2</v>
      </c>
      <c r="I221" s="18">
        <f t="shared" si="43"/>
        <v>-1.2504606380097871E-2</v>
      </c>
      <c r="J221" s="18">
        <f t="shared" si="43"/>
        <v>-3.6119433598406081E-3</v>
      </c>
      <c r="K221" s="18">
        <f t="shared" si="43"/>
        <v>9.0445423333087582E-3</v>
      </c>
      <c r="L221" s="18">
        <f t="shared" si="43"/>
        <v>2.2067160679217768E-2</v>
      </c>
      <c r="M221" s="18">
        <f t="shared" si="43"/>
        <v>1.9797640875038436E-2</v>
      </c>
      <c r="N221" s="18">
        <f t="shared" si="43"/>
        <v>5.6903373624619391E-3</v>
      </c>
      <c r="O221" s="18">
        <f t="shared" si="43"/>
        <v>-3.4008471383628613E-4</v>
      </c>
      <c r="P221" s="18">
        <f t="shared" si="43"/>
        <v>-8.3793657002655397E-3</v>
      </c>
      <c r="Q221" s="18">
        <f t="shared" si="43"/>
        <v>-1.8590952220312484E-2</v>
      </c>
      <c r="R221" s="18">
        <f t="shared" si="43"/>
        <v>-2.6180975211187452E-2</v>
      </c>
      <c r="S221" s="18">
        <f t="shared" si="43"/>
        <v>-2.2679733921496914E-2</v>
      </c>
      <c r="T221" s="18">
        <f t="shared" si="43"/>
        <v>1.3117758229206355E-2</v>
      </c>
      <c r="U221" s="18">
        <f t="shared" si="43"/>
        <v>6.2525602149616777E-3</v>
      </c>
      <c r="V221" s="18">
        <f t="shared" si="43"/>
        <v>1.8413142754200695E-2</v>
      </c>
      <c r="W221" s="18">
        <f t="shared" si="43"/>
        <v>2.4413888187073907E-2</v>
      </c>
      <c r="X221" s="18">
        <f t="shared" si="43"/>
        <v>3.0863876158703896E-2</v>
      </c>
      <c r="Y221" s="18">
        <f t="shared" si="43"/>
        <v>2.7306514019628247E-2</v>
      </c>
      <c r="Z221" s="18">
        <f t="shared" si="43"/>
        <v>3.0749367278878337E-2</v>
      </c>
      <c r="AA221" s="18">
        <f t="shared" si="43"/>
        <v>2.9166755969985525E-2</v>
      </c>
      <c r="AB221" s="18">
        <f t="shared" si="43"/>
        <v>3.0243938466302911E-2</v>
      </c>
      <c r="AC221" s="18">
        <f t="shared" si="43"/>
        <v>3.53527491918737E-2</v>
      </c>
      <c r="AD221" s="18">
        <f t="shared" si="43"/>
        <v>3.5513458842171053E-2</v>
      </c>
      <c r="AE221" s="18">
        <f t="shared" si="43"/>
        <v>3.600783592807355E-2</v>
      </c>
      <c r="AF221" s="18">
        <f t="shared" si="43"/>
        <v>3.5323014885043857E-2</v>
      </c>
      <c r="AG221" s="18">
        <f t="shared" si="43"/>
        <v>2.4721771311071672E-2</v>
      </c>
      <c r="AH221" s="18">
        <f t="shared" si="43"/>
        <v>1.2285233542349561E-2</v>
      </c>
      <c r="AI221" s="18">
        <f t="shared" si="43"/>
        <v>2.1985757698641528E-3</v>
      </c>
      <c r="AJ221" s="18">
        <f t="shared" si="43"/>
        <v>-6.4057577043271641E-3</v>
      </c>
      <c r="AK221" s="18">
        <f t="shared" si="43"/>
        <v>-1.4572112837970219E-2</v>
      </c>
      <c r="AL221" s="18">
        <f t="shared" si="43"/>
        <v>-1.3667326722899165E-2</v>
      </c>
      <c r="AM221" s="18">
        <f t="shared" si="43"/>
        <v>-1.3356960688483466E-2</v>
      </c>
      <c r="AN221" s="18">
        <f t="shared" si="43"/>
        <v>-1.2662893516938722E-2</v>
      </c>
      <c r="AO221" s="18">
        <f t="shared" si="43"/>
        <v>-4.430557805748192E-3</v>
      </c>
      <c r="AP221" s="18">
        <f t="shared" si="43"/>
        <v>-1.1242800016207921E-3</v>
      </c>
      <c r="AQ221" s="18">
        <f t="shared" si="43"/>
        <v>-3.4704317420019004E-3</v>
      </c>
      <c r="AR221" s="18">
        <f t="shared" si="43"/>
        <v>-1.9765640327767953E-3</v>
      </c>
      <c r="AS221" s="18">
        <f t="shared" si="43"/>
        <v>7.4032175322140681E-3</v>
      </c>
      <c r="AT221" s="18">
        <f t="shared" si="43"/>
        <v>8.8934675665219842E-4</v>
      </c>
      <c r="AU221" s="18">
        <f t="shared" si="43"/>
        <v>5.8925327234593539E-3</v>
      </c>
      <c r="AV221" s="18">
        <f t="shared" si="43"/>
        <v>1.9061792183397097E-2</v>
      </c>
      <c r="AW221" s="18">
        <f t="shared" si="43"/>
        <v>2.4043072726314563E-2</v>
      </c>
      <c r="AX221" s="18">
        <f t="shared" si="43"/>
        <v>1.7107728728690041E-2</v>
      </c>
      <c r="AY221" s="18">
        <f t="shared" si="43"/>
        <v>2.0849763308532276E-2</v>
      </c>
      <c r="AZ221" s="18">
        <f t="shared" si="43"/>
        <v>1.7634947287399338E-2</v>
      </c>
      <c r="BA221" s="18">
        <f t="shared" si="43"/>
        <v>8.980901526127294E-3</v>
      </c>
      <c r="BB221" s="18">
        <f t="shared" si="43"/>
        <v>4.30422147459808E-3</v>
      </c>
      <c r="BC221" s="18">
        <f t="shared" si="43"/>
        <v>3.3287569333881883E-3</v>
      </c>
      <c r="BD221" s="18">
        <f t="shared" si="43"/>
        <v>-4.5618554753656948E-4</v>
      </c>
      <c r="BE221" s="18">
        <f t="shared" si="43"/>
        <v>-2.3649494202540033E-3</v>
      </c>
      <c r="BF221" s="18">
        <f t="shared" si="43"/>
        <v>-7.0700782976262921E-4</v>
      </c>
      <c r="BG221" s="18">
        <f t="shared" si="43"/>
        <v>-3.1213590153928994E-3</v>
      </c>
      <c r="BH221" s="18">
        <f t="shared" si="43"/>
        <v>4.1748432050003892E-4</v>
      </c>
      <c r="BI221" s="18">
        <f t="shared" si="43"/>
        <v>-1.1684682802138857E-3</v>
      </c>
    </row>
    <row r="222" spans="1:61" x14ac:dyDescent="0.25">
      <c r="A222" s="11" t="s">
        <v>854</v>
      </c>
      <c r="B222" s="11"/>
      <c r="C222" s="18">
        <f>SUM(C$65:C$69)/SUM(B$65:B$69)-1</f>
        <v>3.1013098128575889E-2</v>
      </c>
      <c r="D222" s="18">
        <f t="shared" ref="D222:BI222" si="44">SUM(D$65:D$69)/SUM(C$65:C$69)-1</f>
        <v>2.7720913922347989E-2</v>
      </c>
      <c r="E222" s="18">
        <f t="shared" si="44"/>
        <v>2.7333584081979279E-2</v>
      </c>
      <c r="F222" s="18">
        <f t="shared" si="44"/>
        <v>2.9591462953473258E-2</v>
      </c>
      <c r="G222" s="18">
        <f t="shared" si="44"/>
        <v>3.0796061724112755E-2</v>
      </c>
      <c r="H222" s="18">
        <f t="shared" si="44"/>
        <v>2.7505931893643476E-2</v>
      </c>
      <c r="I222" s="18">
        <f t="shared" si="44"/>
        <v>2.2546506723725601E-2</v>
      </c>
      <c r="J222" s="18">
        <f t="shared" si="44"/>
        <v>8.9746545929649812E-3</v>
      </c>
      <c r="K222" s="18">
        <f t="shared" si="44"/>
        <v>5.3203983061254068E-3</v>
      </c>
      <c r="L222" s="18">
        <f t="shared" si="44"/>
        <v>-2.6791609156768814E-3</v>
      </c>
      <c r="M222" s="18">
        <f t="shared" si="44"/>
        <v>-3.2422067073489824E-4</v>
      </c>
      <c r="N222" s="18">
        <f t="shared" si="44"/>
        <v>-1.9003323737540878E-3</v>
      </c>
      <c r="O222" s="18">
        <f t="shared" si="44"/>
        <v>3.6648333196727112E-3</v>
      </c>
      <c r="P222" s="18">
        <f t="shared" si="44"/>
        <v>1.0495886223921946E-2</v>
      </c>
      <c r="Q222" s="18">
        <f t="shared" si="44"/>
        <v>2.5852039230898738E-2</v>
      </c>
      <c r="R222" s="18">
        <f t="shared" si="44"/>
        <v>8.6650482066028545E-3</v>
      </c>
      <c r="S222" s="18">
        <f t="shared" si="44"/>
        <v>-8.2499583935324861E-3</v>
      </c>
      <c r="T222" s="18">
        <f t="shared" si="44"/>
        <v>5.9283046121170191E-3</v>
      </c>
      <c r="U222" s="18">
        <f t="shared" si="44"/>
        <v>-1.1464975701556468E-2</v>
      </c>
      <c r="V222" s="18">
        <f t="shared" si="44"/>
        <v>-2.6610387713142947E-2</v>
      </c>
      <c r="W222" s="18">
        <f t="shared" si="44"/>
        <v>-2.1322723045574921E-2</v>
      </c>
      <c r="X222" s="18">
        <f t="shared" si="44"/>
        <v>-1.6216921304241683E-2</v>
      </c>
      <c r="Y222" s="18">
        <f t="shared" si="44"/>
        <v>-2.778100528748606E-3</v>
      </c>
      <c r="Z222" s="18">
        <f t="shared" si="44"/>
        <v>8.1029569456871897E-3</v>
      </c>
      <c r="AA222" s="18">
        <f t="shared" si="44"/>
        <v>2.0112715174819717E-2</v>
      </c>
      <c r="AB222" s="18">
        <f t="shared" si="44"/>
        <v>2.5347549358235133E-2</v>
      </c>
      <c r="AC222" s="18">
        <f t="shared" si="44"/>
        <v>3.1560259839638505E-2</v>
      </c>
      <c r="AD222" s="18">
        <f t="shared" si="44"/>
        <v>2.7748666587321669E-2</v>
      </c>
      <c r="AE222" s="18">
        <f t="shared" si="44"/>
        <v>3.0749393392764723E-2</v>
      </c>
      <c r="AF222" s="18">
        <f t="shared" si="44"/>
        <v>2.938431419913945E-2</v>
      </c>
      <c r="AG222" s="18">
        <f t="shared" si="44"/>
        <v>3.0394186044246707E-2</v>
      </c>
      <c r="AH222" s="18">
        <f t="shared" si="44"/>
        <v>3.5618783508980068E-2</v>
      </c>
      <c r="AI222" s="18">
        <f t="shared" si="44"/>
        <v>3.5667562525140362E-2</v>
      </c>
      <c r="AJ222" s="18">
        <f t="shared" si="44"/>
        <v>3.6161160208672882E-2</v>
      </c>
      <c r="AK222" s="18">
        <f t="shared" si="44"/>
        <v>3.5516430038556424E-2</v>
      </c>
      <c r="AL222" s="18">
        <f t="shared" si="44"/>
        <v>2.4852495309507727E-2</v>
      </c>
      <c r="AM222" s="18">
        <f t="shared" si="44"/>
        <v>1.2527585701285648E-2</v>
      </c>
      <c r="AN222" s="18">
        <f t="shared" si="44"/>
        <v>2.3861417894848191E-3</v>
      </c>
      <c r="AO222" s="18">
        <f t="shared" si="44"/>
        <v>-6.1715672936677457E-3</v>
      </c>
      <c r="AP222" s="18">
        <f t="shared" si="44"/>
        <v>-1.4282751738931454E-2</v>
      </c>
      <c r="AQ222" s="18">
        <f t="shared" si="44"/>
        <v>-1.3319728445183032E-2</v>
      </c>
      <c r="AR222" s="18">
        <f t="shared" si="44"/>
        <v>-1.3225899337288571E-2</v>
      </c>
      <c r="AS222" s="18">
        <f t="shared" si="44"/>
        <v>-1.2432594036296596E-2</v>
      </c>
      <c r="AT222" s="18">
        <f t="shared" si="44"/>
        <v>-4.1651699986534618E-3</v>
      </c>
      <c r="AU222" s="18">
        <f t="shared" si="44"/>
        <v>-8.4591732176186873E-4</v>
      </c>
      <c r="AV222" s="18">
        <f t="shared" si="44"/>
        <v>-3.2454284308800485E-3</v>
      </c>
      <c r="AW222" s="18">
        <f t="shared" si="44"/>
        <v>-1.7459686182592637E-3</v>
      </c>
      <c r="AX222" s="18">
        <f t="shared" si="44"/>
        <v>7.6106107940916434E-3</v>
      </c>
      <c r="AY222" s="18">
        <f t="shared" si="44"/>
        <v>1.0790181264415111E-3</v>
      </c>
      <c r="AZ222" s="18">
        <f t="shared" si="44"/>
        <v>6.0922244853240937E-3</v>
      </c>
      <c r="BA222" s="18">
        <f t="shared" si="44"/>
        <v>1.9190750929247047E-2</v>
      </c>
      <c r="BB222" s="18">
        <f t="shared" si="44"/>
        <v>2.413088231250371E-2</v>
      </c>
      <c r="BC222" s="18">
        <f t="shared" si="44"/>
        <v>1.722547161972332E-2</v>
      </c>
      <c r="BD222" s="18">
        <f t="shared" si="44"/>
        <v>2.0925939686671224E-2</v>
      </c>
      <c r="BE222" s="18">
        <f t="shared" si="44"/>
        <v>1.7789866655167907E-2</v>
      </c>
      <c r="BF222" s="18">
        <f t="shared" si="44"/>
        <v>9.1194360086537252E-3</v>
      </c>
      <c r="BG222" s="18">
        <f t="shared" si="44"/>
        <v>4.4766736542540819E-3</v>
      </c>
      <c r="BH222" s="18">
        <f t="shared" si="44"/>
        <v>3.498735312749357E-3</v>
      </c>
      <c r="BI222" s="18">
        <f t="shared" si="44"/>
        <v>-2.9054473693146399E-4</v>
      </c>
    </row>
    <row r="223" spans="1:61" x14ac:dyDescent="0.25">
      <c r="A223" s="11" t="s">
        <v>855</v>
      </c>
      <c r="B223" s="11"/>
      <c r="C223" s="18">
        <f>SUM(C$70:C$74)/SUM(B$70:B$74)-1</f>
        <v>5.816376906915055E-3</v>
      </c>
      <c r="D223" s="18">
        <f t="shared" ref="D223:BI223" si="45">SUM(D$70:D$74)/SUM(C$70:C$74)-1</f>
        <v>6.0343991597195945E-3</v>
      </c>
      <c r="E223" s="18">
        <f t="shared" si="45"/>
        <v>1.7579919603171179E-2</v>
      </c>
      <c r="F223" s="18">
        <f t="shared" si="45"/>
        <v>2.0064532706739246E-2</v>
      </c>
      <c r="G223" s="18">
        <f t="shared" si="45"/>
        <v>2.8371231400608155E-2</v>
      </c>
      <c r="H223" s="18">
        <f t="shared" si="45"/>
        <v>2.878349908350919E-2</v>
      </c>
      <c r="I223" s="18">
        <f t="shared" si="45"/>
        <v>2.3843265594794438E-2</v>
      </c>
      <c r="J223" s="18">
        <f t="shared" si="45"/>
        <v>2.3591832038593497E-2</v>
      </c>
      <c r="K223" s="18">
        <f t="shared" si="45"/>
        <v>2.7936251583013272E-2</v>
      </c>
      <c r="L223" s="18">
        <f t="shared" si="45"/>
        <v>3.4799964560601859E-2</v>
      </c>
      <c r="M223" s="18">
        <f t="shared" si="45"/>
        <v>3.6761262934773109E-2</v>
      </c>
      <c r="N223" s="18">
        <f t="shared" si="45"/>
        <v>3.00782188707025E-2</v>
      </c>
      <c r="O223" s="18">
        <f t="shared" si="45"/>
        <v>1.626235004245391E-2</v>
      </c>
      <c r="P223" s="18">
        <f t="shared" si="45"/>
        <v>1.001451117489971E-2</v>
      </c>
      <c r="Q223" s="18">
        <f t="shared" si="45"/>
        <v>-4.4456637295142709E-3</v>
      </c>
      <c r="R223" s="18">
        <f t="shared" si="45"/>
        <v>-1.4507635393398499E-2</v>
      </c>
      <c r="S223" s="18">
        <f t="shared" si="45"/>
        <v>-2.2701430686921875E-2</v>
      </c>
      <c r="T223" s="18">
        <f t="shared" si="45"/>
        <v>1.1110001417213189E-2</v>
      </c>
      <c r="U223" s="18">
        <f t="shared" si="45"/>
        <v>9.8623052283053347E-3</v>
      </c>
      <c r="V223" s="18">
        <f t="shared" si="45"/>
        <v>2.1150482441925966E-2</v>
      </c>
      <c r="W223" s="18">
        <f t="shared" si="45"/>
        <v>1.4032319099382518E-2</v>
      </c>
      <c r="X223" s="18">
        <f t="shared" si="45"/>
        <v>6.2900650375938838E-3</v>
      </c>
      <c r="Y223" s="18">
        <f t="shared" si="45"/>
        <v>-3.1695068450436903E-3</v>
      </c>
      <c r="Z223" s="18">
        <f t="shared" si="45"/>
        <v>-9.8366238091899261E-3</v>
      </c>
      <c r="AA223" s="18">
        <f t="shared" si="45"/>
        <v>-2.5443566117742678E-2</v>
      </c>
      <c r="AB223" s="18">
        <f t="shared" si="45"/>
        <v>-2.0981469203707581E-2</v>
      </c>
      <c r="AC223" s="18">
        <f t="shared" si="45"/>
        <v>-1.5805789653355218E-2</v>
      </c>
      <c r="AD223" s="18">
        <f t="shared" si="45"/>
        <v>-2.7845317025930738E-3</v>
      </c>
      <c r="AE223" s="18">
        <f t="shared" si="45"/>
        <v>8.4418582810148468E-3</v>
      </c>
      <c r="AF223" s="18">
        <f t="shared" si="45"/>
        <v>2.0412824559352227E-2</v>
      </c>
      <c r="AG223" s="18">
        <f t="shared" si="45"/>
        <v>2.5620875503655993E-2</v>
      </c>
      <c r="AH223" s="18">
        <f t="shared" si="45"/>
        <v>3.162599512623876E-2</v>
      </c>
      <c r="AI223" s="18">
        <f t="shared" si="45"/>
        <v>2.7793594712255398E-2</v>
      </c>
      <c r="AJ223" s="18">
        <f t="shared" si="45"/>
        <v>3.0988043279745581E-2</v>
      </c>
      <c r="AK223" s="18">
        <f t="shared" si="45"/>
        <v>2.9493788062820991E-2</v>
      </c>
      <c r="AL223" s="18">
        <f t="shared" si="45"/>
        <v>3.061706560179811E-2</v>
      </c>
      <c r="AM223" s="18">
        <f t="shared" si="45"/>
        <v>3.5649010625206534E-2</v>
      </c>
      <c r="AN223" s="18">
        <f t="shared" si="45"/>
        <v>3.585614980263041E-2</v>
      </c>
      <c r="AO223" s="18">
        <f t="shared" si="45"/>
        <v>3.6246839059287161E-2</v>
      </c>
      <c r="AP223" s="18">
        <f t="shared" si="45"/>
        <v>3.5551605555313115E-2</v>
      </c>
      <c r="AQ223" s="18">
        <f t="shared" si="45"/>
        <v>2.5068601079368369E-2</v>
      </c>
      <c r="AR223" s="18">
        <f t="shared" si="45"/>
        <v>1.2677317790032117E-2</v>
      </c>
      <c r="AS223" s="18">
        <f t="shared" si="45"/>
        <v>2.6191429226614105E-3</v>
      </c>
      <c r="AT223" s="18">
        <f t="shared" si="45"/>
        <v>-5.9330224583642455E-3</v>
      </c>
      <c r="AU223" s="18">
        <f t="shared" si="45"/>
        <v>-1.3985731779598387E-2</v>
      </c>
      <c r="AV223" s="18">
        <f t="shared" si="45"/>
        <v>-1.3099971335364446E-2</v>
      </c>
      <c r="AW223" s="18">
        <f t="shared" si="45"/>
        <v>-1.2861911168443263E-2</v>
      </c>
      <c r="AX223" s="18">
        <f t="shared" si="45"/>
        <v>-1.2148497472301512E-2</v>
      </c>
      <c r="AY223" s="18">
        <f t="shared" si="45"/>
        <v>-3.9897762181548835E-3</v>
      </c>
      <c r="AZ223" s="18">
        <f t="shared" si="45"/>
        <v>-5.6551881844879581E-4</v>
      </c>
      <c r="BA223" s="18">
        <f t="shared" si="45"/>
        <v>-2.9706537574588632E-3</v>
      </c>
      <c r="BB223" s="18">
        <f t="shared" si="45"/>
        <v>-1.5606930086479176E-3</v>
      </c>
      <c r="BC223" s="18">
        <f t="shared" si="45"/>
        <v>7.7209275858733939E-3</v>
      </c>
      <c r="BD223" s="18">
        <f t="shared" si="45"/>
        <v>1.2691278113996507E-3</v>
      </c>
      <c r="BE223" s="18">
        <f t="shared" si="45"/>
        <v>6.2906506835085363E-3</v>
      </c>
      <c r="BF223" s="18">
        <f t="shared" si="45"/>
        <v>1.9267145864126256E-2</v>
      </c>
      <c r="BG223" s="18">
        <f t="shared" si="45"/>
        <v>2.425801037331099E-2</v>
      </c>
      <c r="BH223" s="18">
        <f t="shared" si="45"/>
        <v>1.7293420579791663E-2</v>
      </c>
      <c r="BI223" s="18">
        <f t="shared" si="45"/>
        <v>2.1040653115013797E-2</v>
      </c>
    </row>
    <row r="224" spans="1:61" x14ac:dyDescent="0.25">
      <c r="A224" s="11" t="s">
        <v>856</v>
      </c>
      <c r="B224" s="11"/>
      <c r="C224" s="18">
        <f>SUM(C$75:C$79)/SUM(B$75:B$79)-1</f>
        <v>6.2273226469046206E-2</v>
      </c>
      <c r="D224" s="18">
        <f t="shared" ref="D224:BI224" si="46">SUM(D$75:D$79)/SUM(C$75:C$79)-1</f>
        <v>7.3583911342386177E-2</v>
      </c>
      <c r="E224" s="18">
        <f t="shared" si="46"/>
        <v>4.552487729013488E-2</v>
      </c>
      <c r="F224" s="18">
        <f t="shared" si="46"/>
        <v>4.286816586560005E-2</v>
      </c>
      <c r="G224" s="18">
        <f t="shared" si="46"/>
        <v>3.3088883896684518E-2</v>
      </c>
      <c r="H224" s="18">
        <f t="shared" si="46"/>
        <v>5.716529629570033E-3</v>
      </c>
      <c r="I224" s="18">
        <f t="shared" si="46"/>
        <v>7.7077712955950783E-3</v>
      </c>
      <c r="J224" s="18">
        <f t="shared" si="46"/>
        <v>1.4040357514755408E-2</v>
      </c>
      <c r="K224" s="18">
        <f t="shared" si="46"/>
        <v>1.8441289102687275E-2</v>
      </c>
      <c r="L224" s="18">
        <f t="shared" si="46"/>
        <v>2.9568476603325733E-2</v>
      </c>
      <c r="M224" s="18">
        <f t="shared" si="46"/>
        <v>3.147677451419284E-2</v>
      </c>
      <c r="N224" s="18">
        <f t="shared" si="46"/>
        <v>3.0106252371513431E-2</v>
      </c>
      <c r="O224" s="18">
        <f t="shared" si="46"/>
        <v>3.3736694294038694E-2</v>
      </c>
      <c r="P224" s="18">
        <f t="shared" si="46"/>
        <v>3.481024075298067E-2</v>
      </c>
      <c r="Q224" s="18">
        <f t="shared" si="46"/>
        <v>2.9113857683934707E-2</v>
      </c>
      <c r="R224" s="18">
        <f t="shared" si="46"/>
        <v>2.0307743071308115E-2</v>
      </c>
      <c r="S224" s="18">
        <f t="shared" si="46"/>
        <v>5.7370724403458251E-3</v>
      </c>
      <c r="T224" s="18">
        <f t="shared" si="46"/>
        <v>2.1698699213105854E-2</v>
      </c>
      <c r="U224" s="18">
        <f t="shared" si="46"/>
        <v>6.4560277129528387E-3</v>
      </c>
      <c r="V224" s="18">
        <f t="shared" si="46"/>
        <v>-4.1386184029290618E-3</v>
      </c>
      <c r="W224" s="18">
        <f t="shared" si="46"/>
        <v>-4.5419186567701164E-3</v>
      </c>
      <c r="X224" s="18">
        <f t="shared" si="46"/>
        <v>-3.5854375803515692E-3</v>
      </c>
      <c r="Y224" s="18">
        <f t="shared" si="46"/>
        <v>5.6142442159226036E-3</v>
      </c>
      <c r="Z224" s="18">
        <f t="shared" si="46"/>
        <v>1.1430947931051261E-2</v>
      </c>
      <c r="AA224" s="18">
        <f t="shared" si="46"/>
        <v>2.25162628113873E-2</v>
      </c>
      <c r="AB224" s="18">
        <f t="shared" si="46"/>
        <v>1.4631425972248424E-2</v>
      </c>
      <c r="AC224" s="18">
        <f t="shared" si="46"/>
        <v>6.7233018078787232E-3</v>
      </c>
      <c r="AD224" s="18">
        <f t="shared" si="46"/>
        <v>-3.0082886950512089E-3</v>
      </c>
      <c r="AE224" s="18">
        <f t="shared" si="46"/>
        <v>-9.2934866716498643E-3</v>
      </c>
      <c r="AF224" s="18">
        <f t="shared" si="46"/>
        <v>-2.4548105862667646E-2</v>
      </c>
      <c r="AG224" s="18">
        <f t="shared" si="46"/>
        <v>-2.0232618616287779E-2</v>
      </c>
      <c r="AH224" s="18">
        <f t="shared" si="46"/>
        <v>-1.5105407794644532E-2</v>
      </c>
      <c r="AI224" s="18">
        <f t="shared" si="46"/>
        <v>-2.2002562961072059E-3</v>
      </c>
      <c r="AJ224" s="18">
        <f t="shared" si="46"/>
        <v>8.6907201552204327E-3</v>
      </c>
      <c r="AK224" s="18">
        <f t="shared" si="46"/>
        <v>2.0510848415345784E-2</v>
      </c>
      <c r="AL224" s="18">
        <f t="shared" si="46"/>
        <v>2.5580047684471863E-2</v>
      </c>
      <c r="AM224" s="18">
        <f t="shared" si="46"/>
        <v>3.1515421363873752E-2</v>
      </c>
      <c r="AN224" s="18">
        <f t="shared" si="46"/>
        <v>2.7872497223459192E-2</v>
      </c>
      <c r="AO224" s="18">
        <f t="shared" si="46"/>
        <v>3.0940835655483889E-2</v>
      </c>
      <c r="AP224" s="18">
        <f t="shared" si="46"/>
        <v>2.9450205295376675E-2</v>
      </c>
      <c r="AQ224" s="18">
        <f t="shared" si="46"/>
        <v>3.0463927557978554E-2</v>
      </c>
      <c r="AR224" s="18">
        <f t="shared" si="46"/>
        <v>3.5603129555372703E-2</v>
      </c>
      <c r="AS224" s="18">
        <f t="shared" si="46"/>
        <v>3.5555791594500619E-2</v>
      </c>
      <c r="AT224" s="18">
        <f t="shared" si="46"/>
        <v>3.6162889683024835E-2</v>
      </c>
      <c r="AU224" s="18">
        <f t="shared" si="46"/>
        <v>3.5472920624833204E-2</v>
      </c>
      <c r="AV224" s="18">
        <f t="shared" si="46"/>
        <v>2.4956550235007757E-2</v>
      </c>
      <c r="AW224" s="18">
        <f t="shared" si="46"/>
        <v>1.2893229322412436E-2</v>
      </c>
      <c r="AX224" s="18">
        <f t="shared" si="46"/>
        <v>2.7941948754723889E-3</v>
      </c>
      <c r="AY224" s="18">
        <f t="shared" si="46"/>
        <v>-5.5728182108581992E-3</v>
      </c>
      <c r="AZ224" s="18">
        <f t="shared" si="46"/>
        <v>-1.3520879052605683E-2</v>
      </c>
      <c r="BA224" s="18">
        <f t="shared" si="46"/>
        <v>-1.2624130575316195E-2</v>
      </c>
      <c r="BB224" s="18">
        <f t="shared" si="46"/>
        <v>-1.2465898440585876E-2</v>
      </c>
      <c r="BC224" s="18">
        <f t="shared" si="46"/>
        <v>-1.1744716887155171E-2</v>
      </c>
      <c r="BD224" s="18">
        <f t="shared" si="46"/>
        <v>-3.649507778940797E-3</v>
      </c>
      <c r="BE224" s="18">
        <f t="shared" si="46"/>
        <v>-3.2871959359315195E-4</v>
      </c>
      <c r="BF224" s="18">
        <f t="shared" si="46"/>
        <v>-2.7245722529131156E-3</v>
      </c>
      <c r="BG224" s="18">
        <f t="shared" si="46"/>
        <v>-1.2718004713903053E-3</v>
      </c>
      <c r="BH224" s="18">
        <f t="shared" si="46"/>
        <v>7.9706659732221574E-3</v>
      </c>
      <c r="BI224" s="18">
        <f t="shared" si="46"/>
        <v>1.4973040172918672E-3</v>
      </c>
    </row>
    <row r="225" spans="1:62" x14ac:dyDescent="0.25">
      <c r="A225" s="11" t="s">
        <v>857</v>
      </c>
      <c r="B225" s="11"/>
      <c r="C225" s="18">
        <f>SUM(C$80:C$110)/SUM(B$80:B$110)-1</f>
        <v>2.6559630441027604E-2</v>
      </c>
      <c r="D225" s="18">
        <f t="shared" ref="D225:BI225" si="47">SUM(D$80:D$110)/SUM(C$80:C$110)-1</f>
        <v>1.5665070985739549E-2</v>
      </c>
      <c r="E225" s="18">
        <f t="shared" si="47"/>
        <v>1.9283096935960087E-2</v>
      </c>
      <c r="F225" s="18">
        <f t="shared" si="47"/>
        <v>2.4412285265456912E-2</v>
      </c>
      <c r="G225" s="18">
        <f t="shared" si="47"/>
        <v>2.7357610820172074E-2</v>
      </c>
      <c r="H225" s="18">
        <f t="shared" si="47"/>
        <v>3.5590318237284535E-2</v>
      </c>
      <c r="I225" s="18">
        <f t="shared" si="47"/>
        <v>3.2659964248784812E-2</v>
      </c>
      <c r="J225" s="18">
        <f t="shared" si="47"/>
        <v>2.7479983044935707E-2</v>
      </c>
      <c r="K225" s="18">
        <f t="shared" si="47"/>
        <v>2.9959775496207763E-2</v>
      </c>
      <c r="L225" s="18">
        <f t="shared" si="47"/>
        <v>2.9493682360361095E-2</v>
      </c>
      <c r="M225" s="18">
        <f t="shared" si="47"/>
        <v>3.3094083407727126E-2</v>
      </c>
      <c r="N225" s="18">
        <f t="shared" si="47"/>
        <v>2.9507602965131108E-2</v>
      </c>
      <c r="O225" s="18">
        <f t="shared" si="47"/>
        <v>3.3672395649793074E-2</v>
      </c>
      <c r="P225" s="18">
        <f t="shared" si="47"/>
        <v>3.6852135360966765E-2</v>
      </c>
      <c r="Q225" s="18">
        <f t="shared" si="47"/>
        <v>3.887294182323453E-2</v>
      </c>
      <c r="R225" s="18">
        <f t="shared" si="47"/>
        <v>2.4537666719606888E-2</v>
      </c>
      <c r="S225" s="18">
        <f t="shared" si="47"/>
        <v>1.0959325992165425E-2</v>
      </c>
      <c r="T225" s="18">
        <f t="shared" si="47"/>
        <v>4.0145350935860691E-2</v>
      </c>
      <c r="U225" s="18">
        <f t="shared" si="47"/>
        <v>3.1716305685198787E-2</v>
      </c>
      <c r="V225" s="18">
        <f t="shared" si="47"/>
        <v>3.3088595255192921E-2</v>
      </c>
      <c r="W225" s="18">
        <f t="shared" si="47"/>
        <v>3.3889172674884227E-2</v>
      </c>
      <c r="X225" s="18">
        <f t="shared" si="47"/>
        <v>3.2751551025246961E-2</v>
      </c>
      <c r="Y225" s="18">
        <f t="shared" si="47"/>
        <v>2.9887600119390401E-2</v>
      </c>
      <c r="Z225" s="18">
        <f t="shared" si="47"/>
        <v>2.6803860929772938E-2</v>
      </c>
      <c r="AA225" s="18">
        <f t="shared" si="47"/>
        <v>2.4668839523008579E-2</v>
      </c>
      <c r="AB225" s="18">
        <f t="shared" si="47"/>
        <v>2.4636742493078456E-2</v>
      </c>
      <c r="AC225" s="18">
        <f t="shared" si="47"/>
        <v>2.4027146373164499E-2</v>
      </c>
      <c r="AD225" s="18">
        <f t="shared" si="47"/>
        <v>2.3950808066201423E-2</v>
      </c>
      <c r="AE225" s="18">
        <f t="shared" si="47"/>
        <v>2.2553447948163052E-2</v>
      </c>
      <c r="AF225" s="18">
        <f t="shared" si="47"/>
        <v>2.3597040088989107E-2</v>
      </c>
      <c r="AG225" s="18">
        <f t="shared" si="47"/>
        <v>2.1688691647240299E-2</v>
      </c>
      <c r="AH225" s="18">
        <f t="shared" si="47"/>
        <v>1.9125404537377877E-2</v>
      </c>
      <c r="AI225" s="18">
        <f t="shared" si="47"/>
        <v>1.6823568977078152E-2</v>
      </c>
      <c r="AJ225" s="18">
        <f t="shared" si="47"/>
        <v>1.4249329456977655E-2</v>
      </c>
      <c r="AK225" s="18">
        <f t="shared" si="47"/>
        <v>1.1800108139924825E-2</v>
      </c>
      <c r="AL225" s="18">
        <f t="shared" si="47"/>
        <v>1.1648055728476381E-2</v>
      </c>
      <c r="AM225" s="18">
        <f t="shared" si="47"/>
        <v>1.0814829064135445E-2</v>
      </c>
      <c r="AN225" s="18">
        <f t="shared" si="47"/>
        <v>1.1673050351621361E-2</v>
      </c>
      <c r="AO225" s="18">
        <f t="shared" si="47"/>
        <v>1.1873212162289093E-2</v>
      </c>
      <c r="AP225" s="18">
        <f t="shared" si="47"/>
        <v>1.2175120634169811E-2</v>
      </c>
      <c r="AQ225" s="18">
        <f t="shared" si="47"/>
        <v>1.3172960373991183E-2</v>
      </c>
      <c r="AR225" s="18">
        <f t="shared" si="47"/>
        <v>1.3929421363411132E-2</v>
      </c>
      <c r="AS225" s="18">
        <f t="shared" si="47"/>
        <v>1.4122617705710105E-2</v>
      </c>
      <c r="AT225" s="18">
        <f t="shared" si="47"/>
        <v>1.5128939476185987E-2</v>
      </c>
      <c r="AU225" s="18">
        <f t="shared" si="47"/>
        <v>1.5173969545021704E-2</v>
      </c>
      <c r="AV225" s="18">
        <f t="shared" si="47"/>
        <v>1.6660121732450905E-2</v>
      </c>
      <c r="AW225" s="18">
        <f t="shared" si="47"/>
        <v>1.8558745833502144E-2</v>
      </c>
      <c r="AX225" s="18">
        <f t="shared" si="47"/>
        <v>1.9090575760872808E-2</v>
      </c>
      <c r="AY225" s="18">
        <f t="shared" si="47"/>
        <v>2.0416273447613875E-2</v>
      </c>
      <c r="AZ225" s="18">
        <f t="shared" si="47"/>
        <v>2.0502681263543154E-2</v>
      </c>
      <c r="BA225" s="18">
        <f t="shared" si="47"/>
        <v>1.9455713708297129E-2</v>
      </c>
      <c r="BB225" s="18">
        <f t="shared" si="47"/>
        <v>1.8370870990969124E-2</v>
      </c>
      <c r="BC225" s="18">
        <f t="shared" si="47"/>
        <v>1.6515791161098692E-2</v>
      </c>
      <c r="BD225" s="18">
        <f t="shared" si="47"/>
        <v>1.5733222533629743E-2</v>
      </c>
      <c r="BE225" s="18">
        <f t="shared" si="47"/>
        <v>1.4250791498803039E-2</v>
      </c>
      <c r="BF225" s="18">
        <f t="shared" si="47"/>
        <v>1.3774434005526359E-2</v>
      </c>
      <c r="BG225" s="18">
        <f t="shared" si="47"/>
        <v>1.3053004693066361E-2</v>
      </c>
      <c r="BH225" s="18">
        <f t="shared" si="47"/>
        <v>1.1736974049796789E-2</v>
      </c>
      <c r="BI225" s="18">
        <f t="shared" si="47"/>
        <v>1.3001090234115109E-2</v>
      </c>
    </row>
    <row r="226" spans="1:62" x14ac:dyDescent="0.25">
      <c r="A226" s="11" t="s">
        <v>858</v>
      </c>
      <c r="B226" s="11"/>
      <c r="C226" s="18">
        <f>SUM(C$131:C$134)/SUM(B$131:B$134)-1</f>
        <v>1.8770481757444335E-2</v>
      </c>
      <c r="D226" s="18">
        <f t="shared" ref="D226:BI226" si="48">SUM(D$131:D$134)/SUM(C$131:C$134)-1</f>
        <v>5.6737130621482557E-3</v>
      </c>
      <c r="E226" s="18">
        <f t="shared" si="48"/>
        <v>1.589626530993371E-3</v>
      </c>
      <c r="F226" s="18">
        <f t="shared" si="48"/>
        <v>2.2032514780696566E-3</v>
      </c>
      <c r="G226" s="18">
        <f t="shared" si="48"/>
        <v>-3.9626941448008823E-3</v>
      </c>
      <c r="H226" s="18">
        <f t="shared" si="48"/>
        <v>1.4400280648003694E-3</v>
      </c>
      <c r="I226" s="18">
        <f t="shared" si="48"/>
        <v>-2.1965939327993622E-3</v>
      </c>
      <c r="J226" s="18">
        <f t="shared" si="48"/>
        <v>6.7250285838047485E-3</v>
      </c>
      <c r="K226" s="18">
        <f t="shared" si="48"/>
        <v>2.9222440634120161E-3</v>
      </c>
      <c r="L226" s="18">
        <f t="shared" si="48"/>
        <v>6.0866500122374045E-3</v>
      </c>
      <c r="M226" s="18">
        <f t="shared" si="48"/>
        <v>7.3540042252944193E-3</v>
      </c>
      <c r="N226" s="18">
        <f t="shared" si="48"/>
        <v>-3.0569070957486844E-3</v>
      </c>
      <c r="O226" s="18">
        <f t="shared" si="48"/>
        <v>4.2031434058436012E-3</v>
      </c>
      <c r="P226" s="18">
        <f t="shared" si="48"/>
        <v>-4.927082359637236E-3</v>
      </c>
      <c r="Q226" s="18">
        <f t="shared" si="48"/>
        <v>-5.0988471367098276E-3</v>
      </c>
      <c r="R226" s="18">
        <f t="shared" si="48"/>
        <v>8.3180841344954182E-3</v>
      </c>
      <c r="S226" s="18">
        <f t="shared" si="48"/>
        <v>2.9263085251017174E-2</v>
      </c>
      <c r="T226" s="18">
        <f t="shared" si="48"/>
        <v>5.3049966941536297E-2</v>
      </c>
      <c r="U226" s="18">
        <f t="shared" si="48"/>
        <v>3.7160284472335103E-2</v>
      </c>
      <c r="V226" s="18">
        <f t="shared" si="48"/>
        <v>3.2845581959022985E-2</v>
      </c>
      <c r="W226" s="18">
        <f t="shared" si="48"/>
        <v>1.414743788687689E-2</v>
      </c>
      <c r="X226" s="18">
        <f t="shared" si="48"/>
        <v>2.7889325349506056E-3</v>
      </c>
      <c r="Y226" s="18">
        <f t="shared" si="48"/>
        <v>2.6672947980699302E-3</v>
      </c>
      <c r="Z226" s="18">
        <f t="shared" si="48"/>
        <v>-1.6568038865601986E-3</v>
      </c>
      <c r="AA226" s="18">
        <f t="shared" si="48"/>
        <v>-9.6946884820625634E-4</v>
      </c>
      <c r="AB226" s="18">
        <f t="shared" si="48"/>
        <v>-2.179149295675531E-3</v>
      </c>
      <c r="AC226" s="18">
        <f t="shared" si="48"/>
        <v>-4.1495130621050924E-3</v>
      </c>
      <c r="AD226" s="18">
        <f t="shared" si="48"/>
        <v>-3.7699648603362057E-3</v>
      </c>
      <c r="AE226" s="18">
        <f t="shared" si="48"/>
        <v>-2.2572607630808594E-3</v>
      </c>
      <c r="AF226" s="18">
        <f t="shared" si="48"/>
        <v>-6.1217003387850077E-3</v>
      </c>
      <c r="AG226" s="18">
        <f t="shared" si="48"/>
        <v>0</v>
      </c>
      <c r="AH226" s="18">
        <f t="shared" si="48"/>
        <v>-3.0127531201148416E-3</v>
      </c>
      <c r="AI226" s="18">
        <f t="shared" si="48"/>
        <v>-1.5579352829772519E-2</v>
      </c>
      <c r="AJ226" s="18">
        <f t="shared" si="48"/>
        <v>-1.1596572180395892E-2</v>
      </c>
      <c r="AK226" s="18">
        <f t="shared" si="48"/>
        <v>-1.1663615003191907E-2</v>
      </c>
      <c r="AL226" s="18">
        <f t="shared" si="48"/>
        <v>-6.5640146384348119E-3</v>
      </c>
      <c r="AM226" s="18">
        <f t="shared" si="48"/>
        <v>4.7095195336175344E-3</v>
      </c>
      <c r="AN226" s="18">
        <f t="shared" si="48"/>
        <v>6.0167190677697935E-3</v>
      </c>
      <c r="AO226" s="18">
        <f t="shared" si="48"/>
        <v>1.3908685273156252E-3</v>
      </c>
      <c r="AP226" s="18">
        <f t="shared" si="48"/>
        <v>9.7225568928216433E-4</v>
      </c>
      <c r="AQ226" s="18">
        <f t="shared" si="48"/>
        <v>9.0193194586762893E-4</v>
      </c>
      <c r="AR226" s="18">
        <f t="shared" si="48"/>
        <v>1.1090697817555117E-3</v>
      </c>
      <c r="AS226" s="18">
        <f t="shared" si="48"/>
        <v>1.4540414551147407E-3</v>
      </c>
      <c r="AT226" s="18">
        <f t="shared" si="48"/>
        <v>2.2816047387346217E-3</v>
      </c>
      <c r="AU226" s="18">
        <f t="shared" si="48"/>
        <v>3.0352144918783797E-3</v>
      </c>
      <c r="AV226" s="18">
        <f t="shared" si="48"/>
        <v>3.9200841138216092E-3</v>
      </c>
      <c r="AW226" s="18">
        <f t="shared" si="48"/>
        <v>4.9323499696465323E-3</v>
      </c>
      <c r="AX226" s="18">
        <f t="shared" si="48"/>
        <v>5.794333478055913E-3</v>
      </c>
      <c r="AY226" s="18">
        <f t="shared" si="48"/>
        <v>6.50648763959083E-3</v>
      </c>
      <c r="AZ226" s="18">
        <f t="shared" si="48"/>
        <v>6.9357913890342182E-3</v>
      </c>
      <c r="BA226" s="18">
        <f t="shared" si="48"/>
        <v>7.0217654496447235E-3</v>
      </c>
      <c r="BB226" s="18">
        <f t="shared" si="48"/>
        <v>6.9063963973767795E-3</v>
      </c>
      <c r="BC226" s="18">
        <f t="shared" si="48"/>
        <v>6.5292644207683992E-3</v>
      </c>
      <c r="BD226" s="18">
        <f t="shared" si="48"/>
        <v>5.7006175907603485E-3</v>
      </c>
      <c r="BE226" s="18">
        <f t="shared" si="48"/>
        <v>4.8213166864392587E-3</v>
      </c>
      <c r="BF226" s="18">
        <f t="shared" si="48"/>
        <v>4.0849396884099498E-3</v>
      </c>
      <c r="BG226" s="18">
        <f t="shared" si="48"/>
        <v>2.9705199806999705E-3</v>
      </c>
      <c r="BH226" s="18">
        <f t="shared" si="48"/>
        <v>2.2534842262644794E-3</v>
      </c>
      <c r="BI226" s="18">
        <f t="shared" si="48"/>
        <v>1.3490504718001173E-3</v>
      </c>
    </row>
    <row r="227" spans="1:62" x14ac:dyDescent="0.25">
      <c r="A227" s="11" t="s">
        <v>859</v>
      </c>
      <c r="B227" s="11"/>
      <c r="C227" s="18">
        <f>SUM(C$135:C$139)/SUM(B$135:B$139)-1</f>
        <v>-4.5644800469669677E-3</v>
      </c>
      <c r="D227" s="18">
        <f t="shared" ref="D227:BI227" si="49">SUM(D$135:D$139)/SUM(C$135:C$139)-1</f>
        <v>-1.528534610712784E-3</v>
      </c>
      <c r="E227" s="18">
        <f t="shared" si="49"/>
        <v>1.3821180547233691E-2</v>
      </c>
      <c r="F227" s="18">
        <f t="shared" si="49"/>
        <v>2.631116728311711E-2</v>
      </c>
      <c r="G227" s="18">
        <f t="shared" si="49"/>
        <v>2.8214235473386307E-2</v>
      </c>
      <c r="H227" s="18">
        <f t="shared" si="49"/>
        <v>1.237971583278763E-2</v>
      </c>
      <c r="I227" s="18">
        <f t="shared" si="49"/>
        <v>1.5927881111849507E-2</v>
      </c>
      <c r="J227" s="18">
        <f t="shared" si="49"/>
        <v>3.9157345074809058E-2</v>
      </c>
      <c r="K227" s="18">
        <f t="shared" si="49"/>
        <v>4.9844462173259441E-2</v>
      </c>
      <c r="L227" s="18">
        <f t="shared" si="49"/>
        <v>2.7891031421258594E-2</v>
      </c>
      <c r="M227" s="18">
        <f t="shared" si="49"/>
        <v>8.1712318685922547E-4</v>
      </c>
      <c r="N227" s="18">
        <f t="shared" si="49"/>
        <v>-1.2282587413852797E-2</v>
      </c>
      <c r="O227" s="18">
        <f t="shared" si="49"/>
        <v>-9.7157216224490472E-3</v>
      </c>
      <c r="P227" s="18">
        <f t="shared" si="49"/>
        <v>5.6828564238642354E-3</v>
      </c>
      <c r="Q227" s="18">
        <f t="shared" si="49"/>
        <v>-2.3011759360219153E-2</v>
      </c>
      <c r="R227" s="18">
        <f t="shared" si="49"/>
        <v>-2.9550078511384914E-2</v>
      </c>
      <c r="S227" s="18">
        <f t="shared" si="49"/>
        <v>-3.4558273043105991E-5</v>
      </c>
      <c r="T227" s="18">
        <f t="shared" si="49"/>
        <v>2.5887263456023213E-2</v>
      </c>
      <c r="U227" s="18">
        <f t="shared" si="49"/>
        <v>-1.3216195255757457E-3</v>
      </c>
      <c r="V227" s="18">
        <f t="shared" si="49"/>
        <v>9.2081290740797517E-3</v>
      </c>
      <c r="W227" s="18">
        <f t="shared" si="49"/>
        <v>3.1719980826197425E-2</v>
      </c>
      <c r="X227" s="18">
        <f t="shared" si="49"/>
        <v>3.7668808034471146E-2</v>
      </c>
      <c r="Y227" s="18">
        <f t="shared" si="49"/>
        <v>3.2449896733130368E-2</v>
      </c>
      <c r="Z227" s="18">
        <f t="shared" si="49"/>
        <v>3.2752919457779361E-2</v>
      </c>
      <c r="AA227" s="18">
        <f t="shared" si="49"/>
        <v>2.7151039081585449E-2</v>
      </c>
      <c r="AB227" s="18">
        <f t="shared" si="49"/>
        <v>1.2234567705151855E-2</v>
      </c>
      <c r="AC227" s="18">
        <f t="shared" si="49"/>
        <v>3.4920620966853999E-3</v>
      </c>
      <c r="AD227" s="18">
        <f t="shared" si="49"/>
        <v>1.4416770143976798E-3</v>
      </c>
      <c r="AE227" s="18">
        <f t="shared" si="49"/>
        <v>-9.4318723807162996E-4</v>
      </c>
      <c r="AF227" s="18">
        <f t="shared" si="49"/>
        <v>-1.7390904633258764E-3</v>
      </c>
      <c r="AG227" s="18">
        <f t="shared" si="49"/>
        <v>-2.5882928208738054E-3</v>
      </c>
      <c r="AH227" s="18">
        <f t="shared" si="49"/>
        <v>-3.7927061415087282E-3</v>
      </c>
      <c r="AI227" s="18">
        <f t="shared" si="49"/>
        <v>-7.5141030113012874E-4</v>
      </c>
      <c r="AJ227" s="18">
        <f t="shared" si="49"/>
        <v>-5.113432333414103E-3</v>
      </c>
      <c r="AK227" s="18">
        <f t="shared" si="49"/>
        <v>-8.0622963336784981E-4</v>
      </c>
      <c r="AL227" s="18">
        <f t="shared" si="49"/>
        <v>-2.9753706049958639E-3</v>
      </c>
      <c r="AM227" s="18">
        <f t="shared" si="49"/>
        <v>-9.5597156349298551E-3</v>
      </c>
      <c r="AN227" s="18">
        <f t="shared" si="49"/>
        <v>-1.2205421291931251E-2</v>
      </c>
      <c r="AO227" s="18">
        <f t="shared" si="49"/>
        <v>-4.8597741746223555E-3</v>
      </c>
      <c r="AP227" s="18">
        <f t="shared" si="49"/>
        <v>-7.8447823853948773E-3</v>
      </c>
      <c r="AQ227" s="18">
        <f t="shared" si="49"/>
        <v>-4.1366752138464191E-3</v>
      </c>
      <c r="AR227" s="18">
        <f t="shared" si="49"/>
        <v>4.2064388626184002E-3</v>
      </c>
      <c r="AS227" s="18">
        <f t="shared" si="49"/>
        <v>5.0789428583046803E-3</v>
      </c>
      <c r="AT227" s="18">
        <f t="shared" si="49"/>
        <v>1.6670606351765205E-3</v>
      </c>
      <c r="AU227" s="18">
        <f t="shared" si="49"/>
        <v>1.4042414552779547E-3</v>
      </c>
      <c r="AV227" s="18">
        <f t="shared" si="49"/>
        <v>1.4542083384325721E-3</v>
      </c>
      <c r="AW227" s="18">
        <f t="shared" si="49"/>
        <v>1.7113996672004639E-3</v>
      </c>
      <c r="AX227" s="18">
        <f t="shared" si="49"/>
        <v>2.2779677097535256E-3</v>
      </c>
      <c r="AY227" s="18">
        <f t="shared" si="49"/>
        <v>2.7893336318434159E-3</v>
      </c>
      <c r="AZ227" s="18">
        <f t="shared" si="49"/>
        <v>3.7602771680702585E-3</v>
      </c>
      <c r="BA227" s="18">
        <f t="shared" si="49"/>
        <v>4.6699086476884588E-3</v>
      </c>
      <c r="BB227" s="18">
        <f t="shared" si="49"/>
        <v>5.3633099643652926E-3</v>
      </c>
      <c r="BC227" s="18">
        <f t="shared" si="49"/>
        <v>6.147604734917822E-3</v>
      </c>
      <c r="BD227" s="18">
        <f t="shared" si="49"/>
        <v>6.6655010269636161E-3</v>
      </c>
      <c r="BE227" s="18">
        <f t="shared" si="49"/>
        <v>6.822013766800028E-3</v>
      </c>
      <c r="BF227" s="18">
        <f t="shared" si="49"/>
        <v>6.8754331987304074E-3</v>
      </c>
      <c r="BG227" s="18">
        <f t="shared" si="49"/>
        <v>6.6305573259615169E-3</v>
      </c>
      <c r="BH227" s="18">
        <f t="shared" si="49"/>
        <v>6.0953242184182965E-3</v>
      </c>
      <c r="BI227" s="18">
        <f t="shared" si="49"/>
        <v>5.325525804936948E-3</v>
      </c>
    </row>
    <row r="228" spans="1:62" x14ac:dyDescent="0.25">
      <c r="A228" s="11" t="s">
        <v>860</v>
      </c>
      <c r="B228" s="11"/>
      <c r="C228" s="18">
        <f>SUM(C$140:C$144)/SUM(B$140:B$144)-1</f>
        <v>2.1110528559186825E-2</v>
      </c>
      <c r="D228" s="18">
        <f t="shared" ref="D228:BI228" si="50">SUM(D$140:D$144)/SUM(C$140:C$144)-1</f>
        <v>1.702068559810721E-2</v>
      </c>
      <c r="E228" s="18">
        <f t="shared" si="50"/>
        <v>1.4161011259522294E-2</v>
      </c>
      <c r="F228" s="18">
        <f t="shared" si="50"/>
        <v>9.7950625637206468E-3</v>
      </c>
      <c r="G228" s="18">
        <f t="shared" si="50"/>
        <v>-1.6621167107985224E-3</v>
      </c>
      <c r="H228" s="18">
        <f t="shared" si="50"/>
        <v>-6.985286780341049E-4</v>
      </c>
      <c r="I228" s="18">
        <f t="shared" si="50"/>
        <v>8.083127607870777E-3</v>
      </c>
      <c r="J228" s="18">
        <f t="shared" si="50"/>
        <v>5.5075905507894207E-2</v>
      </c>
      <c r="K228" s="18">
        <f t="shared" si="50"/>
        <v>8.4920398981521039E-2</v>
      </c>
      <c r="L228" s="18">
        <f t="shared" si="50"/>
        <v>9.0248178364933818E-2</v>
      </c>
      <c r="M228" s="18">
        <f t="shared" si="50"/>
        <v>7.1418143548391821E-2</v>
      </c>
      <c r="N228" s="18">
        <f t="shared" si="50"/>
        <v>4.4375448959574681E-2</v>
      </c>
      <c r="O228" s="18">
        <f t="shared" si="50"/>
        <v>1.6302361523821363E-2</v>
      </c>
      <c r="P228" s="18">
        <f t="shared" si="50"/>
        <v>1.7106045390939739E-2</v>
      </c>
      <c r="Q228" s="18">
        <f t="shared" si="50"/>
        <v>-2.4779343472111193E-2</v>
      </c>
      <c r="R228" s="18">
        <f t="shared" si="50"/>
        <v>-4.4151461172653117E-2</v>
      </c>
      <c r="S228" s="18">
        <f t="shared" si="50"/>
        <v>-3.5355140941706331E-4</v>
      </c>
      <c r="T228" s="18">
        <f t="shared" si="50"/>
        <v>-5.7047970491636013E-3</v>
      </c>
      <c r="U228" s="18">
        <f t="shared" si="50"/>
        <v>-1.3603097751186843E-2</v>
      </c>
      <c r="V228" s="18">
        <f t="shared" si="50"/>
        <v>-1.3180204724471123E-2</v>
      </c>
      <c r="W228" s="18">
        <f t="shared" si="50"/>
        <v>-8.1802683998652981E-3</v>
      </c>
      <c r="X228" s="18">
        <f t="shared" si="50"/>
        <v>-2.3930288904633334E-3</v>
      </c>
      <c r="Y228" s="18">
        <f t="shared" si="50"/>
        <v>8.1705483083063246E-3</v>
      </c>
      <c r="Z228" s="18">
        <f t="shared" si="50"/>
        <v>5.7154624731092785E-3</v>
      </c>
      <c r="AA228" s="18">
        <f t="shared" si="50"/>
        <v>1.2978433497901731E-2</v>
      </c>
      <c r="AB228" s="18">
        <f t="shared" si="50"/>
        <v>3.2942215356358329E-2</v>
      </c>
      <c r="AC228" s="18">
        <f t="shared" si="50"/>
        <v>3.7616124007791019E-2</v>
      </c>
      <c r="AD228" s="18">
        <f t="shared" si="50"/>
        <v>3.1999960944687489E-2</v>
      </c>
      <c r="AE228" s="18">
        <f t="shared" si="50"/>
        <v>3.2089379753218017E-2</v>
      </c>
      <c r="AF228" s="18">
        <f t="shared" si="50"/>
        <v>2.6550187917666834E-2</v>
      </c>
      <c r="AG228" s="18">
        <f t="shared" si="50"/>
        <v>1.2251134870099545E-2</v>
      </c>
      <c r="AH228" s="18">
        <f t="shared" si="50"/>
        <v>3.9862598023370222E-3</v>
      </c>
      <c r="AI228" s="18">
        <f t="shared" si="50"/>
        <v>1.7699518936789005E-3</v>
      </c>
      <c r="AJ228" s="18">
        <f t="shared" si="50"/>
        <v>-3.8201615112587461E-4</v>
      </c>
      <c r="AK228" s="18">
        <f t="shared" si="50"/>
        <v>-1.1464864297108246E-3</v>
      </c>
      <c r="AL228" s="18">
        <f t="shared" si="50"/>
        <v>-1.9608290479837809E-3</v>
      </c>
      <c r="AM228" s="18">
        <f t="shared" si="50"/>
        <v>-3.2584960674709729E-3</v>
      </c>
      <c r="AN228" s="18">
        <f t="shared" si="50"/>
        <v>-1.9230285736748787E-4</v>
      </c>
      <c r="AO228" s="18">
        <f t="shared" si="50"/>
        <v>-4.4238164319926332E-3</v>
      </c>
      <c r="AP228" s="18">
        <f t="shared" si="50"/>
        <v>-2.8979175282184411E-4</v>
      </c>
      <c r="AQ228" s="18">
        <f t="shared" si="50"/>
        <v>-2.4156313035451626E-3</v>
      </c>
      <c r="AR228" s="18">
        <f t="shared" si="50"/>
        <v>-8.7173305493206676E-3</v>
      </c>
      <c r="AS228" s="18">
        <f t="shared" si="50"/>
        <v>-1.1090199348555929E-2</v>
      </c>
      <c r="AT228" s="18">
        <f t="shared" si="50"/>
        <v>-4.1498853700303595E-3</v>
      </c>
      <c r="AU228" s="18">
        <f t="shared" si="50"/>
        <v>-6.9452978064749038E-3</v>
      </c>
      <c r="AV228" s="18">
        <f t="shared" si="50"/>
        <v>-3.4969361663227394E-3</v>
      </c>
      <c r="AW228" s="18">
        <f t="shared" si="50"/>
        <v>4.4617068584014152E-3</v>
      </c>
      <c r="AX228" s="18">
        <f t="shared" si="50"/>
        <v>5.2903390578360465E-3</v>
      </c>
      <c r="AY228" s="18">
        <f t="shared" si="50"/>
        <v>2.085140976769484E-3</v>
      </c>
      <c r="AZ228" s="18">
        <f t="shared" si="50"/>
        <v>1.8330876619085945E-3</v>
      </c>
      <c r="BA228" s="18">
        <f t="shared" si="50"/>
        <v>1.7802813403675621E-3</v>
      </c>
      <c r="BB228" s="18">
        <f t="shared" si="50"/>
        <v>2.1226682099442229E-3</v>
      </c>
      <c r="BC228" s="18">
        <f t="shared" si="50"/>
        <v>2.6107701808322226E-3</v>
      </c>
      <c r="BD228" s="18">
        <f t="shared" si="50"/>
        <v>3.291813418775158E-3</v>
      </c>
      <c r="BE228" s="18">
        <f t="shared" si="50"/>
        <v>4.0155680713709341E-3</v>
      </c>
      <c r="BF228" s="18">
        <f t="shared" si="50"/>
        <v>4.8774485068852069E-3</v>
      </c>
      <c r="BG228" s="18">
        <f t="shared" si="50"/>
        <v>5.484765153173532E-3</v>
      </c>
      <c r="BH228" s="18">
        <f t="shared" si="50"/>
        <v>6.3237602184207375E-3</v>
      </c>
      <c r="BI228" s="18">
        <f t="shared" si="50"/>
        <v>6.7157482457265161E-3</v>
      </c>
    </row>
    <row r="229" spans="1:62" x14ac:dyDescent="0.25">
      <c r="A229" s="11" t="s">
        <v>861</v>
      </c>
      <c r="B229" s="11"/>
      <c r="C229" s="18">
        <f>SUM(C$145:C$149)/SUM(B$145:B$149)-1</f>
        <v>-2.1781662657119227E-2</v>
      </c>
      <c r="D229" s="18">
        <f t="shared" ref="D229:BI229" si="51">SUM(D$145:D$149)/SUM(C$145:C$149)-1</f>
        <v>-2.2392138242195103E-2</v>
      </c>
      <c r="E229" s="18">
        <f t="shared" si="51"/>
        <v>-1.2209075795232116E-2</v>
      </c>
      <c r="F229" s="18">
        <f t="shared" si="51"/>
        <v>-4.4868098391647182E-3</v>
      </c>
      <c r="G229" s="18">
        <f t="shared" si="51"/>
        <v>3.3485062235458773E-3</v>
      </c>
      <c r="H229" s="18">
        <f t="shared" si="51"/>
        <v>-3.5327924119199494E-4</v>
      </c>
      <c r="I229" s="18">
        <f t="shared" si="51"/>
        <v>9.2589746935578532E-3</v>
      </c>
      <c r="J229" s="18">
        <f t="shared" si="51"/>
        <v>3.5129701495552501E-2</v>
      </c>
      <c r="K229" s="18">
        <f t="shared" si="51"/>
        <v>4.4842842040575093E-2</v>
      </c>
      <c r="L229" s="18">
        <f t="shared" si="51"/>
        <v>5.4495490686892412E-2</v>
      </c>
      <c r="M229" s="18">
        <f t="shared" si="51"/>
        <v>6.5455656918662841E-2</v>
      </c>
      <c r="N229" s="18">
        <f t="shared" si="51"/>
        <v>6.0365173457529453E-2</v>
      </c>
      <c r="O229" s="18">
        <f t="shared" si="51"/>
        <v>5.0931833233414103E-2</v>
      </c>
      <c r="P229" s="18">
        <f t="shared" si="51"/>
        <v>6.3152495013959031E-2</v>
      </c>
      <c r="Q229" s="18">
        <f t="shared" si="51"/>
        <v>3.2315888070038934E-2</v>
      </c>
      <c r="R229" s="18">
        <f t="shared" si="51"/>
        <v>8.4650186846451092E-3</v>
      </c>
      <c r="S229" s="18">
        <f t="shared" si="51"/>
        <v>4.725681879135224E-2</v>
      </c>
      <c r="T229" s="18">
        <f t="shared" si="51"/>
        <v>2.4376397031866892E-2</v>
      </c>
      <c r="U229" s="18">
        <f t="shared" si="51"/>
        <v>-8.5209416764769896E-3</v>
      </c>
      <c r="V229" s="18">
        <f t="shared" si="51"/>
        <v>-1.7057955209402564E-2</v>
      </c>
      <c r="W229" s="18">
        <f t="shared" si="51"/>
        <v>-2.378552927743105E-2</v>
      </c>
      <c r="X229" s="18">
        <f t="shared" si="51"/>
        <v>-2.0580488872697034E-2</v>
      </c>
      <c r="Y229" s="18">
        <f t="shared" si="51"/>
        <v>-1.787196525593393E-2</v>
      </c>
      <c r="Z229" s="18">
        <f t="shared" si="51"/>
        <v>-9.1289734100478137E-3</v>
      </c>
      <c r="AA229" s="18">
        <f t="shared" si="51"/>
        <v>-8.9636003288470212E-3</v>
      </c>
      <c r="AB229" s="18">
        <f t="shared" si="51"/>
        <v>-5.529084446136423E-3</v>
      </c>
      <c r="AC229" s="18">
        <f t="shared" si="51"/>
        <v>-8.2219408647998815E-4</v>
      </c>
      <c r="AD229" s="18">
        <f t="shared" si="51"/>
        <v>8.4481386308186135E-3</v>
      </c>
      <c r="AE229" s="18">
        <f t="shared" si="51"/>
        <v>5.2766522865312915E-3</v>
      </c>
      <c r="AF229" s="18">
        <f t="shared" si="51"/>
        <v>1.2175411950358317E-2</v>
      </c>
      <c r="AG229" s="18">
        <f t="shared" si="51"/>
        <v>3.1114895573526535E-2</v>
      </c>
      <c r="AH229" s="18">
        <f t="shared" si="51"/>
        <v>3.5775638466237991E-2</v>
      </c>
      <c r="AI229" s="18">
        <f t="shared" si="51"/>
        <v>3.0435202065661748E-2</v>
      </c>
      <c r="AJ229" s="18">
        <f t="shared" si="51"/>
        <v>3.0507847524355869E-2</v>
      </c>
      <c r="AK229" s="18">
        <f t="shared" si="51"/>
        <v>2.5503388410984984E-2</v>
      </c>
      <c r="AL229" s="18">
        <f t="shared" si="51"/>
        <v>1.185996005587886E-2</v>
      </c>
      <c r="AM229" s="18">
        <f t="shared" si="51"/>
        <v>4.0887035080441336E-3</v>
      </c>
      <c r="AN229" s="18">
        <f t="shared" si="51"/>
        <v>2.0812720885108327E-3</v>
      </c>
      <c r="AO229" s="18">
        <f t="shared" si="51"/>
        <v>0</v>
      </c>
      <c r="AP229" s="18">
        <f t="shared" si="51"/>
        <v>-6.7726610599327941E-4</v>
      </c>
      <c r="AQ229" s="18">
        <f t="shared" si="51"/>
        <v>-1.5361769074700993E-3</v>
      </c>
      <c r="AR229" s="18">
        <f t="shared" si="51"/>
        <v>-2.6698200671326777E-3</v>
      </c>
      <c r="AS229" s="18">
        <f t="shared" si="51"/>
        <v>1.3611697055493366E-4</v>
      </c>
      <c r="AT229" s="18">
        <f t="shared" si="51"/>
        <v>-3.7653903184992066E-3</v>
      </c>
      <c r="AU229" s="18">
        <f t="shared" si="51"/>
        <v>4.5537615311452839E-5</v>
      </c>
      <c r="AV229" s="18">
        <f t="shared" si="51"/>
        <v>-1.8669572109911714E-3</v>
      </c>
      <c r="AW229" s="18">
        <f t="shared" si="51"/>
        <v>-7.8011420344603621E-3</v>
      </c>
      <c r="AX229" s="18">
        <f t="shared" si="51"/>
        <v>-1.0069489809969578E-2</v>
      </c>
      <c r="AY229" s="18">
        <f t="shared" si="51"/>
        <v>-3.4835328125316645E-3</v>
      </c>
      <c r="AZ229" s="18">
        <f t="shared" si="51"/>
        <v>-6.1990594813328137E-3</v>
      </c>
      <c r="BA229" s="18">
        <f t="shared" si="51"/>
        <v>-2.8609126243813732E-3</v>
      </c>
      <c r="BB229" s="18">
        <f t="shared" si="51"/>
        <v>4.4683030856289552E-3</v>
      </c>
      <c r="BC229" s="18">
        <f t="shared" si="51"/>
        <v>5.4317624803483788E-3</v>
      </c>
      <c r="BD229" s="18">
        <f t="shared" si="51"/>
        <v>2.2820558074478914E-3</v>
      </c>
      <c r="BE229" s="18">
        <f t="shared" si="51"/>
        <v>2.0445272446809604E-3</v>
      </c>
      <c r="BF229" s="18">
        <f t="shared" si="51"/>
        <v>2.086727401943822E-3</v>
      </c>
      <c r="BG229" s="18">
        <f t="shared" si="51"/>
        <v>2.3600329767208272E-3</v>
      </c>
      <c r="BH229" s="18">
        <f t="shared" si="51"/>
        <v>2.7238059560927841E-3</v>
      </c>
      <c r="BI229" s="18">
        <f t="shared" si="51"/>
        <v>3.4530597337534275E-3</v>
      </c>
    </row>
    <row r="230" spans="1:62" x14ac:dyDescent="0.25">
      <c r="A230" s="11" t="s">
        <v>862</v>
      </c>
      <c r="B230" s="11"/>
      <c r="C230" s="18">
        <f>SUM(C$150:C$154)/SUM(B$150:B$154)-1</f>
        <v>1.0827207543760764E-2</v>
      </c>
      <c r="D230" s="18">
        <f t="shared" ref="D230:BI230" si="52">SUM(D$150:D$154)/SUM(C$150:C$154)-1</f>
        <v>-5.3246581535039139E-3</v>
      </c>
      <c r="E230" s="18">
        <f t="shared" si="52"/>
        <v>-1.4833787740203719E-2</v>
      </c>
      <c r="F230" s="18">
        <f t="shared" si="52"/>
        <v>-1.9156929809962864E-2</v>
      </c>
      <c r="G230" s="18">
        <f t="shared" si="52"/>
        <v>-3.2420895368187042E-2</v>
      </c>
      <c r="H230" s="18">
        <f t="shared" si="52"/>
        <v>-3.3035258540173085E-2</v>
      </c>
      <c r="I230" s="18">
        <f t="shared" si="52"/>
        <v>-2.8065571127134148E-2</v>
      </c>
      <c r="J230" s="18">
        <f t="shared" si="52"/>
        <v>-5.6490733053683462E-3</v>
      </c>
      <c r="K230" s="18">
        <f t="shared" si="52"/>
        <v>1.9204807076166119E-2</v>
      </c>
      <c r="L230" s="18">
        <f t="shared" si="52"/>
        <v>3.7079182401286381E-2</v>
      </c>
      <c r="M230" s="18">
        <f t="shared" si="52"/>
        <v>4.8088884823437761E-2</v>
      </c>
      <c r="N230" s="18">
        <f t="shared" si="52"/>
        <v>5.3800655705023237E-2</v>
      </c>
      <c r="O230" s="18">
        <f t="shared" si="52"/>
        <v>4.7074163629735155E-2</v>
      </c>
      <c r="P230" s="18">
        <f t="shared" si="52"/>
        <v>4.1773002108792312E-2</v>
      </c>
      <c r="Q230" s="18">
        <f t="shared" si="52"/>
        <v>2.8044087773299253E-2</v>
      </c>
      <c r="R230" s="18">
        <f t="shared" si="52"/>
        <v>2.2155505589996904E-2</v>
      </c>
      <c r="S230" s="18">
        <f t="shared" si="52"/>
        <v>7.0391941089847476E-2</v>
      </c>
      <c r="T230" s="18">
        <f t="shared" si="52"/>
        <v>5.8512546914128549E-2</v>
      </c>
      <c r="U230" s="18">
        <f t="shared" si="52"/>
        <v>3.5981053648079797E-2</v>
      </c>
      <c r="V230" s="18">
        <f t="shared" si="52"/>
        <v>3.1354848181894379E-2</v>
      </c>
      <c r="W230" s="18">
        <f t="shared" si="52"/>
        <v>2.0700964191609827E-2</v>
      </c>
      <c r="X230" s="18">
        <f t="shared" si="52"/>
        <v>1.0399370369320149E-2</v>
      </c>
      <c r="Y230" s="18">
        <f t="shared" si="52"/>
        <v>1.8507245597934041E-3</v>
      </c>
      <c r="Z230" s="18">
        <f t="shared" si="52"/>
        <v>-7.1423933972848408E-3</v>
      </c>
      <c r="AA230" s="18">
        <f t="shared" si="52"/>
        <v>-1.3629553310565368E-2</v>
      </c>
      <c r="AB230" s="18">
        <f t="shared" si="52"/>
        <v>-2.0750913588705844E-2</v>
      </c>
      <c r="AC230" s="18">
        <f t="shared" si="52"/>
        <v>-1.7933065829498052E-2</v>
      </c>
      <c r="AD230" s="18">
        <f t="shared" si="52"/>
        <v>-1.5984152343819891E-2</v>
      </c>
      <c r="AE230" s="18">
        <f t="shared" si="52"/>
        <v>-9.354012354634067E-3</v>
      </c>
      <c r="AF230" s="18">
        <f t="shared" si="52"/>
        <v>-8.6300921188811053E-3</v>
      </c>
      <c r="AG230" s="18">
        <f t="shared" si="52"/>
        <v>-5.069509865188504E-3</v>
      </c>
      <c r="AH230" s="18">
        <f t="shared" si="52"/>
        <v>-4.117447066960267E-4</v>
      </c>
      <c r="AI230" s="18">
        <f t="shared" si="52"/>
        <v>8.2897754934370127E-3</v>
      </c>
      <c r="AJ230" s="18">
        <f t="shared" si="52"/>
        <v>5.3108601943394618E-3</v>
      </c>
      <c r="AK230" s="18">
        <f t="shared" si="52"/>
        <v>1.1886308912403498E-2</v>
      </c>
      <c r="AL230" s="18">
        <f t="shared" si="52"/>
        <v>2.9467109498619193E-2</v>
      </c>
      <c r="AM230" s="18">
        <f t="shared" si="52"/>
        <v>3.3841252647870634E-2</v>
      </c>
      <c r="AN230" s="18">
        <f t="shared" si="52"/>
        <v>2.8818695118951521E-2</v>
      </c>
      <c r="AO230" s="18">
        <f t="shared" si="52"/>
        <v>2.9203418166257045E-2</v>
      </c>
      <c r="AP230" s="18">
        <f t="shared" si="52"/>
        <v>2.4232149217790155E-2</v>
      </c>
      <c r="AQ230" s="18">
        <f t="shared" si="52"/>
        <v>1.1655460190577172E-2</v>
      </c>
      <c r="AR230" s="18">
        <f t="shared" si="52"/>
        <v>4.0839988088856582E-3</v>
      </c>
      <c r="AS230" s="18">
        <f t="shared" si="52"/>
        <v>2.311988742621951E-3</v>
      </c>
      <c r="AT230" s="18">
        <f t="shared" si="52"/>
        <v>3.4172678228516773E-4</v>
      </c>
      <c r="AU230" s="18">
        <f t="shared" si="52"/>
        <v>-3.4161004498367564E-4</v>
      </c>
      <c r="AV230" s="18">
        <f t="shared" si="52"/>
        <v>-1.0678961946409826E-3</v>
      </c>
      <c r="AW230" s="18">
        <f t="shared" si="52"/>
        <v>-2.1808371447555874E-3</v>
      </c>
      <c r="AX230" s="18">
        <f t="shared" si="52"/>
        <v>4.7140469593598411E-4</v>
      </c>
      <c r="AY230" s="18">
        <f t="shared" si="52"/>
        <v>-3.2982780477920359E-3</v>
      </c>
      <c r="AZ230" s="18">
        <f t="shared" si="52"/>
        <v>3.8678875543429747E-4</v>
      </c>
      <c r="BA230" s="18">
        <f t="shared" si="52"/>
        <v>-1.3747171830624794E-3</v>
      </c>
      <c r="BB230" s="18">
        <f t="shared" si="52"/>
        <v>-7.0981434148859046E-3</v>
      </c>
      <c r="BC230" s="18">
        <f t="shared" si="52"/>
        <v>-9.0985837622717947E-3</v>
      </c>
      <c r="BD230" s="18">
        <f t="shared" si="52"/>
        <v>-3.0169849550696348E-3</v>
      </c>
      <c r="BE230" s="18">
        <f t="shared" si="52"/>
        <v>-5.4382351087027825E-3</v>
      </c>
      <c r="BF230" s="18">
        <f t="shared" si="52"/>
        <v>-2.337116731887412E-3</v>
      </c>
      <c r="BG230" s="18">
        <f t="shared" si="52"/>
        <v>4.5967835994158435E-3</v>
      </c>
      <c r="BH230" s="18">
        <f t="shared" si="52"/>
        <v>5.279711385542285E-3</v>
      </c>
      <c r="BI230" s="18">
        <f t="shared" si="52"/>
        <v>2.5384581764760217E-3</v>
      </c>
    </row>
    <row r="231" spans="1:62" x14ac:dyDescent="0.25">
      <c r="A231" s="11" t="s">
        <v>863</v>
      </c>
      <c r="B231" s="11"/>
      <c r="C231" s="18">
        <f>SUM(C$155:C$159)/SUM(B$155:B$159)-1</f>
        <v>-9.6933310324514022E-3</v>
      </c>
      <c r="D231" s="18">
        <f t="shared" ref="D231:BI231" si="53">SUM(D$155:D$159)/SUM(C$155:C$159)-1</f>
        <v>-1.3317162063596233E-2</v>
      </c>
      <c r="E231" s="18">
        <f t="shared" si="53"/>
        <v>-9.0972814122071144E-3</v>
      </c>
      <c r="F231" s="18">
        <f t="shared" si="53"/>
        <v>-1.7410720472205155E-3</v>
      </c>
      <c r="G231" s="18">
        <f t="shared" si="53"/>
        <v>3.721815558902497E-3</v>
      </c>
      <c r="H231" s="18">
        <f t="shared" si="53"/>
        <v>1.930679867647056E-3</v>
      </c>
      <c r="I231" s="18">
        <f t="shared" si="53"/>
        <v>-7.3525174619970546E-3</v>
      </c>
      <c r="J231" s="18">
        <f t="shared" si="53"/>
        <v>-3.6148441816428178E-3</v>
      </c>
      <c r="K231" s="18">
        <f t="shared" si="53"/>
        <v>-4.7257073378434988E-3</v>
      </c>
      <c r="L231" s="18">
        <f t="shared" si="53"/>
        <v>-8.8293434980855068E-3</v>
      </c>
      <c r="M231" s="18">
        <f t="shared" si="53"/>
        <v>-3.7038746645620124E-3</v>
      </c>
      <c r="N231" s="18">
        <f t="shared" si="53"/>
        <v>-2.602446434706307E-4</v>
      </c>
      <c r="O231" s="18">
        <f t="shared" si="53"/>
        <v>1.2873409723155094E-2</v>
      </c>
      <c r="P231" s="18">
        <f t="shared" si="53"/>
        <v>2.2411836093315207E-2</v>
      </c>
      <c r="Q231" s="18">
        <f t="shared" si="53"/>
        <v>2.484247223894287E-2</v>
      </c>
      <c r="R231" s="18">
        <f t="shared" si="53"/>
        <v>1.3267518639262121E-2</v>
      </c>
      <c r="S231" s="18">
        <f t="shared" si="53"/>
        <v>6.0014332638828716E-2</v>
      </c>
      <c r="T231" s="18">
        <f t="shared" si="53"/>
        <v>5.67968175309157E-2</v>
      </c>
      <c r="U231" s="18">
        <f t="shared" si="53"/>
        <v>2.8484049372027087E-2</v>
      </c>
      <c r="V231" s="18">
        <f t="shared" si="53"/>
        <v>2.7825993968048301E-2</v>
      </c>
      <c r="W231" s="18">
        <f t="shared" si="53"/>
        <v>3.4177506788304779E-2</v>
      </c>
      <c r="X231" s="18">
        <f t="shared" si="53"/>
        <v>3.2347671073529538E-2</v>
      </c>
      <c r="Y231" s="18">
        <f t="shared" si="53"/>
        <v>3.0476820998383891E-2</v>
      </c>
      <c r="Z231" s="18">
        <f t="shared" si="53"/>
        <v>3.6235541704820795E-2</v>
      </c>
      <c r="AA231" s="18">
        <f t="shared" si="53"/>
        <v>3.2880825780621015E-2</v>
      </c>
      <c r="AB231" s="18">
        <f t="shared" si="53"/>
        <v>2.1435340786719825E-2</v>
      </c>
      <c r="AC231" s="18">
        <f t="shared" si="53"/>
        <v>1.1233872164285286E-2</v>
      </c>
      <c r="AD231" s="18">
        <f t="shared" si="53"/>
        <v>2.4637059816121631E-3</v>
      </c>
      <c r="AE231" s="18">
        <f t="shared" si="53"/>
        <v>-7.238899462297943E-3</v>
      </c>
      <c r="AF231" s="18">
        <f t="shared" si="53"/>
        <v>-1.3053013178886519E-2</v>
      </c>
      <c r="AG231" s="18">
        <f t="shared" si="53"/>
        <v>-1.9747260235891684E-2</v>
      </c>
      <c r="AH231" s="18">
        <f t="shared" si="53"/>
        <v>-1.6702263728243349E-2</v>
      </c>
      <c r="AI231" s="18">
        <f t="shared" si="53"/>
        <v>-1.495143687558631E-2</v>
      </c>
      <c r="AJ231" s="18">
        <f t="shared" si="53"/>
        <v>-8.4057458687090136E-3</v>
      </c>
      <c r="AK231" s="18">
        <f t="shared" si="53"/>
        <v>-7.944161300853736E-3</v>
      </c>
      <c r="AL231" s="18">
        <f t="shared" si="53"/>
        <v>-4.4433393261363863E-3</v>
      </c>
      <c r="AM231" s="18">
        <f t="shared" si="53"/>
        <v>0</v>
      </c>
      <c r="AN231" s="18">
        <f t="shared" si="53"/>
        <v>8.2396997687312901E-3</v>
      </c>
      <c r="AO231" s="18">
        <f t="shared" si="53"/>
        <v>5.3509512831901862E-3</v>
      </c>
      <c r="AP231" s="18">
        <f t="shared" si="53"/>
        <v>1.1612664000353767E-2</v>
      </c>
      <c r="AQ231" s="18">
        <f t="shared" si="53"/>
        <v>2.8363580569869429E-2</v>
      </c>
      <c r="AR231" s="18">
        <f t="shared" si="53"/>
        <v>3.2511488170875458E-2</v>
      </c>
      <c r="AS231" s="18">
        <f t="shared" si="53"/>
        <v>2.7748882191872992E-2</v>
      </c>
      <c r="AT231" s="18">
        <f t="shared" si="53"/>
        <v>2.8139268012384866E-2</v>
      </c>
      <c r="AU231" s="18">
        <f t="shared" si="53"/>
        <v>2.3447066261678806E-2</v>
      </c>
      <c r="AV231" s="18">
        <f t="shared" si="53"/>
        <v>1.1329985130051234E-2</v>
      </c>
      <c r="AW231" s="18">
        <f t="shared" si="53"/>
        <v>4.283520909748928E-3</v>
      </c>
      <c r="AX231" s="18">
        <f t="shared" si="53"/>
        <v>2.5427455616457983E-3</v>
      </c>
      <c r="AY231" s="18">
        <f t="shared" si="53"/>
        <v>5.7271209150089319E-4</v>
      </c>
      <c r="AZ231" s="18">
        <f t="shared" si="53"/>
        <v>-4.0884591435919049E-5</v>
      </c>
      <c r="BA231" s="18">
        <f t="shared" si="53"/>
        <v>-7.7683899802738487E-4</v>
      </c>
      <c r="BB231" s="18">
        <f t="shared" si="53"/>
        <v>-1.8413122405891436E-3</v>
      </c>
      <c r="BC231" s="18">
        <f t="shared" si="53"/>
        <v>8.1987063365085433E-4</v>
      </c>
      <c r="BD231" s="18">
        <f t="shared" si="53"/>
        <v>-2.8262365377543786E-3</v>
      </c>
      <c r="BE231" s="18">
        <f t="shared" si="53"/>
        <v>6.9829268728982541E-4</v>
      </c>
      <c r="BF231" s="18">
        <f t="shared" si="53"/>
        <v>-1.0261844336345582E-3</v>
      </c>
      <c r="BG231" s="18">
        <f t="shared" si="53"/>
        <v>-6.4510582187493615E-3</v>
      </c>
      <c r="BH231" s="18">
        <f t="shared" si="53"/>
        <v>-8.395335988528152E-3</v>
      </c>
      <c r="BI231" s="18">
        <f t="shared" si="53"/>
        <v>-2.5440949620434417E-3</v>
      </c>
    </row>
    <row r="232" spans="1:62" x14ac:dyDescent="0.25">
      <c r="A232" s="11" t="s">
        <v>864</v>
      </c>
      <c r="B232" s="11"/>
      <c r="C232" s="18">
        <f>SUM(C$160:C$164)/SUM(B$160:B$164)-1</f>
        <v>2.6645491427477852E-2</v>
      </c>
      <c r="D232" s="18">
        <f t="shared" ref="D232:BI232" si="54">SUM(D$160:D$164)/SUM(C$160:C$164)-1</f>
        <v>1.9483902411039589E-2</v>
      </c>
      <c r="E232" s="18">
        <f t="shared" si="54"/>
        <v>7.1358318340977167E-3</v>
      </c>
      <c r="F232" s="18">
        <f t="shared" si="54"/>
        <v>-1.2187385406537965E-3</v>
      </c>
      <c r="G232" s="18">
        <f t="shared" si="54"/>
        <v>-9.7998322009775762E-3</v>
      </c>
      <c r="H232" s="18">
        <f t="shared" si="54"/>
        <v>-1.8526173407920843E-2</v>
      </c>
      <c r="I232" s="18">
        <f t="shared" si="54"/>
        <v>-1.434570740669916E-2</v>
      </c>
      <c r="J232" s="18">
        <f t="shared" si="54"/>
        <v>-8.3039002942986162E-4</v>
      </c>
      <c r="K232" s="18">
        <f t="shared" si="54"/>
        <v>1.2168462149742876E-2</v>
      </c>
      <c r="L232" s="18">
        <f t="shared" si="54"/>
        <v>2.333391862735823E-2</v>
      </c>
      <c r="M232" s="18">
        <f t="shared" si="54"/>
        <v>2.8020579197657325E-2</v>
      </c>
      <c r="N232" s="18">
        <f t="shared" si="54"/>
        <v>1.6385841148569336E-2</v>
      </c>
      <c r="O232" s="18">
        <f t="shared" si="54"/>
        <v>2.1724859007890007E-3</v>
      </c>
      <c r="P232" s="18">
        <f t="shared" si="54"/>
        <v>-6.9640862257209779E-3</v>
      </c>
      <c r="Q232" s="18">
        <f t="shared" si="54"/>
        <v>-1.3088439539555963E-2</v>
      </c>
      <c r="R232" s="18">
        <f t="shared" si="54"/>
        <v>-2.379338632708794E-2</v>
      </c>
      <c r="S232" s="18">
        <f t="shared" si="54"/>
        <v>-8.4183305242135908E-3</v>
      </c>
      <c r="T232" s="18">
        <f t="shared" si="54"/>
        <v>1.9244828750837106E-2</v>
      </c>
      <c r="U232" s="18">
        <f t="shared" si="54"/>
        <v>1.5551513915694759E-2</v>
      </c>
      <c r="V232" s="18">
        <f t="shared" si="54"/>
        <v>2.26337759804498E-2</v>
      </c>
      <c r="W232" s="18">
        <f t="shared" si="54"/>
        <v>2.6244636555665002E-2</v>
      </c>
      <c r="X232" s="18">
        <f t="shared" si="54"/>
        <v>3.5977576154072599E-2</v>
      </c>
      <c r="Y232" s="18">
        <f t="shared" si="54"/>
        <v>3.3046158016843963E-2</v>
      </c>
      <c r="Z232" s="18">
        <f t="shared" si="54"/>
        <v>2.9429924923159101E-2</v>
      </c>
      <c r="AA232" s="18">
        <f t="shared" si="54"/>
        <v>2.9537003098567993E-2</v>
      </c>
      <c r="AB232" s="18">
        <f t="shared" si="54"/>
        <v>3.499556386238023E-2</v>
      </c>
      <c r="AC232" s="18">
        <f t="shared" si="54"/>
        <v>3.2709165731108492E-2</v>
      </c>
      <c r="AD232" s="18">
        <f t="shared" si="54"/>
        <v>3.0568868879645938E-2</v>
      </c>
      <c r="AE232" s="18">
        <f t="shared" si="54"/>
        <v>3.521464823255438E-2</v>
      </c>
      <c r="AF232" s="18">
        <f t="shared" si="54"/>
        <v>3.2087732111756972E-2</v>
      </c>
      <c r="AG232" s="18">
        <f t="shared" si="54"/>
        <v>2.1243396220610444E-2</v>
      </c>
      <c r="AH232" s="18">
        <f t="shared" si="54"/>
        <v>1.115960390475923E-2</v>
      </c>
      <c r="AI232" s="18">
        <f t="shared" si="54"/>
        <v>2.6487459811481706E-3</v>
      </c>
      <c r="AJ232" s="18">
        <f t="shared" si="54"/>
        <v>-6.6924299386714736E-3</v>
      </c>
      <c r="AK232" s="18">
        <f t="shared" si="54"/>
        <v>-1.2588524811004476E-2</v>
      </c>
      <c r="AL232" s="18">
        <f t="shared" si="54"/>
        <v>-1.8943960567780693E-2</v>
      </c>
      <c r="AM232" s="18">
        <f t="shared" si="54"/>
        <v>-1.6060964822889656E-2</v>
      </c>
      <c r="AN232" s="18">
        <f t="shared" si="54"/>
        <v>-1.4276925704733934E-2</v>
      </c>
      <c r="AO232" s="18">
        <f t="shared" si="54"/>
        <v>-7.9731164250375075E-3</v>
      </c>
      <c r="AP232" s="18">
        <f t="shared" si="54"/>
        <v>-7.3238371760434573E-3</v>
      </c>
      <c r="AQ232" s="18">
        <f t="shared" si="54"/>
        <v>-4.0722018050701747E-3</v>
      </c>
      <c r="AR232" s="18">
        <f t="shared" si="54"/>
        <v>2.4052073160851783E-4</v>
      </c>
      <c r="AS232" s="18">
        <f t="shared" si="54"/>
        <v>8.3681087563391987E-3</v>
      </c>
      <c r="AT232" s="18">
        <f t="shared" si="54"/>
        <v>5.4847496105905336E-3</v>
      </c>
      <c r="AU232" s="18">
        <f t="shared" si="54"/>
        <v>1.1668595494581435E-2</v>
      </c>
      <c r="AV232" s="18">
        <f t="shared" si="54"/>
        <v>2.7850413906826965E-2</v>
      </c>
      <c r="AW232" s="18">
        <f t="shared" si="54"/>
        <v>3.1976675655190245E-2</v>
      </c>
      <c r="AX232" s="18">
        <f t="shared" si="54"/>
        <v>2.7449662710381961E-2</v>
      </c>
      <c r="AY232" s="18">
        <f t="shared" si="54"/>
        <v>2.7619759102512242E-2</v>
      </c>
      <c r="AZ232" s="18">
        <f t="shared" si="54"/>
        <v>2.3235145431701687E-2</v>
      </c>
      <c r="BA232" s="18">
        <f t="shared" si="54"/>
        <v>1.1292394594812238E-2</v>
      </c>
      <c r="BB232" s="18">
        <f t="shared" si="54"/>
        <v>4.4098794763252069E-3</v>
      </c>
      <c r="BC232" s="18">
        <f t="shared" si="54"/>
        <v>2.698758661163092E-3</v>
      </c>
      <c r="BD232" s="18">
        <f t="shared" si="54"/>
        <v>8.8377446638610024E-4</v>
      </c>
      <c r="BE232" s="18">
        <f t="shared" si="54"/>
        <v>1.204082861929745E-4</v>
      </c>
      <c r="BF232" s="18">
        <f t="shared" si="54"/>
        <v>-4.8157515913194171E-4</v>
      </c>
      <c r="BG232" s="18">
        <f t="shared" si="54"/>
        <v>-1.4454215565118389E-3</v>
      </c>
      <c r="BH232" s="18">
        <f t="shared" si="54"/>
        <v>9.2480049879228865E-4</v>
      </c>
      <c r="BI232" s="18">
        <f t="shared" si="54"/>
        <v>-2.5308086991968626E-3</v>
      </c>
    </row>
    <row r="233" spans="1:62" x14ac:dyDescent="0.25">
      <c r="A233" s="11" t="s">
        <v>865</v>
      </c>
      <c r="B233" s="11"/>
      <c r="C233" s="18">
        <f>SUM(C$165:C$169)/SUM(B$165:B$169)-1</f>
        <v>2.7177172600630017E-2</v>
      </c>
      <c r="D233" s="18">
        <f t="shared" ref="D233:BI233" si="55">SUM(D$165:D$169)/SUM(C$165:C$169)-1</f>
        <v>2.1482896141091778E-2</v>
      </c>
      <c r="E233" s="18">
        <f t="shared" si="55"/>
        <v>2.4650156555892977E-2</v>
      </c>
      <c r="F233" s="18">
        <f t="shared" si="55"/>
        <v>2.4873225232397989E-2</v>
      </c>
      <c r="G233" s="18">
        <f t="shared" si="55"/>
        <v>2.2358170497132734E-2</v>
      </c>
      <c r="H233" s="18">
        <f t="shared" si="55"/>
        <v>2.0579988926164638E-2</v>
      </c>
      <c r="I233" s="18">
        <f t="shared" si="55"/>
        <v>1.7390538475376971E-2</v>
      </c>
      <c r="J233" s="18">
        <f t="shared" si="55"/>
        <v>1.0338403549196462E-2</v>
      </c>
      <c r="K233" s="18">
        <f t="shared" si="55"/>
        <v>8.5041761902808766E-3</v>
      </c>
      <c r="L233" s="18">
        <f t="shared" si="55"/>
        <v>3.8965902022531917E-3</v>
      </c>
      <c r="M233" s="18">
        <f t="shared" si="55"/>
        <v>1.9076776265565254E-3</v>
      </c>
      <c r="N233" s="18">
        <f t="shared" si="55"/>
        <v>3.9481007920976197E-3</v>
      </c>
      <c r="O233" s="18">
        <f t="shared" si="55"/>
        <v>6.3055648889409621E-3</v>
      </c>
      <c r="P233" s="18">
        <f t="shared" si="55"/>
        <v>1.0364342065437571E-2</v>
      </c>
      <c r="Q233" s="18">
        <f t="shared" si="55"/>
        <v>2.2177915103423596E-2</v>
      </c>
      <c r="R233" s="18">
        <f t="shared" si="55"/>
        <v>9.0973974918997502E-3</v>
      </c>
      <c r="S233" s="18">
        <f t="shared" si="55"/>
        <v>-5.9743851116108582E-3</v>
      </c>
      <c r="T233" s="18">
        <f t="shared" si="55"/>
        <v>4.98061635434488E-3</v>
      </c>
      <c r="U233" s="18">
        <f t="shared" si="55"/>
        <v>-1.1464305816161535E-2</v>
      </c>
      <c r="V233" s="18">
        <f t="shared" si="55"/>
        <v>-1.8968315499933386E-2</v>
      </c>
      <c r="W233" s="18">
        <f t="shared" si="55"/>
        <v>-1.4337733628882687E-2</v>
      </c>
      <c r="X233" s="18">
        <f t="shared" si="55"/>
        <v>-1.0352348099603725E-2</v>
      </c>
      <c r="Y233" s="18">
        <f t="shared" si="55"/>
        <v>3.7279199000934682E-3</v>
      </c>
      <c r="Z233" s="18">
        <f t="shared" si="55"/>
        <v>1.7480696712196764E-2</v>
      </c>
      <c r="AA233" s="18">
        <f t="shared" si="55"/>
        <v>2.4580308880031376E-2</v>
      </c>
      <c r="AB233" s="18">
        <f t="shared" si="55"/>
        <v>2.7310358100272492E-2</v>
      </c>
      <c r="AC233" s="18">
        <f t="shared" si="55"/>
        <v>3.6874146211346659E-2</v>
      </c>
      <c r="AD233" s="18">
        <f t="shared" si="55"/>
        <v>3.3491753553030801E-2</v>
      </c>
      <c r="AE233" s="18">
        <f t="shared" si="55"/>
        <v>2.9429139184391495E-2</v>
      </c>
      <c r="AF233" s="18">
        <f t="shared" si="55"/>
        <v>2.9700190826747797E-2</v>
      </c>
      <c r="AG233" s="18">
        <f t="shared" si="55"/>
        <v>3.5001140452647128E-2</v>
      </c>
      <c r="AH233" s="18">
        <f t="shared" si="55"/>
        <v>3.3034677481748487E-2</v>
      </c>
      <c r="AI233" s="18">
        <f t="shared" si="55"/>
        <v>3.0715319697459664E-2</v>
      </c>
      <c r="AJ233" s="18">
        <f t="shared" si="55"/>
        <v>3.543651681569826E-2</v>
      </c>
      <c r="AK233" s="18">
        <f t="shared" si="55"/>
        <v>3.2235644995678658E-2</v>
      </c>
      <c r="AL233" s="18">
        <f t="shared" si="55"/>
        <v>2.1369596264929847E-2</v>
      </c>
      <c r="AM233" s="18">
        <f t="shared" si="55"/>
        <v>1.1449002628378002E-2</v>
      </c>
      <c r="AN233" s="18">
        <f t="shared" si="55"/>
        <v>2.9741186260774377E-3</v>
      </c>
      <c r="AO233" s="18">
        <f t="shared" si="55"/>
        <v>-6.4616973605581274E-3</v>
      </c>
      <c r="AP233" s="18">
        <f t="shared" si="55"/>
        <v>-1.2205616098650118E-2</v>
      </c>
      <c r="AQ233" s="18">
        <f t="shared" si="55"/>
        <v>-1.8579747456798357E-2</v>
      </c>
      <c r="AR233" s="18">
        <f t="shared" si="55"/>
        <v>-1.5760924723578373E-2</v>
      </c>
      <c r="AS233" s="18">
        <f t="shared" si="55"/>
        <v>-1.3912437805162048E-2</v>
      </c>
      <c r="AT233" s="18">
        <f t="shared" si="55"/>
        <v>-7.622498838429359E-3</v>
      </c>
      <c r="AU233" s="18">
        <f t="shared" si="55"/>
        <v>-7.1085471716018089E-3</v>
      </c>
      <c r="AV233" s="18">
        <f t="shared" si="55"/>
        <v>-3.6998450344539746E-3</v>
      </c>
      <c r="AW233" s="18">
        <f t="shared" si="55"/>
        <v>4.8228373018832649E-4</v>
      </c>
      <c r="AX233" s="18">
        <f t="shared" si="55"/>
        <v>8.5805121559408004E-3</v>
      </c>
      <c r="AY233" s="18">
        <f t="shared" si="55"/>
        <v>5.830992285346781E-3</v>
      </c>
      <c r="AZ233" s="18">
        <f t="shared" si="55"/>
        <v>1.178444961085523E-2</v>
      </c>
      <c r="BA233" s="18">
        <f t="shared" si="55"/>
        <v>2.7990836813639897E-2</v>
      </c>
      <c r="BB233" s="18">
        <f t="shared" si="55"/>
        <v>3.1979997030457286E-2</v>
      </c>
      <c r="BC233" s="18">
        <f t="shared" si="55"/>
        <v>2.7580183180882845E-2</v>
      </c>
      <c r="BD233" s="18">
        <f t="shared" si="55"/>
        <v>2.7701568000076282E-2</v>
      </c>
      <c r="BE233" s="18">
        <f t="shared" si="55"/>
        <v>2.3265872475250804E-2</v>
      </c>
      <c r="BF233" s="18">
        <f t="shared" si="55"/>
        <v>1.1470857946819013E-2</v>
      </c>
      <c r="BG233" s="18">
        <f t="shared" si="55"/>
        <v>4.6983188300790957E-3</v>
      </c>
      <c r="BH233" s="18">
        <f t="shared" si="55"/>
        <v>2.7816207079760513E-3</v>
      </c>
      <c r="BI233" s="18">
        <f t="shared" si="55"/>
        <v>1.0854409918936714E-3</v>
      </c>
    </row>
    <row r="234" spans="1:62" x14ac:dyDescent="0.25">
      <c r="A234" s="11" t="s">
        <v>866</v>
      </c>
      <c r="B234" s="11"/>
      <c r="C234" s="18">
        <f>SUM(C$170:C$174)/SUM(B$170:B$174)-1</f>
        <v>5.0309066428591009E-3</v>
      </c>
      <c r="D234" s="18">
        <f t="shared" ref="D234:BI234" si="56">SUM(D$170:D$174)/SUM(C$170:C$174)-1</f>
        <v>3.596967860290512E-3</v>
      </c>
      <c r="E234" s="18">
        <f t="shared" si="56"/>
        <v>9.822291865146715E-3</v>
      </c>
      <c r="F234" s="18">
        <f t="shared" si="56"/>
        <v>1.5922429424475748E-2</v>
      </c>
      <c r="G234" s="18">
        <f t="shared" si="56"/>
        <v>2.2316946223584599E-2</v>
      </c>
      <c r="H234" s="18">
        <f t="shared" si="56"/>
        <v>2.2801718264596094E-2</v>
      </c>
      <c r="I234" s="18">
        <f t="shared" si="56"/>
        <v>1.932042185733418E-2</v>
      </c>
      <c r="J234" s="18">
        <f t="shared" si="56"/>
        <v>2.4683164626342569E-2</v>
      </c>
      <c r="K234" s="18">
        <f t="shared" si="56"/>
        <v>2.8532667000171985E-2</v>
      </c>
      <c r="L234" s="18">
        <f t="shared" si="56"/>
        <v>3.1697423591794838E-2</v>
      </c>
      <c r="M234" s="18">
        <f t="shared" si="56"/>
        <v>3.6184010498710117E-2</v>
      </c>
      <c r="N234" s="18">
        <f t="shared" si="56"/>
        <v>3.1063793318327759E-2</v>
      </c>
      <c r="O234" s="18">
        <f t="shared" si="56"/>
        <v>1.7237971951308717E-2</v>
      </c>
      <c r="P234" s="18">
        <f t="shared" si="56"/>
        <v>9.9115968232696972E-3</v>
      </c>
      <c r="Q234" s="18">
        <f t="shared" si="56"/>
        <v>5.4117694076492029E-3</v>
      </c>
      <c r="R234" s="18">
        <f t="shared" si="56"/>
        <v>-1.2399780154329854E-2</v>
      </c>
      <c r="S234" s="18">
        <f t="shared" si="56"/>
        <v>-2.2654365786908603E-2</v>
      </c>
      <c r="T234" s="18">
        <f t="shared" si="56"/>
        <v>7.042621537019178E-3</v>
      </c>
      <c r="U234" s="18">
        <f t="shared" si="56"/>
        <v>5.994288109365753E-3</v>
      </c>
      <c r="V234" s="18">
        <f t="shared" si="56"/>
        <v>1.6003540146091622E-2</v>
      </c>
      <c r="W234" s="18">
        <f t="shared" si="56"/>
        <v>1.5187251001735236E-2</v>
      </c>
      <c r="X234" s="18">
        <f t="shared" si="56"/>
        <v>5.741302791169911E-3</v>
      </c>
      <c r="Y234" s="18">
        <f t="shared" si="56"/>
        <v>-3.1914367093522911E-3</v>
      </c>
      <c r="Z234" s="18">
        <f t="shared" si="56"/>
        <v>-9.5325266806636222E-3</v>
      </c>
      <c r="AA234" s="18">
        <f t="shared" si="56"/>
        <v>-1.7617507232694174E-2</v>
      </c>
      <c r="AB234" s="18">
        <f t="shared" si="56"/>
        <v>-1.3642605333736624E-2</v>
      </c>
      <c r="AC234" s="18">
        <f t="shared" si="56"/>
        <v>-9.9420315672601456E-3</v>
      </c>
      <c r="AD234" s="18">
        <f t="shared" si="56"/>
        <v>4.0167472549101912E-3</v>
      </c>
      <c r="AE234" s="18">
        <f t="shared" si="56"/>
        <v>1.7936370990574213E-2</v>
      </c>
      <c r="AF234" s="18">
        <f t="shared" si="56"/>
        <v>2.5022173381043622E-2</v>
      </c>
      <c r="AG234" s="18">
        <f t="shared" si="56"/>
        <v>2.7798263218050678E-2</v>
      </c>
      <c r="AH234" s="18">
        <f t="shared" si="56"/>
        <v>3.7181055160082854E-2</v>
      </c>
      <c r="AI234" s="18">
        <f t="shared" si="56"/>
        <v>3.3809990984469795E-2</v>
      </c>
      <c r="AJ234" s="18">
        <f t="shared" si="56"/>
        <v>2.9688973835422017E-2</v>
      </c>
      <c r="AK234" s="18">
        <f t="shared" si="56"/>
        <v>3.0015554636627861E-2</v>
      </c>
      <c r="AL234" s="18">
        <f t="shared" si="56"/>
        <v>3.5428305947041272E-2</v>
      </c>
      <c r="AM234" s="18">
        <f t="shared" si="56"/>
        <v>3.3265641029484261E-2</v>
      </c>
      <c r="AN234" s="18">
        <f t="shared" si="56"/>
        <v>3.1019304084233479E-2</v>
      </c>
      <c r="AO234" s="18">
        <f t="shared" si="56"/>
        <v>3.5736484466941221E-2</v>
      </c>
      <c r="AP234" s="18">
        <f t="shared" si="56"/>
        <v>3.2397832537085502E-2</v>
      </c>
      <c r="AQ234" s="18">
        <f t="shared" si="56"/>
        <v>2.1786028196974172E-2</v>
      </c>
      <c r="AR234" s="18">
        <f t="shared" si="56"/>
        <v>1.174951682913683E-2</v>
      </c>
      <c r="AS234" s="18">
        <f t="shared" si="56"/>
        <v>3.1386672651034786E-3</v>
      </c>
      <c r="AT234" s="18">
        <f t="shared" si="56"/>
        <v>-6.168298087344537E-3</v>
      </c>
      <c r="AU234" s="18">
        <f t="shared" si="56"/>
        <v>-1.1783511011946302E-2</v>
      </c>
      <c r="AV234" s="18">
        <f t="shared" si="56"/>
        <v>-1.8204607339057599E-2</v>
      </c>
      <c r="AW234" s="18">
        <f t="shared" si="56"/>
        <v>-1.5436348268746847E-2</v>
      </c>
      <c r="AX234" s="18">
        <f t="shared" si="56"/>
        <v>-1.3559667001703302E-2</v>
      </c>
      <c r="AY234" s="18">
        <f t="shared" si="56"/>
        <v>-7.3503232067829716E-3</v>
      </c>
      <c r="AZ234" s="18">
        <f t="shared" si="56"/>
        <v>-6.7315913784943282E-3</v>
      </c>
      <c r="BA234" s="18">
        <f t="shared" si="56"/>
        <v>-3.4854237286909839E-3</v>
      </c>
      <c r="BB234" s="18">
        <f t="shared" si="56"/>
        <v>8.2582562149124961E-4</v>
      </c>
      <c r="BC234" s="18">
        <f t="shared" si="56"/>
        <v>8.8338966895049609E-3</v>
      </c>
      <c r="BD234" s="18">
        <f t="shared" si="56"/>
        <v>6.0141087221663447E-3</v>
      </c>
      <c r="BE234" s="18">
        <f t="shared" si="56"/>
        <v>1.2051961377845588E-2</v>
      </c>
      <c r="BF234" s="18">
        <f t="shared" si="56"/>
        <v>2.8117153076974821E-2</v>
      </c>
      <c r="BG234" s="18">
        <f t="shared" si="56"/>
        <v>3.2220315788221487E-2</v>
      </c>
      <c r="BH234" s="18">
        <f t="shared" si="56"/>
        <v>2.7741338958928718E-2</v>
      </c>
      <c r="BI234" s="18">
        <f t="shared" si="56"/>
        <v>2.7859063903366232E-2</v>
      </c>
    </row>
    <row r="235" spans="1:62" x14ac:dyDescent="0.25">
      <c r="A235" s="11" t="s">
        <v>867</v>
      </c>
      <c r="B235" s="11"/>
      <c r="C235" s="18">
        <f>SUM(C$175:C$179)/SUM(B$175:B$179)-1</f>
        <v>6.2124012853495669E-2</v>
      </c>
      <c r="D235" s="18">
        <f t="shared" ref="D235:BI235" si="57">SUM(D$175:D$179)/SUM(C$175:C$179)-1</f>
        <v>7.2268216816916642E-2</v>
      </c>
      <c r="E235" s="18">
        <f t="shared" si="57"/>
        <v>4.5041542981828275E-2</v>
      </c>
      <c r="F235" s="18">
        <f t="shared" si="57"/>
        <v>4.1522669072777019E-2</v>
      </c>
      <c r="G235" s="18">
        <f t="shared" si="57"/>
        <v>3.2587746032064269E-2</v>
      </c>
      <c r="H235" s="18">
        <f t="shared" si="57"/>
        <v>1.9786894397051391E-3</v>
      </c>
      <c r="I235" s="18">
        <f t="shared" si="57"/>
        <v>2.3091213710741965E-3</v>
      </c>
      <c r="J235" s="18">
        <f t="shared" si="57"/>
        <v>8.4815554192099185E-3</v>
      </c>
      <c r="K235" s="18">
        <f t="shared" si="57"/>
        <v>1.7939091038108756E-2</v>
      </c>
      <c r="L235" s="18">
        <f t="shared" si="57"/>
        <v>2.5560672920162064E-2</v>
      </c>
      <c r="M235" s="18">
        <f t="shared" si="57"/>
        <v>2.9798358955211324E-2</v>
      </c>
      <c r="N235" s="18">
        <f t="shared" si="57"/>
        <v>2.7495870440410242E-2</v>
      </c>
      <c r="O235" s="18">
        <f t="shared" si="57"/>
        <v>3.4979528648120484E-2</v>
      </c>
      <c r="P235" s="18">
        <f t="shared" si="57"/>
        <v>3.3764857274851456E-2</v>
      </c>
      <c r="Q235" s="18">
        <f t="shared" si="57"/>
        <v>3.2626325294104364E-2</v>
      </c>
      <c r="R235" s="18">
        <f t="shared" si="57"/>
        <v>2.3745882784787842E-2</v>
      </c>
      <c r="S235" s="18">
        <f t="shared" si="57"/>
        <v>6.0559154770039036E-3</v>
      </c>
      <c r="T235" s="18">
        <f t="shared" si="57"/>
        <v>1.8969816228026071E-2</v>
      </c>
      <c r="U235" s="18">
        <f t="shared" si="57"/>
        <v>5.7743668558960515E-3</v>
      </c>
      <c r="V235" s="18">
        <f t="shared" si="57"/>
        <v>-4.084115676126765E-3</v>
      </c>
      <c r="W235" s="18">
        <f t="shared" si="57"/>
        <v>-7.1656626682159441E-3</v>
      </c>
      <c r="X235" s="18">
        <f t="shared" si="57"/>
        <v>-4.1770782945980134E-3</v>
      </c>
      <c r="Y235" s="18">
        <f t="shared" si="57"/>
        <v>3.2635249400487787E-3</v>
      </c>
      <c r="Z235" s="18">
        <f t="shared" si="57"/>
        <v>8.1698741165521227E-3</v>
      </c>
      <c r="AA235" s="18">
        <f t="shared" si="57"/>
        <v>1.7847896969299004E-2</v>
      </c>
      <c r="AB235" s="18">
        <f t="shared" si="57"/>
        <v>1.595689257630184E-2</v>
      </c>
      <c r="AC235" s="18">
        <f t="shared" si="57"/>
        <v>6.4016663936519169E-3</v>
      </c>
      <c r="AD235" s="18">
        <f t="shared" si="57"/>
        <v>-2.8270869960308476E-3</v>
      </c>
      <c r="AE235" s="18">
        <f t="shared" si="57"/>
        <v>-8.8274769192111524E-3</v>
      </c>
      <c r="AF235" s="18">
        <f t="shared" si="57"/>
        <v>-1.6772062624585415E-2</v>
      </c>
      <c r="AG235" s="18">
        <f t="shared" si="57"/>
        <v>-1.2892797772081965E-2</v>
      </c>
      <c r="AH235" s="18">
        <f t="shared" si="57"/>
        <v>-9.1763254040079234E-3</v>
      </c>
      <c r="AI235" s="18">
        <f t="shared" si="57"/>
        <v>4.6644555022257173E-3</v>
      </c>
      <c r="AJ235" s="18">
        <f t="shared" si="57"/>
        <v>1.8302049694980616E-2</v>
      </c>
      <c r="AK235" s="18">
        <f t="shared" si="57"/>
        <v>2.5175562565285414E-2</v>
      </c>
      <c r="AL235" s="18">
        <f t="shared" si="57"/>
        <v>2.8102337959668766E-2</v>
      </c>
      <c r="AM235" s="18">
        <f t="shared" si="57"/>
        <v>3.7176997279420698E-2</v>
      </c>
      <c r="AN235" s="18">
        <f t="shared" si="57"/>
        <v>3.3970587323049362E-2</v>
      </c>
      <c r="AO235" s="18">
        <f t="shared" si="57"/>
        <v>2.9873042396959093E-2</v>
      </c>
      <c r="AP235" s="18">
        <f t="shared" si="57"/>
        <v>3.0198578264716502E-2</v>
      </c>
      <c r="AQ235" s="18">
        <f t="shared" si="57"/>
        <v>3.5484589534614974E-2</v>
      </c>
      <c r="AR235" s="18">
        <f t="shared" si="57"/>
        <v>3.3417189570375205E-2</v>
      </c>
      <c r="AS235" s="18">
        <f t="shared" si="57"/>
        <v>3.1255272415622759E-2</v>
      </c>
      <c r="AT235" s="18">
        <f t="shared" si="57"/>
        <v>3.5650582253810015E-2</v>
      </c>
      <c r="AU235" s="18">
        <f t="shared" si="57"/>
        <v>3.2543101041976552E-2</v>
      </c>
      <c r="AV235" s="18">
        <f t="shared" si="57"/>
        <v>2.1898774686657241E-2</v>
      </c>
      <c r="AW235" s="18">
        <f t="shared" si="57"/>
        <v>1.2016966281514607E-2</v>
      </c>
      <c r="AX235" s="18">
        <f t="shared" si="57"/>
        <v>3.5216476649080342E-3</v>
      </c>
      <c r="AY235" s="18">
        <f t="shared" si="57"/>
        <v>-5.668851760133875E-3</v>
      </c>
      <c r="AZ235" s="18">
        <f t="shared" si="57"/>
        <v>-1.140234170511234E-2</v>
      </c>
      <c r="BA235" s="18">
        <f t="shared" si="57"/>
        <v>-1.7666936101732422E-2</v>
      </c>
      <c r="BB235" s="18">
        <f t="shared" si="57"/>
        <v>-1.4862978673924609E-2</v>
      </c>
      <c r="BC235" s="18">
        <f t="shared" si="57"/>
        <v>-1.3100814597176158E-2</v>
      </c>
      <c r="BD235" s="18">
        <f t="shared" si="57"/>
        <v>-6.853016515392274E-3</v>
      </c>
      <c r="BE235" s="18">
        <f t="shared" si="57"/>
        <v>-6.3212578911343575E-3</v>
      </c>
      <c r="BF235" s="18">
        <f t="shared" si="57"/>
        <v>-3.0593330864022716E-3</v>
      </c>
      <c r="BG235" s="18">
        <f t="shared" si="57"/>
        <v>1.0716169713651524E-3</v>
      </c>
      <c r="BH235" s="18">
        <f t="shared" si="57"/>
        <v>9.0989936206178346E-3</v>
      </c>
      <c r="BI235" s="18">
        <f t="shared" si="57"/>
        <v>6.3166858224203981E-3</v>
      </c>
    </row>
    <row r="236" spans="1:62" x14ac:dyDescent="0.25">
      <c r="A236" s="11" t="s">
        <v>868</v>
      </c>
      <c r="B236" s="18"/>
      <c r="C236" s="18">
        <f>SUM(C$180:C$210)/SUM(B$180:B$210)-1</f>
        <v>3.5389125645910235E-2</v>
      </c>
      <c r="D236" s="18">
        <f t="shared" ref="D236:BI236" si="58">SUM(D$180:D$210)/SUM(C$180:C$210)-1</f>
        <v>2.2631244481116086E-2</v>
      </c>
      <c r="E236" s="18">
        <f t="shared" si="58"/>
        <v>2.8089827996498729E-2</v>
      </c>
      <c r="F236" s="18">
        <f t="shared" si="58"/>
        <v>3.1641296049234491E-2</v>
      </c>
      <c r="G236" s="18">
        <f t="shared" si="58"/>
        <v>3.5205085355030752E-2</v>
      </c>
      <c r="H236" s="18">
        <f t="shared" si="58"/>
        <v>4.4791527303805756E-2</v>
      </c>
      <c r="I236" s="18">
        <f t="shared" si="58"/>
        <v>3.9708843061861954E-2</v>
      </c>
      <c r="J236" s="18">
        <f t="shared" si="58"/>
        <v>3.4132214967520058E-2</v>
      </c>
      <c r="K236" s="18">
        <f t="shared" si="58"/>
        <v>3.3939049681279254E-2</v>
      </c>
      <c r="L236" s="18">
        <f t="shared" si="58"/>
        <v>3.5901236102378942E-2</v>
      </c>
      <c r="M236" s="18">
        <f t="shared" si="58"/>
        <v>3.7340486309597187E-2</v>
      </c>
      <c r="N236" s="18">
        <f t="shared" si="58"/>
        <v>3.3152701855660327E-2</v>
      </c>
      <c r="O236" s="18">
        <f t="shared" si="58"/>
        <v>3.6867268953735932E-2</v>
      </c>
      <c r="P236" s="18">
        <f t="shared" si="58"/>
        <v>3.8428267232333058E-2</v>
      </c>
      <c r="Q236" s="18">
        <f t="shared" si="58"/>
        <v>4.0299764007717176E-2</v>
      </c>
      <c r="R236" s="18">
        <f t="shared" si="58"/>
        <v>2.6355832142519908E-2</v>
      </c>
      <c r="S236" s="18">
        <f t="shared" si="58"/>
        <v>1.2628479371245449E-2</v>
      </c>
      <c r="T236" s="18">
        <f t="shared" si="58"/>
        <v>3.9637007355318499E-2</v>
      </c>
      <c r="U236" s="18">
        <f t="shared" si="58"/>
        <v>3.1893371186369146E-2</v>
      </c>
      <c r="V236" s="18">
        <f t="shared" si="58"/>
        <v>3.288172892284158E-2</v>
      </c>
      <c r="W236" s="18">
        <f t="shared" si="58"/>
        <v>3.293957066372899E-2</v>
      </c>
      <c r="X236" s="18">
        <f t="shared" si="58"/>
        <v>3.1500345329353863E-2</v>
      </c>
      <c r="Y236" s="18">
        <f t="shared" si="58"/>
        <v>2.9112906706364239E-2</v>
      </c>
      <c r="Z236" s="18">
        <f t="shared" si="58"/>
        <v>2.6018525763993106E-2</v>
      </c>
      <c r="AA236" s="18">
        <f t="shared" si="58"/>
        <v>2.3788628320237981E-2</v>
      </c>
      <c r="AB236" s="18">
        <f t="shared" si="58"/>
        <v>2.2449941549224306E-2</v>
      </c>
      <c r="AC236" s="18">
        <f t="shared" si="58"/>
        <v>2.2308691443803985E-2</v>
      </c>
      <c r="AD236" s="18">
        <f t="shared" si="58"/>
        <v>2.2358791803698264E-2</v>
      </c>
      <c r="AE236" s="18">
        <f t="shared" si="58"/>
        <v>2.1007020931296472E-2</v>
      </c>
      <c r="AF236" s="18">
        <f t="shared" si="58"/>
        <v>2.1823990183535091E-2</v>
      </c>
      <c r="AG236" s="18">
        <f t="shared" si="58"/>
        <v>2.0279195493709379E-2</v>
      </c>
      <c r="AH236" s="18">
        <f t="shared" si="58"/>
        <v>1.7673539066237032E-2</v>
      </c>
      <c r="AI236" s="18">
        <f t="shared" si="58"/>
        <v>1.541005239819504E-2</v>
      </c>
      <c r="AJ236" s="18">
        <f t="shared" si="58"/>
        <v>1.3010595900412536E-2</v>
      </c>
      <c r="AK236" s="18">
        <f t="shared" si="58"/>
        <v>1.196818415170231E-2</v>
      </c>
      <c r="AL236" s="18">
        <f t="shared" si="58"/>
        <v>1.1893175987741422E-2</v>
      </c>
      <c r="AM236" s="18">
        <f t="shared" si="58"/>
        <v>1.0816407236418524E-2</v>
      </c>
      <c r="AN236" s="18">
        <f t="shared" si="58"/>
        <v>1.2326905295768409E-2</v>
      </c>
      <c r="AO236" s="18">
        <f t="shared" si="58"/>
        <v>1.3349503023313947E-2</v>
      </c>
      <c r="AP236" s="18">
        <f t="shared" si="58"/>
        <v>1.4299187237166722E-2</v>
      </c>
      <c r="AQ236" s="18">
        <f t="shared" si="58"/>
        <v>1.4847808008904728E-2</v>
      </c>
      <c r="AR236" s="18">
        <f t="shared" si="58"/>
        <v>1.6432446967054704E-2</v>
      </c>
      <c r="AS236" s="18">
        <f t="shared" si="58"/>
        <v>1.7075884776576178E-2</v>
      </c>
      <c r="AT236" s="18">
        <f t="shared" si="58"/>
        <v>1.725100900312504E-2</v>
      </c>
      <c r="AU236" s="18">
        <f t="shared" si="58"/>
        <v>1.8276473391170223E-2</v>
      </c>
      <c r="AV236" s="18">
        <f t="shared" si="58"/>
        <v>2.0436484079100037E-2</v>
      </c>
      <c r="AW236" s="18">
        <f t="shared" si="58"/>
        <v>2.1464759605059891E-2</v>
      </c>
      <c r="AX236" s="18">
        <f t="shared" si="58"/>
        <v>2.1593203584117759E-2</v>
      </c>
      <c r="AY236" s="18">
        <f t="shared" si="58"/>
        <v>2.3189695052420856E-2</v>
      </c>
      <c r="AZ236" s="18">
        <f t="shared" si="58"/>
        <v>2.3337312710657088E-2</v>
      </c>
      <c r="BA236" s="18">
        <f t="shared" si="58"/>
        <v>2.2598721871386784E-2</v>
      </c>
      <c r="BB236" s="18">
        <f t="shared" si="58"/>
        <v>2.0762247349633167E-2</v>
      </c>
      <c r="BC236" s="18">
        <f t="shared" si="58"/>
        <v>1.8820009301725671E-2</v>
      </c>
      <c r="BD236" s="18">
        <f t="shared" si="58"/>
        <v>1.7914428579455466E-2</v>
      </c>
      <c r="BE236" s="18">
        <f t="shared" si="58"/>
        <v>1.6693574111329434E-2</v>
      </c>
      <c r="BF236" s="18">
        <f t="shared" si="58"/>
        <v>1.4696660168329156E-2</v>
      </c>
      <c r="BG236" s="18">
        <f t="shared" si="58"/>
        <v>1.4044893798635938E-2</v>
      </c>
      <c r="BH236" s="18">
        <f t="shared" si="58"/>
        <v>1.2916378311747412E-2</v>
      </c>
      <c r="BI236" s="18">
        <f t="shared" si="58"/>
        <v>1.3538813181991127E-2</v>
      </c>
    </row>
    <row r="237" spans="1:62" x14ac:dyDescent="0.25">
      <c r="A237" s="11" t="s">
        <v>1307</v>
      </c>
      <c r="B237" s="11"/>
      <c r="C237" s="18">
        <f>SUM(C$80:C$110,C$180:C$210)/SUM(B$80:B$110,B$180:B$210)-1</f>
        <v>3.0510753180425398E-2</v>
      </c>
      <c r="D237" s="18">
        <f t="shared" ref="D237:BI237" si="59">SUM(D$80:D$110,D$180:D$210)/SUM(C$80:C$110,C$180:C$210)-1</f>
        <v>1.8797130487239633E-2</v>
      </c>
      <c r="E237" s="18">
        <f t="shared" si="59"/>
        <v>2.3257590481887025E-2</v>
      </c>
      <c r="F237" s="18">
        <f t="shared" si="59"/>
        <v>2.7690157502675561E-2</v>
      </c>
      <c r="G237" s="18">
        <f t="shared" si="59"/>
        <v>3.0929595484122441E-2</v>
      </c>
      <c r="H237" s="18">
        <f t="shared" si="59"/>
        <v>3.9795860083187806E-2</v>
      </c>
      <c r="I237" s="18">
        <f t="shared" si="59"/>
        <v>3.5897232306759674E-2</v>
      </c>
      <c r="J237" s="18">
        <f t="shared" si="59"/>
        <v>3.0546328387931698E-2</v>
      </c>
      <c r="K237" s="18">
        <f t="shared" si="59"/>
        <v>3.1800403794108645E-2</v>
      </c>
      <c r="L237" s="18">
        <f t="shared" si="59"/>
        <v>3.2463663777926755E-2</v>
      </c>
      <c r="M237" s="18">
        <f t="shared" si="59"/>
        <v>3.5068897636616247E-2</v>
      </c>
      <c r="N237" s="18">
        <f t="shared" si="59"/>
        <v>3.1206497558776247E-2</v>
      </c>
      <c r="O237" s="18">
        <f t="shared" si="59"/>
        <v>3.5164261025335097E-2</v>
      </c>
      <c r="P237" s="18">
        <f t="shared" si="59"/>
        <v>3.7589330462676207E-2</v>
      </c>
      <c r="Q237" s="18">
        <f t="shared" si="59"/>
        <v>3.9540840752704476E-2</v>
      </c>
      <c r="R237" s="18">
        <f t="shared" si="59"/>
        <v>2.5389375711160733E-2</v>
      </c>
      <c r="S237" s="18">
        <f t="shared" si="59"/>
        <v>1.1741968126767199E-2</v>
      </c>
      <c r="T237" s="18">
        <f t="shared" si="59"/>
        <v>3.9906787053037407E-2</v>
      </c>
      <c r="U237" s="18">
        <f t="shared" si="59"/>
        <v>3.1799380354633922E-2</v>
      </c>
      <c r="V237" s="18">
        <f t="shared" si="59"/>
        <v>3.2991529945756826E-2</v>
      </c>
      <c r="W237" s="18">
        <f t="shared" si="59"/>
        <v>3.3443650126551594E-2</v>
      </c>
      <c r="X237" s="18">
        <f t="shared" si="59"/>
        <v>3.2164812114942931E-2</v>
      </c>
      <c r="Y237" s="18">
        <f t="shared" si="59"/>
        <v>2.9524550179755193E-2</v>
      </c>
      <c r="Z237" s="18">
        <f t="shared" si="59"/>
        <v>2.6435971027198635E-2</v>
      </c>
      <c r="AA237" s="18">
        <f t="shared" si="59"/>
        <v>2.425667267784104E-2</v>
      </c>
      <c r="AB237" s="18">
        <f t="shared" si="59"/>
        <v>2.3613221123593542E-2</v>
      </c>
      <c r="AC237" s="18">
        <f t="shared" si="59"/>
        <v>2.3223746098669062E-2</v>
      </c>
      <c r="AD237" s="18">
        <f t="shared" si="59"/>
        <v>2.3207185137740005E-2</v>
      </c>
      <c r="AE237" s="18">
        <f t="shared" si="59"/>
        <v>2.1831718450417092E-2</v>
      </c>
      <c r="AF237" s="18">
        <f t="shared" si="59"/>
        <v>2.2770211782908278E-2</v>
      </c>
      <c r="AG237" s="18">
        <f t="shared" si="59"/>
        <v>2.1032007858108326E-2</v>
      </c>
      <c r="AH237" s="18">
        <f t="shared" si="59"/>
        <v>1.8449479628033894E-2</v>
      </c>
      <c r="AI237" s="18">
        <f t="shared" si="59"/>
        <v>1.616599900479998E-2</v>
      </c>
      <c r="AJ237" s="18">
        <f t="shared" si="59"/>
        <v>1.3673497493428055E-2</v>
      </c>
      <c r="AK237" s="18">
        <f t="shared" si="59"/>
        <v>1.1878188084431418E-2</v>
      </c>
      <c r="AL237" s="18">
        <f t="shared" si="59"/>
        <v>1.1761936812705986E-2</v>
      </c>
      <c r="AM237" s="18">
        <f t="shared" si="59"/>
        <v>1.0815562366571774E-2</v>
      </c>
      <c r="AN237" s="18">
        <f t="shared" si="59"/>
        <v>1.1976866246421469E-2</v>
      </c>
      <c r="AO237" s="18">
        <f t="shared" si="59"/>
        <v>1.2559412939033177E-2</v>
      </c>
      <c r="AP237" s="18">
        <f t="shared" si="59"/>
        <v>1.3163187073088611E-2</v>
      </c>
      <c r="AQ237" s="18">
        <f t="shared" si="59"/>
        <v>1.3952934144036089E-2</v>
      </c>
      <c r="AR237" s="18">
        <f t="shared" si="59"/>
        <v>1.5096105001905391E-2</v>
      </c>
      <c r="AS237" s="18">
        <f t="shared" si="59"/>
        <v>1.5500975280619E-2</v>
      </c>
      <c r="AT237" s="18">
        <f t="shared" si="59"/>
        <v>1.6120894075741132E-2</v>
      </c>
      <c r="AU237" s="18">
        <f t="shared" si="59"/>
        <v>1.6625837978113678E-2</v>
      </c>
      <c r="AV237" s="18">
        <f t="shared" si="59"/>
        <v>1.8430202810168606E-2</v>
      </c>
      <c r="AW237" s="18">
        <f t="shared" si="59"/>
        <v>1.9923554828668477E-2</v>
      </c>
      <c r="AX237" s="18">
        <f t="shared" si="59"/>
        <v>2.0267710679911399E-2</v>
      </c>
      <c r="AY237" s="18">
        <f t="shared" si="59"/>
        <v>2.1722473573924095E-2</v>
      </c>
      <c r="AZ237" s="18">
        <f t="shared" si="59"/>
        <v>2.1839626565014481E-2</v>
      </c>
      <c r="BA237" s="18">
        <f t="shared" si="59"/>
        <v>2.0940276654314083E-2</v>
      </c>
      <c r="BB237" s="18">
        <f t="shared" si="59"/>
        <v>1.9502244348234887E-2</v>
      </c>
      <c r="BC237" s="18">
        <f t="shared" si="59"/>
        <v>1.7607276786383297E-2</v>
      </c>
      <c r="BD237" s="18">
        <f t="shared" si="59"/>
        <v>1.6767669865400237E-2</v>
      </c>
      <c r="BE237" s="18">
        <f t="shared" si="59"/>
        <v>1.5410599372845724E-2</v>
      </c>
      <c r="BF237" s="18">
        <f t="shared" si="59"/>
        <v>1.4212850674095723E-2</v>
      </c>
      <c r="BG237" s="18">
        <f t="shared" si="59"/>
        <v>1.3524763331253187E-2</v>
      </c>
      <c r="BH237" s="18">
        <f t="shared" si="59"/>
        <v>1.2298205825716835E-2</v>
      </c>
      <c r="BI237" s="18">
        <f t="shared" si="59"/>
        <v>1.3257127544510361E-2</v>
      </c>
    </row>
    <row r="238" spans="1:62" x14ac:dyDescent="0.25">
      <c r="A238" s="9" t="s">
        <v>479</v>
      </c>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row>
    <row r="239" spans="1:62" x14ac:dyDescent="0.25">
      <c r="A239" s="11" t="s">
        <v>1237</v>
      </c>
      <c r="B239" s="11"/>
      <c r="C239" s="18">
        <f>SUM(C$15:C$19)/SUM(B$15:B$19)-1</f>
        <v>1.6222106749167686E-2</v>
      </c>
      <c r="D239" s="18">
        <f t="shared" ref="D239:L239" si="60">SUM(D$15:D$19)/SUM(C$15:C$19)-1</f>
        <v>2.7375456454639124E-2</v>
      </c>
      <c r="E239" s="18">
        <f t="shared" si="60"/>
        <v>1.8669231786915041E-2</v>
      </c>
      <c r="F239" s="18">
        <f t="shared" si="60"/>
        <v>2.5749570539736366E-2</v>
      </c>
      <c r="G239" s="18">
        <f t="shared" si="60"/>
        <v>1.1309804382430677E-2</v>
      </c>
      <c r="H239" s="18">
        <f t="shared" si="60"/>
        <v>-3.8860785459320368E-3</v>
      </c>
      <c r="I239" s="18">
        <f t="shared" si="60"/>
        <v>-9.5245934912487895E-3</v>
      </c>
      <c r="J239" s="18">
        <f t="shared" si="60"/>
        <v>-6.2033258405954639E-3</v>
      </c>
      <c r="K239" s="18">
        <f t="shared" si="60"/>
        <v>-8.1518547593107948E-3</v>
      </c>
      <c r="L239" s="18">
        <f t="shared" si="60"/>
        <v>-5.3797232314769516E-3</v>
      </c>
      <c r="M239" s="18">
        <f t="shared" ref="M239" si="61">SUM(M$15:M$19)/SUM(L$15:L$19)-1</f>
        <v>-5.1552701295016767E-3</v>
      </c>
      <c r="N239" s="18">
        <f t="shared" ref="N239:AI239" si="62">SUM(N$15:N$19)/SUM(M$15:M$19)-1</f>
        <v>-3.2274903629542218E-3</v>
      </c>
      <c r="O239" s="18">
        <f t="shared" si="62"/>
        <v>-5.8121473339327601E-3</v>
      </c>
      <c r="P239" s="18">
        <f t="shared" si="62"/>
        <v>6.4190138585127343E-3</v>
      </c>
      <c r="Q239" s="18">
        <f t="shared" si="62"/>
        <v>-8.648884693236214E-3</v>
      </c>
      <c r="R239" s="18">
        <f t="shared" si="62"/>
        <v>6.8524641123768326E-4</v>
      </c>
      <c r="S239" s="18">
        <f t="shared" ref="S239" si="63">SUM(S$15:S$19)/SUM(R$15:R$19)-1</f>
        <v>5.9506208641486591E-3</v>
      </c>
      <c r="T239" s="18">
        <f t="shared" ref="T239" si="64">SUM(T$15:T$19)/SUM(S$15:S$19)-1</f>
        <v>-4.5029556507361068E-3</v>
      </c>
      <c r="U239" s="18">
        <f t="shared" si="62"/>
        <v>-9.1399234359692549E-3</v>
      </c>
      <c r="V239" s="18">
        <f t="shared" si="62"/>
        <v>-8.1676059495905395E-4</v>
      </c>
      <c r="W239" s="18">
        <f t="shared" si="62"/>
        <v>-1.1714636947242063E-3</v>
      </c>
      <c r="X239" s="18">
        <f t="shared" si="62"/>
        <v>1.7455044376221585E-2</v>
      </c>
      <c r="Y239" s="18">
        <f t="shared" si="62"/>
        <v>1.5034440524153592E-2</v>
      </c>
      <c r="Z239" s="18">
        <f t="shared" si="62"/>
        <v>7.2897594494913953E-4</v>
      </c>
      <c r="AA239" s="18">
        <f t="shared" si="62"/>
        <v>5.6259167855210457E-4</v>
      </c>
      <c r="AB239" s="18">
        <f t="shared" si="62"/>
        <v>1.7875906637465633E-4</v>
      </c>
      <c r="AC239" s="18">
        <f t="shared" si="62"/>
        <v>5.0172688546079591E-4</v>
      </c>
      <c r="AD239" s="18">
        <f t="shared" si="62"/>
        <v>1.0656349738877857E-3</v>
      </c>
      <c r="AE239" s="18">
        <f t="shared" si="62"/>
        <v>1.8159127964467725E-3</v>
      </c>
      <c r="AF239" s="18">
        <f t="shared" si="62"/>
        <v>2.8126881222705347E-3</v>
      </c>
      <c r="AG239" s="18">
        <f t="shared" si="62"/>
        <v>3.8020609983786535E-3</v>
      </c>
      <c r="AH239" s="18">
        <f t="shared" si="62"/>
        <v>4.8432374840745585E-3</v>
      </c>
      <c r="AI239" s="18">
        <f t="shared" si="62"/>
        <v>5.5614156862469066E-3</v>
      </c>
      <c r="AJ239" s="18">
        <f t="shared" ref="AJ239" si="65">SUM(AJ$15:AJ$19)/SUM(AI$15:AI$19)-1</f>
        <v>6.1451748904659542E-3</v>
      </c>
      <c r="AK239" s="18">
        <f t="shared" ref="AK239" si="66">SUM(AK$15:AK$19)/SUM(AJ$15:AJ$19)-1</f>
        <v>6.5962537487949113E-3</v>
      </c>
      <c r="AL239" s="18">
        <f t="shared" ref="AL239" si="67">SUM(AL$15:AL$19)/SUM(AK$15:AK$19)-1</f>
        <v>6.4316759350970809E-3</v>
      </c>
      <c r="AM239" s="18">
        <f t="shared" ref="AM239" si="68">SUM(AM$15:AM$19)/SUM(AL$15:AL$19)-1</f>
        <v>6.1494201055218856E-3</v>
      </c>
      <c r="AN239" s="18">
        <f t="shared" ref="AN239" si="69">SUM(AN$15:AN$19)/SUM(AM$15:AM$19)-1</f>
        <v>5.6324761839756654E-3</v>
      </c>
      <c r="AO239" s="18">
        <f t="shared" ref="AO239" si="70">SUM(AO$15:AO$19)/SUM(AN$15:AN$19)-1</f>
        <v>4.8263325088118147E-3</v>
      </c>
      <c r="AP239" s="18">
        <f t="shared" ref="AP239" si="71">SUM(AP$15:AP$19)/SUM(AO$15:AO$19)-1</f>
        <v>3.7950821969003901E-3</v>
      </c>
      <c r="AQ239" s="18">
        <f t="shared" ref="AQ239" si="72">SUM(AQ$15:AQ$19)/SUM(AP$15:AP$19)-1</f>
        <v>2.9536984379714415E-3</v>
      </c>
      <c r="AR239" s="18">
        <f t="shared" ref="AR239" si="73">SUM(AR$15:AR$19)/SUM(AQ$15:AQ$19)-1</f>
        <v>1.943699865803783E-3</v>
      </c>
      <c r="AS239" s="18">
        <f t="shared" ref="AS239" si="74">SUM(AS$15:AS$19)/SUM(AR$15:AR$19)-1</f>
        <v>1.0581432139789015E-3</v>
      </c>
      <c r="AT239" s="18">
        <f t="shared" ref="AT239" si="75">SUM(AT$15:AT$19)/SUM(AS$15:AS$19)-1</f>
        <v>2.3489438454071809E-4</v>
      </c>
      <c r="AU239" s="18">
        <f t="shared" ref="AU239" si="76">SUM(AU$15:AU$19)/SUM(AT$15:AT$19)-1</f>
        <v>-4.6967844425249705E-4</v>
      </c>
      <c r="AV239" s="18">
        <f t="shared" ref="AV239" si="77">SUM(AV$15:AV$19)/SUM(AU$15:AU$19)-1</f>
        <v>-9.985356847234117E-4</v>
      </c>
      <c r="AW239" s="18">
        <f t="shared" ref="AW239" si="78">SUM(AW$15:AW$19)/SUM(AV$15:AV$19)-1</f>
        <v>-1.2935142709767922E-3</v>
      </c>
      <c r="AX239" s="18">
        <f t="shared" ref="AX239" si="79">SUM(AX$15:AX$19)/SUM(AW$15:AW$19)-1</f>
        <v>-1.5895508938735814E-3</v>
      </c>
      <c r="AY239" s="18">
        <f t="shared" ref="AY239" si="80">SUM(AY$15:AY$19)/SUM(AX$15:AX$19)-1</f>
        <v>-1.7100135581106235E-3</v>
      </c>
      <c r="AZ239" s="18">
        <f t="shared" ref="AZ239" si="81">SUM(AZ$15:AZ$19)/SUM(AY$15:AY$19)-1</f>
        <v>-1.5948087331421057E-3</v>
      </c>
      <c r="BA239" s="18">
        <f t="shared" ref="BA239" si="82">SUM(BA$15:BA$19)/SUM(AZ$15:AZ$19)-1</f>
        <v>-1.419872187357285E-3</v>
      </c>
      <c r="BB239" s="18">
        <f t="shared" ref="BB239" si="83">SUM(BB$15:BB$19)/SUM(BA$15:BA$19)-1</f>
        <v>-1.1849092424757179E-3</v>
      </c>
      <c r="BC239" s="18">
        <f t="shared" ref="BC239" si="84">SUM(BC$15:BC$19)/SUM(BB$15:BB$19)-1</f>
        <v>-6.5247320489258964E-4</v>
      </c>
      <c r="BD239" s="18">
        <f t="shared" ref="BD239" si="85">SUM(BD$15:BD$19)/SUM(BC$15:BC$19)-1</f>
        <v>-2.9677236551306496E-4</v>
      </c>
      <c r="BE239" s="18">
        <f t="shared" ref="BE239" si="86">SUM(BE$15:BE$19)/SUM(BD$15:BD$19)-1</f>
        <v>4.1560465169387939E-4</v>
      </c>
      <c r="BF239" s="18">
        <f t="shared" ref="BF239" si="87">SUM(BF$15:BF$19)/SUM(BE$15:BE$19)-1</f>
        <v>8.308639924476946E-4</v>
      </c>
      <c r="BG239" s="18">
        <f t="shared" ref="BG239" si="88">SUM(BG$15:BG$19)/SUM(BF$15:BF$19)-1</f>
        <v>1.4824539831641559E-3</v>
      </c>
      <c r="BH239" s="18">
        <f t="shared" ref="BH239" si="89">SUM(BH$15:BH$19)/SUM(BG$15:BG$19)-1</f>
        <v>1.8947322450864057E-3</v>
      </c>
      <c r="BI239" s="18">
        <f t="shared" ref="BI239" si="90">SUM(BI$15:BI$19)/SUM(BH$15:BH$19)-1</f>
        <v>2.3639362800629282E-3</v>
      </c>
    </row>
    <row r="240" spans="1:62" x14ac:dyDescent="0.25">
      <c r="A240" s="11" t="s">
        <v>1238</v>
      </c>
      <c r="B240" s="11"/>
      <c r="C240" s="18">
        <f t="shared" ref="C240" si="91">SUM(C$20:C$24)/SUM(B$20:B$24)-1</f>
        <v>-6.4519210729720999E-3</v>
      </c>
      <c r="D240" s="18">
        <f t="shared" ref="D240" si="92">SUM(D$20:D$24)/SUM(C$20:C$24)-1</f>
        <v>-3.7903563548580266E-3</v>
      </c>
      <c r="E240" s="18">
        <f t="shared" ref="E240" si="93">SUM(E$20:E$24)/SUM(D$20:D$24)-1</f>
        <v>5.4690534879575647E-3</v>
      </c>
      <c r="F240" s="18">
        <f t="shared" ref="F240" si="94">SUM(F$20:F$24)/SUM(E$20:E$24)-1</f>
        <v>-2.9625967338268167E-3</v>
      </c>
      <c r="G240" s="18">
        <f t="shared" ref="G240" si="95">SUM(G$20:G$24)/SUM(F$20:F$24)-1</f>
        <v>2.243232480499957E-3</v>
      </c>
      <c r="H240" s="18">
        <f t="shared" ref="H240" si="96">SUM(H$20:H$24)/SUM(G$20:G$24)-1</f>
        <v>1.1873316453838489E-2</v>
      </c>
      <c r="I240" s="18">
        <f t="shared" ref="I240" si="97">SUM(I$20:I$24)/SUM(H$20:H$24)-1</f>
        <v>2.3213439696372573E-2</v>
      </c>
      <c r="J240" s="18">
        <f t="shared" ref="J240" si="98">SUM(J$20:J$24)/SUM(I$20:I$24)-1</f>
        <v>2.2625016093626993E-2</v>
      </c>
      <c r="K240" s="18">
        <f t="shared" ref="K240" si="99">SUM(K$20:K$24)/SUM(J$20:J$24)-1</f>
        <v>3.0759685306732454E-2</v>
      </c>
      <c r="L240" s="18">
        <f t="shared" ref="L240" si="100">SUM(L$20:L$24)/SUM(K$20:K$24)-1</f>
        <v>1.9051171143113388E-2</v>
      </c>
      <c r="M240" s="18">
        <f t="shared" ref="M240" si="101">SUM(M$20:M$24)/SUM(L$20:L$24)-1</f>
        <v>4.8719445261367067E-3</v>
      </c>
      <c r="N240" s="18">
        <f t="shared" ref="N240" si="102">SUM(N$20:N$24)/SUM(M$20:M$24)-1</f>
        <v>4.027936620405681E-3</v>
      </c>
      <c r="O240" s="18">
        <f t="shared" ref="O240" si="103">SUM(O$20:O$24)/SUM(N$20:N$24)-1</f>
        <v>-4.2211845685398153E-3</v>
      </c>
      <c r="P240" s="18">
        <f t="shared" ref="P240" si="104">SUM(P$20:P$24)/SUM(O$20:O$24)-1</f>
        <v>5.576918687939747E-3</v>
      </c>
      <c r="Q240" s="18">
        <f t="shared" ref="Q240" si="105">SUM(Q$20:Q$24)/SUM(P$20:P$24)-1</f>
        <v>-1.8231824416533704E-2</v>
      </c>
      <c r="R240" s="18">
        <f t="shared" ref="R240" si="106">SUM(R$20:R$24)/SUM(Q$20:Q$24)-1</f>
        <v>-7.8195591158545241E-3</v>
      </c>
      <c r="S240" s="18">
        <f t="shared" ref="S240" si="107">SUM(S$20:S$24)/SUM(R$20:R$24)-1</f>
        <v>1.3453437297444193E-2</v>
      </c>
      <c r="T240" s="18">
        <f t="shared" ref="T240" si="108">SUM(T$20:T$24)/SUM(S$20:S$24)-1</f>
        <v>1.1874071253343388E-2</v>
      </c>
      <c r="U240" s="18">
        <f t="shared" ref="U240" si="109">SUM(U$20:U$24)/SUM(T$20:T$24)-1</f>
        <v>-3.709576839274531E-3</v>
      </c>
      <c r="V240" s="18">
        <f t="shared" ref="V240" si="110">SUM(V$20:V$24)/SUM(U$20:U$24)-1</f>
        <v>8.7200795687201182E-3</v>
      </c>
      <c r="W240" s="18">
        <f t="shared" ref="W240" si="111">SUM(W$20:W$24)/SUM(V$20:V$24)-1</f>
        <v>9.2530463007500785E-3</v>
      </c>
      <c r="X240" s="18">
        <f t="shared" ref="X240" si="112">SUM(X$20:X$24)/SUM(W$20:W$24)-1</f>
        <v>-3.3575375530695561E-3</v>
      </c>
      <c r="Y240" s="18">
        <f t="shared" ref="Y240" si="113">SUM(Y$20:Y$24)/SUM(X$20:X$24)-1</f>
        <v>-3.9216714667790198E-3</v>
      </c>
      <c r="Z240" s="18">
        <f t="shared" ref="Z240" si="114">SUM(Z$20:Z$24)/SUM(Y$20:Y$24)-1</f>
        <v>-7.6301963521958616E-3</v>
      </c>
      <c r="AA240" s="18">
        <f t="shared" ref="AA240" si="115">SUM(AA$20:AA$24)/SUM(Z$20:Z$24)-1</f>
        <v>-8.4669005632651562E-3</v>
      </c>
      <c r="AB240" s="18">
        <f t="shared" ref="AB240" si="116">SUM(AB$20:AB$24)/SUM(AA$20:AA$24)-1</f>
        <v>-1.0410621912374962E-2</v>
      </c>
      <c r="AC240" s="18">
        <f t="shared" ref="AC240" si="117">SUM(AC$20:AC$24)/SUM(AB$20:AB$24)-1</f>
        <v>4.8336925031435829E-3</v>
      </c>
      <c r="AD240" s="18">
        <f t="shared" ref="AD240" si="118">SUM(AD$20:AD$24)/SUM(AC$20:AC$24)-1</f>
        <v>3.9084827550126544E-3</v>
      </c>
      <c r="AE240" s="18">
        <f t="shared" ref="AE240" si="119">SUM(AE$20:AE$24)/SUM(AD$20:AD$24)-1</f>
        <v>6.5886039864992973E-4</v>
      </c>
      <c r="AF240" s="18">
        <f t="shared" ref="AF240" si="120">SUM(AF$20:AF$24)/SUM(AE$20:AE$24)-1</f>
        <v>4.7885569996064525E-4</v>
      </c>
      <c r="AG240" s="18">
        <f t="shared" ref="AG240" si="121">SUM(AG$20:AG$24)/SUM(AF$20:AF$24)-1</f>
        <v>4.1879819356349657E-4</v>
      </c>
      <c r="AH240" s="18">
        <f t="shared" ref="AH240" si="122">SUM(AH$20:AH$24)/SUM(AG$20:AG$24)-1</f>
        <v>7.1763921438794398E-4</v>
      </c>
      <c r="AI240" s="18">
        <f t="shared" ref="AI240" si="123">SUM(AI$20:AI$24)/SUM(AH$20:AH$24)-1</f>
        <v>1.3147283923939934E-3</v>
      </c>
      <c r="AJ240" s="18">
        <f t="shared" ref="AJ240" si="124">SUM(AJ$20:AJ$24)/SUM(AI$20:AI$24)-1</f>
        <v>2.0888670587058122E-3</v>
      </c>
      <c r="AK240" s="18">
        <f t="shared" ref="AK240" si="125">SUM(AK$20:AK$24)/SUM(AJ$20:AJ$24)-1</f>
        <v>2.918317904051726E-3</v>
      </c>
      <c r="AL240" s="18">
        <f t="shared" ref="AL240" si="126">SUM(AL$20:AL$24)/SUM(AK$20:AK$24)-1</f>
        <v>3.9787418189929369E-3</v>
      </c>
      <c r="AM240" s="18">
        <f t="shared" ref="AM240" si="127">SUM(AM$20:AM$24)/SUM(AL$20:AL$24)-1</f>
        <v>4.7319094542606077E-3</v>
      </c>
      <c r="AN240" s="18">
        <f t="shared" ref="AN240" si="128">SUM(AN$20:AN$24)/SUM(AM$20:AM$24)-1</f>
        <v>5.6515487282542409E-3</v>
      </c>
      <c r="AO240" s="18">
        <f t="shared" ref="AO240" si="129">SUM(AO$20:AO$24)/SUM(AN$20:AN$24)-1</f>
        <v>6.2051828276625809E-3</v>
      </c>
      <c r="AP240" s="18">
        <f t="shared" ref="AP240" si="130">SUM(AP$20:AP$24)/SUM(AO$20:AO$24)-1</f>
        <v>6.5159867026995943E-3</v>
      </c>
      <c r="AQ240" s="18">
        <f t="shared" ref="AQ240" si="131">SUM(AQ$20:AQ$24)/SUM(AP$20:AP$24)-1</f>
        <v>6.4160016684409182E-3</v>
      </c>
      <c r="AR240" s="18">
        <f t="shared" ref="AR240" si="132">SUM(AR$20:AR$24)/SUM(AQ$20:AQ$24)-1</f>
        <v>6.2027990488957574E-3</v>
      </c>
      <c r="AS240" s="18">
        <f t="shared" ref="AS240" si="133">SUM(AS$20:AS$24)/SUM(AR$20:AR$24)-1</f>
        <v>5.6508480532244665E-3</v>
      </c>
      <c r="AT240" s="18">
        <f t="shared" ref="AT240" si="134">SUM(AT$20:AT$24)/SUM(AS$20:AS$24)-1</f>
        <v>4.8244758475648464E-3</v>
      </c>
      <c r="AU240" s="18">
        <f t="shared" ref="AU240" si="135">SUM(AU$20:AU$24)/SUM(AT$20:AT$24)-1</f>
        <v>3.9540216747475654E-3</v>
      </c>
      <c r="AV240" s="18">
        <f t="shared" ref="AV240" si="136">SUM(AV$20:AV$24)/SUM(AU$20:AU$24)-1</f>
        <v>3.0382320565436327E-3</v>
      </c>
      <c r="AW240" s="18">
        <f t="shared" ref="AW240" si="137">SUM(AW$20:AW$24)/SUM(AV$20:AV$24)-1</f>
        <v>2.0754459080090104E-3</v>
      </c>
      <c r="AX240" s="18">
        <f t="shared" ref="AX240" si="138">SUM(AX$20:AX$24)/SUM(AW$20:AW$24)-1</f>
        <v>1.2874699766298736E-3</v>
      </c>
      <c r="AY240" s="18">
        <f t="shared" ref="AY240" si="139">SUM(AY$20:AY$24)/SUM(AX$20:AX$24)-1</f>
        <v>4.4723983618366603E-4</v>
      </c>
      <c r="AZ240" s="18">
        <f t="shared" ref="AZ240" si="140">SUM(AZ$20:AZ$24)/SUM(AY$20:AY$24)-1</f>
        <v>-1.1175997553281025E-4</v>
      </c>
      <c r="BA240" s="18">
        <f t="shared" ref="BA240" si="141">SUM(BA$20:BA$24)/SUM(AZ$20:AZ$24)-1</f>
        <v>-5.5886233610491498E-4</v>
      </c>
      <c r="BB240" s="18">
        <f t="shared" ref="BB240" si="142">SUM(BB$20:BB$24)/SUM(BA$20:BA$24)-1</f>
        <v>-1.1742671595083021E-3</v>
      </c>
      <c r="BC240" s="18">
        <f t="shared" ref="BC240" si="143">SUM(BC$20:BC$24)/SUM(BB$20:BB$24)-1</f>
        <v>-1.1756476839748231E-3</v>
      </c>
      <c r="BD240" s="18">
        <f t="shared" ref="BD240" si="144">SUM(BD$20:BD$24)/SUM(BC$20:BC$24)-1</f>
        <v>-1.3451788094659411E-3</v>
      </c>
      <c r="BE240" s="18">
        <f t="shared" ref="BE240" si="145">SUM(BE$20:BE$24)/SUM(BD$20:BD$24)-1</f>
        <v>-1.3469907528832481E-3</v>
      </c>
      <c r="BF240" s="18">
        <f t="shared" ref="BF240" si="146">SUM(BF$20:BF$24)/SUM(BE$20:BE$24)-1</f>
        <v>-1.0678060041794391E-3</v>
      </c>
      <c r="BG240" s="18">
        <f t="shared" ref="BG240" si="147">SUM(BG$20:BG$24)/SUM(BF$20:BF$24)-1</f>
        <v>-7.3138508550840697E-4</v>
      </c>
      <c r="BH240" s="18">
        <f t="shared" ref="BH240" si="148">SUM(BH$20:BH$24)/SUM(BG$20:BG$24)-1</f>
        <v>-4.5041255456834683E-4</v>
      </c>
      <c r="BI240" s="18">
        <f t="shared" ref="BI240" si="149">SUM(BI$20:BI$24)/SUM(BH$20:BH$24)-1</f>
        <v>1.1265387936365556E-4</v>
      </c>
    </row>
    <row r="241" spans="1:61" x14ac:dyDescent="0.25">
      <c r="A241" s="11" t="s">
        <v>1239</v>
      </c>
      <c r="B241" s="11"/>
      <c r="C241" s="18">
        <f>SUM(C$25:C$29)/SUM(B$25:B$29)-1</f>
        <v>-1.6038348114192913E-2</v>
      </c>
      <c r="D241" s="18">
        <f t="shared" ref="D241:BI241" si="150">SUM(D$25:D$29)/SUM(C$25:C$29)-1</f>
        <v>-8.6853965644098086E-3</v>
      </c>
      <c r="E241" s="18">
        <f t="shared" si="150"/>
        <v>-6.4293155576707894E-3</v>
      </c>
      <c r="F241" s="18">
        <f t="shared" si="150"/>
        <v>4.6748003796224236E-3</v>
      </c>
      <c r="G241" s="18">
        <f t="shared" si="150"/>
        <v>2.2250743261909012E-3</v>
      </c>
      <c r="H241" s="18">
        <f t="shared" si="150"/>
        <v>-8.0008134741104131E-3</v>
      </c>
      <c r="I241" s="18">
        <f t="shared" si="150"/>
        <v>-7.7516673172518535E-3</v>
      </c>
      <c r="J241" s="18">
        <f t="shared" si="150"/>
        <v>4.9586872990396991E-3</v>
      </c>
      <c r="K241" s="18">
        <f t="shared" si="150"/>
        <v>2.2120207966369598E-4</v>
      </c>
      <c r="L241" s="18">
        <f t="shared" si="150"/>
        <v>3.6551180610202572E-3</v>
      </c>
      <c r="M241" s="18">
        <f t="shared" si="150"/>
        <v>1.3760789589064792E-2</v>
      </c>
      <c r="N241" s="18">
        <f t="shared" si="150"/>
        <v>2.8813397889233316E-2</v>
      </c>
      <c r="O241" s="18">
        <f t="shared" si="150"/>
        <v>1.8642620525423093E-2</v>
      </c>
      <c r="P241" s="18">
        <f t="shared" si="150"/>
        <v>3.7960685390370452E-2</v>
      </c>
      <c r="Q241" s="18">
        <f t="shared" si="150"/>
        <v>1.0140735702135251E-2</v>
      </c>
      <c r="R241" s="18">
        <f t="shared" si="150"/>
        <v>6.9106872696516053E-3</v>
      </c>
      <c r="S241" s="18">
        <f t="shared" si="150"/>
        <v>2.5291260754123135E-2</v>
      </c>
      <c r="T241" s="18">
        <f t="shared" si="150"/>
        <v>1.3839402642231935E-2</v>
      </c>
      <c r="U241" s="18">
        <f t="shared" si="150"/>
        <v>-1.8554753322379547E-3</v>
      </c>
      <c r="V241" s="18">
        <f t="shared" si="150"/>
        <v>4.0673989234338848E-3</v>
      </c>
      <c r="W241" s="18">
        <f t="shared" si="150"/>
        <v>8.1175716933581388E-3</v>
      </c>
      <c r="X241" s="18">
        <f t="shared" si="150"/>
        <v>4.3726885170296548E-3</v>
      </c>
      <c r="Y241" s="18">
        <f t="shared" si="150"/>
        <v>8.846801646814173E-3</v>
      </c>
      <c r="Z241" s="18">
        <f t="shared" si="150"/>
        <v>-3.5641370130178318E-3</v>
      </c>
      <c r="AA241" s="18">
        <f t="shared" si="150"/>
        <v>-5.4100192378314649E-4</v>
      </c>
      <c r="AB241" s="18">
        <f t="shared" si="150"/>
        <v>-1.5294451654468411E-3</v>
      </c>
      <c r="AC241" s="18">
        <f t="shared" si="150"/>
        <v>-1.2498155608178796E-2</v>
      </c>
      <c r="AD241" s="18">
        <f t="shared" si="150"/>
        <v>-1.2051033422216029E-2</v>
      </c>
      <c r="AE241" s="18">
        <f t="shared" si="150"/>
        <v>-7.4079374347424398E-3</v>
      </c>
      <c r="AF241" s="18">
        <f t="shared" si="150"/>
        <v>-8.0804837072412372E-3</v>
      </c>
      <c r="AG241" s="18">
        <f t="shared" si="150"/>
        <v>-9.7868861165366638E-3</v>
      </c>
      <c r="AH241" s="18">
        <f t="shared" si="150"/>
        <v>4.8561118781145218E-3</v>
      </c>
      <c r="AI241" s="18">
        <f t="shared" si="150"/>
        <v>3.9798244854905018E-3</v>
      </c>
      <c r="AJ241" s="18">
        <f t="shared" si="150"/>
        <v>9.0606817580063392E-4</v>
      </c>
      <c r="AK241" s="18">
        <f t="shared" si="150"/>
        <v>7.3551396703952499E-4</v>
      </c>
      <c r="AL241" s="18">
        <f t="shared" si="150"/>
        <v>6.219005555656576E-4</v>
      </c>
      <c r="AM241" s="18">
        <f t="shared" si="150"/>
        <v>1.0170229674135722E-3</v>
      </c>
      <c r="AN241" s="18">
        <f t="shared" si="150"/>
        <v>1.5239845238574912E-3</v>
      </c>
      <c r="AO241" s="18">
        <f t="shared" si="150"/>
        <v>2.1979613198697123E-3</v>
      </c>
      <c r="AP241" s="18">
        <f t="shared" si="150"/>
        <v>3.0366566045227916E-3</v>
      </c>
      <c r="AQ241" s="18">
        <f t="shared" si="150"/>
        <v>4.0366176510471252E-3</v>
      </c>
      <c r="AR241" s="18">
        <f t="shared" si="150"/>
        <v>4.8021311602355343E-3</v>
      </c>
      <c r="AS241" s="18">
        <f t="shared" si="150"/>
        <v>5.5571871007944473E-3</v>
      </c>
      <c r="AT241" s="18">
        <f t="shared" si="150"/>
        <v>6.1343877414536951E-3</v>
      </c>
      <c r="AU241" s="18">
        <f t="shared" si="150"/>
        <v>6.3716254922783211E-3</v>
      </c>
      <c r="AV241" s="18">
        <f t="shared" si="150"/>
        <v>6.3312849159091744E-3</v>
      </c>
      <c r="AW241" s="18">
        <f t="shared" si="150"/>
        <v>6.1829786318052804E-3</v>
      </c>
      <c r="AX241" s="18">
        <f t="shared" si="150"/>
        <v>5.5520472410366395E-3</v>
      </c>
      <c r="AY241" s="18">
        <f t="shared" si="150"/>
        <v>4.8245174656136314E-3</v>
      </c>
      <c r="AZ241" s="18">
        <f t="shared" si="150"/>
        <v>4.001127710821617E-3</v>
      </c>
      <c r="BA241" s="18">
        <f t="shared" si="150"/>
        <v>3.0287386899234825E-3</v>
      </c>
      <c r="BB241" s="18">
        <f t="shared" si="150"/>
        <v>2.3309139961518177E-3</v>
      </c>
      <c r="BC241" s="18">
        <f t="shared" si="150"/>
        <v>1.4798594814644517E-3</v>
      </c>
      <c r="BD241" s="18">
        <f t="shared" si="150"/>
        <v>6.8606234053469883E-4</v>
      </c>
      <c r="BE241" s="18">
        <f t="shared" si="150"/>
        <v>1.0547568949159647E-4</v>
      </c>
      <c r="BF241" s="18">
        <f t="shared" si="150"/>
        <v>-3.6912597940319536E-4</v>
      </c>
      <c r="BG241" s="18">
        <f t="shared" si="150"/>
        <v>-6.8577281259563083E-4</v>
      </c>
      <c r="BH241" s="18">
        <f t="shared" si="150"/>
        <v>-8.9739524111442925E-4</v>
      </c>
      <c r="BI241" s="18">
        <f t="shared" si="150"/>
        <v>-1.0567073913776426E-3</v>
      </c>
    </row>
    <row r="242" spans="1:61" x14ac:dyDescent="0.25">
      <c r="A242" s="11" t="s">
        <v>1240</v>
      </c>
      <c r="B242" s="11"/>
      <c r="C242" s="18">
        <f t="shared" ref="C242" si="151">SUM(C$30:C$34)/SUM(B$30:B$34)-1</f>
        <v>1.554383042387153E-2</v>
      </c>
      <c r="D242" s="18">
        <f t="shared" ref="D242" si="152">SUM(D$30:D$34)/SUM(C$30:C$34)-1</f>
        <v>3.8607929978988764E-3</v>
      </c>
      <c r="E242" s="18">
        <f t="shared" ref="E242" si="153">SUM(E$30:E$34)/SUM(D$30:D$34)-1</f>
        <v>-3.8653128141641346E-4</v>
      </c>
      <c r="F242" s="18">
        <f t="shared" ref="F242" si="154">SUM(F$30:F$34)/SUM(E$30:E$34)-1</f>
        <v>-2.7513098186242591E-3</v>
      </c>
      <c r="G242" s="18">
        <f t="shared" ref="G242" si="155">SUM(G$30:G$34)/SUM(F$30:F$34)-1</f>
        <v>-1.168264334413649E-2</v>
      </c>
      <c r="H242" s="18">
        <f t="shared" ref="H242" si="156">SUM(H$30:H$34)/SUM(G$30:G$34)-1</f>
        <v>-7.6416182671066313E-3</v>
      </c>
      <c r="I242" s="18">
        <f t="shared" ref="I242" si="157">SUM(I$30:I$34)/SUM(H$30:H$34)-1</f>
        <v>-6.5660598286492178E-3</v>
      </c>
      <c r="J242" s="18">
        <f t="shared" ref="J242" si="158">SUM(J$30:J$34)/SUM(I$30:I$34)-1</f>
        <v>-7.16457642363999E-3</v>
      </c>
      <c r="K242" s="18">
        <f t="shared" ref="K242" si="159">SUM(K$30:K$34)/SUM(J$30:J$34)-1</f>
        <v>4.7635116394577626E-3</v>
      </c>
      <c r="L242" s="18">
        <f t="shared" ref="L242" si="160">SUM(L$30:L$34)/SUM(K$30:K$34)-1</f>
        <v>8.2103728712885626E-3</v>
      </c>
      <c r="M242" s="18">
        <f t="shared" ref="M242" si="161">SUM(M$30:M$34)/SUM(L$30:L$34)-1</f>
        <v>5.0762100718073633E-3</v>
      </c>
      <c r="N242" s="18">
        <f t="shared" ref="N242" si="162">SUM(N$30:N$34)/SUM(M$30:M$34)-1</f>
        <v>-1.7782170663971364E-4</v>
      </c>
      <c r="O242" s="18">
        <f t="shared" ref="O242" si="163">SUM(O$30:O$34)/SUM(N$30:N$34)-1</f>
        <v>9.5821623235179398E-3</v>
      </c>
      <c r="P242" s="18">
        <f t="shared" ref="P242" si="164">SUM(P$30:P$34)/SUM(O$30:O$34)-1</f>
        <v>6.7791132241845631E-4</v>
      </c>
      <c r="Q242" s="18">
        <f t="shared" ref="Q242" si="165">SUM(Q$30:Q$34)/SUM(P$30:P$34)-1</f>
        <v>4.5501878371521087E-3</v>
      </c>
      <c r="R242" s="18">
        <f t="shared" ref="R242" si="166">SUM(R$30:R$34)/SUM(Q$30:Q$34)-1</f>
        <v>1.4227868660658283E-2</v>
      </c>
      <c r="S242" s="18">
        <f t="shared" ref="S242" si="167">SUM(S$30:S$34)/SUM(R$30:R$34)-1</f>
        <v>2.9429713897188625E-2</v>
      </c>
      <c r="T242" s="18">
        <f t="shared" ref="T242" si="168">SUM(T$30:T$34)/SUM(S$30:S$34)-1</f>
        <v>3.994568469964288E-2</v>
      </c>
      <c r="U242" s="18">
        <f t="shared" ref="U242" si="169">SUM(U$30:U$34)/SUM(T$30:T$34)-1</f>
        <v>2.5822338211429541E-2</v>
      </c>
      <c r="V242" s="18">
        <f t="shared" ref="V242" si="170">SUM(V$30:V$34)/SUM(U$30:U$34)-1</f>
        <v>2.0164677619544547E-2</v>
      </c>
      <c r="W242" s="18">
        <f t="shared" ref="W242" si="171">SUM(W$30:W$34)/SUM(V$30:V$34)-1</f>
        <v>8.8882632829039299E-3</v>
      </c>
      <c r="X242" s="18">
        <f t="shared" ref="X242" si="172">SUM(X$30:X$34)/SUM(W$30:W$34)-1</f>
        <v>2.887552746333677E-3</v>
      </c>
      <c r="Y242" s="18">
        <f t="shared" ref="Y242" si="173">SUM(Y$30:Y$34)/SUM(X$30:X$34)-1</f>
        <v>1.9565539167207824E-3</v>
      </c>
      <c r="Z242" s="18">
        <f t="shared" ref="Z242" si="174">SUM(Z$30:Z$34)/SUM(Y$30:Y$34)-1</f>
        <v>-2.2186136847274218E-3</v>
      </c>
      <c r="AA242" s="18">
        <f t="shared" ref="AA242" si="175">SUM(AA$30:AA$34)/SUM(Z$30:Z$34)-1</f>
        <v>-5.0374542500862818E-3</v>
      </c>
      <c r="AB242" s="18">
        <f t="shared" ref="AB242" si="176">SUM(AB$30:AB$34)/SUM(AA$30:AA$34)-1</f>
        <v>-3.1467095869239792E-3</v>
      </c>
      <c r="AC242" s="18">
        <f t="shared" ref="AC242" si="177">SUM(AC$30:AC$34)/SUM(AB$30:AB$34)-1</f>
        <v>-6.7575363595289151E-3</v>
      </c>
      <c r="AD242" s="18">
        <f t="shared" ref="AD242" si="178">SUM(AD$30:AD$34)/SUM(AC$30:AC$34)-1</f>
        <v>-1.7873631472637985E-3</v>
      </c>
      <c r="AE242" s="18">
        <f t="shared" ref="AE242" si="179">SUM(AE$30:AE$34)/SUM(AD$30:AD$34)-1</f>
        <v>-3.927687753180642E-3</v>
      </c>
      <c r="AF242" s="18">
        <f t="shared" ref="AF242" si="180">SUM(AF$30:AF$34)/SUM(AE$30:AE$34)-1</f>
        <v>-5.7987872273124186E-4</v>
      </c>
      <c r="AG242" s="18">
        <f t="shared" ref="AG242" si="181">SUM(AG$30:AG$34)/SUM(AF$30:AF$34)-1</f>
        <v>-1.624602496067773E-3</v>
      </c>
      <c r="AH242" s="18">
        <f t="shared" ref="AH242" si="182">SUM(AH$30:AH$34)/SUM(AG$30:AG$34)-1</f>
        <v>-1.3192316792482339E-2</v>
      </c>
      <c r="AI242" s="18">
        <f t="shared" ref="AI242" si="183">SUM(AI$30:AI$34)/SUM(AH$30:AH$34)-1</f>
        <v>-1.2544180533896165E-2</v>
      </c>
      <c r="AJ242" s="18">
        <f t="shared" ref="AJ242" si="184">SUM(AJ$30:AJ$34)/SUM(AI$30:AI$34)-1</f>
        <v>-7.7533318204161539E-3</v>
      </c>
      <c r="AK242" s="18">
        <f t="shared" ref="AK242" si="185">SUM(AK$30:AK$34)/SUM(AJ$30:AJ$34)-1</f>
        <v>-8.3548790963987596E-3</v>
      </c>
      <c r="AL242" s="18">
        <f t="shared" ref="AL242" si="186">SUM(AL$30:AL$34)/SUM(AK$30:AK$34)-1</f>
        <v>-1.018306161695004E-2</v>
      </c>
      <c r="AM242" s="18">
        <f t="shared" ref="AM242" si="187">SUM(AM$30:AM$34)/SUM(AL$30:AL$34)-1</f>
        <v>5.5113338325170069E-3</v>
      </c>
      <c r="AN242" s="18">
        <f t="shared" ref="AN242" si="188">SUM(AN$30:AN$34)/SUM(AM$30:AM$34)-1</f>
        <v>4.5067032053320855E-3</v>
      </c>
      <c r="AO242" s="18">
        <f t="shared" ref="AO242" si="189">SUM(AO$30:AO$34)/SUM(AN$30:AN$34)-1</f>
        <v>1.2125632307342649E-3</v>
      </c>
      <c r="AP242" s="18">
        <f t="shared" ref="AP242" si="190">SUM(AP$30:AP$34)/SUM(AO$30:AO$34)-1</f>
        <v>1.0294304965554613E-3</v>
      </c>
      <c r="AQ242" s="18">
        <f t="shared" ref="AQ242" si="191">SUM(AQ$30:AQ$34)/SUM(AP$30:AP$34)-1</f>
        <v>1.0888643215078986E-3</v>
      </c>
      <c r="AR242" s="18">
        <f t="shared" ref="AR242" si="192">SUM(AR$30:AR$34)/SUM(AQ$30:AQ$34)-1</f>
        <v>1.3293866490402539E-3</v>
      </c>
      <c r="AS242" s="18">
        <f t="shared" ref="AS242" si="193">SUM(AS$30:AS$34)/SUM(AR$30:AR$34)-1</f>
        <v>1.8103932633299902E-3</v>
      </c>
      <c r="AT242" s="18">
        <f t="shared" ref="AT242" si="194">SUM(AT$30:AT$34)/SUM(AS$30:AS$34)-1</f>
        <v>2.6504451049214062E-3</v>
      </c>
      <c r="AU242" s="18">
        <f t="shared" ref="AU242" si="195">SUM(AU$30:AU$34)/SUM(AT$30:AT$34)-1</f>
        <v>3.5446111389025869E-3</v>
      </c>
      <c r="AV242" s="18">
        <f t="shared" ref="AV242" si="196">SUM(AV$30:AV$34)/SUM(AU$30:AU$34)-1</f>
        <v>4.4899465028618302E-3</v>
      </c>
      <c r="AW242" s="18">
        <f t="shared" ref="AW242" si="197">SUM(AW$30:AW$34)/SUM(AV$30:AV$34)-1</f>
        <v>5.3638523931398563E-3</v>
      </c>
      <c r="AX242" s="18">
        <f t="shared" ref="AX242" si="198">SUM(AX$30:AX$34)/SUM(AW$30:AW$34)-1</f>
        <v>6.2837211989295039E-3</v>
      </c>
      <c r="AY242" s="18">
        <f t="shared" ref="AY242" si="199">SUM(AY$30:AY$34)/SUM(AX$30:AX$34)-1</f>
        <v>6.7746745309855694E-3</v>
      </c>
      <c r="AZ242" s="18">
        <f t="shared" ref="AZ242" si="200">SUM(AZ$30:AZ$34)/SUM(AY$30:AY$34)-1</f>
        <v>7.0801699637348392E-3</v>
      </c>
      <c r="BA242" s="18">
        <f t="shared" ref="BA242" si="201">SUM(BA$30:BA$34)/SUM(AZ$30:AZ$34)-1</f>
        <v>6.9722911559606526E-3</v>
      </c>
      <c r="BB242" s="18">
        <f t="shared" ref="BB242" si="202">SUM(BB$30:BB$34)/SUM(BA$30:BA$34)-1</f>
        <v>6.7509145353521482E-3</v>
      </c>
      <c r="BC242" s="18">
        <f t="shared" ref="BC242" si="203">SUM(BC$30:BC$34)/SUM(BB$30:BB$34)-1</f>
        <v>6.1898264280437765E-3</v>
      </c>
      <c r="BD242" s="18">
        <f t="shared" ref="BD242" si="204">SUM(BD$30:BD$34)/SUM(BC$30:BC$34)-1</f>
        <v>5.3542993371640257E-3</v>
      </c>
      <c r="BE242" s="18">
        <f t="shared" ref="BE242" si="205">SUM(BE$30:BE$34)/SUM(BD$30:BD$34)-1</f>
        <v>4.475924429262701E-3</v>
      </c>
      <c r="BF242" s="18">
        <f t="shared" ref="BF242" si="206">SUM(BF$30:BF$34)/SUM(BE$30:BE$34)-1</f>
        <v>3.5535028788142853E-3</v>
      </c>
      <c r="BG242" s="18">
        <f t="shared" ref="BG242" si="207">SUM(BG$30:BG$34)/SUM(BF$30:BF$34)-1</f>
        <v>2.6416388858250262E-3</v>
      </c>
      <c r="BH242" s="18">
        <f t="shared" ref="BH242" si="208">SUM(BH$30:BH$34)/SUM(BG$30:BG$34)-1</f>
        <v>1.7938240104078407E-3</v>
      </c>
      <c r="BI242" s="18">
        <f t="shared" ref="BI242" si="209">SUM(BI$30:BI$34)/SUM(BH$30:BH$34)-1</f>
        <v>1.0631758558021787E-3</v>
      </c>
    </row>
    <row r="243" spans="1:61" x14ac:dyDescent="0.25">
      <c r="A243" s="11" t="s">
        <v>848</v>
      </c>
      <c r="B243" s="11"/>
      <c r="C243" s="18">
        <f>SUM(C$35:C$39)/SUM(B$35:B$39)-1</f>
        <v>-1.8997984469797391E-3</v>
      </c>
      <c r="D243" s="18">
        <f t="shared" ref="D243:BI243" si="210">SUM(D$35:D$39)/SUM(C$35:C$39)-1</f>
        <v>-9.7627378712339397E-4</v>
      </c>
      <c r="E243" s="18">
        <f t="shared" si="210"/>
        <v>7.8765783414751489E-3</v>
      </c>
      <c r="F243" s="18">
        <f t="shared" si="210"/>
        <v>2.4823543349302035E-2</v>
      </c>
      <c r="G243" s="18">
        <f t="shared" si="210"/>
        <v>2.4259295759812893E-2</v>
      </c>
      <c r="H243" s="18">
        <f t="shared" si="210"/>
        <v>1.0553672016346827E-2</v>
      </c>
      <c r="I243" s="18">
        <f t="shared" si="210"/>
        <v>7.1153756377564381E-3</v>
      </c>
      <c r="J243" s="18">
        <f t="shared" si="210"/>
        <v>1.3698879598035063E-2</v>
      </c>
      <c r="K243" s="18">
        <f t="shared" si="210"/>
        <v>1.4560906814758745E-2</v>
      </c>
      <c r="L243" s="18">
        <f t="shared" si="210"/>
        <v>1.206989886522214E-2</v>
      </c>
      <c r="M243" s="18">
        <f t="shared" si="210"/>
        <v>7.1349765660801978E-3</v>
      </c>
      <c r="N243" s="18">
        <f t="shared" si="210"/>
        <v>-1.7901446131111109E-3</v>
      </c>
      <c r="O243" s="18">
        <f t="shared" si="210"/>
        <v>-3.0476025999561784E-3</v>
      </c>
      <c r="P243" s="18">
        <f t="shared" si="210"/>
        <v>8.8824244897653948E-3</v>
      </c>
      <c r="Q243" s="18">
        <f t="shared" si="210"/>
        <v>-1.2055456488516247E-2</v>
      </c>
      <c r="R243" s="18">
        <f t="shared" si="210"/>
        <v>-2.1941033782021946E-2</v>
      </c>
      <c r="S243" s="18">
        <f t="shared" si="210"/>
        <v>-3.1931143568479925E-3</v>
      </c>
      <c r="T243" s="18">
        <f t="shared" si="210"/>
        <v>2.2213571733262549E-2</v>
      </c>
      <c r="U243" s="18">
        <f t="shared" si="210"/>
        <v>-6.5228280314086895E-3</v>
      </c>
      <c r="V243" s="18">
        <f t="shared" si="210"/>
        <v>2.7821225971260688E-3</v>
      </c>
      <c r="W243" s="18">
        <f t="shared" si="210"/>
        <v>2.2388003502223475E-2</v>
      </c>
      <c r="X243" s="18">
        <f t="shared" si="210"/>
        <v>2.9985578466924956E-2</v>
      </c>
      <c r="Y243" s="18">
        <f t="shared" si="210"/>
        <v>2.1141278812086162E-2</v>
      </c>
      <c r="Z243" s="18">
        <f t="shared" si="210"/>
        <v>2.6033032391815647E-2</v>
      </c>
      <c r="AA243" s="18">
        <f t="shared" si="210"/>
        <v>2.190527397704134E-2</v>
      </c>
      <c r="AB243" s="18">
        <f t="shared" si="210"/>
        <v>9.932060423798017E-3</v>
      </c>
      <c r="AC243" s="18">
        <f t="shared" si="210"/>
        <v>3.900143085860952E-3</v>
      </c>
      <c r="AD243" s="18">
        <f t="shared" si="210"/>
        <v>2.4419943836015978E-3</v>
      </c>
      <c r="AE243" s="18">
        <f t="shared" si="210"/>
        <v>-2.6575042625364143E-3</v>
      </c>
      <c r="AF243" s="18">
        <f t="shared" si="210"/>
        <v>-4.9960976430383219E-3</v>
      </c>
      <c r="AG243" s="18">
        <f t="shared" si="210"/>
        <v>-3.0127103810568823E-3</v>
      </c>
      <c r="AH243" s="18">
        <f t="shared" si="210"/>
        <v>-6.3234260784168494E-3</v>
      </c>
      <c r="AI243" s="18">
        <f t="shared" si="210"/>
        <v>-1.3515751330717141E-3</v>
      </c>
      <c r="AJ243" s="18">
        <f t="shared" si="210"/>
        <v>-3.49629459860612E-3</v>
      </c>
      <c r="AK243" s="18">
        <f t="shared" si="210"/>
        <v>-3.3953821581766963E-4</v>
      </c>
      <c r="AL243" s="18">
        <f t="shared" si="210"/>
        <v>-1.245396317641756E-3</v>
      </c>
      <c r="AM243" s="18">
        <f t="shared" si="210"/>
        <v>-1.2526172148615178E-2</v>
      </c>
      <c r="AN243" s="18">
        <f t="shared" si="210"/>
        <v>-1.1996285542650087E-2</v>
      </c>
      <c r="AO243" s="18">
        <f t="shared" si="210"/>
        <v>-7.1457372409385878E-3</v>
      </c>
      <c r="AP243" s="18">
        <f t="shared" si="210"/>
        <v>-7.8993288660722527E-3</v>
      </c>
      <c r="AQ243" s="18">
        <f t="shared" si="210"/>
        <v>-9.4956906755875314E-3</v>
      </c>
      <c r="AR243" s="18">
        <f t="shared" si="210"/>
        <v>5.656762156714068E-3</v>
      </c>
      <c r="AS243" s="18">
        <f t="shared" si="210"/>
        <v>4.6775843377273585E-3</v>
      </c>
      <c r="AT243" s="18">
        <f t="shared" si="210"/>
        <v>1.5322907174066813E-3</v>
      </c>
      <c r="AU243" s="18">
        <f t="shared" si="210"/>
        <v>1.2357259342195004E-3</v>
      </c>
      <c r="AV243" s="18">
        <f t="shared" si="210"/>
        <v>1.4105152003227595E-3</v>
      </c>
      <c r="AW243" s="18">
        <f t="shared" si="210"/>
        <v>1.4672171349319196E-3</v>
      </c>
      <c r="AX243" s="18">
        <f t="shared" si="210"/>
        <v>2.1096972902880928E-3</v>
      </c>
      <c r="AY243" s="18">
        <f t="shared" si="210"/>
        <v>2.92396644132209E-3</v>
      </c>
      <c r="AZ243" s="18">
        <f t="shared" si="210"/>
        <v>3.7317654878388229E-3</v>
      </c>
      <c r="BA243" s="18">
        <f t="shared" si="210"/>
        <v>4.7054560371022625E-3</v>
      </c>
      <c r="BB243" s="18">
        <f t="shared" si="210"/>
        <v>5.5507181246041704E-3</v>
      </c>
      <c r="BC243" s="18">
        <f t="shared" si="210"/>
        <v>6.3250890645982771E-3</v>
      </c>
      <c r="BD243" s="18">
        <f t="shared" si="210"/>
        <v>6.8567277476843103E-3</v>
      </c>
      <c r="BE243" s="18">
        <f t="shared" si="210"/>
        <v>7.1505348642539879E-3</v>
      </c>
      <c r="BF243" s="18">
        <f t="shared" si="210"/>
        <v>7.1561150905070647E-3</v>
      </c>
      <c r="BG243" s="18">
        <f t="shared" si="210"/>
        <v>6.8255339692817607E-3</v>
      </c>
      <c r="BH243" s="18">
        <f t="shared" si="210"/>
        <v>6.2235846831342201E-3</v>
      </c>
      <c r="BI243" s="18">
        <f t="shared" si="210"/>
        <v>5.4671788674680588E-3</v>
      </c>
    </row>
    <row r="244" spans="1:61" x14ac:dyDescent="0.25">
      <c r="A244" s="11" t="s">
        <v>849</v>
      </c>
      <c r="B244" s="11"/>
      <c r="C244" s="18">
        <f>SUM(C$40:C$44)/SUM(B$40:B$44)-1</f>
        <v>1.7817371420800088E-2</v>
      </c>
      <c r="D244" s="18">
        <f t="shared" ref="D244:BI244" si="211">SUM(D$40:D$44)/SUM(C$40:C$44)-1</f>
        <v>1.4666537513140954E-2</v>
      </c>
      <c r="E244" s="18">
        <f t="shared" si="211"/>
        <v>9.8073214614891047E-3</v>
      </c>
      <c r="F244" s="18">
        <f t="shared" si="211"/>
        <v>1.1337537862573521E-2</v>
      </c>
      <c r="G244" s="18">
        <f t="shared" si="211"/>
        <v>3.1718767027328898E-3</v>
      </c>
      <c r="H244" s="18">
        <f t="shared" si="211"/>
        <v>-1.4337031290928559E-3</v>
      </c>
      <c r="I244" s="18">
        <f t="shared" si="211"/>
        <v>9.0904537027076682E-3</v>
      </c>
      <c r="J244" s="18">
        <f t="shared" si="211"/>
        <v>3.6645630570751431E-2</v>
      </c>
      <c r="K244" s="18">
        <f t="shared" si="211"/>
        <v>5.6623391094337228E-2</v>
      </c>
      <c r="L244" s="18">
        <f t="shared" si="211"/>
        <v>7.0205502029406786E-2</v>
      </c>
      <c r="M244" s="18">
        <f t="shared" si="211"/>
        <v>5.7208291364206465E-2</v>
      </c>
      <c r="N244" s="18">
        <f t="shared" si="211"/>
        <v>3.0353735863084985E-2</v>
      </c>
      <c r="O244" s="18">
        <f t="shared" si="211"/>
        <v>1.2627468420936427E-2</v>
      </c>
      <c r="P244" s="18">
        <f t="shared" si="211"/>
        <v>1.7416779328695453E-2</v>
      </c>
      <c r="Q244" s="18">
        <f t="shared" si="211"/>
        <v>-3.0875118943093915E-2</v>
      </c>
      <c r="R244" s="18">
        <f t="shared" si="211"/>
        <v>-4.5748182152518635E-2</v>
      </c>
      <c r="S244" s="18">
        <f t="shared" si="211"/>
        <v>4.5720844826968587E-3</v>
      </c>
      <c r="T244" s="18">
        <f t="shared" si="211"/>
        <v>2.8720620981359524E-4</v>
      </c>
      <c r="U244" s="18">
        <f t="shared" si="211"/>
        <v>-7.1299319131098438E-3</v>
      </c>
      <c r="V244" s="18">
        <f t="shared" si="211"/>
        <v>-5.4510497678393888E-3</v>
      </c>
      <c r="W244" s="18">
        <f t="shared" si="211"/>
        <v>-7.901805126459438E-3</v>
      </c>
      <c r="X244" s="18">
        <f t="shared" si="211"/>
        <v>-5.7631578039840647E-3</v>
      </c>
      <c r="Y244" s="18">
        <f t="shared" si="211"/>
        <v>7.0571975208957305E-3</v>
      </c>
      <c r="Z244" s="18">
        <f t="shared" si="211"/>
        <v>8.9421494382557754E-4</v>
      </c>
      <c r="AA244" s="18">
        <f t="shared" si="211"/>
        <v>6.8136205821196505E-3</v>
      </c>
      <c r="AB244" s="18">
        <f t="shared" si="211"/>
        <v>2.3395483400298511E-2</v>
      </c>
      <c r="AC244" s="18">
        <f t="shared" si="211"/>
        <v>2.9302260934491065E-2</v>
      </c>
      <c r="AD244" s="18">
        <f t="shared" si="211"/>
        <v>2.0237705657191407E-2</v>
      </c>
      <c r="AE244" s="18">
        <f t="shared" si="211"/>
        <v>2.5140670330053405E-2</v>
      </c>
      <c r="AF244" s="18">
        <f t="shared" si="211"/>
        <v>2.091287388810259E-2</v>
      </c>
      <c r="AG244" s="18">
        <f t="shared" si="211"/>
        <v>9.925471846023104E-3</v>
      </c>
      <c r="AH244" s="18">
        <f t="shared" si="211"/>
        <v>4.0775433728907906E-3</v>
      </c>
      <c r="AI244" s="18">
        <f t="shared" si="211"/>
        <v>2.7593869258095705E-3</v>
      </c>
      <c r="AJ244" s="18">
        <f t="shared" si="211"/>
        <v>-2.0249047704122836E-3</v>
      </c>
      <c r="AK244" s="18">
        <f t="shared" si="211"/>
        <v>-4.4222085379602705E-3</v>
      </c>
      <c r="AL244" s="18">
        <f t="shared" si="211"/>
        <v>-2.1947971281797152E-3</v>
      </c>
      <c r="AM244" s="18">
        <f t="shared" si="211"/>
        <v>-5.4990621462556177E-3</v>
      </c>
      <c r="AN244" s="18">
        <f t="shared" si="211"/>
        <v>-7.8992414859191395E-4</v>
      </c>
      <c r="AO244" s="18">
        <f t="shared" si="211"/>
        <v>-2.8986782808099187E-3</v>
      </c>
      <c r="AP244" s="18">
        <f t="shared" si="211"/>
        <v>2.642822766416586E-4</v>
      </c>
      <c r="AQ244" s="18">
        <f t="shared" si="211"/>
        <v>-7.3979485992681226E-4</v>
      </c>
      <c r="AR244" s="18">
        <f t="shared" si="211"/>
        <v>-1.1210901646304783E-2</v>
      </c>
      <c r="AS244" s="18">
        <f t="shared" si="211"/>
        <v>-1.0696236766206235E-2</v>
      </c>
      <c r="AT244" s="18">
        <f t="shared" si="211"/>
        <v>-6.2168328567402398E-3</v>
      </c>
      <c r="AU244" s="18">
        <f t="shared" si="211"/>
        <v>-6.908494808000043E-3</v>
      </c>
      <c r="AV244" s="18">
        <f t="shared" si="211"/>
        <v>-8.3807305613181615E-3</v>
      </c>
      <c r="AW244" s="18">
        <f t="shared" si="211"/>
        <v>5.8000907556214898E-3</v>
      </c>
      <c r="AX244" s="18">
        <f t="shared" si="211"/>
        <v>4.7231557914086952E-3</v>
      </c>
      <c r="AY244" s="18">
        <f t="shared" si="211"/>
        <v>1.9131783269759062E-3</v>
      </c>
      <c r="AZ244" s="18">
        <f t="shared" si="211"/>
        <v>1.6367357700057816E-3</v>
      </c>
      <c r="BA244" s="18">
        <f t="shared" si="211"/>
        <v>1.5795925354009643E-3</v>
      </c>
      <c r="BB244" s="18">
        <f t="shared" si="211"/>
        <v>2.0121638014183318E-3</v>
      </c>
      <c r="BC244" s="18">
        <f t="shared" si="211"/>
        <v>2.3880383152701246E-3</v>
      </c>
      <c r="BD244" s="18">
        <f t="shared" si="211"/>
        <v>3.1403693659406429E-3</v>
      </c>
      <c r="BE244" s="18">
        <f t="shared" si="211"/>
        <v>3.8861854998253342E-3</v>
      </c>
      <c r="BF244" s="18">
        <f t="shared" si="211"/>
        <v>4.7851610526756794E-3</v>
      </c>
      <c r="BG244" s="18">
        <f t="shared" si="211"/>
        <v>5.5115095551532267E-3</v>
      </c>
      <c r="BH244" s="18">
        <f t="shared" si="211"/>
        <v>6.4391962903855848E-3</v>
      </c>
      <c r="BI244" s="18">
        <f t="shared" si="211"/>
        <v>6.6623784193209357E-3</v>
      </c>
    </row>
    <row r="245" spans="1:61" x14ac:dyDescent="0.25">
      <c r="A245" s="11" t="s">
        <v>850</v>
      </c>
      <c r="B245" s="11"/>
      <c r="C245" s="18">
        <f>SUM(C$45:C$49)/SUM(B$45:B$49)-1</f>
        <v>-2.3328204551282483E-2</v>
      </c>
      <c r="D245" s="18">
        <f t="shared" ref="D245:BI245" si="212">SUM(D$45:D$49)/SUM(C$45:C$49)-1</f>
        <v>-2.4521027790977312E-2</v>
      </c>
      <c r="E245" s="18">
        <f t="shared" si="212"/>
        <v>-1.2844051493260622E-2</v>
      </c>
      <c r="F245" s="18">
        <f t="shared" si="212"/>
        <v>-3.7323040134429331E-3</v>
      </c>
      <c r="G245" s="18">
        <f t="shared" si="212"/>
        <v>2.1064669711154949E-3</v>
      </c>
      <c r="H245" s="18">
        <f t="shared" si="212"/>
        <v>2.2718473863301281E-3</v>
      </c>
      <c r="I245" s="18">
        <f t="shared" si="212"/>
        <v>7.0502297618637577E-3</v>
      </c>
      <c r="J245" s="18">
        <f t="shared" si="212"/>
        <v>1.6228452875831856E-2</v>
      </c>
      <c r="K245" s="18">
        <f t="shared" si="212"/>
        <v>3.2285685555778265E-2</v>
      </c>
      <c r="L245" s="18">
        <f t="shared" si="212"/>
        <v>4.3773610996669321E-2</v>
      </c>
      <c r="M245" s="18">
        <f t="shared" si="212"/>
        <v>4.6968551720495189E-2</v>
      </c>
      <c r="N245" s="18">
        <f t="shared" si="212"/>
        <v>5.1690857708691196E-2</v>
      </c>
      <c r="O245" s="18">
        <f t="shared" si="212"/>
        <v>4.3966129463893111E-2</v>
      </c>
      <c r="P245" s="18">
        <f t="shared" si="212"/>
        <v>4.9933766644699284E-2</v>
      </c>
      <c r="Q245" s="18">
        <f t="shared" si="212"/>
        <v>3.3595903901695978E-2</v>
      </c>
      <c r="R245" s="18">
        <f t="shared" si="212"/>
        <v>7.4909387255714943E-3</v>
      </c>
      <c r="S245" s="18">
        <f t="shared" si="212"/>
        <v>2.6404974147868909E-2</v>
      </c>
      <c r="T245" s="18">
        <f t="shared" si="212"/>
        <v>2.6551726381599305E-2</v>
      </c>
      <c r="U245" s="18">
        <f t="shared" si="212"/>
        <v>-7.9026152928542981E-3</v>
      </c>
      <c r="V245" s="18">
        <f t="shared" si="212"/>
        <v>-1.9454873463235267E-2</v>
      </c>
      <c r="W245" s="18">
        <f t="shared" si="212"/>
        <v>-1.810602894863611E-2</v>
      </c>
      <c r="X245" s="18">
        <f t="shared" si="212"/>
        <v>-1.7671631741228988E-2</v>
      </c>
      <c r="Y245" s="18">
        <f t="shared" si="212"/>
        <v>-1.6389816448237893E-2</v>
      </c>
      <c r="Z245" s="18">
        <f t="shared" si="212"/>
        <v>-4.8657442683217589E-3</v>
      </c>
      <c r="AA245" s="18">
        <f t="shared" si="212"/>
        <v>-1.5487286695358149E-3</v>
      </c>
      <c r="AB245" s="18">
        <f t="shared" si="212"/>
        <v>-4.704666603075891E-3</v>
      </c>
      <c r="AC245" s="18">
        <f t="shared" si="212"/>
        <v>-3.4298032229030939E-3</v>
      </c>
      <c r="AD245" s="18">
        <f t="shared" si="212"/>
        <v>7.6480161301566429E-3</v>
      </c>
      <c r="AE245" s="18">
        <f t="shared" si="212"/>
        <v>-5.4214056664170229E-5</v>
      </c>
      <c r="AF245" s="18">
        <f t="shared" si="212"/>
        <v>5.8012185706539654E-3</v>
      </c>
      <c r="AG245" s="18">
        <f t="shared" si="212"/>
        <v>2.1238288465588395E-2</v>
      </c>
      <c r="AH245" s="18">
        <f t="shared" si="212"/>
        <v>2.7077812050280592E-2</v>
      </c>
      <c r="AI245" s="18">
        <f t="shared" si="212"/>
        <v>1.8860748384242676E-2</v>
      </c>
      <c r="AJ245" s="18">
        <f t="shared" si="212"/>
        <v>2.3202557487867148E-2</v>
      </c>
      <c r="AK245" s="18">
        <f t="shared" si="212"/>
        <v>1.9472131972640305E-2</v>
      </c>
      <c r="AL245" s="18">
        <f t="shared" si="212"/>
        <v>9.4292176737784672E-3</v>
      </c>
      <c r="AM245" s="18">
        <f t="shared" si="212"/>
        <v>4.0717781242658457E-3</v>
      </c>
      <c r="AN245" s="18">
        <f t="shared" si="212"/>
        <v>2.9102497039805719E-3</v>
      </c>
      <c r="AO245" s="18">
        <f t="shared" si="212"/>
        <v>-1.4746876484681426E-3</v>
      </c>
      <c r="AP245" s="18">
        <f t="shared" si="212"/>
        <v>-3.62070267272252E-3</v>
      </c>
      <c r="AQ245" s="18">
        <f t="shared" si="212"/>
        <v>-1.7213020098667542E-3</v>
      </c>
      <c r="AR245" s="18">
        <f t="shared" si="212"/>
        <v>-4.5980533314189387E-3</v>
      </c>
      <c r="AS245" s="18">
        <f t="shared" si="212"/>
        <v>-3.8494109061570914E-4</v>
      </c>
      <c r="AT245" s="18">
        <f t="shared" si="212"/>
        <v>-2.262399798012793E-3</v>
      </c>
      <c r="AU245" s="18">
        <f t="shared" si="212"/>
        <v>5.7894379330303281E-4</v>
      </c>
      <c r="AV245" s="18">
        <f t="shared" si="212"/>
        <v>-2.8930440566143911E-4</v>
      </c>
      <c r="AW245" s="18">
        <f t="shared" si="212"/>
        <v>-9.8874276698194263E-3</v>
      </c>
      <c r="AX245" s="18">
        <f t="shared" si="212"/>
        <v>-9.4016091463912099E-3</v>
      </c>
      <c r="AY245" s="18">
        <f t="shared" si="212"/>
        <v>-5.2617600929760755E-3</v>
      </c>
      <c r="AZ245" s="18">
        <f t="shared" si="212"/>
        <v>-5.8333825602276956E-3</v>
      </c>
      <c r="BA245" s="18">
        <f t="shared" si="212"/>
        <v>-7.2101994383800827E-3</v>
      </c>
      <c r="BB245" s="18">
        <f t="shared" si="212"/>
        <v>5.6097045860876715E-3</v>
      </c>
      <c r="BC245" s="18">
        <f t="shared" si="212"/>
        <v>4.7316881955856704E-3</v>
      </c>
      <c r="BD245" s="18">
        <f t="shared" si="212"/>
        <v>1.9829072676511572E-3</v>
      </c>
      <c r="BE245" s="18">
        <f t="shared" si="212"/>
        <v>1.8800339712434777E-3</v>
      </c>
      <c r="BF245" s="18">
        <f t="shared" si="212"/>
        <v>1.8765060760732588E-3</v>
      </c>
      <c r="BG245" s="18">
        <f t="shared" si="212"/>
        <v>2.1194376326978404E-3</v>
      </c>
      <c r="BH245" s="18">
        <f t="shared" si="212"/>
        <v>2.6068051444938511E-3</v>
      </c>
      <c r="BI245" s="18">
        <f t="shared" si="212"/>
        <v>3.1396557038425588E-3</v>
      </c>
    </row>
    <row r="246" spans="1:61" x14ac:dyDescent="0.25">
      <c r="A246" s="11" t="s">
        <v>851</v>
      </c>
      <c r="B246" s="11"/>
      <c r="C246" s="18">
        <f>SUM(C$50:C$54)/SUM(B$50:B$54)-1</f>
        <v>1.4073188208088006E-2</v>
      </c>
      <c r="D246" s="18">
        <f t="shared" ref="D246:BI246" si="213">SUM(D$50:D$54)/SUM(C$50:C$54)-1</f>
        <v>-1.4874862750132722E-3</v>
      </c>
      <c r="E246" s="18">
        <f t="shared" si="213"/>
        <v>-1.1896211644865651E-2</v>
      </c>
      <c r="F246" s="18">
        <f t="shared" si="213"/>
        <v>-1.6370881318205965E-2</v>
      </c>
      <c r="G246" s="18">
        <f t="shared" si="213"/>
        <v>-3.4252888775728296E-2</v>
      </c>
      <c r="H246" s="18">
        <f t="shared" si="213"/>
        <v>-3.5676652398317965E-2</v>
      </c>
      <c r="I246" s="18">
        <f t="shared" si="213"/>
        <v>-3.0963302924344571E-2</v>
      </c>
      <c r="J246" s="18">
        <f t="shared" si="213"/>
        <v>-1.3923653780334E-2</v>
      </c>
      <c r="K246" s="18">
        <f t="shared" si="213"/>
        <v>2.9828964971445604E-3</v>
      </c>
      <c r="L246" s="18">
        <f t="shared" si="213"/>
        <v>2.2641212006034195E-2</v>
      </c>
      <c r="M246" s="18">
        <f t="shared" si="213"/>
        <v>3.2974387926108184E-2</v>
      </c>
      <c r="N246" s="18">
        <f t="shared" si="213"/>
        <v>3.6329850743334502E-2</v>
      </c>
      <c r="O246" s="18">
        <f t="shared" si="213"/>
        <v>3.8338938032204561E-2</v>
      </c>
      <c r="P246" s="18">
        <f t="shared" si="213"/>
        <v>3.7417795038033219E-2</v>
      </c>
      <c r="Q246" s="18">
        <f t="shared" si="213"/>
        <v>3.0499536516751524E-2</v>
      </c>
      <c r="R246" s="18">
        <f t="shared" si="213"/>
        <v>1.6982638739000411E-2</v>
      </c>
      <c r="S246" s="18">
        <f t="shared" si="213"/>
        <v>4.2412996941017411E-2</v>
      </c>
      <c r="T246" s="18">
        <f t="shared" si="213"/>
        <v>6.3355647974294937E-2</v>
      </c>
      <c r="U246" s="18">
        <f t="shared" si="213"/>
        <v>3.6828533726000368E-2</v>
      </c>
      <c r="V246" s="18">
        <f t="shared" si="213"/>
        <v>3.491946138401647E-2</v>
      </c>
      <c r="W246" s="18">
        <f t="shared" si="213"/>
        <v>2.4598341375954291E-2</v>
      </c>
      <c r="X246" s="18">
        <f t="shared" si="213"/>
        <v>1.1636672211798205E-2</v>
      </c>
      <c r="Y246" s="18">
        <f t="shared" si="213"/>
        <v>1.5209125443393923E-3</v>
      </c>
      <c r="Z246" s="18">
        <f t="shared" si="213"/>
        <v>-6.8017101846999939E-3</v>
      </c>
      <c r="AA246" s="18">
        <f t="shared" si="213"/>
        <v>-1.5703898165820185E-2</v>
      </c>
      <c r="AB246" s="18">
        <f t="shared" si="213"/>
        <v>-1.5009118422481538E-2</v>
      </c>
      <c r="AC246" s="18">
        <f t="shared" si="213"/>
        <v>-1.5070413372584746E-2</v>
      </c>
      <c r="AD246" s="18">
        <f t="shared" si="213"/>
        <v>-1.43662177167454E-2</v>
      </c>
      <c r="AE246" s="18">
        <f t="shared" si="213"/>
        <v>-5.3909805808980416E-3</v>
      </c>
      <c r="AF246" s="18">
        <f t="shared" si="213"/>
        <v>-1.7063595041968416E-3</v>
      </c>
      <c r="AG246" s="18">
        <f t="shared" si="213"/>
        <v>-4.4240088427508484E-3</v>
      </c>
      <c r="AH246" s="18">
        <f t="shared" si="213"/>
        <v>-2.7267960688818205E-3</v>
      </c>
      <c r="AI246" s="18">
        <f t="shared" si="213"/>
        <v>7.3926067617371416E-3</v>
      </c>
      <c r="AJ246" s="18">
        <f t="shared" si="213"/>
        <v>4.0210176289767752E-4</v>
      </c>
      <c r="AK246" s="18">
        <f t="shared" si="213"/>
        <v>5.7276470243248223E-3</v>
      </c>
      <c r="AL246" s="18">
        <f t="shared" si="213"/>
        <v>1.9982554086442672E-2</v>
      </c>
      <c r="AM246" s="18">
        <f t="shared" si="213"/>
        <v>2.5370441325950566E-2</v>
      </c>
      <c r="AN246" s="18">
        <f t="shared" si="213"/>
        <v>1.7816660326680278E-2</v>
      </c>
      <c r="AO246" s="18">
        <f t="shared" si="213"/>
        <v>2.1963106430769264E-2</v>
      </c>
      <c r="AP246" s="18">
        <f t="shared" si="213"/>
        <v>1.8506220883163005E-2</v>
      </c>
      <c r="AQ246" s="18">
        <f t="shared" si="213"/>
        <v>9.1075251414305392E-3</v>
      </c>
      <c r="AR246" s="18">
        <f t="shared" si="213"/>
        <v>4.1105448569525027E-3</v>
      </c>
      <c r="AS246" s="18">
        <f t="shared" si="213"/>
        <v>2.9812942282541055E-3</v>
      </c>
      <c r="AT246" s="18">
        <f t="shared" si="213"/>
        <v>-9.7602262254681271E-4</v>
      </c>
      <c r="AU246" s="18">
        <f t="shared" si="213"/>
        <v>-3.0197445359443353E-3</v>
      </c>
      <c r="AV246" s="18">
        <f t="shared" si="213"/>
        <v>-1.3362754469253835E-3</v>
      </c>
      <c r="AW246" s="18">
        <f t="shared" si="213"/>
        <v>-3.8803840580249327E-3</v>
      </c>
      <c r="AX246" s="18">
        <f t="shared" si="213"/>
        <v>0</v>
      </c>
      <c r="AY246" s="18">
        <f t="shared" si="213"/>
        <v>-1.8358103893572064E-3</v>
      </c>
      <c r="AZ246" s="18">
        <f t="shared" si="213"/>
        <v>7.6258964362652115E-4</v>
      </c>
      <c r="BA246" s="18">
        <f t="shared" si="213"/>
        <v>8.9648063976710546E-5</v>
      </c>
      <c r="BB246" s="18">
        <f t="shared" si="213"/>
        <v>-8.7847227363386793E-3</v>
      </c>
      <c r="BC246" s="18">
        <f t="shared" si="213"/>
        <v>-8.3199712090535893E-3</v>
      </c>
      <c r="BD246" s="18">
        <f t="shared" si="213"/>
        <v>-4.5596597207813172E-3</v>
      </c>
      <c r="BE246" s="18">
        <f t="shared" si="213"/>
        <v>-5.0844054487961809E-3</v>
      </c>
      <c r="BF246" s="18">
        <f t="shared" si="213"/>
        <v>-6.3994958059641061E-3</v>
      </c>
      <c r="BG246" s="18">
        <f t="shared" si="213"/>
        <v>5.513991809978025E-3</v>
      </c>
      <c r="BH246" s="18">
        <f t="shared" si="213"/>
        <v>4.7464429125507746E-3</v>
      </c>
      <c r="BI246" s="18">
        <f t="shared" si="213"/>
        <v>2.2473496145634098E-3</v>
      </c>
    </row>
    <row r="247" spans="1:61" x14ac:dyDescent="0.25">
      <c r="A247" s="11" t="s">
        <v>852</v>
      </c>
      <c r="B247" s="11"/>
      <c r="C247" s="18">
        <f>SUM(C$55:C$59)/SUM(B$55:B$59)-1</f>
        <v>-4.9849676860570513E-3</v>
      </c>
      <c r="D247" s="18">
        <f t="shared" ref="D247:BI247" si="214">SUM(D$55:D$59)/SUM(C$55:C$59)-1</f>
        <v>-1.0696614343906896E-2</v>
      </c>
      <c r="E247" s="18">
        <f t="shared" si="214"/>
        <v>-2.8824157429747643E-3</v>
      </c>
      <c r="F247" s="18">
        <f t="shared" si="214"/>
        <v>5.6428530048759917E-3</v>
      </c>
      <c r="G247" s="18">
        <f t="shared" si="214"/>
        <v>1.3360706071056327E-2</v>
      </c>
      <c r="H247" s="18">
        <f t="shared" si="214"/>
        <v>5.1542057402502728E-3</v>
      </c>
      <c r="I247" s="18">
        <f t="shared" si="214"/>
        <v>-4.2312176467422802E-3</v>
      </c>
      <c r="J247" s="18">
        <f t="shared" si="214"/>
        <v>-1.2324818030672646E-2</v>
      </c>
      <c r="K247" s="18">
        <f t="shared" si="214"/>
        <v>-1.2724920568316422E-2</v>
      </c>
      <c r="L247" s="18">
        <f t="shared" si="214"/>
        <v>-2.4687993603176306E-2</v>
      </c>
      <c r="M247" s="18">
        <f t="shared" si="214"/>
        <v>-1.7080640916962264E-2</v>
      </c>
      <c r="N247" s="18">
        <f t="shared" si="214"/>
        <v>-1.2608487096106402E-2</v>
      </c>
      <c r="O247" s="18">
        <f t="shared" si="214"/>
        <v>2.2141354605429431E-3</v>
      </c>
      <c r="P247" s="18">
        <f t="shared" si="214"/>
        <v>1.1695544347045672E-2</v>
      </c>
      <c r="Q247" s="18">
        <f t="shared" si="214"/>
        <v>2.3884088633834288E-2</v>
      </c>
      <c r="R247" s="18">
        <f t="shared" si="214"/>
        <v>1.4372482286836297E-2</v>
      </c>
      <c r="S247" s="18">
        <f t="shared" si="214"/>
        <v>3.2216757499828219E-2</v>
      </c>
      <c r="T247" s="18">
        <f t="shared" si="214"/>
        <v>5.0258635010981267E-2</v>
      </c>
      <c r="U247" s="18">
        <f t="shared" si="214"/>
        <v>2.9526282962222927E-2</v>
      </c>
      <c r="V247" s="18">
        <f t="shared" si="214"/>
        <v>2.7673446795571932E-2</v>
      </c>
      <c r="W247" s="18">
        <f t="shared" si="214"/>
        <v>2.9492860485577976E-2</v>
      </c>
      <c r="X247" s="18">
        <f t="shared" si="214"/>
        <v>3.5046181069873228E-2</v>
      </c>
      <c r="Y247" s="18">
        <f t="shared" si="214"/>
        <v>3.56408770824721E-2</v>
      </c>
      <c r="Z247" s="18">
        <f t="shared" si="214"/>
        <v>3.6978800530006906E-2</v>
      </c>
      <c r="AA247" s="18">
        <f t="shared" si="214"/>
        <v>3.6108515891464021E-2</v>
      </c>
      <c r="AB247" s="18">
        <f t="shared" si="214"/>
        <v>2.5161010880703882E-2</v>
      </c>
      <c r="AC247" s="18">
        <f t="shared" si="214"/>
        <v>1.2213661162879808E-2</v>
      </c>
      <c r="AD247" s="18">
        <f t="shared" si="214"/>
        <v>2.0557378898713452E-3</v>
      </c>
      <c r="AE247" s="18">
        <f t="shared" si="214"/>
        <v>-6.8681338526629387E-3</v>
      </c>
      <c r="AF247" s="18">
        <f t="shared" si="214"/>
        <v>-1.5088650184020835E-2</v>
      </c>
      <c r="AG247" s="18">
        <f t="shared" si="214"/>
        <v>-1.4179938897266209E-2</v>
      </c>
      <c r="AH247" s="18">
        <f t="shared" si="214"/>
        <v>-1.4013897841704814E-2</v>
      </c>
      <c r="AI247" s="18">
        <f t="shared" si="214"/>
        <v>-1.327492147660625E-2</v>
      </c>
      <c r="AJ247" s="18">
        <f t="shared" si="214"/>
        <v>-4.7538925240305785E-3</v>
      </c>
      <c r="AK247" s="18">
        <f t="shared" si="214"/>
        <v>-1.3852139904020344E-3</v>
      </c>
      <c r="AL247" s="18">
        <f t="shared" si="214"/>
        <v>-3.8744128640957332E-3</v>
      </c>
      <c r="AM247" s="18">
        <f t="shared" si="214"/>
        <v>-2.3048784144878987E-3</v>
      </c>
      <c r="AN247" s="18">
        <f t="shared" si="214"/>
        <v>7.363772546571834E-3</v>
      </c>
      <c r="AO247" s="18">
        <f t="shared" si="214"/>
        <v>6.6888374487006352E-4</v>
      </c>
      <c r="AP247" s="18">
        <f t="shared" si="214"/>
        <v>5.7772023753324131E-3</v>
      </c>
      <c r="AQ247" s="18">
        <f t="shared" si="214"/>
        <v>1.9273316664762286E-2</v>
      </c>
      <c r="AR247" s="18">
        <f t="shared" si="214"/>
        <v>2.445113771884766E-2</v>
      </c>
      <c r="AS247" s="18">
        <f t="shared" si="214"/>
        <v>1.7184635273841398E-2</v>
      </c>
      <c r="AT247" s="18">
        <f t="shared" si="214"/>
        <v>2.1140237814890162E-2</v>
      </c>
      <c r="AU247" s="18">
        <f t="shared" si="214"/>
        <v>1.7857616870965876E-2</v>
      </c>
      <c r="AV247" s="18">
        <f t="shared" si="214"/>
        <v>8.8581601430690604E-3</v>
      </c>
      <c r="AW247" s="18">
        <f t="shared" si="214"/>
        <v>4.3049446278271564E-3</v>
      </c>
      <c r="AX247" s="18">
        <f t="shared" si="214"/>
        <v>3.098157236641752E-3</v>
      </c>
      <c r="AY247" s="18">
        <f t="shared" si="214"/>
        <v>-6.7695086124608395E-4</v>
      </c>
      <c r="AZ247" s="18">
        <f t="shared" si="214"/>
        <v>-2.6249615573157303E-3</v>
      </c>
      <c r="BA247" s="18">
        <f t="shared" si="214"/>
        <v>-9.3388939571326102E-4</v>
      </c>
      <c r="BB247" s="18">
        <f t="shared" si="214"/>
        <v>-3.4841142522848978E-3</v>
      </c>
      <c r="BC247" s="18">
        <f t="shared" si="214"/>
        <v>2.9846427101065665E-4</v>
      </c>
      <c r="BD247" s="18">
        <f t="shared" si="214"/>
        <v>-1.4918760833453337E-3</v>
      </c>
      <c r="BE247" s="18">
        <f t="shared" si="214"/>
        <v>1.109906647953629E-3</v>
      </c>
      <c r="BF247" s="18">
        <f t="shared" si="214"/>
        <v>3.4113111414058039E-4</v>
      </c>
      <c r="BG247" s="18">
        <f t="shared" si="214"/>
        <v>-8.0138474096060897E-3</v>
      </c>
      <c r="BH247" s="18">
        <f t="shared" si="214"/>
        <v>-7.6918470669880001E-3</v>
      </c>
      <c r="BI247" s="18">
        <f t="shared" si="214"/>
        <v>-4.0273001547034282E-3</v>
      </c>
    </row>
    <row r="248" spans="1:61" x14ac:dyDescent="0.25">
      <c r="A248" s="11" t="s">
        <v>853</v>
      </c>
      <c r="B248" s="11"/>
      <c r="C248" s="18">
        <f>SUM(C$60:C$64)/SUM(B$60:B$64)-1</f>
        <v>3.3666061135733116E-2</v>
      </c>
      <c r="D248" s="18">
        <f t="shared" ref="D248:BI248" si="215">SUM(D$60:D$64)/SUM(C$60:C$64)-1</f>
        <v>2.6348221594605592E-2</v>
      </c>
      <c r="E248" s="18">
        <f t="shared" si="215"/>
        <v>1.0147485078875418E-2</v>
      </c>
      <c r="F248" s="18">
        <f t="shared" si="215"/>
        <v>3.1218895962148441E-3</v>
      </c>
      <c r="G248" s="18">
        <f t="shared" si="215"/>
        <v>-8.1845643988308625E-3</v>
      </c>
      <c r="H248" s="18">
        <f t="shared" si="215"/>
        <v>-1.2644767100507659E-2</v>
      </c>
      <c r="I248" s="18">
        <f t="shared" si="215"/>
        <v>-1.2504606380097871E-2</v>
      </c>
      <c r="J248" s="18">
        <f t="shared" si="215"/>
        <v>-3.6119433598406081E-3</v>
      </c>
      <c r="K248" s="18">
        <f t="shared" si="215"/>
        <v>9.0445423333087582E-3</v>
      </c>
      <c r="L248" s="18">
        <f t="shared" si="215"/>
        <v>2.2067160679217768E-2</v>
      </c>
      <c r="M248" s="18">
        <f t="shared" si="215"/>
        <v>1.9797640875038436E-2</v>
      </c>
      <c r="N248" s="18">
        <f t="shared" si="215"/>
        <v>5.6903373624619391E-3</v>
      </c>
      <c r="O248" s="18">
        <f t="shared" si="215"/>
        <v>-3.4008471383628613E-4</v>
      </c>
      <c r="P248" s="18">
        <f t="shared" si="215"/>
        <v>-8.3793657002655397E-3</v>
      </c>
      <c r="Q248" s="18">
        <f t="shared" si="215"/>
        <v>-1.8590952220312484E-2</v>
      </c>
      <c r="R248" s="18">
        <f t="shared" si="215"/>
        <v>-2.6180975211187452E-2</v>
      </c>
      <c r="S248" s="18">
        <f t="shared" si="215"/>
        <v>-2.2679733921496914E-2</v>
      </c>
      <c r="T248" s="18">
        <f t="shared" si="215"/>
        <v>1.3117758229206355E-2</v>
      </c>
      <c r="U248" s="18">
        <f t="shared" si="215"/>
        <v>6.2525602149616777E-3</v>
      </c>
      <c r="V248" s="18">
        <f t="shared" si="215"/>
        <v>1.8413142754200695E-2</v>
      </c>
      <c r="W248" s="18">
        <f t="shared" si="215"/>
        <v>2.4413888187073907E-2</v>
      </c>
      <c r="X248" s="18">
        <f t="shared" si="215"/>
        <v>3.0863876158703896E-2</v>
      </c>
      <c r="Y248" s="18">
        <f t="shared" si="215"/>
        <v>2.7306514019628247E-2</v>
      </c>
      <c r="Z248" s="18">
        <f t="shared" si="215"/>
        <v>3.0749367278878337E-2</v>
      </c>
      <c r="AA248" s="18">
        <f t="shared" si="215"/>
        <v>2.9166755969985525E-2</v>
      </c>
      <c r="AB248" s="18">
        <f t="shared" si="215"/>
        <v>3.0243938466302911E-2</v>
      </c>
      <c r="AC248" s="18">
        <f t="shared" si="215"/>
        <v>3.53527491918737E-2</v>
      </c>
      <c r="AD248" s="18">
        <f t="shared" si="215"/>
        <v>3.5513458842171053E-2</v>
      </c>
      <c r="AE248" s="18">
        <f t="shared" si="215"/>
        <v>3.600783592807355E-2</v>
      </c>
      <c r="AF248" s="18">
        <f t="shared" si="215"/>
        <v>3.5323014885043857E-2</v>
      </c>
      <c r="AG248" s="18">
        <f t="shared" si="215"/>
        <v>2.4721771311071672E-2</v>
      </c>
      <c r="AH248" s="18">
        <f t="shared" si="215"/>
        <v>1.2285233542349561E-2</v>
      </c>
      <c r="AI248" s="18">
        <f t="shared" si="215"/>
        <v>2.1985757698641528E-3</v>
      </c>
      <c r="AJ248" s="18">
        <f t="shared" si="215"/>
        <v>-6.4057577043271641E-3</v>
      </c>
      <c r="AK248" s="18">
        <f t="shared" si="215"/>
        <v>-1.4572112837970219E-2</v>
      </c>
      <c r="AL248" s="18">
        <f t="shared" si="215"/>
        <v>-1.3667326722899165E-2</v>
      </c>
      <c r="AM248" s="18">
        <f t="shared" si="215"/>
        <v>-1.3356960688483466E-2</v>
      </c>
      <c r="AN248" s="18">
        <f t="shared" si="215"/>
        <v>-1.2662893516938722E-2</v>
      </c>
      <c r="AO248" s="18">
        <f t="shared" si="215"/>
        <v>-4.430557805748192E-3</v>
      </c>
      <c r="AP248" s="18">
        <f t="shared" si="215"/>
        <v>-1.1242800016207921E-3</v>
      </c>
      <c r="AQ248" s="18">
        <f t="shared" si="215"/>
        <v>-3.4704317420019004E-3</v>
      </c>
      <c r="AR248" s="18">
        <f t="shared" si="215"/>
        <v>-1.9765640327767953E-3</v>
      </c>
      <c r="AS248" s="18">
        <f t="shared" si="215"/>
        <v>7.4032175322140681E-3</v>
      </c>
      <c r="AT248" s="18">
        <f t="shared" si="215"/>
        <v>8.8934675665219842E-4</v>
      </c>
      <c r="AU248" s="18">
        <f t="shared" si="215"/>
        <v>5.8925327234593539E-3</v>
      </c>
      <c r="AV248" s="18">
        <f t="shared" si="215"/>
        <v>1.9061792183397097E-2</v>
      </c>
      <c r="AW248" s="18">
        <f t="shared" si="215"/>
        <v>2.4043072726314563E-2</v>
      </c>
      <c r="AX248" s="18">
        <f t="shared" si="215"/>
        <v>1.7107728728690041E-2</v>
      </c>
      <c r="AY248" s="18">
        <f t="shared" si="215"/>
        <v>2.0849763308532276E-2</v>
      </c>
      <c r="AZ248" s="18">
        <f t="shared" si="215"/>
        <v>1.7634947287399338E-2</v>
      </c>
      <c r="BA248" s="18">
        <f t="shared" si="215"/>
        <v>8.980901526127294E-3</v>
      </c>
      <c r="BB248" s="18">
        <f t="shared" si="215"/>
        <v>4.30422147459808E-3</v>
      </c>
      <c r="BC248" s="18">
        <f t="shared" si="215"/>
        <v>3.3287569333881883E-3</v>
      </c>
      <c r="BD248" s="18">
        <f t="shared" si="215"/>
        <v>-4.5618554753656948E-4</v>
      </c>
      <c r="BE248" s="18">
        <f t="shared" si="215"/>
        <v>-2.3649494202540033E-3</v>
      </c>
      <c r="BF248" s="18">
        <f t="shared" si="215"/>
        <v>-7.0700782976262921E-4</v>
      </c>
      <c r="BG248" s="18">
        <f t="shared" si="215"/>
        <v>-3.1213590153928994E-3</v>
      </c>
      <c r="BH248" s="18">
        <f t="shared" si="215"/>
        <v>4.1748432050003892E-4</v>
      </c>
      <c r="BI248" s="18">
        <f t="shared" si="215"/>
        <v>-1.1684682802138857E-3</v>
      </c>
    </row>
    <row r="249" spans="1:61" x14ac:dyDescent="0.25">
      <c r="A249" s="11" t="s">
        <v>854</v>
      </c>
      <c r="B249" s="11"/>
      <c r="C249" s="18">
        <f>SUM(C$65:C$69)/SUM(B$65:B$69)-1</f>
        <v>3.1013098128575889E-2</v>
      </c>
      <c r="D249" s="18">
        <f t="shared" ref="D249:BI249" si="216">SUM(D$65:D$69)/SUM(C$65:C$69)-1</f>
        <v>2.7720913922347989E-2</v>
      </c>
      <c r="E249" s="18">
        <f t="shared" si="216"/>
        <v>2.7333584081979279E-2</v>
      </c>
      <c r="F249" s="18">
        <f t="shared" si="216"/>
        <v>2.9591462953473258E-2</v>
      </c>
      <c r="G249" s="18">
        <f t="shared" si="216"/>
        <v>3.0796061724112755E-2</v>
      </c>
      <c r="H249" s="18">
        <f t="shared" si="216"/>
        <v>2.7505931893643476E-2</v>
      </c>
      <c r="I249" s="18">
        <f t="shared" si="216"/>
        <v>2.2546506723725601E-2</v>
      </c>
      <c r="J249" s="18">
        <f t="shared" si="216"/>
        <v>8.9746545929649812E-3</v>
      </c>
      <c r="K249" s="18">
        <f t="shared" si="216"/>
        <v>5.3203983061254068E-3</v>
      </c>
      <c r="L249" s="18">
        <f t="shared" si="216"/>
        <v>-2.6791609156768814E-3</v>
      </c>
      <c r="M249" s="18">
        <f t="shared" si="216"/>
        <v>-3.2422067073489824E-4</v>
      </c>
      <c r="N249" s="18">
        <f t="shared" si="216"/>
        <v>-1.9003323737540878E-3</v>
      </c>
      <c r="O249" s="18">
        <f t="shared" si="216"/>
        <v>3.6648333196727112E-3</v>
      </c>
      <c r="P249" s="18">
        <f t="shared" si="216"/>
        <v>1.0495886223921946E-2</v>
      </c>
      <c r="Q249" s="18">
        <f t="shared" si="216"/>
        <v>2.5852039230898738E-2</v>
      </c>
      <c r="R249" s="18">
        <f t="shared" si="216"/>
        <v>8.6650482066028545E-3</v>
      </c>
      <c r="S249" s="18">
        <f t="shared" si="216"/>
        <v>-8.2499583935324861E-3</v>
      </c>
      <c r="T249" s="18">
        <f t="shared" si="216"/>
        <v>5.9283046121170191E-3</v>
      </c>
      <c r="U249" s="18">
        <f t="shared" si="216"/>
        <v>-1.1464975701556468E-2</v>
      </c>
      <c r="V249" s="18">
        <f t="shared" si="216"/>
        <v>-2.6610387713142947E-2</v>
      </c>
      <c r="W249" s="18">
        <f t="shared" si="216"/>
        <v>-2.1322723045574921E-2</v>
      </c>
      <c r="X249" s="18">
        <f t="shared" si="216"/>
        <v>-1.6216921304241683E-2</v>
      </c>
      <c r="Y249" s="18">
        <f t="shared" si="216"/>
        <v>-2.778100528748606E-3</v>
      </c>
      <c r="Z249" s="18">
        <f t="shared" si="216"/>
        <v>8.1029569456871897E-3</v>
      </c>
      <c r="AA249" s="18">
        <f t="shared" si="216"/>
        <v>2.0112715174819717E-2</v>
      </c>
      <c r="AB249" s="18">
        <f t="shared" si="216"/>
        <v>2.5347549358235133E-2</v>
      </c>
      <c r="AC249" s="18">
        <f t="shared" si="216"/>
        <v>3.1560259839638505E-2</v>
      </c>
      <c r="AD249" s="18">
        <f t="shared" si="216"/>
        <v>2.7748666587321669E-2</v>
      </c>
      <c r="AE249" s="18">
        <f t="shared" si="216"/>
        <v>3.0749393392764723E-2</v>
      </c>
      <c r="AF249" s="18">
        <f t="shared" si="216"/>
        <v>2.938431419913945E-2</v>
      </c>
      <c r="AG249" s="18">
        <f t="shared" si="216"/>
        <v>3.0394186044246707E-2</v>
      </c>
      <c r="AH249" s="18">
        <f t="shared" si="216"/>
        <v>3.5618783508980068E-2</v>
      </c>
      <c r="AI249" s="18">
        <f t="shared" si="216"/>
        <v>3.5667562525140362E-2</v>
      </c>
      <c r="AJ249" s="18">
        <f t="shared" si="216"/>
        <v>3.6161160208672882E-2</v>
      </c>
      <c r="AK249" s="18">
        <f t="shared" si="216"/>
        <v>3.5516430038556424E-2</v>
      </c>
      <c r="AL249" s="18">
        <f t="shared" si="216"/>
        <v>2.4852495309507727E-2</v>
      </c>
      <c r="AM249" s="18">
        <f t="shared" si="216"/>
        <v>1.2527585701285648E-2</v>
      </c>
      <c r="AN249" s="18">
        <f t="shared" si="216"/>
        <v>2.3861417894848191E-3</v>
      </c>
      <c r="AO249" s="18">
        <f t="shared" si="216"/>
        <v>-6.1715672936677457E-3</v>
      </c>
      <c r="AP249" s="18">
        <f t="shared" si="216"/>
        <v>-1.4282751738931454E-2</v>
      </c>
      <c r="AQ249" s="18">
        <f t="shared" si="216"/>
        <v>-1.3319728445183032E-2</v>
      </c>
      <c r="AR249" s="18">
        <f t="shared" si="216"/>
        <v>-1.3225899337288571E-2</v>
      </c>
      <c r="AS249" s="18">
        <f t="shared" si="216"/>
        <v>-1.2432594036296596E-2</v>
      </c>
      <c r="AT249" s="18">
        <f t="shared" si="216"/>
        <v>-4.1651699986534618E-3</v>
      </c>
      <c r="AU249" s="18">
        <f t="shared" si="216"/>
        <v>-8.4591732176186873E-4</v>
      </c>
      <c r="AV249" s="18">
        <f t="shared" si="216"/>
        <v>-3.2454284308800485E-3</v>
      </c>
      <c r="AW249" s="18">
        <f t="shared" si="216"/>
        <v>-1.7459686182592637E-3</v>
      </c>
      <c r="AX249" s="18">
        <f t="shared" si="216"/>
        <v>7.6106107940916434E-3</v>
      </c>
      <c r="AY249" s="18">
        <f t="shared" si="216"/>
        <v>1.0790181264415111E-3</v>
      </c>
      <c r="AZ249" s="18">
        <f t="shared" si="216"/>
        <v>6.0922244853240937E-3</v>
      </c>
      <c r="BA249" s="18">
        <f t="shared" si="216"/>
        <v>1.9190750929247047E-2</v>
      </c>
      <c r="BB249" s="18">
        <f t="shared" si="216"/>
        <v>2.413088231250371E-2</v>
      </c>
      <c r="BC249" s="18">
        <f t="shared" si="216"/>
        <v>1.722547161972332E-2</v>
      </c>
      <c r="BD249" s="18">
        <f t="shared" si="216"/>
        <v>2.0925939686671224E-2</v>
      </c>
      <c r="BE249" s="18">
        <f t="shared" si="216"/>
        <v>1.7789866655167907E-2</v>
      </c>
      <c r="BF249" s="18">
        <f t="shared" si="216"/>
        <v>9.1194360086537252E-3</v>
      </c>
      <c r="BG249" s="18">
        <f t="shared" si="216"/>
        <v>4.4766736542540819E-3</v>
      </c>
      <c r="BH249" s="18">
        <f t="shared" si="216"/>
        <v>3.498735312749357E-3</v>
      </c>
      <c r="BI249" s="18">
        <f t="shared" si="216"/>
        <v>-2.9054473693146399E-4</v>
      </c>
    </row>
    <row r="250" spans="1:61" x14ac:dyDescent="0.25">
      <c r="A250" s="11" t="s">
        <v>855</v>
      </c>
      <c r="B250" s="11"/>
      <c r="C250" s="18">
        <f>SUM(C$70:C$74)/SUM(B$70:B$74)-1</f>
        <v>5.816376906915055E-3</v>
      </c>
      <c r="D250" s="18">
        <f t="shared" ref="D250:BI250" si="217">SUM(D$70:D$74)/SUM(C$70:C$74)-1</f>
        <v>6.0343991597195945E-3</v>
      </c>
      <c r="E250" s="18">
        <f t="shared" si="217"/>
        <v>1.7579919603171179E-2</v>
      </c>
      <c r="F250" s="18">
        <f t="shared" si="217"/>
        <v>2.0064532706739246E-2</v>
      </c>
      <c r="G250" s="18">
        <f t="shared" si="217"/>
        <v>2.8371231400608155E-2</v>
      </c>
      <c r="H250" s="18">
        <f t="shared" si="217"/>
        <v>2.878349908350919E-2</v>
      </c>
      <c r="I250" s="18">
        <f t="shared" si="217"/>
        <v>2.3843265594794438E-2</v>
      </c>
      <c r="J250" s="18">
        <f t="shared" si="217"/>
        <v>2.3591832038593497E-2</v>
      </c>
      <c r="K250" s="18">
        <f t="shared" si="217"/>
        <v>2.7936251583013272E-2</v>
      </c>
      <c r="L250" s="18">
        <f t="shared" si="217"/>
        <v>3.4799964560601859E-2</v>
      </c>
      <c r="M250" s="18">
        <f t="shared" si="217"/>
        <v>3.6761262934773109E-2</v>
      </c>
      <c r="N250" s="18">
        <f t="shared" si="217"/>
        <v>3.00782188707025E-2</v>
      </c>
      <c r="O250" s="18">
        <f t="shared" si="217"/>
        <v>1.626235004245391E-2</v>
      </c>
      <c r="P250" s="18">
        <f t="shared" si="217"/>
        <v>1.001451117489971E-2</v>
      </c>
      <c r="Q250" s="18">
        <f t="shared" si="217"/>
        <v>-4.4456637295142709E-3</v>
      </c>
      <c r="R250" s="18">
        <f t="shared" si="217"/>
        <v>-1.4507635393398499E-2</v>
      </c>
      <c r="S250" s="18">
        <f t="shared" si="217"/>
        <v>-2.2701430686921875E-2</v>
      </c>
      <c r="T250" s="18">
        <f t="shared" si="217"/>
        <v>1.1110001417213189E-2</v>
      </c>
      <c r="U250" s="18">
        <f t="shared" si="217"/>
        <v>9.8623052283053347E-3</v>
      </c>
      <c r="V250" s="18">
        <f t="shared" si="217"/>
        <v>2.1150482441925966E-2</v>
      </c>
      <c r="W250" s="18">
        <f t="shared" si="217"/>
        <v>1.4032319099382518E-2</v>
      </c>
      <c r="X250" s="18">
        <f t="shared" si="217"/>
        <v>6.2900650375938838E-3</v>
      </c>
      <c r="Y250" s="18">
        <f t="shared" si="217"/>
        <v>-3.1695068450436903E-3</v>
      </c>
      <c r="Z250" s="18">
        <f t="shared" si="217"/>
        <v>-9.8366238091899261E-3</v>
      </c>
      <c r="AA250" s="18">
        <f t="shared" si="217"/>
        <v>-2.5443566117742678E-2</v>
      </c>
      <c r="AB250" s="18">
        <f t="shared" si="217"/>
        <v>-2.0981469203707581E-2</v>
      </c>
      <c r="AC250" s="18">
        <f t="shared" si="217"/>
        <v>-1.5805789653355218E-2</v>
      </c>
      <c r="AD250" s="18">
        <f t="shared" si="217"/>
        <v>-2.7845317025930738E-3</v>
      </c>
      <c r="AE250" s="18">
        <f t="shared" si="217"/>
        <v>8.4418582810148468E-3</v>
      </c>
      <c r="AF250" s="18">
        <f t="shared" si="217"/>
        <v>2.0412824559352227E-2</v>
      </c>
      <c r="AG250" s="18">
        <f t="shared" si="217"/>
        <v>2.5620875503655993E-2</v>
      </c>
      <c r="AH250" s="18">
        <f t="shared" si="217"/>
        <v>3.162599512623876E-2</v>
      </c>
      <c r="AI250" s="18">
        <f t="shared" si="217"/>
        <v>2.7793594712255398E-2</v>
      </c>
      <c r="AJ250" s="18">
        <f t="shared" si="217"/>
        <v>3.0988043279745581E-2</v>
      </c>
      <c r="AK250" s="18">
        <f t="shared" si="217"/>
        <v>2.9493788062820991E-2</v>
      </c>
      <c r="AL250" s="18">
        <f t="shared" si="217"/>
        <v>3.061706560179811E-2</v>
      </c>
      <c r="AM250" s="18">
        <f t="shared" si="217"/>
        <v>3.5649010625206534E-2</v>
      </c>
      <c r="AN250" s="18">
        <f t="shared" si="217"/>
        <v>3.585614980263041E-2</v>
      </c>
      <c r="AO250" s="18">
        <f t="shared" si="217"/>
        <v>3.6246839059287161E-2</v>
      </c>
      <c r="AP250" s="18">
        <f t="shared" si="217"/>
        <v>3.5551605555313115E-2</v>
      </c>
      <c r="AQ250" s="18">
        <f t="shared" si="217"/>
        <v>2.5068601079368369E-2</v>
      </c>
      <c r="AR250" s="18">
        <f t="shared" si="217"/>
        <v>1.2677317790032117E-2</v>
      </c>
      <c r="AS250" s="18">
        <f t="shared" si="217"/>
        <v>2.6191429226614105E-3</v>
      </c>
      <c r="AT250" s="18">
        <f t="shared" si="217"/>
        <v>-5.9330224583642455E-3</v>
      </c>
      <c r="AU250" s="18">
        <f t="shared" si="217"/>
        <v>-1.3985731779598387E-2</v>
      </c>
      <c r="AV250" s="18">
        <f t="shared" si="217"/>
        <v>-1.3099971335364446E-2</v>
      </c>
      <c r="AW250" s="18">
        <f t="shared" si="217"/>
        <v>-1.2861911168443263E-2</v>
      </c>
      <c r="AX250" s="18">
        <f t="shared" si="217"/>
        <v>-1.2148497472301512E-2</v>
      </c>
      <c r="AY250" s="18">
        <f t="shared" si="217"/>
        <v>-3.9897762181548835E-3</v>
      </c>
      <c r="AZ250" s="18">
        <f t="shared" si="217"/>
        <v>-5.6551881844879581E-4</v>
      </c>
      <c r="BA250" s="18">
        <f t="shared" si="217"/>
        <v>-2.9706537574588632E-3</v>
      </c>
      <c r="BB250" s="18">
        <f t="shared" si="217"/>
        <v>-1.5606930086479176E-3</v>
      </c>
      <c r="BC250" s="18">
        <f t="shared" si="217"/>
        <v>7.7209275858733939E-3</v>
      </c>
      <c r="BD250" s="18">
        <f t="shared" si="217"/>
        <v>1.2691278113996507E-3</v>
      </c>
      <c r="BE250" s="18">
        <f t="shared" si="217"/>
        <v>6.2906506835085363E-3</v>
      </c>
      <c r="BF250" s="18">
        <f t="shared" si="217"/>
        <v>1.9267145864126256E-2</v>
      </c>
      <c r="BG250" s="18">
        <f t="shared" si="217"/>
        <v>2.425801037331099E-2</v>
      </c>
      <c r="BH250" s="18">
        <f t="shared" si="217"/>
        <v>1.7293420579791663E-2</v>
      </c>
      <c r="BI250" s="18">
        <f t="shared" si="217"/>
        <v>2.1040653115013797E-2</v>
      </c>
    </row>
    <row r="251" spans="1:61" x14ac:dyDescent="0.25">
      <c r="A251" s="11" t="s">
        <v>856</v>
      </c>
      <c r="B251" s="11"/>
      <c r="C251" s="18">
        <f>SUM(C$75:C$79)/SUM(B$75:B$79)-1</f>
        <v>6.2273226469046206E-2</v>
      </c>
      <c r="D251" s="18">
        <f t="shared" ref="D251:BI251" si="218">SUM(D$75:D$79)/SUM(C$75:C$79)-1</f>
        <v>7.3583911342386177E-2</v>
      </c>
      <c r="E251" s="18">
        <f t="shared" si="218"/>
        <v>4.552487729013488E-2</v>
      </c>
      <c r="F251" s="18">
        <f t="shared" si="218"/>
        <v>4.286816586560005E-2</v>
      </c>
      <c r="G251" s="18">
        <f t="shared" si="218"/>
        <v>3.3088883896684518E-2</v>
      </c>
      <c r="H251" s="18">
        <f t="shared" si="218"/>
        <v>5.716529629570033E-3</v>
      </c>
      <c r="I251" s="18">
        <f t="shared" si="218"/>
        <v>7.7077712955950783E-3</v>
      </c>
      <c r="J251" s="18">
        <f t="shared" si="218"/>
        <v>1.4040357514755408E-2</v>
      </c>
      <c r="K251" s="18">
        <f t="shared" si="218"/>
        <v>1.8441289102687275E-2</v>
      </c>
      <c r="L251" s="18">
        <f t="shared" si="218"/>
        <v>2.9568476603325733E-2</v>
      </c>
      <c r="M251" s="18">
        <f t="shared" si="218"/>
        <v>3.147677451419284E-2</v>
      </c>
      <c r="N251" s="18">
        <f t="shared" si="218"/>
        <v>3.0106252371513431E-2</v>
      </c>
      <c r="O251" s="18">
        <f t="shared" si="218"/>
        <v>3.3736694294038694E-2</v>
      </c>
      <c r="P251" s="18">
        <f t="shared" si="218"/>
        <v>3.481024075298067E-2</v>
      </c>
      <c r="Q251" s="18">
        <f t="shared" si="218"/>
        <v>2.9113857683934707E-2</v>
      </c>
      <c r="R251" s="18">
        <f t="shared" si="218"/>
        <v>2.0307743071308115E-2</v>
      </c>
      <c r="S251" s="18">
        <f t="shared" si="218"/>
        <v>5.7370724403458251E-3</v>
      </c>
      <c r="T251" s="18">
        <f t="shared" si="218"/>
        <v>2.1698699213105854E-2</v>
      </c>
      <c r="U251" s="18">
        <f t="shared" si="218"/>
        <v>6.4560277129528387E-3</v>
      </c>
      <c r="V251" s="18">
        <f t="shared" si="218"/>
        <v>-4.1386184029290618E-3</v>
      </c>
      <c r="W251" s="18">
        <f t="shared" si="218"/>
        <v>-4.5419186567701164E-3</v>
      </c>
      <c r="X251" s="18">
        <f t="shared" si="218"/>
        <v>-3.5854375803515692E-3</v>
      </c>
      <c r="Y251" s="18">
        <f t="shared" si="218"/>
        <v>5.6142442159226036E-3</v>
      </c>
      <c r="Z251" s="18">
        <f t="shared" si="218"/>
        <v>1.1430947931051261E-2</v>
      </c>
      <c r="AA251" s="18">
        <f t="shared" si="218"/>
        <v>2.25162628113873E-2</v>
      </c>
      <c r="AB251" s="18">
        <f t="shared" si="218"/>
        <v>1.4631425972248424E-2</v>
      </c>
      <c r="AC251" s="18">
        <f t="shared" si="218"/>
        <v>6.7233018078787232E-3</v>
      </c>
      <c r="AD251" s="18">
        <f t="shared" si="218"/>
        <v>-3.0082886950512089E-3</v>
      </c>
      <c r="AE251" s="18">
        <f t="shared" si="218"/>
        <v>-9.2934866716498643E-3</v>
      </c>
      <c r="AF251" s="18">
        <f t="shared" si="218"/>
        <v>-2.4548105862667646E-2</v>
      </c>
      <c r="AG251" s="18">
        <f t="shared" si="218"/>
        <v>-2.0232618616287779E-2</v>
      </c>
      <c r="AH251" s="18">
        <f t="shared" si="218"/>
        <v>-1.5105407794644532E-2</v>
      </c>
      <c r="AI251" s="18">
        <f t="shared" si="218"/>
        <v>-2.2002562961072059E-3</v>
      </c>
      <c r="AJ251" s="18">
        <f t="shared" si="218"/>
        <v>8.6907201552204327E-3</v>
      </c>
      <c r="AK251" s="18">
        <f t="shared" si="218"/>
        <v>2.0510848415345784E-2</v>
      </c>
      <c r="AL251" s="18">
        <f t="shared" si="218"/>
        <v>2.5580047684471863E-2</v>
      </c>
      <c r="AM251" s="18">
        <f t="shared" si="218"/>
        <v>3.1515421363873752E-2</v>
      </c>
      <c r="AN251" s="18">
        <f t="shared" si="218"/>
        <v>2.7872497223459192E-2</v>
      </c>
      <c r="AO251" s="18">
        <f t="shared" si="218"/>
        <v>3.0940835655483889E-2</v>
      </c>
      <c r="AP251" s="18">
        <f t="shared" si="218"/>
        <v>2.9450205295376675E-2</v>
      </c>
      <c r="AQ251" s="18">
        <f t="shared" si="218"/>
        <v>3.0463927557978554E-2</v>
      </c>
      <c r="AR251" s="18">
        <f t="shared" si="218"/>
        <v>3.5603129555372703E-2</v>
      </c>
      <c r="AS251" s="18">
        <f t="shared" si="218"/>
        <v>3.5555791594500619E-2</v>
      </c>
      <c r="AT251" s="18">
        <f t="shared" si="218"/>
        <v>3.6162889683024835E-2</v>
      </c>
      <c r="AU251" s="18">
        <f t="shared" si="218"/>
        <v>3.5472920624833204E-2</v>
      </c>
      <c r="AV251" s="18">
        <f t="shared" si="218"/>
        <v>2.4956550235007757E-2</v>
      </c>
      <c r="AW251" s="18">
        <f t="shared" si="218"/>
        <v>1.2893229322412436E-2</v>
      </c>
      <c r="AX251" s="18">
        <f t="shared" si="218"/>
        <v>2.7941948754723889E-3</v>
      </c>
      <c r="AY251" s="18">
        <f t="shared" si="218"/>
        <v>-5.5728182108581992E-3</v>
      </c>
      <c r="AZ251" s="18">
        <f t="shared" si="218"/>
        <v>-1.3520879052605683E-2</v>
      </c>
      <c r="BA251" s="18">
        <f t="shared" si="218"/>
        <v>-1.2624130575316195E-2</v>
      </c>
      <c r="BB251" s="18">
        <f t="shared" si="218"/>
        <v>-1.2465898440585876E-2</v>
      </c>
      <c r="BC251" s="18">
        <f t="shared" si="218"/>
        <v>-1.1744716887155171E-2</v>
      </c>
      <c r="BD251" s="18">
        <f t="shared" si="218"/>
        <v>-3.649507778940797E-3</v>
      </c>
      <c r="BE251" s="18">
        <f t="shared" si="218"/>
        <v>-3.2871959359315195E-4</v>
      </c>
      <c r="BF251" s="18">
        <f t="shared" si="218"/>
        <v>-2.7245722529131156E-3</v>
      </c>
      <c r="BG251" s="18">
        <f t="shared" si="218"/>
        <v>-1.2718004713903053E-3</v>
      </c>
      <c r="BH251" s="18">
        <f t="shared" si="218"/>
        <v>7.9706659732221574E-3</v>
      </c>
      <c r="BI251" s="18">
        <f t="shared" si="218"/>
        <v>1.4973040172918672E-3</v>
      </c>
    </row>
    <row r="252" spans="1:61" x14ac:dyDescent="0.25">
      <c r="A252" s="11" t="s">
        <v>1241</v>
      </c>
      <c r="B252" s="11"/>
      <c r="C252" s="18">
        <f>SUM(C$80:C$84)/SUM(B$80:B$84)-1</f>
        <v>5.0292251642606534E-2</v>
      </c>
      <c r="D252" s="18">
        <f t="shared" ref="D252:BI252" si="219">SUM(D$80:D$84)/SUM(C$80:C$84)-1</f>
        <v>1.6537824769828013E-2</v>
      </c>
      <c r="E252" s="18">
        <f t="shared" si="219"/>
        <v>2.9418060695805215E-2</v>
      </c>
      <c r="F252" s="18">
        <f t="shared" si="219"/>
        <v>2.8265361467322947E-2</v>
      </c>
      <c r="G252" s="18">
        <f t="shared" si="219"/>
        <v>2.5847376111395093E-2</v>
      </c>
      <c r="H252" s="18">
        <f t="shared" si="219"/>
        <v>5.9455107595168588E-2</v>
      </c>
      <c r="I252" s="18">
        <f t="shared" si="219"/>
        <v>7.3858607368619156E-2</v>
      </c>
      <c r="J252" s="18">
        <f t="shared" si="219"/>
        <v>4.1633386731625865E-2</v>
      </c>
      <c r="K252" s="18">
        <f t="shared" si="219"/>
        <v>3.9453542516597162E-2</v>
      </c>
      <c r="L252" s="18">
        <f t="shared" si="219"/>
        <v>2.9863965856227637E-2</v>
      </c>
      <c r="M252" s="18">
        <f t="shared" si="219"/>
        <v>1.0351810256048921E-2</v>
      </c>
      <c r="N252" s="18">
        <f t="shared" si="219"/>
        <v>1.0668286800916915E-2</v>
      </c>
      <c r="O252" s="18">
        <f t="shared" si="219"/>
        <v>2.5073155104529343E-2</v>
      </c>
      <c r="P252" s="18">
        <f t="shared" si="219"/>
        <v>3.0850981089247442E-2</v>
      </c>
      <c r="Q252" s="18">
        <f t="shared" si="219"/>
        <v>3.0761278382308133E-2</v>
      </c>
      <c r="R252" s="18">
        <f t="shared" si="219"/>
        <v>1.8746998119579805E-2</v>
      </c>
      <c r="S252" s="18">
        <f t="shared" si="219"/>
        <v>9.4153490714150578E-3</v>
      </c>
      <c r="T252" s="18">
        <f t="shared" si="219"/>
        <v>3.5410395656113147E-2</v>
      </c>
      <c r="U252" s="18">
        <f t="shared" si="219"/>
        <v>2.5677243123375826E-2</v>
      </c>
      <c r="V252" s="18">
        <f t="shared" si="219"/>
        <v>2.8308675285104279E-2</v>
      </c>
      <c r="W252" s="18">
        <f t="shared" si="219"/>
        <v>3.0493368251471864E-2</v>
      </c>
      <c r="X252" s="18">
        <f t="shared" si="219"/>
        <v>2.6647458755922449E-2</v>
      </c>
      <c r="Y252" s="18">
        <f t="shared" si="219"/>
        <v>1.6142610332947838E-2</v>
      </c>
      <c r="Z252" s="18">
        <f t="shared" si="219"/>
        <v>7.8337124389384893E-3</v>
      </c>
      <c r="AA252" s="18">
        <f t="shared" si="219"/>
        <v>-2.6879587558559237E-3</v>
      </c>
      <c r="AB252" s="18">
        <f t="shared" si="219"/>
        <v>-3.7020298461469814E-3</v>
      </c>
      <c r="AC252" s="18">
        <f t="shared" si="219"/>
        <v>-2.7163636476789099E-3</v>
      </c>
      <c r="AD252" s="18">
        <f t="shared" si="219"/>
        <v>6.2905940606681199E-3</v>
      </c>
      <c r="AE252" s="18">
        <f t="shared" si="219"/>
        <v>1.1729186746911147E-2</v>
      </c>
      <c r="AF252" s="18">
        <f t="shared" si="219"/>
        <v>2.2804222028866006E-2</v>
      </c>
      <c r="AG252" s="18">
        <f t="shared" si="219"/>
        <v>1.5133730493867237E-2</v>
      </c>
      <c r="AH252" s="18">
        <f t="shared" si="219"/>
        <v>7.1779813433878736E-3</v>
      </c>
      <c r="AI252" s="18">
        <f t="shared" si="219"/>
        <v>-2.2537823046766547E-3</v>
      </c>
      <c r="AJ252" s="18">
        <f t="shared" si="219"/>
        <v>-8.6691894729669094E-3</v>
      </c>
      <c r="AK252" s="18">
        <f t="shared" si="219"/>
        <v>-2.3894792963044642E-2</v>
      </c>
      <c r="AL252" s="18">
        <f t="shared" si="219"/>
        <v>-1.9243087566908401E-2</v>
      </c>
      <c r="AM252" s="18">
        <f t="shared" si="219"/>
        <v>-1.440991959037019E-2</v>
      </c>
      <c r="AN252" s="18">
        <f t="shared" si="219"/>
        <v>-1.5664929941963113E-3</v>
      </c>
      <c r="AO252" s="18">
        <f t="shared" si="219"/>
        <v>9.2175856242071585E-3</v>
      </c>
      <c r="AP252" s="18">
        <f t="shared" si="219"/>
        <v>2.0663502707421122E-2</v>
      </c>
      <c r="AQ252" s="18">
        <f t="shared" si="219"/>
        <v>2.5766575738279673E-2</v>
      </c>
      <c r="AR252" s="18">
        <f t="shared" si="219"/>
        <v>3.1801327430729387E-2</v>
      </c>
      <c r="AS252" s="18">
        <f t="shared" si="219"/>
        <v>2.8002894725534411E-2</v>
      </c>
      <c r="AT252" s="18">
        <f t="shared" si="219"/>
        <v>3.1031540931862001E-2</v>
      </c>
      <c r="AU252" s="18">
        <f t="shared" si="219"/>
        <v>2.9531823306555793E-2</v>
      </c>
      <c r="AV252" s="18">
        <f t="shared" si="219"/>
        <v>3.0662967439495592E-2</v>
      </c>
      <c r="AW252" s="18">
        <f t="shared" si="219"/>
        <v>3.5615559692909748E-2</v>
      </c>
      <c r="AX252" s="18">
        <f t="shared" si="219"/>
        <v>3.5677792787358165E-2</v>
      </c>
      <c r="AY252" s="18">
        <f t="shared" si="219"/>
        <v>3.6238282680039369E-2</v>
      </c>
      <c r="AZ252" s="18">
        <f t="shared" si="219"/>
        <v>3.5450705767589463E-2</v>
      </c>
      <c r="BA252" s="18">
        <f t="shared" si="219"/>
        <v>2.5202865315898437E-2</v>
      </c>
      <c r="BB252" s="18">
        <f t="shared" si="219"/>
        <v>1.3014686023554045E-2</v>
      </c>
      <c r="BC252" s="18">
        <f t="shared" si="219"/>
        <v>3.1672607200363689E-3</v>
      </c>
      <c r="BD252" s="18">
        <f t="shared" si="219"/>
        <v>-5.2472785986957815E-3</v>
      </c>
      <c r="BE252" s="18">
        <f t="shared" si="219"/>
        <v>-1.2963879269482281E-2</v>
      </c>
      <c r="BF252" s="18">
        <f t="shared" si="219"/>
        <v>-1.2228345423949127E-2</v>
      </c>
      <c r="BG252" s="18">
        <f t="shared" si="219"/>
        <v>-1.2012922240765445E-2</v>
      </c>
      <c r="BH252" s="18">
        <f t="shared" si="219"/>
        <v>-1.1323636942387472E-2</v>
      </c>
      <c r="BI252" s="18">
        <f t="shared" si="219"/>
        <v>-3.1919117219603166E-3</v>
      </c>
    </row>
    <row r="253" spans="1:61" x14ac:dyDescent="0.25">
      <c r="A253" s="11" t="s">
        <v>1242</v>
      </c>
      <c r="B253" s="11"/>
      <c r="C253" s="18">
        <f>SUM(C$85:C$89)/SUM(B$85:B$89)-1</f>
        <v>2.0960010752814284E-2</v>
      </c>
      <c r="D253" s="18">
        <f t="shared" ref="D253:BI253" si="220">SUM(D$85:D$89)/SUM(C$85:C$89)-1</f>
        <v>2.2354888767771142E-2</v>
      </c>
      <c r="E253" s="18">
        <f t="shared" si="220"/>
        <v>3.1594956810198527E-2</v>
      </c>
      <c r="F253" s="18">
        <f t="shared" si="220"/>
        <v>4.8977502736639034E-2</v>
      </c>
      <c r="G253" s="18">
        <f t="shared" si="220"/>
        <v>5.8022412910013088E-2</v>
      </c>
      <c r="H253" s="18">
        <f t="shared" si="220"/>
        <v>5.1268677601606027E-2</v>
      </c>
      <c r="I253" s="18">
        <f t="shared" si="220"/>
        <v>1.6478870886640351E-2</v>
      </c>
      <c r="J253" s="18">
        <f t="shared" si="220"/>
        <v>2.7426784331573861E-2</v>
      </c>
      <c r="K253" s="18">
        <f t="shared" si="220"/>
        <v>2.6663965473848528E-2</v>
      </c>
      <c r="L253" s="18">
        <f t="shared" si="220"/>
        <v>2.440030274218441E-2</v>
      </c>
      <c r="M253" s="18">
        <f t="shared" si="220"/>
        <v>6.0095600238474711E-2</v>
      </c>
      <c r="N253" s="18">
        <f t="shared" si="220"/>
        <v>7.4645556405793512E-2</v>
      </c>
      <c r="O253" s="18">
        <f t="shared" si="220"/>
        <v>5.1633094078778807E-2</v>
      </c>
      <c r="P253" s="18">
        <f t="shared" si="220"/>
        <v>5.0930146002529764E-2</v>
      </c>
      <c r="Q253" s="18">
        <f t="shared" si="220"/>
        <v>3.7782421787602827E-2</v>
      </c>
      <c r="R253" s="18">
        <f t="shared" si="220"/>
        <v>1.7665488615226099E-3</v>
      </c>
      <c r="S253" s="18">
        <f t="shared" si="220"/>
        <v>-6.7758250159110078E-3</v>
      </c>
      <c r="T253" s="18">
        <f t="shared" si="220"/>
        <v>3.1355333367081961E-2</v>
      </c>
      <c r="U253" s="18">
        <f t="shared" si="220"/>
        <v>2.0730306311875779E-2</v>
      </c>
      <c r="V253" s="18">
        <f t="shared" si="220"/>
        <v>2.9975916478593989E-2</v>
      </c>
      <c r="W253" s="18">
        <f t="shared" si="220"/>
        <v>2.9198195506645153E-2</v>
      </c>
      <c r="X253" s="18">
        <f t="shared" si="220"/>
        <v>3.0556068999713082E-2</v>
      </c>
      <c r="Y253" s="18">
        <f t="shared" si="220"/>
        <v>3.028043650531953E-2</v>
      </c>
      <c r="Z253" s="18">
        <f t="shared" si="220"/>
        <v>2.7556957768820389E-2</v>
      </c>
      <c r="AA253" s="18">
        <f t="shared" si="220"/>
        <v>3.02231215068689E-2</v>
      </c>
      <c r="AB253" s="18">
        <f t="shared" si="220"/>
        <v>3.1850480202195719E-2</v>
      </c>
      <c r="AC253" s="18">
        <f t="shared" si="220"/>
        <v>2.7766648341814859E-2</v>
      </c>
      <c r="AD253" s="18">
        <f t="shared" si="220"/>
        <v>1.6851195105576977E-2</v>
      </c>
      <c r="AE253" s="18">
        <f t="shared" si="220"/>
        <v>8.3866083717902828E-3</v>
      </c>
      <c r="AF253" s="18">
        <f t="shared" si="220"/>
        <v>-1.7299064930552666E-3</v>
      </c>
      <c r="AG253" s="18">
        <f t="shared" si="220"/>
        <v>-2.7326567104045685E-3</v>
      </c>
      <c r="AH253" s="18">
        <f t="shared" si="220"/>
        <v>-1.6708198688365483E-3</v>
      </c>
      <c r="AI253" s="18">
        <f t="shared" si="220"/>
        <v>7.0961326032124017E-3</v>
      </c>
      <c r="AJ253" s="18">
        <f t="shared" si="220"/>
        <v>1.2563386861705883E-2</v>
      </c>
      <c r="AK253" s="18">
        <f t="shared" si="220"/>
        <v>2.3633345822558383E-2</v>
      </c>
      <c r="AL253" s="18">
        <f t="shared" si="220"/>
        <v>1.5840731671904473E-2</v>
      </c>
      <c r="AM253" s="18">
        <f t="shared" si="220"/>
        <v>8.0178214863102504E-3</v>
      </c>
      <c r="AN253" s="18">
        <f t="shared" si="220"/>
        <v>-1.7536482356439453E-3</v>
      </c>
      <c r="AO253" s="18">
        <f t="shared" si="220"/>
        <v>-7.9680204595484749E-3</v>
      </c>
      <c r="AP253" s="18">
        <f t="shared" si="220"/>
        <v>-2.295766277088318E-2</v>
      </c>
      <c r="AQ253" s="18">
        <f t="shared" si="220"/>
        <v>-1.8577597996405459E-2</v>
      </c>
      <c r="AR253" s="18">
        <f t="shared" si="220"/>
        <v>-1.3454943071412817E-2</v>
      </c>
      <c r="AS253" s="18">
        <f t="shared" si="220"/>
        <v>-7.3540648864267588E-4</v>
      </c>
      <c r="AT253" s="18">
        <f t="shared" si="220"/>
        <v>9.9018419077989694E-3</v>
      </c>
      <c r="AU253" s="18">
        <f t="shared" si="220"/>
        <v>2.1199474068004598E-2</v>
      </c>
      <c r="AV253" s="18">
        <f t="shared" si="220"/>
        <v>2.6533090234792001E-2</v>
      </c>
      <c r="AW253" s="18">
        <f t="shared" si="220"/>
        <v>3.204051823659948E-2</v>
      </c>
      <c r="AX253" s="18">
        <f t="shared" si="220"/>
        <v>2.8535188193075101E-2</v>
      </c>
      <c r="AY253" s="18">
        <f t="shared" si="220"/>
        <v>3.149425518819271E-2</v>
      </c>
      <c r="AZ253" s="18">
        <f t="shared" si="220"/>
        <v>2.9955475265478704E-2</v>
      </c>
      <c r="BA253" s="18">
        <f t="shared" si="220"/>
        <v>3.1045608076502029E-2</v>
      </c>
      <c r="BB253" s="18">
        <f t="shared" si="220"/>
        <v>3.608947867807899E-2</v>
      </c>
      <c r="BC253" s="18">
        <f t="shared" si="220"/>
        <v>3.6143856357597315E-2</v>
      </c>
      <c r="BD253" s="18">
        <f t="shared" si="220"/>
        <v>3.6604418054993149E-2</v>
      </c>
      <c r="BE253" s="18">
        <f t="shared" si="220"/>
        <v>3.5751414971601392E-2</v>
      </c>
      <c r="BF253" s="18">
        <f t="shared" si="220"/>
        <v>2.5557943470034372E-2</v>
      </c>
      <c r="BG253" s="18">
        <f t="shared" si="220"/>
        <v>1.3380101404711908E-2</v>
      </c>
      <c r="BH253" s="18">
        <f t="shared" si="220"/>
        <v>3.584438512360455E-3</v>
      </c>
      <c r="BI253" s="18">
        <f t="shared" si="220"/>
        <v>-4.7019008228939008E-3</v>
      </c>
    </row>
    <row r="254" spans="1:61" x14ac:dyDescent="0.25">
      <c r="A254" s="11" t="s">
        <v>1243</v>
      </c>
      <c r="B254" s="11"/>
      <c r="C254" s="18">
        <f>SUM(C$90:C$94)/SUM(B$90:B$94)-1</f>
        <v>3.8726432255133947E-3</v>
      </c>
      <c r="D254" s="18">
        <f t="shared" ref="D254:BI254" si="221">SUM(D$90:D$94)/SUM(C$90:C$94)-1</f>
        <v>-8.7528682639725908E-5</v>
      </c>
      <c r="E254" s="18">
        <f t="shared" si="221"/>
        <v>-3.5585118277771111E-3</v>
      </c>
      <c r="F254" s="18">
        <f t="shared" si="221"/>
        <v>-5.3602535824233133E-3</v>
      </c>
      <c r="G254" s="18">
        <f t="shared" si="221"/>
        <v>4.8120797765887069E-3</v>
      </c>
      <c r="H254" s="18">
        <f t="shared" si="221"/>
        <v>2.0169174818035041E-2</v>
      </c>
      <c r="I254" s="18">
        <f t="shared" si="221"/>
        <v>2.2875605516789577E-2</v>
      </c>
      <c r="J254" s="18">
        <f t="shared" si="221"/>
        <v>3.0023791466712524E-2</v>
      </c>
      <c r="K254" s="18">
        <f t="shared" si="221"/>
        <v>5.1941220031206825E-2</v>
      </c>
      <c r="L254" s="18">
        <f t="shared" si="221"/>
        <v>5.943032783728297E-2</v>
      </c>
      <c r="M254" s="18">
        <f t="shared" si="221"/>
        <v>5.6805656857864983E-2</v>
      </c>
      <c r="N254" s="18">
        <f t="shared" si="221"/>
        <v>1.6521112103584645E-2</v>
      </c>
      <c r="O254" s="18">
        <f t="shared" si="221"/>
        <v>3.4168390525435965E-2</v>
      </c>
      <c r="P254" s="18">
        <f t="shared" si="221"/>
        <v>3.2397348282851013E-2</v>
      </c>
      <c r="Q254" s="18">
        <f t="shared" si="221"/>
        <v>3.4679591221656425E-2</v>
      </c>
      <c r="R254" s="18">
        <f t="shared" si="221"/>
        <v>5.760890482759895E-2</v>
      </c>
      <c r="S254" s="18">
        <f t="shared" si="221"/>
        <v>5.5519476276044477E-2</v>
      </c>
      <c r="T254" s="18">
        <f t="shared" si="221"/>
        <v>5.921220813128647E-2</v>
      </c>
      <c r="U254" s="18">
        <f t="shared" si="221"/>
        <v>4.8615182909554466E-2</v>
      </c>
      <c r="V254" s="18">
        <f t="shared" si="221"/>
        <v>3.3921133236762602E-2</v>
      </c>
      <c r="W254" s="18">
        <f t="shared" si="221"/>
        <v>1.0212889115463364E-2</v>
      </c>
      <c r="X254" s="18">
        <f t="shared" si="221"/>
        <v>1.4631718857490039E-2</v>
      </c>
      <c r="Y254" s="18">
        <f t="shared" si="221"/>
        <v>2.6088727188215755E-2</v>
      </c>
      <c r="Z254" s="18">
        <f t="shared" si="221"/>
        <v>2.3839382746869475E-2</v>
      </c>
      <c r="AA254" s="18">
        <f t="shared" si="221"/>
        <v>3.2472652814449887E-2</v>
      </c>
      <c r="AB254" s="18">
        <f t="shared" si="221"/>
        <v>3.1078591094632735E-2</v>
      </c>
      <c r="AC254" s="18">
        <f t="shared" si="221"/>
        <v>3.2401931564595587E-2</v>
      </c>
      <c r="AD254" s="18">
        <f t="shared" si="221"/>
        <v>3.1807975435146352E-2</v>
      </c>
      <c r="AE254" s="18">
        <f t="shared" si="221"/>
        <v>2.8941697991363258E-2</v>
      </c>
      <c r="AF254" s="18">
        <f t="shared" si="221"/>
        <v>3.163363077538639E-2</v>
      </c>
      <c r="AG254" s="18">
        <f t="shared" si="221"/>
        <v>3.3212494736897913E-2</v>
      </c>
      <c r="AH254" s="18">
        <f t="shared" si="221"/>
        <v>2.9229416849349432E-2</v>
      </c>
      <c r="AI254" s="18">
        <f t="shared" si="221"/>
        <v>1.8158133791743136E-2</v>
      </c>
      <c r="AJ254" s="18">
        <f t="shared" si="221"/>
        <v>9.4165084222579409E-3</v>
      </c>
      <c r="AK254" s="18">
        <f t="shared" si="221"/>
        <v>-6.3604533886363335E-4</v>
      </c>
      <c r="AL254" s="18">
        <f t="shared" si="221"/>
        <v>-1.2729003000299111E-3</v>
      </c>
      <c r="AM254" s="18">
        <f t="shared" si="221"/>
        <v>-3.5403406674472393E-4</v>
      </c>
      <c r="AN254" s="18">
        <f t="shared" si="221"/>
        <v>8.6414906106353495E-3</v>
      </c>
      <c r="AO254" s="18">
        <f t="shared" si="221"/>
        <v>1.3904558160927172E-2</v>
      </c>
      <c r="AP254" s="18">
        <f t="shared" si="221"/>
        <v>2.4726528264033876E-2</v>
      </c>
      <c r="AQ254" s="18">
        <f t="shared" si="221"/>
        <v>1.6830084440675686E-2</v>
      </c>
      <c r="AR254" s="18">
        <f t="shared" si="221"/>
        <v>8.9737161752931893E-3</v>
      </c>
      <c r="AS254" s="18">
        <f t="shared" si="221"/>
        <v>-6.58807762810798E-4</v>
      </c>
      <c r="AT254" s="18">
        <f t="shared" si="221"/>
        <v>-7.0538902197107012E-3</v>
      </c>
      <c r="AU254" s="18">
        <f t="shared" si="221"/>
        <v>-2.2042321056320202E-2</v>
      </c>
      <c r="AV254" s="18">
        <f t="shared" si="221"/>
        <v>-1.7243796763236174E-2</v>
      </c>
      <c r="AW254" s="18">
        <f t="shared" si="221"/>
        <v>-1.2434430242225458E-2</v>
      </c>
      <c r="AX254" s="18">
        <f t="shared" si="221"/>
        <v>4.8964969101250588E-4</v>
      </c>
      <c r="AY254" s="18">
        <f t="shared" si="221"/>
        <v>1.0976768298647688E-2</v>
      </c>
      <c r="AZ254" s="18">
        <f t="shared" si="221"/>
        <v>2.2337583612456413E-2</v>
      </c>
      <c r="BA254" s="18">
        <f t="shared" si="221"/>
        <v>2.7261163541383526E-2</v>
      </c>
      <c r="BB254" s="18">
        <f t="shared" si="221"/>
        <v>3.3056904991167979E-2</v>
      </c>
      <c r="BC254" s="18">
        <f t="shared" si="221"/>
        <v>2.9258153433882716E-2</v>
      </c>
      <c r="BD254" s="18">
        <f t="shared" si="221"/>
        <v>3.2390048655382309E-2</v>
      </c>
      <c r="BE254" s="18">
        <f t="shared" si="221"/>
        <v>3.0773965811631276E-2</v>
      </c>
      <c r="BF254" s="18">
        <f t="shared" si="221"/>
        <v>3.1833910220151251E-2</v>
      </c>
      <c r="BG254" s="18">
        <f t="shared" si="221"/>
        <v>3.6886768717042884E-2</v>
      </c>
      <c r="BH254" s="18">
        <f t="shared" si="221"/>
        <v>3.682563127501215E-2</v>
      </c>
      <c r="BI254" s="18">
        <f t="shared" si="221"/>
        <v>3.7353886987261387E-2</v>
      </c>
    </row>
    <row r="255" spans="1:61" x14ac:dyDescent="0.25">
      <c r="A255" s="11" t="s">
        <v>1244</v>
      </c>
      <c r="B255" s="11"/>
      <c r="C255" s="18">
        <f>SUM(C$95:C$99)/SUM(B$95:B$99)-1</f>
        <v>7.1152226902504445E-3</v>
      </c>
      <c r="D255" s="18">
        <f t="shared" ref="D255:BI255" si="222">SUM(D$95:D$99)/SUM(C$95:C$99)-1</f>
        <v>1.1370909304560861E-2</v>
      </c>
      <c r="E255" s="18">
        <f t="shared" si="222"/>
        <v>4.2166470793549848E-3</v>
      </c>
      <c r="F255" s="18">
        <f t="shared" si="222"/>
        <v>6.4216325662576068E-3</v>
      </c>
      <c r="G255" s="18">
        <f t="shared" si="222"/>
        <v>1.3581134188486832E-2</v>
      </c>
      <c r="H255" s="18">
        <f t="shared" si="222"/>
        <v>9.2750725093582176E-4</v>
      </c>
      <c r="I255" s="18">
        <f t="shared" si="222"/>
        <v>3.4727436016734892E-3</v>
      </c>
      <c r="J255" s="18">
        <f t="shared" si="222"/>
        <v>-3.5416373845990057E-3</v>
      </c>
      <c r="K255" s="18">
        <f t="shared" si="222"/>
        <v>-8.9695667871104723E-3</v>
      </c>
      <c r="L255" s="18">
        <f t="shared" si="222"/>
        <v>4.8485278658065845E-3</v>
      </c>
      <c r="M255" s="18">
        <f t="shared" si="222"/>
        <v>2.3679690323876068E-2</v>
      </c>
      <c r="N255" s="18">
        <f t="shared" si="222"/>
        <v>2.9328485263529158E-2</v>
      </c>
      <c r="O255" s="18">
        <f t="shared" si="222"/>
        <v>4.2827750922033614E-2</v>
      </c>
      <c r="P255" s="18">
        <f t="shared" si="222"/>
        <v>5.8180281278531254E-2</v>
      </c>
      <c r="Q255" s="18">
        <f t="shared" si="222"/>
        <v>7.5377957512368532E-2</v>
      </c>
      <c r="R255" s="18">
        <f t="shared" si="222"/>
        <v>5.0959251601216282E-2</v>
      </c>
      <c r="S255" s="18">
        <f t="shared" si="222"/>
        <v>-8.1516430064354495E-4</v>
      </c>
      <c r="T255" s="18">
        <f t="shared" si="222"/>
        <v>4.1668233728671344E-2</v>
      </c>
      <c r="U255" s="18">
        <f t="shared" si="222"/>
        <v>3.0028143475598679E-2</v>
      </c>
      <c r="V255" s="18">
        <f t="shared" si="222"/>
        <v>3.051174034908577E-2</v>
      </c>
      <c r="W255" s="18">
        <f t="shared" si="222"/>
        <v>7.1355220536900132E-2</v>
      </c>
      <c r="X255" s="18">
        <f t="shared" si="222"/>
        <v>8.1002852415624771E-2</v>
      </c>
      <c r="Y255" s="18">
        <f t="shared" si="222"/>
        <v>5.4188775410459744E-2</v>
      </c>
      <c r="Z255" s="18">
        <f t="shared" si="222"/>
        <v>5.1823212615221159E-2</v>
      </c>
      <c r="AA255" s="18">
        <f t="shared" si="222"/>
        <v>3.6319121951876365E-2</v>
      </c>
      <c r="AB255" s="18">
        <f t="shared" si="222"/>
        <v>1.307161786538158E-2</v>
      </c>
      <c r="AC255" s="18">
        <f t="shared" si="222"/>
        <v>1.7688254706021533E-2</v>
      </c>
      <c r="AD255" s="18">
        <f t="shared" si="222"/>
        <v>2.8706383878281949E-2</v>
      </c>
      <c r="AE255" s="18">
        <f t="shared" si="222"/>
        <v>2.64882557831847E-2</v>
      </c>
      <c r="AF255" s="18">
        <f t="shared" si="222"/>
        <v>3.4937272798486463E-2</v>
      </c>
      <c r="AG255" s="18">
        <f t="shared" si="222"/>
        <v>3.3552650072711243E-2</v>
      </c>
      <c r="AH255" s="18">
        <f t="shared" si="222"/>
        <v>3.4448946477712905E-2</v>
      </c>
      <c r="AI255" s="18">
        <f t="shared" si="222"/>
        <v>3.4069500114294105E-2</v>
      </c>
      <c r="AJ255" s="18">
        <f t="shared" si="222"/>
        <v>3.1090842205090841E-2</v>
      </c>
      <c r="AK255" s="18">
        <f t="shared" si="222"/>
        <v>3.3933769081320175E-2</v>
      </c>
      <c r="AL255" s="18">
        <f t="shared" si="222"/>
        <v>3.5518792502936991E-2</v>
      </c>
      <c r="AM255" s="18">
        <f t="shared" si="222"/>
        <v>3.1105828213822351E-2</v>
      </c>
      <c r="AN255" s="18">
        <f t="shared" si="222"/>
        <v>1.9812673243571721E-2</v>
      </c>
      <c r="AO255" s="18">
        <f t="shared" si="222"/>
        <v>1.0793198574268192E-2</v>
      </c>
      <c r="AP255" s="18">
        <f t="shared" si="222"/>
        <v>9.4915105303150504E-4</v>
      </c>
      <c r="AQ255" s="18">
        <f t="shared" si="222"/>
        <v>7.1118826468330454E-4</v>
      </c>
      <c r="AR255" s="18">
        <f t="shared" si="222"/>
        <v>1.9741189871969045E-3</v>
      </c>
      <c r="AS255" s="18">
        <f t="shared" si="222"/>
        <v>1.0954476129492186E-2</v>
      </c>
      <c r="AT255" s="18">
        <f t="shared" si="222"/>
        <v>1.5668999655629845E-2</v>
      </c>
      <c r="AU255" s="18">
        <f t="shared" si="222"/>
        <v>2.6633147315935801E-2</v>
      </c>
      <c r="AV255" s="18">
        <f t="shared" si="222"/>
        <v>1.8540840376269463E-2</v>
      </c>
      <c r="AW255" s="18">
        <f t="shared" si="222"/>
        <v>1.027607634697314E-2</v>
      </c>
      <c r="AX255" s="18">
        <f t="shared" si="222"/>
        <v>6.5388553038725483E-4</v>
      </c>
      <c r="AY255" s="18">
        <f t="shared" si="222"/>
        <v>-5.8085177199743709E-3</v>
      </c>
      <c r="AZ255" s="18">
        <f t="shared" si="222"/>
        <v>-2.059464934858779E-2</v>
      </c>
      <c r="BA255" s="18">
        <f t="shared" si="222"/>
        <v>-1.5509798523426932E-2</v>
      </c>
      <c r="BB255" s="18">
        <f t="shared" si="222"/>
        <v>-1.0452267350297473E-2</v>
      </c>
      <c r="BC255" s="18">
        <f t="shared" si="222"/>
        <v>2.5258561598113793E-3</v>
      </c>
      <c r="BD255" s="18">
        <f t="shared" si="222"/>
        <v>1.2979202678780721E-2</v>
      </c>
      <c r="BE255" s="18">
        <f t="shared" si="222"/>
        <v>2.381692266585711E-2</v>
      </c>
      <c r="BF255" s="18">
        <f t="shared" si="222"/>
        <v>2.8931357413317427E-2</v>
      </c>
      <c r="BG255" s="18">
        <f t="shared" si="222"/>
        <v>3.4342435770707391E-2</v>
      </c>
      <c r="BH255" s="18">
        <f t="shared" si="222"/>
        <v>3.0781198496772522E-2</v>
      </c>
      <c r="BI255" s="18">
        <f t="shared" si="222"/>
        <v>3.3687031548791824E-2</v>
      </c>
    </row>
    <row r="256" spans="1:61" x14ac:dyDescent="0.25">
      <c r="A256" s="11" t="s">
        <v>1308</v>
      </c>
      <c r="B256" s="11"/>
      <c r="C256" s="18">
        <f>SUM(C$100:C$110)/SUM(B$100:B$110)-1</f>
        <v>4.1127917509851786E-2</v>
      </c>
      <c r="D256" s="18">
        <f t="shared" ref="D256:BI256" si="223">SUM(D$100:D$110)/SUM(C$100:C$110)-1</f>
        <v>2.9476099331554373E-2</v>
      </c>
      <c r="E256" s="18">
        <f t="shared" si="223"/>
        <v>2.602441806908673E-2</v>
      </c>
      <c r="F256" s="18">
        <f t="shared" si="223"/>
        <v>3.5326633326226542E-2</v>
      </c>
      <c r="G256" s="18">
        <f t="shared" si="223"/>
        <v>2.3903757752184784E-2</v>
      </c>
      <c r="H256" s="18">
        <f t="shared" si="223"/>
        <v>1.5580479736714503E-2</v>
      </c>
      <c r="I256" s="18">
        <f t="shared" si="223"/>
        <v>1.4327538906529824E-2</v>
      </c>
      <c r="J256" s="18">
        <f t="shared" si="223"/>
        <v>2.3191534508889333E-2</v>
      </c>
      <c r="K256" s="18">
        <f t="shared" si="223"/>
        <v>2.3733804285110516E-2</v>
      </c>
      <c r="L256" s="18">
        <f t="shared" si="223"/>
        <v>2.1823703621974166E-2</v>
      </c>
      <c r="M256" s="18">
        <f t="shared" si="223"/>
        <v>1.6996851147051739E-2</v>
      </c>
      <c r="N256" s="18">
        <f t="shared" si="223"/>
        <v>1.0764522519239206E-2</v>
      </c>
      <c r="O256" s="18">
        <f t="shared" si="223"/>
        <v>1.0603357304742378E-2</v>
      </c>
      <c r="P256" s="18">
        <f t="shared" si="223"/>
        <v>9.4251214319145404E-3</v>
      </c>
      <c r="Q256" s="18">
        <f t="shared" si="223"/>
        <v>3.0109885114633528E-2</v>
      </c>
      <c r="R256" s="18">
        <f t="shared" si="223"/>
        <v>9.9189843380980136E-3</v>
      </c>
      <c r="S256" s="18">
        <f t="shared" si="223"/>
        <v>-3.8268011039682692E-3</v>
      </c>
      <c r="T256" s="18">
        <f t="shared" si="223"/>
        <v>3.7277111301782462E-2</v>
      </c>
      <c r="U256" s="18">
        <f t="shared" si="223"/>
        <v>4.2617697299115465E-2</v>
      </c>
      <c r="V256" s="18">
        <f t="shared" si="223"/>
        <v>5.1900226638522229E-2</v>
      </c>
      <c r="W256" s="18">
        <f t="shared" si="223"/>
        <v>4.963310196675752E-2</v>
      </c>
      <c r="X256" s="18">
        <f t="shared" si="223"/>
        <v>2.7257458869877516E-2</v>
      </c>
      <c r="Y256" s="18">
        <f t="shared" si="223"/>
        <v>3.8822681170377127E-2</v>
      </c>
      <c r="Z256" s="18">
        <f t="shared" si="223"/>
        <v>4.3429993513452114E-2</v>
      </c>
      <c r="AA256" s="18">
        <f t="shared" si="223"/>
        <v>4.8088133905263675E-2</v>
      </c>
      <c r="AB256" s="18">
        <f t="shared" si="223"/>
        <v>7.3081552124456328E-2</v>
      </c>
      <c r="AC256" s="18">
        <f t="shared" si="223"/>
        <v>6.3199855219089329E-2</v>
      </c>
      <c r="AD256" s="18">
        <f t="shared" si="223"/>
        <v>5.1724680169788817E-2</v>
      </c>
      <c r="AE256" s="18">
        <f t="shared" si="223"/>
        <v>5.159056863590572E-2</v>
      </c>
      <c r="AF256" s="18">
        <f t="shared" si="223"/>
        <v>4.2914093315287616E-2</v>
      </c>
      <c r="AG256" s="18">
        <f t="shared" si="223"/>
        <v>4.2346746147531533E-2</v>
      </c>
      <c r="AH256" s="18">
        <f t="shared" si="223"/>
        <v>3.9859817369565009E-2</v>
      </c>
      <c r="AI256" s="18">
        <f t="shared" si="223"/>
        <v>4.0819802933835359E-2</v>
      </c>
      <c r="AJ256" s="18">
        <f t="shared" si="223"/>
        <v>3.966154654329368E-2</v>
      </c>
      <c r="AK256" s="18">
        <f t="shared" si="223"/>
        <v>3.9851576157111657E-2</v>
      </c>
      <c r="AL256" s="18">
        <f t="shared" si="223"/>
        <v>3.889751928841334E-2</v>
      </c>
      <c r="AM256" s="18">
        <f t="shared" si="223"/>
        <v>3.8623503529268577E-2</v>
      </c>
      <c r="AN256" s="18">
        <f t="shared" si="223"/>
        <v>3.9008617492060305E-2</v>
      </c>
      <c r="AO256" s="18">
        <f t="shared" si="223"/>
        <v>3.6813645554823138E-2</v>
      </c>
      <c r="AP256" s="18">
        <f t="shared" si="223"/>
        <v>3.9310791188131633E-2</v>
      </c>
      <c r="AQ256" s="18">
        <f t="shared" si="223"/>
        <v>3.9993016363251366E-2</v>
      </c>
      <c r="AR256" s="18">
        <f t="shared" si="223"/>
        <v>3.6890807145498972E-2</v>
      </c>
      <c r="AS256" s="18">
        <f t="shared" si="223"/>
        <v>3.0172405756835774E-2</v>
      </c>
      <c r="AT256" s="18">
        <f t="shared" si="223"/>
        <v>2.3369938169836013E-2</v>
      </c>
      <c r="AU256" s="18">
        <f t="shared" si="223"/>
        <v>1.9139525492273268E-2</v>
      </c>
      <c r="AV256" s="18">
        <f t="shared" si="223"/>
        <v>2.0593736537060536E-2</v>
      </c>
      <c r="AW256" s="18">
        <f t="shared" si="223"/>
        <v>2.01781921638442E-2</v>
      </c>
      <c r="AX256" s="18">
        <f t="shared" si="223"/>
        <v>2.1520994105474811E-2</v>
      </c>
      <c r="AY256" s="18">
        <f t="shared" si="223"/>
        <v>1.9967462754595822E-2</v>
      </c>
      <c r="AZ256" s="18">
        <f t="shared" si="223"/>
        <v>2.3783103704132946E-2</v>
      </c>
      <c r="BA256" s="18">
        <f t="shared" si="223"/>
        <v>2.06494291118966E-2</v>
      </c>
      <c r="BB256" s="18">
        <f t="shared" si="223"/>
        <v>1.5793079146602551E-2</v>
      </c>
      <c r="BC256" s="18">
        <f t="shared" si="223"/>
        <v>1.1838483054260607E-2</v>
      </c>
      <c r="BD256" s="18">
        <f t="shared" si="223"/>
        <v>7.0300267678238271E-3</v>
      </c>
      <c r="BE256" s="18">
        <f t="shared" si="223"/>
        <v>2.5929244710392041E-3</v>
      </c>
      <c r="BF256" s="18">
        <f t="shared" si="223"/>
        <v>4.2274727140552137E-3</v>
      </c>
      <c r="BG256" s="18">
        <f t="shared" si="223"/>
        <v>4.1106252119211817E-3</v>
      </c>
      <c r="BH256" s="18">
        <f t="shared" si="223"/>
        <v>8.7794685785109738E-3</v>
      </c>
      <c r="BI256" s="18">
        <f t="shared" si="223"/>
        <v>1.1245527397572896E-2</v>
      </c>
    </row>
    <row r="257" spans="1:61" x14ac:dyDescent="0.25">
      <c r="A257" s="11" t="s">
        <v>1245</v>
      </c>
      <c r="B257" s="11"/>
      <c r="C257" s="18">
        <f>SUM(C$115:C$119)/SUM(B$115:B$119)-1</f>
        <v>2.1302237462227591E-2</v>
      </c>
      <c r="D257" s="18">
        <f t="shared" ref="D257:BI257" si="224">SUM(D$115:D$119)/SUM(C$115:C$119)-1</f>
        <v>2.7665633489771357E-2</v>
      </c>
      <c r="E257" s="18">
        <f t="shared" si="224"/>
        <v>2.3160427974631581E-2</v>
      </c>
      <c r="F257" s="18">
        <f t="shared" si="224"/>
        <v>2.454178594412304E-2</v>
      </c>
      <c r="G257" s="18">
        <f t="shared" si="224"/>
        <v>1.1992213757913595E-2</v>
      </c>
      <c r="H257" s="18">
        <f t="shared" si="224"/>
        <v>-4.4115774699510224E-3</v>
      </c>
      <c r="I257" s="18">
        <f t="shared" si="224"/>
        <v>-9.2595409378707361E-3</v>
      </c>
      <c r="J257" s="18">
        <f t="shared" si="224"/>
        <v>-8.6819034242646698E-3</v>
      </c>
      <c r="K257" s="18">
        <f t="shared" si="224"/>
        <v>-6.3188983308253288E-3</v>
      </c>
      <c r="L257" s="18">
        <f t="shared" si="224"/>
        <v>-2.6086462068719563E-3</v>
      </c>
      <c r="M257" s="18">
        <f t="shared" si="224"/>
        <v>-6.0194619090212509E-3</v>
      </c>
      <c r="N257" s="18">
        <f t="shared" si="224"/>
        <v>-1.8993036084622439E-3</v>
      </c>
      <c r="O257" s="18">
        <f t="shared" si="224"/>
        <v>-6.5151032925016006E-3</v>
      </c>
      <c r="P257" s="18">
        <f t="shared" si="224"/>
        <v>3.3420473491205804E-3</v>
      </c>
      <c r="Q257" s="18">
        <f t="shared" si="224"/>
        <v>-9.6074624559310262E-3</v>
      </c>
      <c r="R257" s="18">
        <f t="shared" si="224"/>
        <v>-3.5949535597964433E-3</v>
      </c>
      <c r="S257" s="18">
        <f t="shared" si="224"/>
        <v>8.417129269335577E-3</v>
      </c>
      <c r="T257" s="18">
        <f t="shared" si="224"/>
        <v>-5.6472523877610925E-3</v>
      </c>
      <c r="U257" s="18">
        <f t="shared" si="224"/>
        <v>-6.9978026451387176E-3</v>
      </c>
      <c r="V257" s="18">
        <f t="shared" si="224"/>
        <v>-1.794028237538936E-3</v>
      </c>
      <c r="W257" s="18">
        <f t="shared" si="224"/>
        <v>4.7338320542373857E-3</v>
      </c>
      <c r="X257" s="18">
        <f t="shared" si="224"/>
        <v>1.5602001874445159E-2</v>
      </c>
      <c r="Y257" s="18">
        <f t="shared" si="224"/>
        <v>1.5685684750629258E-2</v>
      </c>
      <c r="Z257" s="18">
        <f t="shared" si="224"/>
        <v>7.4396049310765378E-4</v>
      </c>
      <c r="AA257" s="18">
        <f t="shared" si="224"/>
        <v>3.8661620655622286E-4</v>
      </c>
      <c r="AB257" s="18">
        <f t="shared" si="224"/>
        <v>3.0312208751426262E-4</v>
      </c>
      <c r="AC257" s="18">
        <f t="shared" si="224"/>
        <v>4.7509824970437542E-4</v>
      </c>
      <c r="AD257" s="18">
        <f t="shared" si="224"/>
        <v>1.0684634367261747E-3</v>
      </c>
      <c r="AE257" s="18">
        <f t="shared" si="224"/>
        <v>1.7788717351361338E-3</v>
      </c>
      <c r="AF257" s="18">
        <f t="shared" si="224"/>
        <v>2.8411407512398679E-3</v>
      </c>
      <c r="AG257" s="18">
        <f t="shared" si="224"/>
        <v>3.8364781262916203E-3</v>
      </c>
      <c r="AH257" s="18">
        <f t="shared" si="224"/>
        <v>4.762570475309813E-3</v>
      </c>
      <c r="AI257" s="18">
        <f t="shared" si="224"/>
        <v>5.5592544632045993E-3</v>
      </c>
      <c r="AJ257" s="18">
        <f t="shared" si="224"/>
        <v>6.2850543313002216E-3</v>
      </c>
      <c r="AK257" s="18">
        <f t="shared" si="224"/>
        <v>6.4771250385704526E-3</v>
      </c>
      <c r="AL257" s="18">
        <f t="shared" si="224"/>
        <v>6.4929011793275482E-3</v>
      </c>
      <c r="AM257" s="18">
        <f t="shared" si="224"/>
        <v>6.1655722158562298E-3</v>
      </c>
      <c r="AN257" s="18">
        <f t="shared" si="224"/>
        <v>5.6171416387809092E-3</v>
      </c>
      <c r="AO257" s="18">
        <f t="shared" si="224"/>
        <v>4.7958593554520146E-3</v>
      </c>
      <c r="AP257" s="18">
        <f t="shared" si="224"/>
        <v>3.8745276693605835E-3</v>
      </c>
      <c r="AQ257" s="18">
        <f t="shared" si="224"/>
        <v>2.8527283459223174E-3</v>
      </c>
      <c r="AR257" s="18">
        <f t="shared" si="224"/>
        <v>1.9521856917421587E-3</v>
      </c>
      <c r="AS257" s="18">
        <f t="shared" si="224"/>
        <v>1.0020250738840275E-3</v>
      </c>
      <c r="AT257" s="18">
        <f t="shared" si="224"/>
        <v>2.2244933882564766E-4</v>
      </c>
      <c r="AU257" s="18">
        <f t="shared" si="224"/>
        <v>-3.8919976571449855E-4</v>
      </c>
      <c r="AV257" s="18">
        <f t="shared" si="224"/>
        <v>-1.0011890600990503E-3</v>
      </c>
      <c r="AW257" s="18">
        <f t="shared" si="224"/>
        <v>-1.336256592280427E-3</v>
      </c>
      <c r="AX257" s="18">
        <f t="shared" si="224"/>
        <v>-1.5610519903401787E-3</v>
      </c>
      <c r="AY257" s="18">
        <f t="shared" si="224"/>
        <v>-1.7310097569601668E-3</v>
      </c>
      <c r="AZ257" s="18">
        <f t="shared" si="224"/>
        <v>-1.6780754976013501E-3</v>
      </c>
      <c r="BA257" s="18">
        <f t="shared" si="224"/>
        <v>-1.4007468068960582E-3</v>
      </c>
      <c r="BB257" s="18">
        <f t="shared" si="224"/>
        <v>-1.1221693206094896E-3</v>
      </c>
      <c r="BC257" s="18">
        <f t="shared" si="224"/>
        <v>-6.1788649960869968E-4</v>
      </c>
      <c r="BD257" s="18">
        <f t="shared" si="224"/>
        <v>-2.2482491613817768E-4</v>
      </c>
      <c r="BE257" s="18">
        <f t="shared" si="224"/>
        <v>3.3731321062147046E-4</v>
      </c>
      <c r="BF257" s="18">
        <f t="shared" si="224"/>
        <v>7.8679876050102848E-4</v>
      </c>
      <c r="BG257" s="18">
        <f t="shared" si="224"/>
        <v>1.5162046615890823E-3</v>
      </c>
      <c r="BH257" s="18">
        <f t="shared" si="224"/>
        <v>1.9064042600123177E-3</v>
      </c>
      <c r="BI257" s="18">
        <f t="shared" si="224"/>
        <v>2.4064530095113668E-3</v>
      </c>
    </row>
    <row r="258" spans="1:61" x14ac:dyDescent="0.25">
      <c r="A258" s="11" t="s">
        <v>1246</v>
      </c>
      <c r="B258" s="11"/>
      <c r="C258" s="18">
        <f>SUM(C$120:C$124)/SUM(B$120:B$124)-1</f>
        <v>-5.9610292248517549E-3</v>
      </c>
      <c r="D258" s="18">
        <f t="shared" ref="D258:BI258" si="225">SUM(D$120:D$124)/SUM(C$120:C$124)-1</f>
        <v>-1.0517625252444152E-3</v>
      </c>
      <c r="E258" s="18">
        <f t="shared" si="225"/>
        <v>3.3527600885019382E-3</v>
      </c>
      <c r="F258" s="18">
        <f t="shared" si="225"/>
        <v>-2.4787060766483515E-3</v>
      </c>
      <c r="G258" s="18">
        <f t="shared" si="225"/>
        <v>-6.8557162672178151E-5</v>
      </c>
      <c r="H258" s="18">
        <f t="shared" si="225"/>
        <v>1.4920133082453324E-2</v>
      </c>
      <c r="I258" s="18">
        <f t="shared" si="225"/>
        <v>2.2928746725380256E-2</v>
      </c>
      <c r="J258" s="18">
        <f t="shared" si="225"/>
        <v>2.8954668503176295E-2</v>
      </c>
      <c r="K258" s="18">
        <f t="shared" si="225"/>
        <v>3.1938632704385794E-2</v>
      </c>
      <c r="L258" s="18">
        <f t="shared" si="225"/>
        <v>2.1186034632625361E-2</v>
      </c>
      <c r="M258" s="18">
        <f t="shared" si="225"/>
        <v>4.5104729767100338E-3</v>
      </c>
      <c r="N258" s="18">
        <f t="shared" si="225"/>
        <v>2.3840072340626239E-3</v>
      </c>
      <c r="O258" s="18">
        <f t="shared" si="225"/>
        <v>-6.4364803909864321E-3</v>
      </c>
      <c r="P258" s="18">
        <f t="shared" si="225"/>
        <v>5.7366254834558816E-3</v>
      </c>
      <c r="Q258" s="18">
        <f t="shared" si="225"/>
        <v>-1.5854497913577625E-2</v>
      </c>
      <c r="R258" s="18">
        <f t="shared" si="225"/>
        <v>-9.122286782270117E-3</v>
      </c>
      <c r="S258" s="18">
        <f t="shared" si="225"/>
        <v>1.4975120801707709E-2</v>
      </c>
      <c r="T258" s="18">
        <f t="shared" si="225"/>
        <v>1.2193411319060043E-2</v>
      </c>
      <c r="U258" s="18">
        <f t="shared" si="225"/>
        <v>-5.9466575473111627E-3</v>
      </c>
      <c r="V258" s="18">
        <f t="shared" si="225"/>
        <v>7.6500444402907153E-3</v>
      </c>
      <c r="W258" s="18">
        <f t="shared" si="225"/>
        <v>6.8601238260472819E-3</v>
      </c>
      <c r="X258" s="18">
        <f t="shared" si="225"/>
        <v>-1.1949940120938862E-3</v>
      </c>
      <c r="Y258" s="18">
        <f t="shared" si="225"/>
        <v>-5.412024120902359E-3</v>
      </c>
      <c r="Z258" s="18">
        <f t="shared" si="225"/>
        <v>-5.8141262637843028E-3</v>
      </c>
      <c r="AA258" s="18">
        <f t="shared" si="225"/>
        <v>-9.4172444228949326E-3</v>
      </c>
      <c r="AB258" s="18">
        <f t="shared" si="225"/>
        <v>-5.447624662609285E-3</v>
      </c>
      <c r="AC258" s="18">
        <f t="shared" si="225"/>
        <v>3.3698595377906759E-3</v>
      </c>
      <c r="AD258" s="18">
        <f t="shared" si="225"/>
        <v>4.3831815719077571E-3</v>
      </c>
      <c r="AE258" s="18">
        <f t="shared" si="225"/>
        <v>6.2343616208981878E-4</v>
      </c>
      <c r="AF258" s="18">
        <f t="shared" si="225"/>
        <v>4.5312562298427395E-4</v>
      </c>
      <c r="AG258" s="18">
        <f t="shared" si="225"/>
        <v>3.9630534400525441E-4</v>
      </c>
      <c r="AH258" s="18">
        <f t="shared" si="225"/>
        <v>7.3570407541034832E-4</v>
      </c>
      <c r="AI258" s="18">
        <f t="shared" si="225"/>
        <v>1.3572243929327321E-3</v>
      </c>
      <c r="AJ258" s="18">
        <f t="shared" si="225"/>
        <v>1.9766028793837265E-3</v>
      </c>
      <c r="AK258" s="18">
        <f t="shared" si="225"/>
        <v>2.9872369219654527E-3</v>
      </c>
      <c r="AL258" s="18">
        <f t="shared" si="225"/>
        <v>3.9336564915162242E-3</v>
      </c>
      <c r="AM258" s="18">
        <f t="shared" si="225"/>
        <v>4.7578670678780632E-3</v>
      </c>
      <c r="AN258" s="18">
        <f t="shared" si="225"/>
        <v>5.6266945102614319E-3</v>
      </c>
      <c r="AO258" s="18">
        <f t="shared" si="225"/>
        <v>6.1491933441917279E-3</v>
      </c>
      <c r="AP258" s="18">
        <f t="shared" si="225"/>
        <v>6.4970288254329045E-3</v>
      </c>
      <c r="AQ258" s="18">
        <f t="shared" si="225"/>
        <v>6.5097940720166836E-3</v>
      </c>
      <c r="AR258" s="18">
        <f t="shared" si="225"/>
        <v>6.1415886832196787E-3</v>
      </c>
      <c r="AS258" s="18">
        <f t="shared" si="225"/>
        <v>5.5639139887384559E-3</v>
      </c>
      <c r="AT258" s="18">
        <f t="shared" si="225"/>
        <v>4.888491851562371E-3</v>
      </c>
      <c r="AU258" s="18">
        <f t="shared" si="225"/>
        <v>3.9024602741339898E-3</v>
      </c>
      <c r="AV258" s="18">
        <f t="shared" si="225"/>
        <v>2.9820308983830035E-3</v>
      </c>
      <c r="AW258" s="18">
        <f t="shared" si="225"/>
        <v>2.1767813926585333E-3</v>
      </c>
      <c r="AX258" s="18">
        <f t="shared" si="225"/>
        <v>1.2184689285610339E-3</v>
      </c>
      <c r="AY258" s="18">
        <f t="shared" si="225"/>
        <v>4.2329950220865165E-4</v>
      </c>
      <c r="AZ258" s="18">
        <f t="shared" si="225"/>
        <v>-1.0578009888895235E-4</v>
      </c>
      <c r="BA258" s="18">
        <f t="shared" si="225"/>
        <v>-6.8764338176308115E-4</v>
      </c>
      <c r="BB258" s="18">
        <f t="shared" si="225"/>
        <v>-1.0057088192826358E-3</v>
      </c>
      <c r="BC258" s="18">
        <f t="shared" si="225"/>
        <v>-1.2716479424340621E-3</v>
      </c>
      <c r="BD258" s="18">
        <f t="shared" si="225"/>
        <v>-1.273267089909158E-3</v>
      </c>
      <c r="BE258" s="18">
        <f t="shared" si="225"/>
        <v>-1.2217699339445165E-3</v>
      </c>
      <c r="BF258" s="18">
        <f t="shared" si="225"/>
        <v>-1.2232644817096183E-3</v>
      </c>
      <c r="BG258" s="18">
        <f t="shared" si="225"/>
        <v>-7.4550772459569536E-4</v>
      </c>
      <c r="BH258" s="18">
        <f t="shared" si="225"/>
        <v>-3.730319605059762E-4</v>
      </c>
      <c r="BI258" s="18">
        <f t="shared" si="225"/>
        <v>5.3310166468145681E-5</v>
      </c>
    </row>
    <row r="259" spans="1:61" x14ac:dyDescent="0.25">
      <c r="A259" s="11" t="s">
        <v>1247</v>
      </c>
      <c r="B259" s="11"/>
      <c r="C259" s="18">
        <f>SUM(C$125:C$129)/SUM(B$125:B$129)-1</f>
        <v>-2.1412706519856273E-2</v>
      </c>
      <c r="D259" s="18">
        <f t="shared" ref="D259:BI259" si="226">SUM(D$125:D$129)/SUM(C$125:C$129)-1</f>
        <v>-9.0672657835001447E-3</v>
      </c>
      <c r="E259" s="18">
        <f t="shared" si="226"/>
        <v>-3.6518238260151437E-3</v>
      </c>
      <c r="F259" s="18">
        <f t="shared" si="226"/>
        <v>6.5341531731852864E-3</v>
      </c>
      <c r="G259" s="18">
        <f t="shared" si="226"/>
        <v>-8.9002376846081255E-4</v>
      </c>
      <c r="H259" s="18">
        <f t="shared" si="226"/>
        <v>-7.2155529075668134E-3</v>
      </c>
      <c r="I259" s="18">
        <f t="shared" si="226"/>
        <v>-8.2675229620050583E-3</v>
      </c>
      <c r="J259" s="18">
        <f t="shared" si="226"/>
        <v>2.2681975150933287E-3</v>
      </c>
      <c r="K259" s="18">
        <f t="shared" si="226"/>
        <v>-7.6297210612408239E-4</v>
      </c>
      <c r="L259" s="18">
        <f t="shared" si="226"/>
        <v>4.4991688095412652E-3</v>
      </c>
      <c r="M259" s="18">
        <f t="shared" si="226"/>
        <v>1.7666193683532949E-2</v>
      </c>
      <c r="N259" s="18">
        <f t="shared" si="226"/>
        <v>2.6526785430323718E-2</v>
      </c>
      <c r="O259" s="18">
        <f t="shared" si="226"/>
        <v>2.6098737349260714E-2</v>
      </c>
      <c r="P259" s="18">
        <f t="shared" si="226"/>
        <v>3.8070884878504518E-2</v>
      </c>
      <c r="Q259" s="18">
        <f t="shared" si="226"/>
        <v>1.003305771405727E-2</v>
      </c>
      <c r="R259" s="18">
        <f t="shared" si="226"/>
        <v>5.9309581653212984E-3</v>
      </c>
      <c r="S259" s="18">
        <f t="shared" si="226"/>
        <v>2.1662525166506796E-2</v>
      </c>
      <c r="T259" s="18">
        <f t="shared" si="226"/>
        <v>1.136668694169618E-2</v>
      </c>
      <c r="U259" s="18">
        <f t="shared" si="226"/>
        <v>-5.6344514451256433E-4</v>
      </c>
      <c r="V259" s="18">
        <f t="shared" si="226"/>
        <v>7.1597326506436243E-3</v>
      </c>
      <c r="W259" s="18">
        <f t="shared" si="226"/>
        <v>8.0800338937794258E-3</v>
      </c>
      <c r="X259" s="18">
        <f t="shared" si="226"/>
        <v>6.5157349392823694E-3</v>
      </c>
      <c r="Y259" s="18">
        <f t="shared" si="226"/>
        <v>9.0840999173009696E-3</v>
      </c>
      <c r="Z259" s="18">
        <f t="shared" si="226"/>
        <v>-5.4813581503496689E-3</v>
      </c>
      <c r="AA259" s="18">
        <f t="shared" si="226"/>
        <v>-1.2645844244505433E-3</v>
      </c>
      <c r="AB259" s="18">
        <f t="shared" si="226"/>
        <v>-3.7011181872688148E-3</v>
      </c>
      <c r="AC259" s="18">
        <f t="shared" si="226"/>
        <v>-1.06236978987303E-2</v>
      </c>
      <c r="AD259" s="18">
        <f t="shared" si="226"/>
        <v>-1.3239778054125795E-2</v>
      </c>
      <c r="AE259" s="18">
        <f t="shared" si="226"/>
        <v>-5.8106944543403483E-3</v>
      </c>
      <c r="AF259" s="18">
        <f t="shared" si="226"/>
        <v>-8.7669839465098764E-3</v>
      </c>
      <c r="AG259" s="18">
        <f t="shared" si="226"/>
        <v>-5.0923015496849855E-3</v>
      </c>
      <c r="AH259" s="18">
        <f t="shared" si="226"/>
        <v>3.5020397659961677E-3</v>
      </c>
      <c r="AI259" s="18">
        <f t="shared" si="226"/>
        <v>4.4025399885301297E-3</v>
      </c>
      <c r="AJ259" s="18">
        <f t="shared" si="226"/>
        <v>8.5526684639170014E-4</v>
      </c>
      <c r="AK259" s="18">
        <f t="shared" si="226"/>
        <v>5.8749349318709676E-4</v>
      </c>
      <c r="AL259" s="18">
        <f t="shared" si="226"/>
        <v>8.0065710986754191E-4</v>
      </c>
      <c r="AM259" s="18">
        <f t="shared" si="226"/>
        <v>9.0668544703342846E-4</v>
      </c>
      <c r="AN259" s="18">
        <f t="shared" si="226"/>
        <v>1.4387253562986313E-3</v>
      </c>
      <c r="AO259" s="18">
        <f t="shared" si="226"/>
        <v>2.2880115250198951E-3</v>
      </c>
      <c r="AP259" s="18">
        <f t="shared" si="226"/>
        <v>3.0260219368436481E-3</v>
      </c>
      <c r="AQ259" s="18">
        <f t="shared" si="226"/>
        <v>3.9695957278833571E-3</v>
      </c>
      <c r="AR259" s="18">
        <f t="shared" si="226"/>
        <v>4.7446804103727924E-3</v>
      </c>
      <c r="AS259" s="18">
        <f t="shared" si="226"/>
        <v>5.6142599520079273E-3</v>
      </c>
      <c r="AT259" s="18">
        <f t="shared" si="226"/>
        <v>6.0525070765178324E-3</v>
      </c>
      <c r="AU259" s="18">
        <f t="shared" si="226"/>
        <v>6.3791348139112802E-3</v>
      </c>
      <c r="AV259" s="18">
        <f t="shared" si="226"/>
        <v>6.3386993959198001E-3</v>
      </c>
      <c r="AW259" s="18">
        <f t="shared" si="226"/>
        <v>6.1451447463376496E-3</v>
      </c>
      <c r="AX259" s="18">
        <f t="shared" si="226"/>
        <v>5.4459545531400089E-3</v>
      </c>
      <c r="AY259" s="18">
        <f t="shared" si="226"/>
        <v>4.8596247707219931E-3</v>
      </c>
      <c r="AZ259" s="18">
        <f t="shared" si="226"/>
        <v>3.9797262413501233E-3</v>
      </c>
      <c r="BA259" s="18">
        <f t="shared" si="226"/>
        <v>3.0607721385023101E-3</v>
      </c>
      <c r="BB259" s="18">
        <f t="shared" si="226"/>
        <v>2.3511036518675255E-3</v>
      </c>
      <c r="BC259" s="18">
        <f t="shared" si="226"/>
        <v>1.3474659805872147E-3</v>
      </c>
      <c r="BD259" s="18">
        <f t="shared" si="226"/>
        <v>7.4758486626236298E-4</v>
      </c>
      <c r="BE259" s="18">
        <f t="shared" si="226"/>
        <v>9.9603520083979546E-5</v>
      </c>
      <c r="BF259" s="18">
        <f t="shared" si="226"/>
        <v>-3.485776007382535E-4</v>
      </c>
      <c r="BG259" s="18">
        <f t="shared" si="226"/>
        <v>-7.9702662731684359E-4</v>
      </c>
      <c r="BH259" s="18">
        <f t="shared" si="226"/>
        <v>-8.4751628457002681E-4</v>
      </c>
      <c r="BI259" s="18">
        <f t="shared" si="226"/>
        <v>-9.9792373846629978E-4</v>
      </c>
    </row>
    <row r="260" spans="1:61" x14ac:dyDescent="0.25">
      <c r="A260" s="11" t="s">
        <v>1248</v>
      </c>
      <c r="B260" s="11"/>
      <c r="C260" s="18">
        <f>SUM(C$130:C$134)/SUM(B$130:B$134)-1</f>
        <v>9.2972491610481267E-3</v>
      </c>
      <c r="D260" s="18">
        <f t="shared" ref="D260:BI260" si="227">SUM(D$130:D$134)/SUM(C$130:C$134)-1</f>
        <v>1.5173884526431536E-3</v>
      </c>
      <c r="E260" s="18">
        <f t="shared" si="227"/>
        <v>-2.9047357400641127E-3</v>
      </c>
      <c r="F260" s="18">
        <f t="shared" si="227"/>
        <v>3.7411128357835999E-3</v>
      </c>
      <c r="G260" s="18">
        <f t="shared" si="227"/>
        <v>-1.9086958516676411E-3</v>
      </c>
      <c r="H260" s="18">
        <f t="shared" si="227"/>
        <v>-2.7857209784819537E-3</v>
      </c>
      <c r="I260" s="18">
        <f t="shared" si="227"/>
        <v>-2.6141465426565702E-4</v>
      </c>
      <c r="J260" s="18">
        <f t="shared" si="227"/>
        <v>1.747845306982132E-3</v>
      </c>
      <c r="K260" s="18">
        <f t="shared" si="227"/>
        <v>8.2366552318897668E-3</v>
      </c>
      <c r="L260" s="18">
        <f t="shared" si="227"/>
        <v>3.4791049513065442E-3</v>
      </c>
      <c r="M260" s="18">
        <f t="shared" si="227"/>
        <v>1.2975949736633297E-3</v>
      </c>
      <c r="N260" s="18">
        <f t="shared" si="227"/>
        <v>1.6336844627777847E-3</v>
      </c>
      <c r="O260" s="18">
        <f t="shared" si="227"/>
        <v>4.5219105401177462E-3</v>
      </c>
      <c r="P260" s="18">
        <f t="shared" si="227"/>
        <v>-1.7825834364058046E-3</v>
      </c>
      <c r="Q260" s="18">
        <f t="shared" si="227"/>
        <v>1.6914174246454028E-3</v>
      </c>
      <c r="R260" s="18">
        <f t="shared" si="227"/>
        <v>1.811276215749702E-2</v>
      </c>
      <c r="S260" s="18">
        <f t="shared" si="227"/>
        <v>3.0314783810890367E-2</v>
      </c>
      <c r="T260" s="18">
        <f t="shared" si="227"/>
        <v>4.6387974076854244E-2</v>
      </c>
      <c r="U260" s="18">
        <f t="shared" si="227"/>
        <v>3.2446606206105733E-2</v>
      </c>
      <c r="V260" s="18">
        <f t="shared" si="227"/>
        <v>2.5529292484679278E-2</v>
      </c>
      <c r="W260" s="18">
        <f t="shared" si="227"/>
        <v>1.0679437639752543E-2</v>
      </c>
      <c r="X260" s="18">
        <f t="shared" si="227"/>
        <v>2.1237178194331019E-3</v>
      </c>
      <c r="Y260" s="18">
        <f t="shared" si="227"/>
        <v>5.4561645445083684E-4</v>
      </c>
      <c r="Z260" s="18">
        <f t="shared" si="227"/>
        <v>-6.8037049665947702E-4</v>
      </c>
      <c r="AA260" s="18">
        <f t="shared" si="227"/>
        <v>-1.7866380719276931E-3</v>
      </c>
      <c r="AB260" s="18">
        <f t="shared" si="227"/>
        <v>-3.0371438847949239E-3</v>
      </c>
      <c r="AC260" s="18">
        <f t="shared" si="227"/>
        <v>-4.6337884830270903E-3</v>
      </c>
      <c r="AD260" s="18">
        <f t="shared" si="227"/>
        <v>-1.2842373623757064E-3</v>
      </c>
      <c r="AE260" s="18">
        <f t="shared" si="227"/>
        <v>-6.0008141608365317E-3</v>
      </c>
      <c r="AF260" s="18">
        <f t="shared" si="227"/>
        <v>-1.4014560216202288E-3</v>
      </c>
      <c r="AG260" s="18">
        <f t="shared" si="227"/>
        <v>-3.6704905491661277E-3</v>
      </c>
      <c r="AH260" s="18">
        <f t="shared" si="227"/>
        <v>-1.0889508077400745E-2</v>
      </c>
      <c r="AI260" s="18">
        <f t="shared" si="227"/>
        <v>-1.3528958001505775E-2</v>
      </c>
      <c r="AJ260" s="18">
        <f t="shared" si="227"/>
        <v>-5.7190024030586706E-3</v>
      </c>
      <c r="AK260" s="18">
        <f t="shared" si="227"/>
        <v>-8.9908301021875969E-3</v>
      </c>
      <c r="AL260" s="18">
        <f t="shared" si="227"/>
        <v>-5.0151768081718728E-3</v>
      </c>
      <c r="AM260" s="18">
        <f t="shared" si="227"/>
        <v>3.9077689360029755E-3</v>
      </c>
      <c r="AN260" s="18">
        <f t="shared" si="227"/>
        <v>4.9644214398263387E-3</v>
      </c>
      <c r="AO260" s="18">
        <f t="shared" si="227"/>
        <v>1.234974426436386E-3</v>
      </c>
      <c r="AP260" s="18">
        <f t="shared" si="227"/>
        <v>1.009187301121317E-3</v>
      </c>
      <c r="AQ260" s="18">
        <f t="shared" si="227"/>
        <v>1.0081698688924057E-3</v>
      </c>
      <c r="AR260" s="18">
        <f t="shared" si="227"/>
        <v>1.3428726481148345E-3</v>
      </c>
      <c r="AS260" s="18">
        <f t="shared" si="227"/>
        <v>1.8439736693534048E-3</v>
      </c>
      <c r="AT260" s="18">
        <f t="shared" si="227"/>
        <v>2.7329819622627927E-3</v>
      </c>
      <c r="AU260" s="18">
        <f t="shared" si="227"/>
        <v>3.5042568806347152E-3</v>
      </c>
      <c r="AV260" s="18">
        <f t="shared" si="227"/>
        <v>4.4343110421747323E-3</v>
      </c>
      <c r="AW260" s="18">
        <f t="shared" si="227"/>
        <v>5.2976816822283279E-3</v>
      </c>
      <c r="AX260" s="18">
        <f t="shared" si="227"/>
        <v>6.1480581740962492E-3</v>
      </c>
      <c r="AY260" s="18">
        <f t="shared" si="227"/>
        <v>6.6560700338615941E-3</v>
      </c>
      <c r="AZ260" s="18">
        <f t="shared" si="227"/>
        <v>6.9914401760924338E-3</v>
      </c>
      <c r="BA260" s="18">
        <f t="shared" si="227"/>
        <v>6.8890783860207083E-3</v>
      </c>
      <c r="BB260" s="18">
        <f t="shared" si="227"/>
        <v>6.6281329589503724E-3</v>
      </c>
      <c r="BC260" s="18">
        <f t="shared" si="227"/>
        <v>6.1065835449143346E-3</v>
      </c>
      <c r="BD260" s="18">
        <f t="shared" si="227"/>
        <v>5.2778430581799096E-3</v>
      </c>
      <c r="BE260" s="18">
        <f t="shared" si="227"/>
        <v>4.3576109515783834E-3</v>
      </c>
      <c r="BF260" s="18">
        <f t="shared" si="227"/>
        <v>3.6068748793789407E-3</v>
      </c>
      <c r="BG260" s="18">
        <f t="shared" si="227"/>
        <v>2.552198439410569E-3</v>
      </c>
      <c r="BH260" s="18">
        <f t="shared" si="227"/>
        <v>1.8703111625000268E-3</v>
      </c>
      <c r="BI260" s="18">
        <f t="shared" si="227"/>
        <v>1.0371220160609873E-3</v>
      </c>
    </row>
    <row r="261" spans="1:61" x14ac:dyDescent="0.25">
      <c r="A261" s="11" t="s">
        <v>859</v>
      </c>
      <c r="B261" s="11"/>
      <c r="C261" s="18">
        <f>SUM(C$135:C$139)/SUM(B$135:B$139)-1</f>
        <v>-4.5644800469669677E-3</v>
      </c>
      <c r="D261" s="18">
        <f t="shared" ref="D261:BI261" si="228">SUM(D$135:D$139)/SUM(C$135:C$139)-1</f>
        <v>-1.528534610712784E-3</v>
      </c>
      <c r="E261" s="18">
        <f t="shared" si="228"/>
        <v>1.3821180547233691E-2</v>
      </c>
      <c r="F261" s="18">
        <f t="shared" si="228"/>
        <v>2.631116728311711E-2</v>
      </c>
      <c r="G261" s="18">
        <f t="shared" si="228"/>
        <v>2.8214235473386307E-2</v>
      </c>
      <c r="H261" s="18">
        <f t="shared" si="228"/>
        <v>1.237971583278763E-2</v>
      </c>
      <c r="I261" s="18">
        <f t="shared" si="228"/>
        <v>1.5927881111849507E-2</v>
      </c>
      <c r="J261" s="18">
        <f t="shared" si="228"/>
        <v>3.9157345074809058E-2</v>
      </c>
      <c r="K261" s="18">
        <f t="shared" si="228"/>
        <v>4.9844462173259441E-2</v>
      </c>
      <c r="L261" s="18">
        <f t="shared" si="228"/>
        <v>2.7891031421258594E-2</v>
      </c>
      <c r="M261" s="18">
        <f t="shared" si="228"/>
        <v>8.1712318685922547E-4</v>
      </c>
      <c r="N261" s="18">
        <f t="shared" si="228"/>
        <v>-1.2282587413852797E-2</v>
      </c>
      <c r="O261" s="18">
        <f t="shared" si="228"/>
        <v>-9.7157216224490472E-3</v>
      </c>
      <c r="P261" s="18">
        <f t="shared" si="228"/>
        <v>5.6828564238642354E-3</v>
      </c>
      <c r="Q261" s="18">
        <f t="shared" si="228"/>
        <v>-2.3011759360219153E-2</v>
      </c>
      <c r="R261" s="18">
        <f t="shared" si="228"/>
        <v>-2.9550078511384914E-2</v>
      </c>
      <c r="S261" s="18">
        <f t="shared" si="228"/>
        <v>-3.4558273043105991E-5</v>
      </c>
      <c r="T261" s="18">
        <f t="shared" si="228"/>
        <v>2.5887263456023213E-2</v>
      </c>
      <c r="U261" s="18">
        <f t="shared" si="228"/>
        <v>-1.3216195255757457E-3</v>
      </c>
      <c r="V261" s="18">
        <f t="shared" si="228"/>
        <v>9.2081290740797517E-3</v>
      </c>
      <c r="W261" s="18">
        <f t="shared" si="228"/>
        <v>3.1719980826197425E-2</v>
      </c>
      <c r="X261" s="18">
        <f t="shared" si="228"/>
        <v>3.7668808034471146E-2</v>
      </c>
      <c r="Y261" s="18">
        <f t="shared" si="228"/>
        <v>3.2449896733130368E-2</v>
      </c>
      <c r="Z261" s="18">
        <f t="shared" si="228"/>
        <v>3.2752919457779361E-2</v>
      </c>
      <c r="AA261" s="18">
        <f t="shared" si="228"/>
        <v>2.7151039081585449E-2</v>
      </c>
      <c r="AB261" s="18">
        <f t="shared" si="228"/>
        <v>1.2234567705151855E-2</v>
      </c>
      <c r="AC261" s="18">
        <f t="shared" si="228"/>
        <v>3.4920620966853999E-3</v>
      </c>
      <c r="AD261" s="18">
        <f t="shared" si="228"/>
        <v>1.4416770143976798E-3</v>
      </c>
      <c r="AE261" s="18">
        <f t="shared" si="228"/>
        <v>-9.4318723807162996E-4</v>
      </c>
      <c r="AF261" s="18">
        <f t="shared" si="228"/>
        <v>-1.7390904633258764E-3</v>
      </c>
      <c r="AG261" s="18">
        <f t="shared" si="228"/>
        <v>-2.5882928208738054E-3</v>
      </c>
      <c r="AH261" s="18">
        <f t="shared" si="228"/>
        <v>-3.7927061415087282E-3</v>
      </c>
      <c r="AI261" s="18">
        <f t="shared" si="228"/>
        <v>-7.5141030113012874E-4</v>
      </c>
      <c r="AJ261" s="18">
        <f t="shared" si="228"/>
        <v>-5.113432333414103E-3</v>
      </c>
      <c r="AK261" s="18">
        <f t="shared" si="228"/>
        <v>-8.0622963336784981E-4</v>
      </c>
      <c r="AL261" s="18">
        <f t="shared" si="228"/>
        <v>-2.9753706049958639E-3</v>
      </c>
      <c r="AM261" s="18">
        <f t="shared" si="228"/>
        <v>-9.5597156349298551E-3</v>
      </c>
      <c r="AN261" s="18">
        <f t="shared" si="228"/>
        <v>-1.2205421291931251E-2</v>
      </c>
      <c r="AO261" s="18">
        <f t="shared" si="228"/>
        <v>-4.8597741746223555E-3</v>
      </c>
      <c r="AP261" s="18">
        <f t="shared" si="228"/>
        <v>-7.8447823853948773E-3</v>
      </c>
      <c r="AQ261" s="18">
        <f t="shared" si="228"/>
        <v>-4.1366752138464191E-3</v>
      </c>
      <c r="AR261" s="18">
        <f t="shared" si="228"/>
        <v>4.2064388626184002E-3</v>
      </c>
      <c r="AS261" s="18">
        <f t="shared" si="228"/>
        <v>5.0789428583046803E-3</v>
      </c>
      <c r="AT261" s="18">
        <f t="shared" si="228"/>
        <v>1.6670606351765205E-3</v>
      </c>
      <c r="AU261" s="18">
        <f t="shared" si="228"/>
        <v>1.4042414552779547E-3</v>
      </c>
      <c r="AV261" s="18">
        <f t="shared" si="228"/>
        <v>1.4542083384325721E-3</v>
      </c>
      <c r="AW261" s="18">
        <f t="shared" si="228"/>
        <v>1.7113996672004639E-3</v>
      </c>
      <c r="AX261" s="18">
        <f t="shared" si="228"/>
        <v>2.2779677097535256E-3</v>
      </c>
      <c r="AY261" s="18">
        <f t="shared" si="228"/>
        <v>2.7893336318434159E-3</v>
      </c>
      <c r="AZ261" s="18">
        <f t="shared" si="228"/>
        <v>3.7602771680702585E-3</v>
      </c>
      <c r="BA261" s="18">
        <f t="shared" si="228"/>
        <v>4.6699086476884588E-3</v>
      </c>
      <c r="BB261" s="18">
        <f t="shared" si="228"/>
        <v>5.3633099643652926E-3</v>
      </c>
      <c r="BC261" s="18">
        <f t="shared" si="228"/>
        <v>6.147604734917822E-3</v>
      </c>
      <c r="BD261" s="18">
        <f t="shared" si="228"/>
        <v>6.6655010269636161E-3</v>
      </c>
      <c r="BE261" s="18">
        <f t="shared" si="228"/>
        <v>6.822013766800028E-3</v>
      </c>
      <c r="BF261" s="18">
        <f t="shared" si="228"/>
        <v>6.8754331987304074E-3</v>
      </c>
      <c r="BG261" s="18">
        <f t="shared" si="228"/>
        <v>6.6305573259615169E-3</v>
      </c>
      <c r="BH261" s="18">
        <f t="shared" si="228"/>
        <v>6.0953242184182965E-3</v>
      </c>
      <c r="BI261" s="18">
        <f t="shared" si="228"/>
        <v>5.325525804936948E-3</v>
      </c>
    </row>
    <row r="262" spans="1:61" x14ac:dyDescent="0.25">
      <c r="A262" s="11" t="s">
        <v>860</v>
      </c>
      <c r="B262" s="11"/>
      <c r="C262" s="18">
        <f>SUM(C$140:C$144)/SUM(B$140:B$144)-1</f>
        <v>2.1110528559186825E-2</v>
      </c>
      <c r="D262" s="18">
        <f t="shared" ref="D262:BI262" si="229">SUM(D$140:D$144)/SUM(C$140:C$144)-1</f>
        <v>1.702068559810721E-2</v>
      </c>
      <c r="E262" s="18">
        <f t="shared" si="229"/>
        <v>1.4161011259522294E-2</v>
      </c>
      <c r="F262" s="18">
        <f t="shared" si="229"/>
        <v>9.7950625637206468E-3</v>
      </c>
      <c r="G262" s="18">
        <f t="shared" si="229"/>
        <v>-1.6621167107985224E-3</v>
      </c>
      <c r="H262" s="18">
        <f t="shared" si="229"/>
        <v>-6.985286780341049E-4</v>
      </c>
      <c r="I262" s="18">
        <f t="shared" si="229"/>
        <v>8.083127607870777E-3</v>
      </c>
      <c r="J262" s="18">
        <f t="shared" si="229"/>
        <v>5.5075905507894207E-2</v>
      </c>
      <c r="K262" s="18">
        <f t="shared" si="229"/>
        <v>8.4920398981521039E-2</v>
      </c>
      <c r="L262" s="18">
        <f t="shared" si="229"/>
        <v>9.0248178364933818E-2</v>
      </c>
      <c r="M262" s="18">
        <f t="shared" si="229"/>
        <v>7.1418143548391821E-2</v>
      </c>
      <c r="N262" s="18">
        <f t="shared" si="229"/>
        <v>4.4375448959574681E-2</v>
      </c>
      <c r="O262" s="18">
        <f t="shared" si="229"/>
        <v>1.6302361523821363E-2</v>
      </c>
      <c r="P262" s="18">
        <f t="shared" si="229"/>
        <v>1.7106045390939739E-2</v>
      </c>
      <c r="Q262" s="18">
        <f t="shared" si="229"/>
        <v>-2.4779343472111193E-2</v>
      </c>
      <c r="R262" s="18">
        <f t="shared" si="229"/>
        <v>-4.4151461172653117E-2</v>
      </c>
      <c r="S262" s="18">
        <f t="shared" si="229"/>
        <v>-3.5355140941706331E-4</v>
      </c>
      <c r="T262" s="18">
        <f t="shared" si="229"/>
        <v>-5.7047970491636013E-3</v>
      </c>
      <c r="U262" s="18">
        <f t="shared" si="229"/>
        <v>-1.3603097751186843E-2</v>
      </c>
      <c r="V262" s="18">
        <f t="shared" si="229"/>
        <v>-1.3180204724471123E-2</v>
      </c>
      <c r="W262" s="18">
        <f t="shared" si="229"/>
        <v>-8.1802683998652981E-3</v>
      </c>
      <c r="X262" s="18">
        <f t="shared" si="229"/>
        <v>-2.3930288904633334E-3</v>
      </c>
      <c r="Y262" s="18">
        <f t="shared" si="229"/>
        <v>8.1705483083063246E-3</v>
      </c>
      <c r="Z262" s="18">
        <f t="shared" si="229"/>
        <v>5.7154624731092785E-3</v>
      </c>
      <c r="AA262" s="18">
        <f t="shared" si="229"/>
        <v>1.2978433497901731E-2</v>
      </c>
      <c r="AB262" s="18">
        <f t="shared" si="229"/>
        <v>3.2942215356358329E-2</v>
      </c>
      <c r="AC262" s="18">
        <f t="shared" si="229"/>
        <v>3.7616124007791019E-2</v>
      </c>
      <c r="AD262" s="18">
        <f t="shared" si="229"/>
        <v>3.1999960944687489E-2</v>
      </c>
      <c r="AE262" s="18">
        <f t="shared" si="229"/>
        <v>3.2089379753218017E-2</v>
      </c>
      <c r="AF262" s="18">
        <f t="shared" si="229"/>
        <v>2.6550187917666834E-2</v>
      </c>
      <c r="AG262" s="18">
        <f t="shared" si="229"/>
        <v>1.2251134870099545E-2</v>
      </c>
      <c r="AH262" s="18">
        <f t="shared" si="229"/>
        <v>3.9862598023370222E-3</v>
      </c>
      <c r="AI262" s="18">
        <f t="shared" si="229"/>
        <v>1.7699518936789005E-3</v>
      </c>
      <c r="AJ262" s="18">
        <f t="shared" si="229"/>
        <v>-3.8201615112587461E-4</v>
      </c>
      <c r="AK262" s="18">
        <f t="shared" si="229"/>
        <v>-1.1464864297108246E-3</v>
      </c>
      <c r="AL262" s="18">
        <f t="shared" si="229"/>
        <v>-1.9608290479837809E-3</v>
      </c>
      <c r="AM262" s="18">
        <f t="shared" si="229"/>
        <v>-3.2584960674709729E-3</v>
      </c>
      <c r="AN262" s="18">
        <f t="shared" si="229"/>
        <v>-1.9230285736748787E-4</v>
      </c>
      <c r="AO262" s="18">
        <f t="shared" si="229"/>
        <v>-4.4238164319926332E-3</v>
      </c>
      <c r="AP262" s="18">
        <f t="shared" si="229"/>
        <v>-2.8979175282184411E-4</v>
      </c>
      <c r="AQ262" s="18">
        <f t="shared" si="229"/>
        <v>-2.4156313035451626E-3</v>
      </c>
      <c r="AR262" s="18">
        <f t="shared" si="229"/>
        <v>-8.7173305493206676E-3</v>
      </c>
      <c r="AS262" s="18">
        <f t="shared" si="229"/>
        <v>-1.1090199348555929E-2</v>
      </c>
      <c r="AT262" s="18">
        <f t="shared" si="229"/>
        <v>-4.1498853700303595E-3</v>
      </c>
      <c r="AU262" s="18">
        <f t="shared" si="229"/>
        <v>-6.9452978064749038E-3</v>
      </c>
      <c r="AV262" s="18">
        <f t="shared" si="229"/>
        <v>-3.4969361663227394E-3</v>
      </c>
      <c r="AW262" s="18">
        <f t="shared" si="229"/>
        <v>4.4617068584014152E-3</v>
      </c>
      <c r="AX262" s="18">
        <f t="shared" si="229"/>
        <v>5.2903390578360465E-3</v>
      </c>
      <c r="AY262" s="18">
        <f t="shared" si="229"/>
        <v>2.085140976769484E-3</v>
      </c>
      <c r="AZ262" s="18">
        <f t="shared" si="229"/>
        <v>1.8330876619085945E-3</v>
      </c>
      <c r="BA262" s="18">
        <f t="shared" si="229"/>
        <v>1.7802813403675621E-3</v>
      </c>
      <c r="BB262" s="18">
        <f t="shared" si="229"/>
        <v>2.1226682099442229E-3</v>
      </c>
      <c r="BC262" s="18">
        <f t="shared" si="229"/>
        <v>2.6107701808322226E-3</v>
      </c>
      <c r="BD262" s="18">
        <f t="shared" si="229"/>
        <v>3.291813418775158E-3</v>
      </c>
      <c r="BE262" s="18">
        <f t="shared" si="229"/>
        <v>4.0155680713709341E-3</v>
      </c>
      <c r="BF262" s="18">
        <f t="shared" si="229"/>
        <v>4.8774485068852069E-3</v>
      </c>
      <c r="BG262" s="18">
        <f t="shared" si="229"/>
        <v>5.484765153173532E-3</v>
      </c>
      <c r="BH262" s="18">
        <f t="shared" si="229"/>
        <v>6.3237602184207375E-3</v>
      </c>
      <c r="BI262" s="18">
        <f t="shared" si="229"/>
        <v>6.7157482457265161E-3</v>
      </c>
    </row>
    <row r="263" spans="1:61" x14ac:dyDescent="0.25">
      <c r="A263" s="11" t="s">
        <v>861</v>
      </c>
      <c r="B263" s="11"/>
      <c r="C263" s="18">
        <f>SUM(C$145:C$149)/SUM(B$145:B$149)-1</f>
        <v>-2.1781662657119227E-2</v>
      </c>
      <c r="D263" s="18">
        <f t="shared" ref="D263:BI263" si="230">SUM(D$145:D$149)/SUM(C$145:C$149)-1</f>
        <v>-2.2392138242195103E-2</v>
      </c>
      <c r="E263" s="18">
        <f t="shared" si="230"/>
        <v>-1.2209075795232116E-2</v>
      </c>
      <c r="F263" s="18">
        <f t="shared" si="230"/>
        <v>-4.4868098391647182E-3</v>
      </c>
      <c r="G263" s="18">
        <f t="shared" si="230"/>
        <v>3.3485062235458773E-3</v>
      </c>
      <c r="H263" s="18">
        <f t="shared" si="230"/>
        <v>-3.5327924119199494E-4</v>
      </c>
      <c r="I263" s="18">
        <f t="shared" si="230"/>
        <v>9.2589746935578532E-3</v>
      </c>
      <c r="J263" s="18">
        <f t="shared" si="230"/>
        <v>3.5129701495552501E-2</v>
      </c>
      <c r="K263" s="18">
        <f t="shared" si="230"/>
        <v>4.4842842040575093E-2</v>
      </c>
      <c r="L263" s="18">
        <f t="shared" si="230"/>
        <v>5.4495490686892412E-2</v>
      </c>
      <c r="M263" s="18">
        <f t="shared" si="230"/>
        <v>6.5455656918662841E-2</v>
      </c>
      <c r="N263" s="18">
        <f t="shared" si="230"/>
        <v>6.0365173457529453E-2</v>
      </c>
      <c r="O263" s="18">
        <f t="shared" si="230"/>
        <v>5.0931833233414103E-2</v>
      </c>
      <c r="P263" s="18">
        <f t="shared" si="230"/>
        <v>6.3152495013959031E-2</v>
      </c>
      <c r="Q263" s="18">
        <f t="shared" si="230"/>
        <v>3.2315888070038934E-2</v>
      </c>
      <c r="R263" s="18">
        <f t="shared" si="230"/>
        <v>8.4650186846451092E-3</v>
      </c>
      <c r="S263" s="18">
        <f t="shared" si="230"/>
        <v>4.725681879135224E-2</v>
      </c>
      <c r="T263" s="18">
        <f t="shared" si="230"/>
        <v>2.4376397031866892E-2</v>
      </c>
      <c r="U263" s="18">
        <f t="shared" si="230"/>
        <v>-8.5209416764769896E-3</v>
      </c>
      <c r="V263" s="18">
        <f t="shared" si="230"/>
        <v>-1.7057955209402564E-2</v>
      </c>
      <c r="W263" s="18">
        <f t="shared" si="230"/>
        <v>-2.378552927743105E-2</v>
      </c>
      <c r="X263" s="18">
        <f t="shared" si="230"/>
        <v>-2.0580488872697034E-2</v>
      </c>
      <c r="Y263" s="18">
        <f t="shared" si="230"/>
        <v>-1.787196525593393E-2</v>
      </c>
      <c r="Z263" s="18">
        <f t="shared" si="230"/>
        <v>-9.1289734100478137E-3</v>
      </c>
      <c r="AA263" s="18">
        <f t="shared" si="230"/>
        <v>-8.9636003288470212E-3</v>
      </c>
      <c r="AB263" s="18">
        <f t="shared" si="230"/>
        <v>-5.529084446136423E-3</v>
      </c>
      <c r="AC263" s="18">
        <f t="shared" si="230"/>
        <v>-8.2219408647998815E-4</v>
      </c>
      <c r="AD263" s="18">
        <f t="shared" si="230"/>
        <v>8.4481386308186135E-3</v>
      </c>
      <c r="AE263" s="18">
        <f t="shared" si="230"/>
        <v>5.2766522865312915E-3</v>
      </c>
      <c r="AF263" s="18">
        <f t="shared" si="230"/>
        <v>1.2175411950358317E-2</v>
      </c>
      <c r="AG263" s="18">
        <f t="shared" si="230"/>
        <v>3.1114895573526535E-2</v>
      </c>
      <c r="AH263" s="18">
        <f t="shared" si="230"/>
        <v>3.5775638466237991E-2</v>
      </c>
      <c r="AI263" s="18">
        <f t="shared" si="230"/>
        <v>3.0435202065661748E-2</v>
      </c>
      <c r="AJ263" s="18">
        <f t="shared" si="230"/>
        <v>3.0507847524355869E-2</v>
      </c>
      <c r="AK263" s="18">
        <f t="shared" si="230"/>
        <v>2.5503388410984984E-2</v>
      </c>
      <c r="AL263" s="18">
        <f t="shared" si="230"/>
        <v>1.185996005587886E-2</v>
      </c>
      <c r="AM263" s="18">
        <f t="shared" si="230"/>
        <v>4.0887035080441336E-3</v>
      </c>
      <c r="AN263" s="18">
        <f t="shared" si="230"/>
        <v>2.0812720885108327E-3</v>
      </c>
      <c r="AO263" s="18">
        <f t="shared" si="230"/>
        <v>0</v>
      </c>
      <c r="AP263" s="18">
        <f t="shared" si="230"/>
        <v>-6.7726610599327941E-4</v>
      </c>
      <c r="AQ263" s="18">
        <f t="shared" si="230"/>
        <v>-1.5361769074700993E-3</v>
      </c>
      <c r="AR263" s="18">
        <f t="shared" si="230"/>
        <v>-2.6698200671326777E-3</v>
      </c>
      <c r="AS263" s="18">
        <f t="shared" si="230"/>
        <v>1.3611697055493366E-4</v>
      </c>
      <c r="AT263" s="18">
        <f t="shared" si="230"/>
        <v>-3.7653903184992066E-3</v>
      </c>
      <c r="AU263" s="18">
        <f t="shared" si="230"/>
        <v>4.5537615311452839E-5</v>
      </c>
      <c r="AV263" s="18">
        <f t="shared" si="230"/>
        <v>-1.8669572109911714E-3</v>
      </c>
      <c r="AW263" s="18">
        <f t="shared" si="230"/>
        <v>-7.8011420344603621E-3</v>
      </c>
      <c r="AX263" s="18">
        <f t="shared" si="230"/>
        <v>-1.0069489809969578E-2</v>
      </c>
      <c r="AY263" s="18">
        <f t="shared" si="230"/>
        <v>-3.4835328125316645E-3</v>
      </c>
      <c r="AZ263" s="18">
        <f t="shared" si="230"/>
        <v>-6.1990594813328137E-3</v>
      </c>
      <c r="BA263" s="18">
        <f t="shared" si="230"/>
        <v>-2.8609126243813732E-3</v>
      </c>
      <c r="BB263" s="18">
        <f t="shared" si="230"/>
        <v>4.4683030856289552E-3</v>
      </c>
      <c r="BC263" s="18">
        <f t="shared" si="230"/>
        <v>5.4317624803483788E-3</v>
      </c>
      <c r="BD263" s="18">
        <f t="shared" si="230"/>
        <v>2.2820558074478914E-3</v>
      </c>
      <c r="BE263" s="18">
        <f t="shared" si="230"/>
        <v>2.0445272446809604E-3</v>
      </c>
      <c r="BF263" s="18">
        <f t="shared" si="230"/>
        <v>2.086727401943822E-3</v>
      </c>
      <c r="BG263" s="18">
        <f t="shared" si="230"/>
        <v>2.3600329767208272E-3</v>
      </c>
      <c r="BH263" s="18">
        <f t="shared" si="230"/>
        <v>2.7238059560927841E-3</v>
      </c>
      <c r="BI263" s="18">
        <f t="shared" si="230"/>
        <v>3.4530597337534275E-3</v>
      </c>
    </row>
    <row r="264" spans="1:61" x14ac:dyDescent="0.25">
      <c r="A264" s="11" t="s">
        <v>862</v>
      </c>
      <c r="B264" s="11"/>
      <c r="C264" s="18">
        <f>SUM(C$150:C$154)/SUM(B$150:B$154)-1</f>
        <v>1.0827207543760764E-2</v>
      </c>
      <c r="D264" s="18">
        <f t="shared" ref="D264:BI264" si="231">SUM(D$150:D$154)/SUM(C$150:C$154)-1</f>
        <v>-5.3246581535039139E-3</v>
      </c>
      <c r="E264" s="18">
        <f t="shared" si="231"/>
        <v>-1.4833787740203719E-2</v>
      </c>
      <c r="F264" s="18">
        <f t="shared" si="231"/>
        <v>-1.9156929809962864E-2</v>
      </c>
      <c r="G264" s="18">
        <f t="shared" si="231"/>
        <v>-3.2420895368187042E-2</v>
      </c>
      <c r="H264" s="18">
        <f t="shared" si="231"/>
        <v>-3.3035258540173085E-2</v>
      </c>
      <c r="I264" s="18">
        <f t="shared" si="231"/>
        <v>-2.8065571127134148E-2</v>
      </c>
      <c r="J264" s="18">
        <f t="shared" si="231"/>
        <v>-5.6490733053683462E-3</v>
      </c>
      <c r="K264" s="18">
        <f t="shared" si="231"/>
        <v>1.9204807076166119E-2</v>
      </c>
      <c r="L264" s="18">
        <f t="shared" si="231"/>
        <v>3.7079182401286381E-2</v>
      </c>
      <c r="M264" s="18">
        <f t="shared" si="231"/>
        <v>4.8088884823437761E-2</v>
      </c>
      <c r="N264" s="18">
        <f t="shared" si="231"/>
        <v>5.3800655705023237E-2</v>
      </c>
      <c r="O264" s="18">
        <f t="shared" si="231"/>
        <v>4.7074163629735155E-2</v>
      </c>
      <c r="P264" s="18">
        <f t="shared" si="231"/>
        <v>4.1773002108792312E-2</v>
      </c>
      <c r="Q264" s="18">
        <f t="shared" si="231"/>
        <v>2.8044087773299253E-2</v>
      </c>
      <c r="R264" s="18">
        <f t="shared" si="231"/>
        <v>2.2155505589996904E-2</v>
      </c>
      <c r="S264" s="18">
        <f t="shared" si="231"/>
        <v>7.0391941089847476E-2</v>
      </c>
      <c r="T264" s="18">
        <f t="shared" si="231"/>
        <v>5.8512546914128549E-2</v>
      </c>
      <c r="U264" s="18">
        <f t="shared" si="231"/>
        <v>3.5981053648079797E-2</v>
      </c>
      <c r="V264" s="18">
        <f t="shared" si="231"/>
        <v>3.1354848181894379E-2</v>
      </c>
      <c r="W264" s="18">
        <f t="shared" si="231"/>
        <v>2.0700964191609827E-2</v>
      </c>
      <c r="X264" s="18">
        <f t="shared" si="231"/>
        <v>1.0399370369320149E-2</v>
      </c>
      <c r="Y264" s="18">
        <f t="shared" si="231"/>
        <v>1.8507245597934041E-3</v>
      </c>
      <c r="Z264" s="18">
        <f t="shared" si="231"/>
        <v>-7.1423933972848408E-3</v>
      </c>
      <c r="AA264" s="18">
        <f t="shared" si="231"/>
        <v>-1.3629553310565368E-2</v>
      </c>
      <c r="AB264" s="18">
        <f t="shared" si="231"/>
        <v>-2.0750913588705844E-2</v>
      </c>
      <c r="AC264" s="18">
        <f t="shared" si="231"/>
        <v>-1.7933065829498052E-2</v>
      </c>
      <c r="AD264" s="18">
        <f t="shared" si="231"/>
        <v>-1.5984152343819891E-2</v>
      </c>
      <c r="AE264" s="18">
        <f t="shared" si="231"/>
        <v>-9.354012354634067E-3</v>
      </c>
      <c r="AF264" s="18">
        <f t="shared" si="231"/>
        <v>-8.6300921188811053E-3</v>
      </c>
      <c r="AG264" s="18">
        <f t="shared" si="231"/>
        <v>-5.069509865188504E-3</v>
      </c>
      <c r="AH264" s="18">
        <f t="shared" si="231"/>
        <v>-4.117447066960267E-4</v>
      </c>
      <c r="AI264" s="18">
        <f t="shared" si="231"/>
        <v>8.2897754934370127E-3</v>
      </c>
      <c r="AJ264" s="18">
        <f t="shared" si="231"/>
        <v>5.3108601943394618E-3</v>
      </c>
      <c r="AK264" s="18">
        <f t="shared" si="231"/>
        <v>1.1886308912403498E-2</v>
      </c>
      <c r="AL264" s="18">
        <f t="shared" si="231"/>
        <v>2.9467109498619193E-2</v>
      </c>
      <c r="AM264" s="18">
        <f t="shared" si="231"/>
        <v>3.3841252647870634E-2</v>
      </c>
      <c r="AN264" s="18">
        <f t="shared" si="231"/>
        <v>2.8818695118951521E-2</v>
      </c>
      <c r="AO264" s="18">
        <f t="shared" si="231"/>
        <v>2.9203418166257045E-2</v>
      </c>
      <c r="AP264" s="18">
        <f t="shared" si="231"/>
        <v>2.4232149217790155E-2</v>
      </c>
      <c r="AQ264" s="18">
        <f t="shared" si="231"/>
        <v>1.1655460190577172E-2</v>
      </c>
      <c r="AR264" s="18">
        <f t="shared" si="231"/>
        <v>4.0839988088856582E-3</v>
      </c>
      <c r="AS264" s="18">
        <f t="shared" si="231"/>
        <v>2.311988742621951E-3</v>
      </c>
      <c r="AT264" s="18">
        <f t="shared" si="231"/>
        <v>3.4172678228516773E-4</v>
      </c>
      <c r="AU264" s="18">
        <f t="shared" si="231"/>
        <v>-3.4161004498367564E-4</v>
      </c>
      <c r="AV264" s="18">
        <f t="shared" si="231"/>
        <v>-1.0678961946409826E-3</v>
      </c>
      <c r="AW264" s="18">
        <f t="shared" si="231"/>
        <v>-2.1808371447555874E-3</v>
      </c>
      <c r="AX264" s="18">
        <f t="shared" si="231"/>
        <v>4.7140469593598411E-4</v>
      </c>
      <c r="AY264" s="18">
        <f t="shared" si="231"/>
        <v>-3.2982780477920359E-3</v>
      </c>
      <c r="AZ264" s="18">
        <f t="shared" si="231"/>
        <v>3.8678875543429747E-4</v>
      </c>
      <c r="BA264" s="18">
        <f t="shared" si="231"/>
        <v>-1.3747171830624794E-3</v>
      </c>
      <c r="BB264" s="18">
        <f t="shared" si="231"/>
        <v>-7.0981434148859046E-3</v>
      </c>
      <c r="BC264" s="18">
        <f t="shared" si="231"/>
        <v>-9.0985837622717947E-3</v>
      </c>
      <c r="BD264" s="18">
        <f t="shared" si="231"/>
        <v>-3.0169849550696348E-3</v>
      </c>
      <c r="BE264" s="18">
        <f t="shared" si="231"/>
        <v>-5.4382351087027825E-3</v>
      </c>
      <c r="BF264" s="18">
        <f t="shared" si="231"/>
        <v>-2.337116731887412E-3</v>
      </c>
      <c r="BG264" s="18">
        <f t="shared" si="231"/>
        <v>4.5967835994158435E-3</v>
      </c>
      <c r="BH264" s="18">
        <f t="shared" si="231"/>
        <v>5.279711385542285E-3</v>
      </c>
      <c r="BI264" s="18">
        <f t="shared" si="231"/>
        <v>2.5384581764760217E-3</v>
      </c>
    </row>
    <row r="265" spans="1:61" x14ac:dyDescent="0.25">
      <c r="A265" s="11" t="s">
        <v>863</v>
      </c>
      <c r="B265" s="11"/>
      <c r="C265" s="18">
        <f>SUM(C$155:C$159)/SUM(B$155:B$159)-1</f>
        <v>-9.6933310324514022E-3</v>
      </c>
      <c r="D265" s="18">
        <f t="shared" ref="D265:BI265" si="232">SUM(D$155:D$159)/SUM(C$155:C$159)-1</f>
        <v>-1.3317162063596233E-2</v>
      </c>
      <c r="E265" s="18">
        <f t="shared" si="232"/>
        <v>-9.0972814122071144E-3</v>
      </c>
      <c r="F265" s="18">
        <f t="shared" si="232"/>
        <v>-1.7410720472205155E-3</v>
      </c>
      <c r="G265" s="18">
        <f t="shared" si="232"/>
        <v>3.721815558902497E-3</v>
      </c>
      <c r="H265" s="18">
        <f t="shared" si="232"/>
        <v>1.930679867647056E-3</v>
      </c>
      <c r="I265" s="18">
        <f t="shared" si="232"/>
        <v>-7.3525174619970546E-3</v>
      </c>
      <c r="J265" s="18">
        <f t="shared" si="232"/>
        <v>-3.6148441816428178E-3</v>
      </c>
      <c r="K265" s="18">
        <f t="shared" si="232"/>
        <v>-4.7257073378434988E-3</v>
      </c>
      <c r="L265" s="18">
        <f t="shared" si="232"/>
        <v>-8.8293434980855068E-3</v>
      </c>
      <c r="M265" s="18">
        <f t="shared" si="232"/>
        <v>-3.7038746645620124E-3</v>
      </c>
      <c r="N265" s="18">
        <f t="shared" si="232"/>
        <v>-2.602446434706307E-4</v>
      </c>
      <c r="O265" s="18">
        <f t="shared" si="232"/>
        <v>1.2873409723155094E-2</v>
      </c>
      <c r="P265" s="18">
        <f t="shared" si="232"/>
        <v>2.2411836093315207E-2</v>
      </c>
      <c r="Q265" s="18">
        <f t="shared" si="232"/>
        <v>2.484247223894287E-2</v>
      </c>
      <c r="R265" s="18">
        <f t="shared" si="232"/>
        <v>1.3267518639262121E-2</v>
      </c>
      <c r="S265" s="18">
        <f t="shared" si="232"/>
        <v>6.0014332638828716E-2</v>
      </c>
      <c r="T265" s="18">
        <f t="shared" si="232"/>
        <v>5.67968175309157E-2</v>
      </c>
      <c r="U265" s="18">
        <f t="shared" si="232"/>
        <v>2.8484049372027087E-2</v>
      </c>
      <c r="V265" s="18">
        <f t="shared" si="232"/>
        <v>2.7825993968048301E-2</v>
      </c>
      <c r="W265" s="18">
        <f t="shared" si="232"/>
        <v>3.4177506788304779E-2</v>
      </c>
      <c r="X265" s="18">
        <f t="shared" si="232"/>
        <v>3.2347671073529538E-2</v>
      </c>
      <c r="Y265" s="18">
        <f t="shared" si="232"/>
        <v>3.0476820998383891E-2</v>
      </c>
      <c r="Z265" s="18">
        <f t="shared" si="232"/>
        <v>3.6235541704820795E-2</v>
      </c>
      <c r="AA265" s="18">
        <f t="shared" si="232"/>
        <v>3.2880825780621015E-2</v>
      </c>
      <c r="AB265" s="18">
        <f t="shared" si="232"/>
        <v>2.1435340786719825E-2</v>
      </c>
      <c r="AC265" s="18">
        <f t="shared" si="232"/>
        <v>1.1233872164285286E-2</v>
      </c>
      <c r="AD265" s="18">
        <f t="shared" si="232"/>
        <v>2.4637059816121631E-3</v>
      </c>
      <c r="AE265" s="18">
        <f t="shared" si="232"/>
        <v>-7.238899462297943E-3</v>
      </c>
      <c r="AF265" s="18">
        <f t="shared" si="232"/>
        <v>-1.3053013178886519E-2</v>
      </c>
      <c r="AG265" s="18">
        <f t="shared" si="232"/>
        <v>-1.9747260235891684E-2</v>
      </c>
      <c r="AH265" s="18">
        <f t="shared" si="232"/>
        <v>-1.6702263728243349E-2</v>
      </c>
      <c r="AI265" s="18">
        <f t="shared" si="232"/>
        <v>-1.495143687558631E-2</v>
      </c>
      <c r="AJ265" s="18">
        <f t="shared" si="232"/>
        <v>-8.4057458687090136E-3</v>
      </c>
      <c r="AK265" s="18">
        <f t="shared" si="232"/>
        <v>-7.944161300853736E-3</v>
      </c>
      <c r="AL265" s="18">
        <f t="shared" si="232"/>
        <v>-4.4433393261363863E-3</v>
      </c>
      <c r="AM265" s="18">
        <f t="shared" si="232"/>
        <v>0</v>
      </c>
      <c r="AN265" s="18">
        <f t="shared" si="232"/>
        <v>8.2396997687312901E-3</v>
      </c>
      <c r="AO265" s="18">
        <f t="shared" si="232"/>
        <v>5.3509512831901862E-3</v>
      </c>
      <c r="AP265" s="18">
        <f t="shared" si="232"/>
        <v>1.1612664000353767E-2</v>
      </c>
      <c r="AQ265" s="18">
        <f t="shared" si="232"/>
        <v>2.8363580569869429E-2</v>
      </c>
      <c r="AR265" s="18">
        <f t="shared" si="232"/>
        <v>3.2511488170875458E-2</v>
      </c>
      <c r="AS265" s="18">
        <f t="shared" si="232"/>
        <v>2.7748882191872992E-2</v>
      </c>
      <c r="AT265" s="18">
        <f t="shared" si="232"/>
        <v>2.8139268012384866E-2</v>
      </c>
      <c r="AU265" s="18">
        <f t="shared" si="232"/>
        <v>2.3447066261678806E-2</v>
      </c>
      <c r="AV265" s="18">
        <f t="shared" si="232"/>
        <v>1.1329985130051234E-2</v>
      </c>
      <c r="AW265" s="18">
        <f t="shared" si="232"/>
        <v>4.283520909748928E-3</v>
      </c>
      <c r="AX265" s="18">
        <f t="shared" si="232"/>
        <v>2.5427455616457983E-3</v>
      </c>
      <c r="AY265" s="18">
        <f t="shared" si="232"/>
        <v>5.7271209150089319E-4</v>
      </c>
      <c r="AZ265" s="18">
        <f t="shared" si="232"/>
        <v>-4.0884591435919049E-5</v>
      </c>
      <c r="BA265" s="18">
        <f t="shared" si="232"/>
        <v>-7.7683899802738487E-4</v>
      </c>
      <c r="BB265" s="18">
        <f t="shared" si="232"/>
        <v>-1.8413122405891436E-3</v>
      </c>
      <c r="BC265" s="18">
        <f t="shared" si="232"/>
        <v>8.1987063365085433E-4</v>
      </c>
      <c r="BD265" s="18">
        <f t="shared" si="232"/>
        <v>-2.8262365377543786E-3</v>
      </c>
      <c r="BE265" s="18">
        <f t="shared" si="232"/>
        <v>6.9829268728982541E-4</v>
      </c>
      <c r="BF265" s="18">
        <f t="shared" si="232"/>
        <v>-1.0261844336345582E-3</v>
      </c>
      <c r="BG265" s="18">
        <f t="shared" si="232"/>
        <v>-6.4510582187493615E-3</v>
      </c>
      <c r="BH265" s="18">
        <f t="shared" si="232"/>
        <v>-8.395335988528152E-3</v>
      </c>
      <c r="BI265" s="18">
        <f t="shared" si="232"/>
        <v>-2.5440949620434417E-3</v>
      </c>
    </row>
    <row r="266" spans="1:61" x14ac:dyDescent="0.25">
      <c r="A266" s="11" t="s">
        <v>864</v>
      </c>
      <c r="B266" s="11"/>
      <c r="C266" s="18">
        <f>SUM(C$160:C$164)/SUM(B$160:B$164)-1</f>
        <v>2.6645491427477852E-2</v>
      </c>
      <c r="D266" s="18">
        <f t="shared" ref="D266:BI266" si="233">SUM(D$160:D$164)/SUM(C$160:C$164)-1</f>
        <v>1.9483902411039589E-2</v>
      </c>
      <c r="E266" s="18">
        <f t="shared" si="233"/>
        <v>7.1358318340977167E-3</v>
      </c>
      <c r="F266" s="18">
        <f t="shared" si="233"/>
        <v>-1.2187385406537965E-3</v>
      </c>
      <c r="G266" s="18">
        <f t="shared" si="233"/>
        <v>-9.7998322009775762E-3</v>
      </c>
      <c r="H266" s="18">
        <f t="shared" si="233"/>
        <v>-1.8526173407920843E-2</v>
      </c>
      <c r="I266" s="18">
        <f t="shared" si="233"/>
        <v>-1.434570740669916E-2</v>
      </c>
      <c r="J266" s="18">
        <f t="shared" si="233"/>
        <v>-8.3039002942986162E-4</v>
      </c>
      <c r="K266" s="18">
        <f t="shared" si="233"/>
        <v>1.2168462149742876E-2</v>
      </c>
      <c r="L266" s="18">
        <f t="shared" si="233"/>
        <v>2.333391862735823E-2</v>
      </c>
      <c r="M266" s="18">
        <f t="shared" si="233"/>
        <v>2.8020579197657325E-2</v>
      </c>
      <c r="N266" s="18">
        <f t="shared" si="233"/>
        <v>1.6385841148569336E-2</v>
      </c>
      <c r="O266" s="18">
        <f t="shared" si="233"/>
        <v>2.1724859007890007E-3</v>
      </c>
      <c r="P266" s="18">
        <f t="shared" si="233"/>
        <v>-6.9640862257209779E-3</v>
      </c>
      <c r="Q266" s="18">
        <f t="shared" si="233"/>
        <v>-1.3088439539555963E-2</v>
      </c>
      <c r="R266" s="18">
        <f t="shared" si="233"/>
        <v>-2.379338632708794E-2</v>
      </c>
      <c r="S266" s="18">
        <f t="shared" si="233"/>
        <v>-8.4183305242135908E-3</v>
      </c>
      <c r="T266" s="18">
        <f t="shared" si="233"/>
        <v>1.9244828750837106E-2</v>
      </c>
      <c r="U266" s="18">
        <f t="shared" si="233"/>
        <v>1.5551513915694759E-2</v>
      </c>
      <c r="V266" s="18">
        <f t="shared" si="233"/>
        <v>2.26337759804498E-2</v>
      </c>
      <c r="W266" s="18">
        <f t="shared" si="233"/>
        <v>2.6244636555665002E-2</v>
      </c>
      <c r="X266" s="18">
        <f t="shared" si="233"/>
        <v>3.5977576154072599E-2</v>
      </c>
      <c r="Y266" s="18">
        <f t="shared" si="233"/>
        <v>3.3046158016843963E-2</v>
      </c>
      <c r="Z266" s="18">
        <f t="shared" si="233"/>
        <v>2.9429924923159101E-2</v>
      </c>
      <c r="AA266" s="18">
        <f t="shared" si="233"/>
        <v>2.9537003098567993E-2</v>
      </c>
      <c r="AB266" s="18">
        <f t="shared" si="233"/>
        <v>3.499556386238023E-2</v>
      </c>
      <c r="AC266" s="18">
        <f t="shared" si="233"/>
        <v>3.2709165731108492E-2</v>
      </c>
      <c r="AD266" s="18">
        <f t="shared" si="233"/>
        <v>3.0568868879645938E-2</v>
      </c>
      <c r="AE266" s="18">
        <f t="shared" si="233"/>
        <v>3.521464823255438E-2</v>
      </c>
      <c r="AF266" s="18">
        <f t="shared" si="233"/>
        <v>3.2087732111756972E-2</v>
      </c>
      <c r="AG266" s="18">
        <f t="shared" si="233"/>
        <v>2.1243396220610444E-2</v>
      </c>
      <c r="AH266" s="18">
        <f t="shared" si="233"/>
        <v>1.115960390475923E-2</v>
      </c>
      <c r="AI266" s="18">
        <f t="shared" si="233"/>
        <v>2.6487459811481706E-3</v>
      </c>
      <c r="AJ266" s="18">
        <f t="shared" si="233"/>
        <v>-6.6924299386714736E-3</v>
      </c>
      <c r="AK266" s="18">
        <f t="shared" si="233"/>
        <v>-1.2588524811004476E-2</v>
      </c>
      <c r="AL266" s="18">
        <f t="shared" si="233"/>
        <v>-1.8943960567780693E-2</v>
      </c>
      <c r="AM266" s="18">
        <f t="shared" si="233"/>
        <v>-1.6060964822889656E-2</v>
      </c>
      <c r="AN266" s="18">
        <f t="shared" si="233"/>
        <v>-1.4276925704733934E-2</v>
      </c>
      <c r="AO266" s="18">
        <f t="shared" si="233"/>
        <v>-7.9731164250375075E-3</v>
      </c>
      <c r="AP266" s="18">
        <f t="shared" si="233"/>
        <v>-7.3238371760434573E-3</v>
      </c>
      <c r="AQ266" s="18">
        <f t="shared" si="233"/>
        <v>-4.0722018050701747E-3</v>
      </c>
      <c r="AR266" s="18">
        <f t="shared" si="233"/>
        <v>2.4052073160851783E-4</v>
      </c>
      <c r="AS266" s="18">
        <f t="shared" si="233"/>
        <v>8.3681087563391987E-3</v>
      </c>
      <c r="AT266" s="18">
        <f t="shared" si="233"/>
        <v>5.4847496105905336E-3</v>
      </c>
      <c r="AU266" s="18">
        <f t="shared" si="233"/>
        <v>1.1668595494581435E-2</v>
      </c>
      <c r="AV266" s="18">
        <f t="shared" si="233"/>
        <v>2.7850413906826965E-2</v>
      </c>
      <c r="AW266" s="18">
        <f t="shared" si="233"/>
        <v>3.1976675655190245E-2</v>
      </c>
      <c r="AX266" s="18">
        <f t="shared" si="233"/>
        <v>2.7449662710381961E-2</v>
      </c>
      <c r="AY266" s="18">
        <f t="shared" si="233"/>
        <v>2.7619759102512242E-2</v>
      </c>
      <c r="AZ266" s="18">
        <f t="shared" si="233"/>
        <v>2.3235145431701687E-2</v>
      </c>
      <c r="BA266" s="18">
        <f t="shared" si="233"/>
        <v>1.1292394594812238E-2</v>
      </c>
      <c r="BB266" s="18">
        <f t="shared" si="233"/>
        <v>4.4098794763252069E-3</v>
      </c>
      <c r="BC266" s="18">
        <f t="shared" si="233"/>
        <v>2.698758661163092E-3</v>
      </c>
      <c r="BD266" s="18">
        <f t="shared" si="233"/>
        <v>8.8377446638610024E-4</v>
      </c>
      <c r="BE266" s="18">
        <f t="shared" si="233"/>
        <v>1.204082861929745E-4</v>
      </c>
      <c r="BF266" s="18">
        <f t="shared" si="233"/>
        <v>-4.8157515913194171E-4</v>
      </c>
      <c r="BG266" s="18">
        <f t="shared" si="233"/>
        <v>-1.4454215565118389E-3</v>
      </c>
      <c r="BH266" s="18">
        <f t="shared" si="233"/>
        <v>9.2480049879228865E-4</v>
      </c>
      <c r="BI266" s="18">
        <f t="shared" si="233"/>
        <v>-2.5308086991968626E-3</v>
      </c>
    </row>
    <row r="267" spans="1:61" x14ac:dyDescent="0.25">
      <c r="A267" s="11" t="s">
        <v>865</v>
      </c>
      <c r="B267" s="11"/>
      <c r="C267" s="18">
        <f>SUM(C$165:C$169)/SUM(B$165:B$169)-1</f>
        <v>2.7177172600630017E-2</v>
      </c>
      <c r="D267" s="18">
        <f t="shared" ref="D267:BI267" si="234">SUM(D$165:D$169)/SUM(C$165:C$169)-1</f>
        <v>2.1482896141091778E-2</v>
      </c>
      <c r="E267" s="18">
        <f t="shared" si="234"/>
        <v>2.4650156555892977E-2</v>
      </c>
      <c r="F267" s="18">
        <f t="shared" si="234"/>
        <v>2.4873225232397989E-2</v>
      </c>
      <c r="G267" s="18">
        <f t="shared" si="234"/>
        <v>2.2358170497132734E-2</v>
      </c>
      <c r="H267" s="18">
        <f t="shared" si="234"/>
        <v>2.0579988926164638E-2</v>
      </c>
      <c r="I267" s="18">
        <f t="shared" si="234"/>
        <v>1.7390538475376971E-2</v>
      </c>
      <c r="J267" s="18">
        <f t="shared" si="234"/>
        <v>1.0338403549196462E-2</v>
      </c>
      <c r="K267" s="18">
        <f t="shared" si="234"/>
        <v>8.5041761902808766E-3</v>
      </c>
      <c r="L267" s="18">
        <f t="shared" si="234"/>
        <v>3.8965902022531917E-3</v>
      </c>
      <c r="M267" s="18">
        <f t="shared" si="234"/>
        <v>1.9076776265565254E-3</v>
      </c>
      <c r="N267" s="18">
        <f t="shared" si="234"/>
        <v>3.9481007920976197E-3</v>
      </c>
      <c r="O267" s="18">
        <f t="shared" si="234"/>
        <v>6.3055648889409621E-3</v>
      </c>
      <c r="P267" s="18">
        <f t="shared" si="234"/>
        <v>1.0364342065437571E-2</v>
      </c>
      <c r="Q267" s="18">
        <f t="shared" si="234"/>
        <v>2.2177915103423596E-2</v>
      </c>
      <c r="R267" s="18">
        <f t="shared" si="234"/>
        <v>9.0973974918997502E-3</v>
      </c>
      <c r="S267" s="18">
        <f t="shared" si="234"/>
        <v>-5.9743851116108582E-3</v>
      </c>
      <c r="T267" s="18">
        <f t="shared" si="234"/>
        <v>4.98061635434488E-3</v>
      </c>
      <c r="U267" s="18">
        <f t="shared" si="234"/>
        <v>-1.1464305816161535E-2</v>
      </c>
      <c r="V267" s="18">
        <f t="shared" si="234"/>
        <v>-1.8968315499933386E-2</v>
      </c>
      <c r="W267" s="18">
        <f t="shared" si="234"/>
        <v>-1.4337733628882687E-2</v>
      </c>
      <c r="X267" s="18">
        <f t="shared" si="234"/>
        <v>-1.0352348099603725E-2</v>
      </c>
      <c r="Y267" s="18">
        <f t="shared" si="234"/>
        <v>3.7279199000934682E-3</v>
      </c>
      <c r="Z267" s="18">
        <f t="shared" si="234"/>
        <v>1.7480696712196764E-2</v>
      </c>
      <c r="AA267" s="18">
        <f t="shared" si="234"/>
        <v>2.4580308880031376E-2</v>
      </c>
      <c r="AB267" s="18">
        <f t="shared" si="234"/>
        <v>2.7310358100272492E-2</v>
      </c>
      <c r="AC267" s="18">
        <f t="shared" si="234"/>
        <v>3.6874146211346659E-2</v>
      </c>
      <c r="AD267" s="18">
        <f t="shared" si="234"/>
        <v>3.3491753553030801E-2</v>
      </c>
      <c r="AE267" s="18">
        <f t="shared" si="234"/>
        <v>2.9429139184391495E-2</v>
      </c>
      <c r="AF267" s="18">
        <f t="shared" si="234"/>
        <v>2.9700190826747797E-2</v>
      </c>
      <c r="AG267" s="18">
        <f t="shared" si="234"/>
        <v>3.5001140452647128E-2</v>
      </c>
      <c r="AH267" s="18">
        <f t="shared" si="234"/>
        <v>3.3034677481748487E-2</v>
      </c>
      <c r="AI267" s="18">
        <f t="shared" si="234"/>
        <v>3.0715319697459664E-2</v>
      </c>
      <c r="AJ267" s="18">
        <f t="shared" si="234"/>
        <v>3.543651681569826E-2</v>
      </c>
      <c r="AK267" s="18">
        <f t="shared" si="234"/>
        <v>3.2235644995678658E-2</v>
      </c>
      <c r="AL267" s="18">
        <f t="shared" si="234"/>
        <v>2.1369596264929847E-2</v>
      </c>
      <c r="AM267" s="18">
        <f t="shared" si="234"/>
        <v>1.1449002628378002E-2</v>
      </c>
      <c r="AN267" s="18">
        <f t="shared" si="234"/>
        <v>2.9741186260774377E-3</v>
      </c>
      <c r="AO267" s="18">
        <f t="shared" si="234"/>
        <v>-6.4616973605581274E-3</v>
      </c>
      <c r="AP267" s="18">
        <f t="shared" si="234"/>
        <v>-1.2205616098650118E-2</v>
      </c>
      <c r="AQ267" s="18">
        <f t="shared" si="234"/>
        <v>-1.8579747456798357E-2</v>
      </c>
      <c r="AR267" s="18">
        <f t="shared" si="234"/>
        <v>-1.5760924723578373E-2</v>
      </c>
      <c r="AS267" s="18">
        <f t="shared" si="234"/>
        <v>-1.3912437805162048E-2</v>
      </c>
      <c r="AT267" s="18">
        <f t="shared" si="234"/>
        <v>-7.622498838429359E-3</v>
      </c>
      <c r="AU267" s="18">
        <f t="shared" si="234"/>
        <v>-7.1085471716018089E-3</v>
      </c>
      <c r="AV267" s="18">
        <f t="shared" si="234"/>
        <v>-3.6998450344539746E-3</v>
      </c>
      <c r="AW267" s="18">
        <f t="shared" si="234"/>
        <v>4.8228373018832649E-4</v>
      </c>
      <c r="AX267" s="18">
        <f t="shared" si="234"/>
        <v>8.5805121559408004E-3</v>
      </c>
      <c r="AY267" s="18">
        <f t="shared" si="234"/>
        <v>5.830992285346781E-3</v>
      </c>
      <c r="AZ267" s="18">
        <f t="shared" si="234"/>
        <v>1.178444961085523E-2</v>
      </c>
      <c r="BA267" s="18">
        <f t="shared" si="234"/>
        <v>2.7990836813639897E-2</v>
      </c>
      <c r="BB267" s="18">
        <f t="shared" si="234"/>
        <v>3.1979997030457286E-2</v>
      </c>
      <c r="BC267" s="18">
        <f t="shared" si="234"/>
        <v>2.7580183180882845E-2</v>
      </c>
      <c r="BD267" s="18">
        <f t="shared" si="234"/>
        <v>2.7701568000076282E-2</v>
      </c>
      <c r="BE267" s="18">
        <f t="shared" si="234"/>
        <v>2.3265872475250804E-2</v>
      </c>
      <c r="BF267" s="18">
        <f t="shared" si="234"/>
        <v>1.1470857946819013E-2</v>
      </c>
      <c r="BG267" s="18">
        <f t="shared" si="234"/>
        <v>4.6983188300790957E-3</v>
      </c>
      <c r="BH267" s="18">
        <f t="shared" si="234"/>
        <v>2.7816207079760513E-3</v>
      </c>
      <c r="BI267" s="18">
        <f t="shared" si="234"/>
        <v>1.0854409918936714E-3</v>
      </c>
    </row>
    <row r="268" spans="1:61" x14ac:dyDescent="0.25">
      <c r="A268" s="11" t="s">
        <v>866</v>
      </c>
      <c r="B268" s="11"/>
      <c r="C268" s="18">
        <f>SUM(C$170:C$174)/SUM(B$170:B$174)-1</f>
        <v>5.0309066428591009E-3</v>
      </c>
      <c r="D268" s="18">
        <f t="shared" ref="D268:BI268" si="235">SUM(D$170:D$174)/SUM(C$170:C$174)-1</f>
        <v>3.596967860290512E-3</v>
      </c>
      <c r="E268" s="18">
        <f t="shared" si="235"/>
        <v>9.822291865146715E-3</v>
      </c>
      <c r="F268" s="18">
        <f t="shared" si="235"/>
        <v>1.5922429424475748E-2</v>
      </c>
      <c r="G268" s="18">
        <f t="shared" si="235"/>
        <v>2.2316946223584599E-2</v>
      </c>
      <c r="H268" s="18">
        <f t="shared" si="235"/>
        <v>2.2801718264596094E-2</v>
      </c>
      <c r="I268" s="18">
        <f t="shared" si="235"/>
        <v>1.932042185733418E-2</v>
      </c>
      <c r="J268" s="18">
        <f t="shared" si="235"/>
        <v>2.4683164626342569E-2</v>
      </c>
      <c r="K268" s="18">
        <f t="shared" si="235"/>
        <v>2.8532667000171985E-2</v>
      </c>
      <c r="L268" s="18">
        <f t="shared" si="235"/>
        <v>3.1697423591794838E-2</v>
      </c>
      <c r="M268" s="18">
        <f t="shared" si="235"/>
        <v>3.6184010498710117E-2</v>
      </c>
      <c r="N268" s="18">
        <f t="shared" si="235"/>
        <v>3.1063793318327759E-2</v>
      </c>
      <c r="O268" s="18">
        <f t="shared" si="235"/>
        <v>1.7237971951308717E-2</v>
      </c>
      <c r="P268" s="18">
        <f t="shared" si="235"/>
        <v>9.9115968232696972E-3</v>
      </c>
      <c r="Q268" s="18">
        <f t="shared" si="235"/>
        <v>5.4117694076492029E-3</v>
      </c>
      <c r="R268" s="18">
        <f t="shared" si="235"/>
        <v>-1.2399780154329854E-2</v>
      </c>
      <c r="S268" s="18">
        <f t="shared" si="235"/>
        <v>-2.2654365786908603E-2</v>
      </c>
      <c r="T268" s="18">
        <f t="shared" si="235"/>
        <v>7.042621537019178E-3</v>
      </c>
      <c r="U268" s="18">
        <f t="shared" si="235"/>
        <v>5.994288109365753E-3</v>
      </c>
      <c r="V268" s="18">
        <f t="shared" si="235"/>
        <v>1.6003540146091622E-2</v>
      </c>
      <c r="W268" s="18">
        <f t="shared" si="235"/>
        <v>1.5187251001735236E-2</v>
      </c>
      <c r="X268" s="18">
        <f t="shared" si="235"/>
        <v>5.741302791169911E-3</v>
      </c>
      <c r="Y268" s="18">
        <f t="shared" si="235"/>
        <v>-3.1914367093522911E-3</v>
      </c>
      <c r="Z268" s="18">
        <f t="shared" si="235"/>
        <v>-9.5325266806636222E-3</v>
      </c>
      <c r="AA268" s="18">
        <f t="shared" si="235"/>
        <v>-1.7617507232694174E-2</v>
      </c>
      <c r="AB268" s="18">
        <f t="shared" si="235"/>
        <v>-1.3642605333736624E-2</v>
      </c>
      <c r="AC268" s="18">
        <f t="shared" si="235"/>
        <v>-9.9420315672601456E-3</v>
      </c>
      <c r="AD268" s="18">
        <f t="shared" si="235"/>
        <v>4.0167472549101912E-3</v>
      </c>
      <c r="AE268" s="18">
        <f t="shared" si="235"/>
        <v>1.7936370990574213E-2</v>
      </c>
      <c r="AF268" s="18">
        <f t="shared" si="235"/>
        <v>2.5022173381043622E-2</v>
      </c>
      <c r="AG268" s="18">
        <f t="shared" si="235"/>
        <v>2.7798263218050678E-2</v>
      </c>
      <c r="AH268" s="18">
        <f t="shared" si="235"/>
        <v>3.7181055160082854E-2</v>
      </c>
      <c r="AI268" s="18">
        <f t="shared" si="235"/>
        <v>3.3809990984469795E-2</v>
      </c>
      <c r="AJ268" s="18">
        <f t="shared" si="235"/>
        <v>2.9688973835422017E-2</v>
      </c>
      <c r="AK268" s="18">
        <f t="shared" si="235"/>
        <v>3.0015554636627861E-2</v>
      </c>
      <c r="AL268" s="18">
        <f t="shared" si="235"/>
        <v>3.5428305947041272E-2</v>
      </c>
      <c r="AM268" s="18">
        <f t="shared" si="235"/>
        <v>3.3265641029484261E-2</v>
      </c>
      <c r="AN268" s="18">
        <f t="shared" si="235"/>
        <v>3.1019304084233479E-2</v>
      </c>
      <c r="AO268" s="18">
        <f t="shared" si="235"/>
        <v>3.5736484466941221E-2</v>
      </c>
      <c r="AP268" s="18">
        <f t="shared" si="235"/>
        <v>3.2397832537085502E-2</v>
      </c>
      <c r="AQ268" s="18">
        <f t="shared" si="235"/>
        <v>2.1786028196974172E-2</v>
      </c>
      <c r="AR268" s="18">
        <f t="shared" si="235"/>
        <v>1.174951682913683E-2</v>
      </c>
      <c r="AS268" s="18">
        <f t="shared" si="235"/>
        <v>3.1386672651034786E-3</v>
      </c>
      <c r="AT268" s="18">
        <f t="shared" si="235"/>
        <v>-6.168298087344537E-3</v>
      </c>
      <c r="AU268" s="18">
        <f t="shared" si="235"/>
        <v>-1.1783511011946302E-2</v>
      </c>
      <c r="AV268" s="18">
        <f t="shared" si="235"/>
        <v>-1.8204607339057599E-2</v>
      </c>
      <c r="AW268" s="18">
        <f t="shared" si="235"/>
        <v>-1.5436348268746847E-2</v>
      </c>
      <c r="AX268" s="18">
        <f t="shared" si="235"/>
        <v>-1.3559667001703302E-2</v>
      </c>
      <c r="AY268" s="18">
        <f t="shared" si="235"/>
        <v>-7.3503232067829716E-3</v>
      </c>
      <c r="AZ268" s="18">
        <f t="shared" si="235"/>
        <v>-6.7315913784943282E-3</v>
      </c>
      <c r="BA268" s="18">
        <f t="shared" si="235"/>
        <v>-3.4854237286909839E-3</v>
      </c>
      <c r="BB268" s="18">
        <f t="shared" si="235"/>
        <v>8.2582562149124961E-4</v>
      </c>
      <c r="BC268" s="18">
        <f t="shared" si="235"/>
        <v>8.8338966895049609E-3</v>
      </c>
      <c r="BD268" s="18">
        <f t="shared" si="235"/>
        <v>6.0141087221663447E-3</v>
      </c>
      <c r="BE268" s="18">
        <f t="shared" si="235"/>
        <v>1.2051961377845588E-2</v>
      </c>
      <c r="BF268" s="18">
        <f t="shared" si="235"/>
        <v>2.8117153076974821E-2</v>
      </c>
      <c r="BG268" s="18">
        <f t="shared" si="235"/>
        <v>3.2220315788221487E-2</v>
      </c>
      <c r="BH268" s="18">
        <f t="shared" si="235"/>
        <v>2.7741338958928718E-2</v>
      </c>
      <c r="BI268" s="18">
        <f t="shared" si="235"/>
        <v>2.7859063903366232E-2</v>
      </c>
    </row>
    <row r="269" spans="1:61" x14ac:dyDescent="0.25">
      <c r="A269" s="11" t="s">
        <v>867</v>
      </c>
      <c r="B269" s="11"/>
      <c r="C269" s="18">
        <f>SUM(C$175:C$179)/SUM(B$175:B$179)-1</f>
        <v>6.2124012853495669E-2</v>
      </c>
      <c r="D269" s="18">
        <f t="shared" ref="D269:BI269" si="236">SUM(D$175:D$179)/SUM(C$175:C$179)-1</f>
        <v>7.2268216816916642E-2</v>
      </c>
      <c r="E269" s="18">
        <f t="shared" si="236"/>
        <v>4.5041542981828275E-2</v>
      </c>
      <c r="F269" s="18">
        <f t="shared" si="236"/>
        <v>4.1522669072777019E-2</v>
      </c>
      <c r="G269" s="18">
        <f t="shared" si="236"/>
        <v>3.2587746032064269E-2</v>
      </c>
      <c r="H269" s="18">
        <f t="shared" si="236"/>
        <v>1.9786894397051391E-3</v>
      </c>
      <c r="I269" s="18">
        <f t="shared" si="236"/>
        <v>2.3091213710741965E-3</v>
      </c>
      <c r="J269" s="18">
        <f t="shared" si="236"/>
        <v>8.4815554192099185E-3</v>
      </c>
      <c r="K269" s="18">
        <f t="shared" si="236"/>
        <v>1.7939091038108756E-2</v>
      </c>
      <c r="L269" s="18">
        <f t="shared" si="236"/>
        <v>2.5560672920162064E-2</v>
      </c>
      <c r="M269" s="18">
        <f t="shared" si="236"/>
        <v>2.9798358955211324E-2</v>
      </c>
      <c r="N269" s="18">
        <f t="shared" si="236"/>
        <v>2.7495870440410242E-2</v>
      </c>
      <c r="O269" s="18">
        <f t="shared" si="236"/>
        <v>3.4979528648120484E-2</v>
      </c>
      <c r="P269" s="18">
        <f t="shared" si="236"/>
        <v>3.3764857274851456E-2</v>
      </c>
      <c r="Q269" s="18">
        <f t="shared" si="236"/>
        <v>3.2626325294104364E-2</v>
      </c>
      <c r="R269" s="18">
        <f t="shared" si="236"/>
        <v>2.3745882784787842E-2</v>
      </c>
      <c r="S269" s="18">
        <f t="shared" si="236"/>
        <v>6.0559154770039036E-3</v>
      </c>
      <c r="T269" s="18">
        <f t="shared" si="236"/>
        <v>1.8969816228026071E-2</v>
      </c>
      <c r="U269" s="18">
        <f t="shared" si="236"/>
        <v>5.7743668558960515E-3</v>
      </c>
      <c r="V269" s="18">
        <f t="shared" si="236"/>
        <v>-4.084115676126765E-3</v>
      </c>
      <c r="W269" s="18">
        <f t="shared" si="236"/>
        <v>-7.1656626682159441E-3</v>
      </c>
      <c r="X269" s="18">
        <f t="shared" si="236"/>
        <v>-4.1770782945980134E-3</v>
      </c>
      <c r="Y269" s="18">
        <f t="shared" si="236"/>
        <v>3.2635249400487787E-3</v>
      </c>
      <c r="Z269" s="18">
        <f t="shared" si="236"/>
        <v>8.1698741165521227E-3</v>
      </c>
      <c r="AA269" s="18">
        <f t="shared" si="236"/>
        <v>1.7847896969299004E-2</v>
      </c>
      <c r="AB269" s="18">
        <f t="shared" si="236"/>
        <v>1.595689257630184E-2</v>
      </c>
      <c r="AC269" s="18">
        <f t="shared" si="236"/>
        <v>6.4016663936519169E-3</v>
      </c>
      <c r="AD269" s="18">
        <f t="shared" si="236"/>
        <v>-2.8270869960308476E-3</v>
      </c>
      <c r="AE269" s="18">
        <f t="shared" si="236"/>
        <v>-8.8274769192111524E-3</v>
      </c>
      <c r="AF269" s="18">
        <f t="shared" si="236"/>
        <v>-1.6772062624585415E-2</v>
      </c>
      <c r="AG269" s="18">
        <f t="shared" si="236"/>
        <v>-1.2892797772081965E-2</v>
      </c>
      <c r="AH269" s="18">
        <f t="shared" si="236"/>
        <v>-9.1763254040079234E-3</v>
      </c>
      <c r="AI269" s="18">
        <f t="shared" si="236"/>
        <v>4.6644555022257173E-3</v>
      </c>
      <c r="AJ269" s="18">
        <f t="shared" si="236"/>
        <v>1.8302049694980616E-2</v>
      </c>
      <c r="AK269" s="18">
        <f t="shared" si="236"/>
        <v>2.5175562565285414E-2</v>
      </c>
      <c r="AL269" s="18">
        <f t="shared" si="236"/>
        <v>2.8102337959668766E-2</v>
      </c>
      <c r="AM269" s="18">
        <f t="shared" si="236"/>
        <v>3.7176997279420698E-2</v>
      </c>
      <c r="AN269" s="18">
        <f t="shared" si="236"/>
        <v>3.3970587323049362E-2</v>
      </c>
      <c r="AO269" s="18">
        <f t="shared" si="236"/>
        <v>2.9873042396959093E-2</v>
      </c>
      <c r="AP269" s="18">
        <f t="shared" si="236"/>
        <v>3.0198578264716502E-2</v>
      </c>
      <c r="AQ269" s="18">
        <f t="shared" si="236"/>
        <v>3.5484589534614974E-2</v>
      </c>
      <c r="AR269" s="18">
        <f t="shared" si="236"/>
        <v>3.3417189570375205E-2</v>
      </c>
      <c r="AS269" s="18">
        <f t="shared" si="236"/>
        <v>3.1255272415622759E-2</v>
      </c>
      <c r="AT269" s="18">
        <f t="shared" si="236"/>
        <v>3.5650582253810015E-2</v>
      </c>
      <c r="AU269" s="18">
        <f t="shared" si="236"/>
        <v>3.2543101041976552E-2</v>
      </c>
      <c r="AV269" s="18">
        <f t="shared" si="236"/>
        <v>2.1898774686657241E-2</v>
      </c>
      <c r="AW269" s="18">
        <f t="shared" si="236"/>
        <v>1.2016966281514607E-2</v>
      </c>
      <c r="AX269" s="18">
        <f t="shared" si="236"/>
        <v>3.5216476649080342E-3</v>
      </c>
      <c r="AY269" s="18">
        <f t="shared" si="236"/>
        <v>-5.668851760133875E-3</v>
      </c>
      <c r="AZ269" s="18">
        <f t="shared" si="236"/>
        <v>-1.140234170511234E-2</v>
      </c>
      <c r="BA269" s="18">
        <f t="shared" si="236"/>
        <v>-1.7666936101732422E-2</v>
      </c>
      <c r="BB269" s="18">
        <f t="shared" si="236"/>
        <v>-1.4862978673924609E-2</v>
      </c>
      <c r="BC269" s="18">
        <f t="shared" si="236"/>
        <v>-1.3100814597176158E-2</v>
      </c>
      <c r="BD269" s="18">
        <f t="shared" si="236"/>
        <v>-6.853016515392274E-3</v>
      </c>
      <c r="BE269" s="18">
        <f t="shared" si="236"/>
        <v>-6.3212578911343575E-3</v>
      </c>
      <c r="BF269" s="18">
        <f t="shared" si="236"/>
        <v>-3.0593330864022716E-3</v>
      </c>
      <c r="BG269" s="18">
        <f t="shared" si="236"/>
        <v>1.0716169713651524E-3</v>
      </c>
      <c r="BH269" s="18">
        <f t="shared" si="236"/>
        <v>9.0989936206178346E-3</v>
      </c>
      <c r="BI269" s="18">
        <f t="shared" si="236"/>
        <v>6.3166858224203981E-3</v>
      </c>
    </row>
    <row r="270" spans="1:61" x14ac:dyDescent="0.25">
      <c r="A270" s="11" t="s">
        <v>1249</v>
      </c>
      <c r="B270" s="11"/>
      <c r="C270" s="18">
        <f>SUM(C$180:C$184)/SUM(B$180:B$184)-1</f>
        <v>5.2670387075391289E-2</v>
      </c>
      <c r="D270" s="18">
        <f t="shared" ref="D270:BI270" si="237">SUM(D$180:D$184)/SUM(C$180:C$184)-1</f>
        <v>1.6791304493896098E-2</v>
      </c>
      <c r="E270" s="18">
        <f t="shared" si="237"/>
        <v>3.6544437959542764E-2</v>
      </c>
      <c r="F270" s="18">
        <f t="shared" si="237"/>
        <v>2.6234605513980602E-2</v>
      </c>
      <c r="G270" s="18">
        <f t="shared" si="237"/>
        <v>2.6810235033813967E-2</v>
      </c>
      <c r="H270" s="18">
        <f t="shared" si="237"/>
        <v>6.1382588216466027E-2</v>
      </c>
      <c r="I270" s="18">
        <f t="shared" si="237"/>
        <v>7.3941444222799468E-2</v>
      </c>
      <c r="J270" s="18">
        <f t="shared" si="237"/>
        <v>4.3194625882412296E-2</v>
      </c>
      <c r="K270" s="18">
        <f t="shared" si="237"/>
        <v>3.9287586417753984E-2</v>
      </c>
      <c r="L270" s="18">
        <f t="shared" si="237"/>
        <v>3.374271111391014E-2</v>
      </c>
      <c r="M270" s="18">
        <f t="shared" si="237"/>
        <v>8.8665675877686034E-3</v>
      </c>
      <c r="N270" s="18">
        <f t="shared" si="237"/>
        <v>1.0173979579057413E-2</v>
      </c>
      <c r="O270" s="18">
        <f t="shared" si="237"/>
        <v>1.7726673516202718E-2</v>
      </c>
      <c r="P270" s="18">
        <f t="shared" si="237"/>
        <v>2.5406733379913282E-2</v>
      </c>
      <c r="Q270" s="18">
        <f t="shared" si="237"/>
        <v>2.6618751812169883E-2</v>
      </c>
      <c r="R270" s="18">
        <f t="shared" si="237"/>
        <v>1.7334928740735167E-2</v>
      </c>
      <c r="S270" s="18">
        <f t="shared" si="237"/>
        <v>9.3842751724377838E-3</v>
      </c>
      <c r="T270" s="18">
        <f t="shared" si="237"/>
        <v>3.4157981011273542E-2</v>
      </c>
      <c r="U270" s="18">
        <f t="shared" si="237"/>
        <v>2.6078858505832248E-2</v>
      </c>
      <c r="V270" s="18">
        <f t="shared" si="237"/>
        <v>2.8898410553677589E-2</v>
      </c>
      <c r="W270" s="18">
        <f t="shared" si="237"/>
        <v>2.884104934534637E-2</v>
      </c>
      <c r="X270" s="18">
        <f t="shared" si="237"/>
        <v>2.4683610217794749E-2</v>
      </c>
      <c r="Y270" s="18">
        <f t="shared" si="237"/>
        <v>1.4873649587996862E-2</v>
      </c>
      <c r="Z270" s="18">
        <f t="shared" si="237"/>
        <v>7.6838211902912068E-3</v>
      </c>
      <c r="AA270" s="18">
        <f t="shared" si="237"/>
        <v>-2.3092721277051531E-3</v>
      </c>
      <c r="AB270" s="18">
        <f t="shared" si="237"/>
        <v>-5.9369712825065868E-3</v>
      </c>
      <c r="AC270" s="18">
        <f t="shared" si="237"/>
        <v>-3.0421165682995577E-3</v>
      </c>
      <c r="AD270" s="18">
        <f t="shared" si="237"/>
        <v>4.1609990190103474E-3</v>
      </c>
      <c r="AE270" s="18">
        <f t="shared" si="237"/>
        <v>8.8400146150808823E-3</v>
      </c>
      <c r="AF270" s="18">
        <f t="shared" si="237"/>
        <v>1.8415053869164977E-2</v>
      </c>
      <c r="AG270" s="18">
        <f t="shared" si="237"/>
        <v>1.6603240417267795E-2</v>
      </c>
      <c r="AH270" s="18">
        <f t="shared" si="237"/>
        <v>7.0750284624012671E-3</v>
      </c>
      <c r="AI270" s="18">
        <f t="shared" si="237"/>
        <v>-2.0353742703620448E-3</v>
      </c>
      <c r="AJ270" s="18">
        <f t="shared" si="237"/>
        <v>-7.96072843970419E-3</v>
      </c>
      <c r="AK270" s="18">
        <f t="shared" si="237"/>
        <v>-1.5850263087153649E-2</v>
      </c>
      <c r="AL270" s="18">
        <f t="shared" si="237"/>
        <v>-1.1860146710632735E-2</v>
      </c>
      <c r="AM270" s="18">
        <f t="shared" si="237"/>
        <v>-8.3199134549752918E-3</v>
      </c>
      <c r="AN270" s="18">
        <f t="shared" si="237"/>
        <v>5.4326844062442259E-3</v>
      </c>
      <c r="AO270" s="18">
        <f t="shared" si="237"/>
        <v>1.8809059502040482E-2</v>
      </c>
      <c r="AP270" s="18">
        <f t="shared" si="237"/>
        <v>2.5712266590606658E-2</v>
      </c>
      <c r="AQ270" s="18">
        <f t="shared" si="237"/>
        <v>2.8274815897519234E-2</v>
      </c>
      <c r="AR270" s="18">
        <f t="shared" si="237"/>
        <v>3.755422909436934E-2</v>
      </c>
      <c r="AS270" s="18">
        <f t="shared" si="237"/>
        <v>3.4170491835844308E-2</v>
      </c>
      <c r="AT270" s="18">
        <f t="shared" si="237"/>
        <v>3.0134750854359682E-2</v>
      </c>
      <c r="AU270" s="18">
        <f t="shared" si="237"/>
        <v>3.0462498928399917E-2</v>
      </c>
      <c r="AV270" s="18">
        <f t="shared" si="237"/>
        <v>3.5709068521872833E-2</v>
      </c>
      <c r="AW270" s="18">
        <f t="shared" si="237"/>
        <v>3.3668554748221835E-2</v>
      </c>
      <c r="AX270" s="18">
        <f t="shared" si="237"/>
        <v>3.1371338716937203E-2</v>
      </c>
      <c r="AY270" s="18">
        <f t="shared" si="237"/>
        <v>3.5984305249304738E-2</v>
      </c>
      <c r="AZ270" s="18">
        <f t="shared" si="237"/>
        <v>3.2682589799225337E-2</v>
      </c>
      <c r="BA270" s="18">
        <f t="shared" si="237"/>
        <v>2.2234191817988913E-2</v>
      </c>
      <c r="BB270" s="18">
        <f t="shared" si="237"/>
        <v>1.2448739152262522E-2</v>
      </c>
      <c r="BC270" s="18">
        <f t="shared" si="237"/>
        <v>3.9309588204921031E-3</v>
      </c>
      <c r="BD270" s="18">
        <f t="shared" si="237"/>
        <v>-5.1904026193683173E-3</v>
      </c>
      <c r="BE270" s="18">
        <f t="shared" si="237"/>
        <v>-1.080110610848084E-2</v>
      </c>
      <c r="BF270" s="18">
        <f t="shared" si="237"/>
        <v>-1.7026305679709752E-2</v>
      </c>
      <c r="BG270" s="18">
        <f t="shared" si="237"/>
        <v>-1.4308835649448404E-2</v>
      </c>
      <c r="BH270" s="18">
        <f t="shared" si="237"/>
        <v>-1.2463222707042143E-2</v>
      </c>
      <c r="BI270" s="18">
        <f t="shared" si="237"/>
        <v>-6.3827891934381542E-3</v>
      </c>
    </row>
    <row r="271" spans="1:61" x14ac:dyDescent="0.25">
      <c r="A271" s="11" t="s">
        <v>1250</v>
      </c>
      <c r="B271" s="11"/>
      <c r="C271" s="18">
        <f>SUM(C$185:C$189)/SUM(B$185:B$189)-1</f>
        <v>1.8209407710751968E-2</v>
      </c>
      <c r="D271" s="18">
        <f t="shared" ref="D271:BI271" si="238">SUM(D$185:D$189)/SUM(C$185:C$189)-1</f>
        <v>2.9820462708898265E-2</v>
      </c>
      <c r="E271" s="18">
        <f t="shared" si="238"/>
        <v>2.738421265675095E-2</v>
      </c>
      <c r="F271" s="18">
        <f t="shared" si="238"/>
        <v>5.1101701785674303E-2</v>
      </c>
      <c r="G271" s="18">
        <f t="shared" si="238"/>
        <v>6.2876867520278656E-2</v>
      </c>
      <c r="H271" s="18">
        <f t="shared" si="238"/>
        <v>5.36288002496077E-2</v>
      </c>
      <c r="I271" s="18">
        <f t="shared" si="238"/>
        <v>1.9282270610664565E-2</v>
      </c>
      <c r="J271" s="18">
        <f t="shared" si="238"/>
        <v>3.5174034451086023E-2</v>
      </c>
      <c r="K271" s="18">
        <f t="shared" si="238"/>
        <v>2.5090267627051688E-2</v>
      </c>
      <c r="L271" s="18">
        <f t="shared" si="238"/>
        <v>2.7348956010506686E-2</v>
      </c>
      <c r="M271" s="18">
        <f t="shared" si="238"/>
        <v>6.8334648539831289E-2</v>
      </c>
      <c r="N271" s="18">
        <f t="shared" si="238"/>
        <v>7.635448302113379E-2</v>
      </c>
      <c r="O271" s="18">
        <f t="shared" si="238"/>
        <v>5.4066208219014644E-2</v>
      </c>
      <c r="P271" s="18">
        <f t="shared" si="238"/>
        <v>4.9667986109255491E-2</v>
      </c>
      <c r="Q271" s="18">
        <f t="shared" si="238"/>
        <v>3.8895401851892997E-2</v>
      </c>
      <c r="R271" s="18">
        <f t="shared" si="238"/>
        <v>-1.7500989789720478E-4</v>
      </c>
      <c r="S271" s="18">
        <f t="shared" si="238"/>
        <v>-9.9351749088406605E-3</v>
      </c>
      <c r="T271" s="18">
        <f t="shared" si="238"/>
        <v>2.4660166948068163E-2</v>
      </c>
      <c r="U271" s="18">
        <f t="shared" si="238"/>
        <v>1.8179092372143657E-2</v>
      </c>
      <c r="V271" s="18">
        <f t="shared" si="238"/>
        <v>2.4252798325237857E-2</v>
      </c>
      <c r="W271" s="18">
        <f t="shared" si="238"/>
        <v>2.6859121306227918E-2</v>
      </c>
      <c r="X271" s="18">
        <f t="shared" si="238"/>
        <v>2.9042255993498856E-2</v>
      </c>
      <c r="Y271" s="18">
        <f t="shared" si="238"/>
        <v>3.041855139980898E-2</v>
      </c>
      <c r="Z271" s="18">
        <f t="shared" si="238"/>
        <v>2.821919474744039E-2</v>
      </c>
      <c r="AA271" s="18">
        <f t="shared" si="238"/>
        <v>3.1130228736048648E-2</v>
      </c>
      <c r="AB271" s="18">
        <f t="shared" si="238"/>
        <v>3.0481286771489202E-2</v>
      </c>
      <c r="AC271" s="18">
        <f t="shared" si="238"/>
        <v>2.6141074614648874E-2</v>
      </c>
      <c r="AD271" s="18">
        <f t="shared" si="238"/>
        <v>1.6144121438950387E-2</v>
      </c>
      <c r="AE271" s="18">
        <f t="shared" si="238"/>
        <v>8.5268470880421887E-3</v>
      </c>
      <c r="AF271" s="18">
        <f t="shared" si="238"/>
        <v>-1.0116800480952648E-3</v>
      </c>
      <c r="AG271" s="18">
        <f t="shared" si="238"/>
        <v>-4.8465147810485831E-3</v>
      </c>
      <c r="AH271" s="18">
        <f t="shared" si="238"/>
        <v>-1.5991431842596882E-3</v>
      </c>
      <c r="AI271" s="18">
        <f t="shared" si="238"/>
        <v>5.4603563834885183E-3</v>
      </c>
      <c r="AJ271" s="18">
        <f t="shared" si="238"/>
        <v>1.0064902542551435E-2</v>
      </c>
      <c r="AK271" s="18">
        <f t="shared" si="238"/>
        <v>1.9499092395614648E-2</v>
      </c>
      <c r="AL271" s="18">
        <f t="shared" si="238"/>
        <v>1.7579181831664847E-2</v>
      </c>
      <c r="AM271" s="18">
        <f t="shared" si="238"/>
        <v>8.0158286603408957E-3</v>
      </c>
      <c r="AN271" s="18">
        <f t="shared" si="238"/>
        <v>-8.9118206300564662E-4</v>
      </c>
      <c r="AO271" s="18">
        <f t="shared" si="238"/>
        <v>-7.1358158151044737E-3</v>
      </c>
      <c r="AP271" s="18">
        <f t="shared" si="238"/>
        <v>-1.4581523537295027E-2</v>
      </c>
      <c r="AQ271" s="18">
        <f t="shared" si="238"/>
        <v>-1.0799918241871431E-2</v>
      </c>
      <c r="AR271" s="18">
        <f t="shared" si="238"/>
        <v>-7.0894999430538563E-3</v>
      </c>
      <c r="AS271" s="18">
        <f t="shared" si="238"/>
        <v>6.4261078399134863E-3</v>
      </c>
      <c r="AT271" s="18">
        <f t="shared" si="238"/>
        <v>1.9864682907384745E-2</v>
      </c>
      <c r="AU271" s="18">
        <f t="shared" si="238"/>
        <v>2.64341073565868E-2</v>
      </c>
      <c r="AV271" s="18">
        <f t="shared" si="238"/>
        <v>2.9141938252835731E-2</v>
      </c>
      <c r="AW271" s="18">
        <f t="shared" si="238"/>
        <v>3.8128811253973272E-2</v>
      </c>
      <c r="AX271" s="18">
        <f t="shared" si="238"/>
        <v>3.4888809225962936E-2</v>
      </c>
      <c r="AY271" s="18">
        <f t="shared" si="238"/>
        <v>3.0770424232660076E-2</v>
      </c>
      <c r="AZ271" s="18">
        <f t="shared" si="238"/>
        <v>3.1041187054354547E-2</v>
      </c>
      <c r="BA271" s="18">
        <f t="shared" si="238"/>
        <v>3.6393276974811428E-2</v>
      </c>
      <c r="BB271" s="18">
        <f t="shared" si="238"/>
        <v>3.4280561633364792E-2</v>
      </c>
      <c r="BC271" s="18">
        <f t="shared" si="238"/>
        <v>3.2068239137308163E-2</v>
      </c>
      <c r="BD271" s="18">
        <f t="shared" si="238"/>
        <v>3.6545882912858652E-2</v>
      </c>
      <c r="BE271" s="18">
        <f t="shared" si="238"/>
        <v>3.3295834100557142E-2</v>
      </c>
      <c r="BF271" s="18">
        <f t="shared" si="238"/>
        <v>2.2779966660408046E-2</v>
      </c>
      <c r="BG271" s="18">
        <f t="shared" si="238"/>
        <v>1.299234861690457E-2</v>
      </c>
      <c r="BH271" s="18">
        <f t="shared" si="238"/>
        <v>4.4631600236402225E-3</v>
      </c>
      <c r="BI271" s="18">
        <f t="shared" si="238"/>
        <v>-4.5836443807608651E-3</v>
      </c>
    </row>
    <row r="272" spans="1:61" x14ac:dyDescent="0.25">
      <c r="A272" s="11" t="s">
        <v>1251</v>
      </c>
      <c r="B272" s="11"/>
      <c r="C272" s="18">
        <f>SUM(C$190:C$194)/SUM(B$190:B$194)-1</f>
        <v>1.2977230679324325E-2</v>
      </c>
      <c r="D272" s="18">
        <f t="shared" ref="D272:BI272" si="239">SUM(D$190:D$194)/SUM(C$190:C$194)-1</f>
        <v>-1.814068804875224E-3</v>
      </c>
      <c r="E272" s="18">
        <f t="shared" si="239"/>
        <v>-9.7324272062715433E-4</v>
      </c>
      <c r="F272" s="18">
        <f t="shared" si="239"/>
        <v>9.7814993341833745E-3</v>
      </c>
      <c r="G272" s="18">
        <f t="shared" si="239"/>
        <v>4.0803623392773325E-3</v>
      </c>
      <c r="H272" s="18">
        <f t="shared" si="239"/>
        <v>1.7172653837500773E-2</v>
      </c>
      <c r="I272" s="18">
        <f t="shared" si="239"/>
        <v>3.1366803312824931E-2</v>
      </c>
      <c r="J272" s="18">
        <f t="shared" si="239"/>
        <v>2.9440342399254193E-2</v>
      </c>
      <c r="K272" s="18">
        <f t="shared" si="239"/>
        <v>5.248377027863782E-2</v>
      </c>
      <c r="L272" s="18">
        <f t="shared" si="239"/>
        <v>6.4194190674311757E-2</v>
      </c>
      <c r="M272" s="18">
        <f t="shared" si="239"/>
        <v>5.912865186378724E-2</v>
      </c>
      <c r="N272" s="18">
        <f t="shared" si="239"/>
        <v>2.224141685518144E-2</v>
      </c>
      <c r="O272" s="18">
        <f t="shared" si="239"/>
        <v>4.5528264038481092E-2</v>
      </c>
      <c r="P272" s="18">
        <f t="shared" si="239"/>
        <v>3.4936413931288435E-2</v>
      </c>
      <c r="Q272" s="18">
        <f t="shared" si="239"/>
        <v>3.9007368609366155E-2</v>
      </c>
      <c r="R272" s="18">
        <f t="shared" si="239"/>
        <v>6.2412033012996471E-2</v>
      </c>
      <c r="S272" s="18">
        <f t="shared" si="239"/>
        <v>5.9480503093842341E-2</v>
      </c>
      <c r="T272" s="18">
        <f t="shared" si="239"/>
        <v>5.8515158029709857E-2</v>
      </c>
      <c r="U272" s="18">
        <f t="shared" si="239"/>
        <v>4.6388420523657992E-2</v>
      </c>
      <c r="V272" s="18">
        <f t="shared" si="239"/>
        <v>3.523020242070185E-2</v>
      </c>
      <c r="W272" s="18">
        <f t="shared" si="239"/>
        <v>7.7421477220971369E-3</v>
      </c>
      <c r="X272" s="18">
        <f t="shared" si="239"/>
        <v>1.1811197976888677E-2</v>
      </c>
      <c r="Y272" s="18">
        <f t="shared" si="239"/>
        <v>2.1692021088000057E-2</v>
      </c>
      <c r="Z272" s="18">
        <f t="shared" si="239"/>
        <v>2.2083593957328507E-2</v>
      </c>
      <c r="AA272" s="18">
        <f t="shared" si="239"/>
        <v>2.7395795700524639E-2</v>
      </c>
      <c r="AB272" s="18">
        <f t="shared" si="239"/>
        <v>2.9377006926831539E-2</v>
      </c>
      <c r="AC272" s="18">
        <f t="shared" si="239"/>
        <v>3.1370601980820423E-2</v>
      </c>
      <c r="AD272" s="18">
        <f t="shared" si="239"/>
        <v>3.2792703413899504E-2</v>
      </c>
      <c r="AE272" s="18">
        <f t="shared" si="239"/>
        <v>3.0370986933358601E-2</v>
      </c>
      <c r="AF272" s="18">
        <f t="shared" si="239"/>
        <v>3.331656170389552E-2</v>
      </c>
      <c r="AG272" s="18">
        <f t="shared" si="239"/>
        <v>3.2501679128029703E-2</v>
      </c>
      <c r="AH272" s="18">
        <f t="shared" si="239"/>
        <v>2.804606872635218E-2</v>
      </c>
      <c r="AI272" s="18">
        <f t="shared" si="239"/>
        <v>1.783440911847145E-2</v>
      </c>
      <c r="AJ272" s="18">
        <f t="shared" si="239"/>
        <v>1.0161111161990588E-2</v>
      </c>
      <c r="AK272" s="18">
        <f t="shared" si="239"/>
        <v>5.5442764422486412E-4</v>
      </c>
      <c r="AL272" s="18">
        <f t="shared" si="239"/>
        <v>-2.9289222440143092E-3</v>
      </c>
      <c r="AM272" s="18">
        <f t="shared" si="239"/>
        <v>3.9696297693847526E-4</v>
      </c>
      <c r="AN272" s="18">
        <f t="shared" si="239"/>
        <v>7.5393037373736593E-3</v>
      </c>
      <c r="AO272" s="18">
        <f t="shared" si="239"/>
        <v>1.1815086271766972E-2</v>
      </c>
      <c r="AP272" s="18">
        <f t="shared" si="239"/>
        <v>2.1408053499235358E-2</v>
      </c>
      <c r="AQ272" s="18">
        <f t="shared" si="239"/>
        <v>1.9053958651307212E-2</v>
      </c>
      <c r="AR272" s="18">
        <f t="shared" si="239"/>
        <v>9.4984283341330578E-3</v>
      </c>
      <c r="AS272" s="18">
        <f t="shared" si="239"/>
        <v>4.4452238172132397E-4</v>
      </c>
      <c r="AT272" s="18">
        <f t="shared" si="239"/>
        <v>-5.8502774467338314E-3</v>
      </c>
      <c r="AU272" s="18">
        <f t="shared" si="239"/>
        <v>-1.3110227972613853E-2</v>
      </c>
      <c r="AV272" s="18">
        <f t="shared" si="239"/>
        <v>-8.9820587051345768E-3</v>
      </c>
      <c r="AW272" s="18">
        <f t="shared" si="239"/>
        <v>-5.483778534756123E-3</v>
      </c>
      <c r="AX272" s="18">
        <f t="shared" si="239"/>
        <v>8.1178571514082254E-3</v>
      </c>
      <c r="AY272" s="18">
        <f t="shared" si="239"/>
        <v>2.1422657293356462E-2</v>
      </c>
      <c r="AZ272" s="18">
        <f t="shared" si="239"/>
        <v>2.796446980479006E-2</v>
      </c>
      <c r="BA272" s="18">
        <f t="shared" si="239"/>
        <v>3.0531847999029083E-2</v>
      </c>
      <c r="BB272" s="18">
        <f t="shared" si="239"/>
        <v>3.9315812000847661E-2</v>
      </c>
      <c r="BC272" s="18">
        <f t="shared" si="239"/>
        <v>3.6072226153202713E-2</v>
      </c>
      <c r="BD272" s="18">
        <f t="shared" si="239"/>
        <v>3.2077961295964741E-2</v>
      </c>
      <c r="BE272" s="18">
        <f t="shared" si="239"/>
        <v>3.2154883043738591E-2</v>
      </c>
      <c r="BF272" s="18">
        <f t="shared" si="239"/>
        <v>3.7640847759710327E-2</v>
      </c>
      <c r="BG272" s="18">
        <f t="shared" si="239"/>
        <v>3.5508613257383859E-2</v>
      </c>
      <c r="BH272" s="18">
        <f t="shared" si="239"/>
        <v>3.3151752356081365E-2</v>
      </c>
      <c r="BI272" s="18">
        <f t="shared" si="239"/>
        <v>3.7601378159848764E-2</v>
      </c>
    </row>
    <row r="273" spans="1:61" x14ac:dyDescent="0.25">
      <c r="A273" s="11" t="s">
        <v>1252</v>
      </c>
      <c r="B273" s="11"/>
      <c r="C273" s="18">
        <f>SUM(C$195:C$199)/SUM(B$195:B$199)-1</f>
        <v>4.12738483309254E-2</v>
      </c>
      <c r="D273" s="18">
        <f t="shared" ref="D273:BI273" si="240">SUM(D$195:D$199)/SUM(C$195:C$199)-1</f>
        <v>3.700876572360956E-2</v>
      </c>
      <c r="E273" s="18">
        <f t="shared" si="240"/>
        <v>3.1004962990847762E-2</v>
      </c>
      <c r="F273" s="18">
        <f t="shared" si="240"/>
        <v>2.1369692586826305E-2</v>
      </c>
      <c r="G273" s="18">
        <f t="shared" si="240"/>
        <v>3.4156015750450353E-2</v>
      </c>
      <c r="H273" s="18">
        <f t="shared" si="240"/>
        <v>1.7531997730491966E-2</v>
      </c>
      <c r="I273" s="18">
        <f t="shared" si="240"/>
        <v>1.9655448578035362E-3</v>
      </c>
      <c r="J273" s="18">
        <f t="shared" si="240"/>
        <v>7.8953323622643623E-4</v>
      </c>
      <c r="K273" s="18">
        <f t="shared" si="240"/>
        <v>1.1859671756726531E-2</v>
      </c>
      <c r="L273" s="18">
        <f t="shared" si="240"/>
        <v>6.0158965778287499E-3</v>
      </c>
      <c r="M273" s="18">
        <f t="shared" si="240"/>
        <v>2.3972852574912995E-2</v>
      </c>
      <c r="N273" s="18">
        <f t="shared" si="240"/>
        <v>3.6547811884523718E-2</v>
      </c>
      <c r="O273" s="18">
        <f t="shared" si="240"/>
        <v>4.2652079070809812E-2</v>
      </c>
      <c r="P273" s="18">
        <f t="shared" si="240"/>
        <v>6.1789973896306583E-2</v>
      </c>
      <c r="Q273" s="18">
        <f t="shared" si="240"/>
        <v>8.1860865254193893E-2</v>
      </c>
      <c r="R273" s="18">
        <f t="shared" si="240"/>
        <v>5.9520592646875814E-2</v>
      </c>
      <c r="S273" s="18">
        <f t="shared" si="240"/>
        <v>4.4293531104244721E-5</v>
      </c>
      <c r="T273" s="18">
        <f t="shared" si="240"/>
        <v>5.2621734651002061E-2</v>
      </c>
      <c r="U273" s="18">
        <f t="shared" si="240"/>
        <v>3.4855852913536767E-2</v>
      </c>
      <c r="V273" s="18">
        <f t="shared" si="240"/>
        <v>3.4200040393713937E-2</v>
      </c>
      <c r="W273" s="18">
        <f t="shared" si="240"/>
        <v>7.7659007228597421E-2</v>
      </c>
      <c r="X273" s="18">
        <f t="shared" si="240"/>
        <v>8.4865146664563795E-2</v>
      </c>
      <c r="Y273" s="18">
        <f t="shared" si="240"/>
        <v>5.3633427885668272E-2</v>
      </c>
      <c r="Z273" s="18">
        <f t="shared" si="240"/>
        <v>4.9860505966226265E-2</v>
      </c>
      <c r="AA273" s="18">
        <f t="shared" si="240"/>
        <v>3.816015616808488E-2</v>
      </c>
      <c r="AB273" s="18">
        <f t="shared" si="240"/>
        <v>1.1437191916588318E-2</v>
      </c>
      <c r="AC273" s="18">
        <f t="shared" si="240"/>
        <v>1.6013041914903381E-2</v>
      </c>
      <c r="AD273" s="18">
        <f t="shared" si="240"/>
        <v>2.5296530684160157E-2</v>
      </c>
      <c r="AE273" s="18">
        <f t="shared" si="240"/>
        <v>2.5705803587172449E-2</v>
      </c>
      <c r="AF273" s="18">
        <f t="shared" si="240"/>
        <v>3.110657881693224E-2</v>
      </c>
      <c r="AG273" s="18">
        <f t="shared" si="240"/>
        <v>3.2977330893705581E-2</v>
      </c>
      <c r="AH273" s="18">
        <f t="shared" si="240"/>
        <v>3.4525803813500788E-2</v>
      </c>
      <c r="AI273" s="18">
        <f t="shared" si="240"/>
        <v>3.6116586918866433E-2</v>
      </c>
      <c r="AJ273" s="18">
        <f t="shared" si="240"/>
        <v>3.3313321495419324E-2</v>
      </c>
      <c r="AK273" s="18">
        <f t="shared" si="240"/>
        <v>3.6616184252039385E-2</v>
      </c>
      <c r="AL273" s="18">
        <f t="shared" si="240"/>
        <v>3.5322798166091962E-2</v>
      </c>
      <c r="AM273" s="18">
        <f t="shared" si="240"/>
        <v>3.0735740564686642E-2</v>
      </c>
      <c r="AN273" s="18">
        <f t="shared" si="240"/>
        <v>2.0361994800556449E-2</v>
      </c>
      <c r="AO273" s="18">
        <f t="shared" si="240"/>
        <v>1.2200378465517359E-2</v>
      </c>
      <c r="AP273" s="18">
        <f t="shared" si="240"/>
        <v>2.8965350707128579E-3</v>
      </c>
      <c r="AQ273" s="18">
        <f t="shared" si="240"/>
        <v>-3.7266701765081844E-4</v>
      </c>
      <c r="AR273" s="18">
        <f t="shared" si="240"/>
        <v>3.5416565262580413E-3</v>
      </c>
      <c r="AS273" s="18">
        <f t="shared" si="240"/>
        <v>1.0680344952902043E-2</v>
      </c>
      <c r="AT273" s="18">
        <f t="shared" si="240"/>
        <v>1.4610690588956921E-2</v>
      </c>
      <c r="AU273" s="18">
        <f t="shared" si="240"/>
        <v>2.4272190917521863E-2</v>
      </c>
      <c r="AV273" s="18">
        <f t="shared" si="240"/>
        <v>2.1221205229080109E-2</v>
      </c>
      <c r="AW273" s="18">
        <f t="shared" si="240"/>
        <v>1.1688875906841201E-2</v>
      </c>
      <c r="AX273" s="18">
        <f t="shared" si="240"/>
        <v>2.2251810502253999E-3</v>
      </c>
      <c r="AY273" s="18">
        <f t="shared" si="240"/>
        <v>-4.0989057468674428E-3</v>
      </c>
      <c r="AZ273" s="18">
        <f t="shared" si="240"/>
        <v>-1.0889657133459352E-2</v>
      </c>
      <c r="BA273" s="18">
        <f t="shared" si="240"/>
        <v>-6.328322480487647E-3</v>
      </c>
      <c r="BB273" s="18">
        <f t="shared" si="240"/>
        <v>-3.0534504357074832E-3</v>
      </c>
      <c r="BC273" s="18">
        <f t="shared" si="240"/>
        <v>1.0938580541045795E-2</v>
      </c>
      <c r="BD273" s="18">
        <f t="shared" si="240"/>
        <v>2.406417520465598E-2</v>
      </c>
      <c r="BE273" s="18">
        <f t="shared" si="240"/>
        <v>3.0260913778572318E-2</v>
      </c>
      <c r="BF273" s="18">
        <f t="shared" si="240"/>
        <v>3.2900019874936959E-2</v>
      </c>
      <c r="BG273" s="18">
        <f t="shared" si="240"/>
        <v>4.1304450186801622E-2</v>
      </c>
      <c r="BH273" s="18">
        <f t="shared" si="240"/>
        <v>3.8064166387864917E-2</v>
      </c>
      <c r="BI273" s="18">
        <f t="shared" si="240"/>
        <v>3.3876029568350452E-2</v>
      </c>
    </row>
    <row r="274" spans="1:61" x14ac:dyDescent="0.25">
      <c r="A274" s="11" t="s">
        <v>1309</v>
      </c>
      <c r="B274" s="11"/>
      <c r="C274" s="18">
        <f>SUM(C$200:C$210)/SUM(B$200:B$210)-1</f>
        <v>6.659681866009981E-2</v>
      </c>
      <c r="D274" s="18">
        <f t="shared" ref="D274:BI274" si="241">SUM(D$200:D$210)/SUM(C$200:C$210)-1</f>
        <v>6.2365784363311638E-2</v>
      </c>
      <c r="E274" s="18">
        <f t="shared" si="241"/>
        <v>6.0163396646516487E-2</v>
      </c>
      <c r="F274" s="18">
        <f t="shared" si="241"/>
        <v>6.1204826992197425E-2</v>
      </c>
      <c r="G274" s="18">
        <f t="shared" si="241"/>
        <v>5.5508201315340511E-2</v>
      </c>
      <c r="H274" s="18">
        <f t="shared" si="241"/>
        <v>5.4428733911532579E-2</v>
      </c>
      <c r="I274" s="18">
        <f t="shared" si="241"/>
        <v>4.1675695905952992E-2</v>
      </c>
      <c r="J274" s="18">
        <f t="shared" si="241"/>
        <v>5.1083541652024111E-2</v>
      </c>
      <c r="K274" s="18">
        <f t="shared" si="241"/>
        <v>3.1849737495256214E-2</v>
      </c>
      <c r="L274" s="18">
        <f t="shared" si="241"/>
        <v>5.0895949178036748E-2</v>
      </c>
      <c r="M274" s="18">
        <f t="shared" si="241"/>
        <v>3.4669534777447497E-2</v>
      </c>
      <c r="N274" s="18">
        <f t="shared" si="241"/>
        <v>1.5452328905587454E-2</v>
      </c>
      <c r="O274" s="18">
        <f t="shared" si="241"/>
        <v>3.1426464288726752E-2</v>
      </c>
      <c r="P274" s="18">
        <f t="shared" si="241"/>
        <v>2.9503259738531407E-2</v>
      </c>
      <c r="Q274" s="18">
        <f t="shared" si="241"/>
        <v>4.2549607087900787E-2</v>
      </c>
      <c r="R274" s="18">
        <f t="shared" si="241"/>
        <v>2.0958856956377225E-2</v>
      </c>
      <c r="S274" s="18">
        <f t="shared" si="241"/>
        <v>9.1219439275478376E-3</v>
      </c>
      <c r="T274" s="18">
        <f t="shared" si="241"/>
        <v>4.2617554323359119E-2</v>
      </c>
      <c r="U274" s="18">
        <f t="shared" si="241"/>
        <v>5.4215742925443067E-2</v>
      </c>
      <c r="V274" s="18">
        <f t="shared" si="241"/>
        <v>6.2774530053258726E-2</v>
      </c>
      <c r="W274" s="18">
        <f t="shared" si="241"/>
        <v>5.825206021731022E-2</v>
      </c>
      <c r="X274" s="18">
        <f t="shared" si="241"/>
        <v>2.8753936403599134E-2</v>
      </c>
      <c r="Y274" s="18">
        <f t="shared" si="241"/>
        <v>5.0881703347488871E-2</v>
      </c>
      <c r="Z274" s="18">
        <f t="shared" si="241"/>
        <v>5.0023623378787629E-2</v>
      </c>
      <c r="AA274" s="18">
        <f t="shared" si="241"/>
        <v>5.4172912683542407E-2</v>
      </c>
      <c r="AB274" s="18">
        <f t="shared" si="241"/>
        <v>8.3179150555680259E-2</v>
      </c>
      <c r="AC274" s="18">
        <f t="shared" si="241"/>
        <v>6.9313534256731701E-2</v>
      </c>
      <c r="AD274" s="18">
        <f t="shared" si="241"/>
        <v>5.7185081963524009E-2</v>
      </c>
      <c r="AE274" s="18">
        <f t="shared" si="241"/>
        <v>5.3169815964331013E-2</v>
      </c>
      <c r="AF274" s="18">
        <f t="shared" si="241"/>
        <v>4.5670418597398177E-2</v>
      </c>
      <c r="AG274" s="18">
        <f t="shared" si="241"/>
        <v>4.2140799938639617E-2</v>
      </c>
      <c r="AH274" s="18">
        <f t="shared" si="241"/>
        <v>3.8963900215730041E-2</v>
      </c>
      <c r="AI274" s="18">
        <f t="shared" si="241"/>
        <v>4.0080152441666295E-2</v>
      </c>
      <c r="AJ274" s="18">
        <f t="shared" si="241"/>
        <v>3.9155182210954154E-2</v>
      </c>
      <c r="AK274" s="18">
        <f t="shared" si="241"/>
        <v>3.9110701231420242E-2</v>
      </c>
      <c r="AL274" s="18">
        <f t="shared" si="241"/>
        <v>3.8441891497732916E-2</v>
      </c>
      <c r="AM274" s="18">
        <f t="shared" si="241"/>
        <v>3.8676377128415984E-2</v>
      </c>
      <c r="AN274" s="18">
        <f t="shared" si="241"/>
        <v>4.1066225934429434E-2</v>
      </c>
      <c r="AO274" s="18">
        <f t="shared" si="241"/>
        <v>3.8935352038967475E-2</v>
      </c>
      <c r="AP274" s="18">
        <f t="shared" si="241"/>
        <v>4.1705800587598763E-2</v>
      </c>
      <c r="AQ274" s="18">
        <f t="shared" si="241"/>
        <v>4.0224913827332509E-2</v>
      </c>
      <c r="AR274" s="18">
        <f t="shared" si="241"/>
        <v>3.7398612343703341E-2</v>
      </c>
      <c r="AS274" s="18">
        <f t="shared" si="241"/>
        <v>3.1412829568685297E-2</v>
      </c>
      <c r="AT274" s="18">
        <f t="shared" si="241"/>
        <v>2.4602434154335384E-2</v>
      </c>
      <c r="AU274" s="18">
        <f t="shared" si="241"/>
        <v>2.0451334412846078E-2</v>
      </c>
      <c r="AV274" s="18">
        <f t="shared" si="241"/>
        <v>1.87432276012236E-2</v>
      </c>
      <c r="AW274" s="18">
        <f t="shared" si="241"/>
        <v>2.0469196148061863E-2</v>
      </c>
      <c r="AX274" s="18">
        <f t="shared" si="241"/>
        <v>2.2009839369297346E-2</v>
      </c>
      <c r="AY274" s="18">
        <f t="shared" si="241"/>
        <v>2.0619420330600935E-2</v>
      </c>
      <c r="AZ274" s="18">
        <f t="shared" si="241"/>
        <v>2.4542720618028202E-2</v>
      </c>
      <c r="BA274" s="18">
        <f t="shared" si="241"/>
        <v>2.2055948085026422E-2</v>
      </c>
      <c r="BB274" s="18">
        <f t="shared" si="241"/>
        <v>1.6863826322338848E-2</v>
      </c>
      <c r="BC274" s="18">
        <f t="shared" si="241"/>
        <v>1.2789474717348481E-2</v>
      </c>
      <c r="BD274" s="18">
        <f t="shared" si="241"/>
        <v>8.326133814839265E-3</v>
      </c>
      <c r="BE274" s="18">
        <f t="shared" si="241"/>
        <v>7.4316435744898879E-3</v>
      </c>
      <c r="BF274" s="18">
        <f t="shared" si="241"/>
        <v>9.4259387943733675E-3</v>
      </c>
      <c r="BG274" s="18">
        <f t="shared" si="241"/>
        <v>8.4582609880019533E-3</v>
      </c>
      <c r="BH274" s="18">
        <f t="shared" si="241"/>
        <v>1.4694582635935038E-2</v>
      </c>
      <c r="BI274" s="18">
        <f t="shared" si="241"/>
        <v>1.9242911740339874E-2</v>
      </c>
    </row>
    <row r="275" spans="1:61" x14ac:dyDescent="0.25">
      <c r="A275" s="1" t="s">
        <v>1253</v>
      </c>
      <c r="B275" s="11"/>
      <c r="C275" s="18"/>
      <c r="D275" s="18"/>
      <c r="E275" s="18"/>
      <c r="F275" s="18"/>
      <c r="G275" s="18"/>
      <c r="H275" s="18"/>
      <c r="I275" s="18"/>
      <c r="J275" s="18"/>
      <c r="K275" s="18"/>
      <c r="L275" s="18"/>
      <c r="M275" s="18"/>
      <c r="N275" s="18"/>
      <c r="O275" s="18"/>
      <c r="P275" s="18"/>
      <c r="Q275" s="18"/>
      <c r="R275" s="18"/>
      <c r="S275" s="18"/>
      <c r="T275" s="18"/>
      <c r="U275" s="105">
        <v>84</v>
      </c>
      <c r="V275" s="105">
        <v>84.2</v>
      </c>
      <c r="W275" s="105">
        <v>84.4</v>
      </c>
      <c r="X275" s="105">
        <v>84.6</v>
      </c>
      <c r="Y275" s="105">
        <v>84.7</v>
      </c>
      <c r="Z275" s="105">
        <v>84.9</v>
      </c>
      <c r="AA275" s="105">
        <v>85.1</v>
      </c>
      <c r="AB275" s="105">
        <v>85.2</v>
      </c>
      <c r="AC275" s="105">
        <v>85.4</v>
      </c>
      <c r="AD275" s="105">
        <v>85.5</v>
      </c>
      <c r="AE275" s="105">
        <v>85.7</v>
      </c>
      <c r="AF275" s="105">
        <v>85.8</v>
      </c>
      <c r="AG275" s="105">
        <v>85.9</v>
      </c>
      <c r="AH275" s="105">
        <v>86.1</v>
      </c>
      <c r="AI275" s="105">
        <v>86.2</v>
      </c>
      <c r="AJ275" s="105">
        <v>86.4</v>
      </c>
      <c r="AK275" s="105">
        <v>86.5</v>
      </c>
      <c r="AL275" s="105">
        <v>86.6</v>
      </c>
      <c r="AM275" s="105">
        <v>86.8</v>
      </c>
      <c r="AN275" s="105">
        <v>86.9</v>
      </c>
      <c r="AO275" s="105">
        <v>87</v>
      </c>
      <c r="AP275" s="105">
        <v>87.1</v>
      </c>
      <c r="AQ275" s="105">
        <v>87.3</v>
      </c>
      <c r="AR275" s="105">
        <v>87.4</v>
      </c>
      <c r="AS275" s="105">
        <v>87.5</v>
      </c>
      <c r="AT275" s="105">
        <v>87.6</v>
      </c>
      <c r="AU275" s="105">
        <v>87.7</v>
      </c>
      <c r="AV275" s="105">
        <v>87.8</v>
      </c>
      <c r="AW275" s="105">
        <v>88</v>
      </c>
      <c r="AX275" s="105">
        <v>88.1</v>
      </c>
      <c r="AY275" s="105">
        <v>88.2</v>
      </c>
      <c r="AZ275" s="105">
        <v>88.3</v>
      </c>
      <c r="BA275" s="105">
        <v>88.4</v>
      </c>
      <c r="BB275" s="105">
        <v>88.5</v>
      </c>
      <c r="BC275" s="105">
        <v>88.6</v>
      </c>
      <c r="BD275" s="105">
        <v>88.7</v>
      </c>
      <c r="BE275" s="105">
        <v>88.8</v>
      </c>
      <c r="BF275" s="105">
        <v>88.9</v>
      </c>
      <c r="BG275" s="105">
        <v>89</v>
      </c>
      <c r="BH275" s="105">
        <v>89.1</v>
      </c>
      <c r="BI275" s="105">
        <v>89.2</v>
      </c>
    </row>
    <row r="276" spans="1:61" x14ac:dyDescent="0.25">
      <c r="A276" s="1" t="s">
        <v>1254</v>
      </c>
      <c r="B276" s="11"/>
      <c r="C276" s="18"/>
      <c r="D276" s="18"/>
      <c r="E276" s="18"/>
      <c r="F276" s="18"/>
      <c r="G276" s="18"/>
      <c r="H276" s="18"/>
      <c r="I276" s="18"/>
      <c r="J276" s="18"/>
      <c r="K276" s="18"/>
      <c r="L276" s="18"/>
      <c r="M276" s="18"/>
      <c r="N276" s="18"/>
      <c r="O276" s="18"/>
      <c r="P276" s="18"/>
      <c r="Q276" s="18"/>
      <c r="R276" s="18"/>
      <c r="S276" s="18"/>
      <c r="T276" s="18"/>
      <c r="U276" s="105">
        <v>22.1</v>
      </c>
      <c r="V276" s="105">
        <v>22.2</v>
      </c>
      <c r="W276" s="105">
        <v>22.3</v>
      </c>
      <c r="X276" s="105">
        <v>22.5</v>
      </c>
      <c r="Y276" s="105">
        <v>22.6</v>
      </c>
      <c r="Z276" s="105">
        <v>22.7</v>
      </c>
      <c r="AA276" s="105">
        <v>22.8</v>
      </c>
      <c r="AB276" s="105">
        <v>22.9</v>
      </c>
      <c r="AC276" s="105">
        <v>23</v>
      </c>
      <c r="AD276" s="105">
        <v>23.1</v>
      </c>
      <c r="AE276" s="105">
        <v>23.2</v>
      </c>
      <c r="AF276" s="105">
        <v>23.3</v>
      </c>
      <c r="AG276" s="105">
        <v>23.4</v>
      </c>
      <c r="AH276" s="105">
        <v>23.5</v>
      </c>
      <c r="AI276" s="105">
        <v>23.6</v>
      </c>
      <c r="AJ276" s="105">
        <v>23.6</v>
      </c>
      <c r="AK276" s="105">
        <v>23.7</v>
      </c>
      <c r="AL276" s="105">
        <v>23.8</v>
      </c>
      <c r="AM276" s="105">
        <v>23.9</v>
      </c>
      <c r="AN276" s="105">
        <v>24</v>
      </c>
      <c r="AO276" s="105">
        <v>24.1</v>
      </c>
      <c r="AP276" s="105">
        <v>24.2</v>
      </c>
      <c r="AQ276" s="105">
        <v>24.3</v>
      </c>
      <c r="AR276" s="105">
        <v>24.4</v>
      </c>
      <c r="AS276" s="105">
        <v>24.4</v>
      </c>
      <c r="AT276" s="105">
        <v>24.5</v>
      </c>
      <c r="AU276" s="105">
        <v>24.6</v>
      </c>
      <c r="AV276" s="105">
        <v>24.7</v>
      </c>
      <c r="AW276" s="105">
        <v>24.8</v>
      </c>
      <c r="AX276" s="105">
        <v>24.8</v>
      </c>
      <c r="AY276" s="105">
        <v>24.9</v>
      </c>
      <c r="AZ276" s="105">
        <v>25</v>
      </c>
      <c r="BA276" s="105">
        <v>25.1</v>
      </c>
      <c r="BB276" s="105">
        <v>25.2</v>
      </c>
      <c r="BC276" s="105">
        <v>25.2</v>
      </c>
      <c r="BD276" s="105">
        <v>25.3</v>
      </c>
      <c r="BE276" s="105">
        <v>25.4</v>
      </c>
      <c r="BF276" s="105">
        <v>25.5</v>
      </c>
      <c r="BG276" s="105">
        <v>25.5</v>
      </c>
      <c r="BH276" s="105">
        <v>25.6</v>
      </c>
      <c r="BI276" s="105">
        <v>25.7</v>
      </c>
    </row>
    <row r="277" spans="1:61" x14ac:dyDescent="0.25">
      <c r="A277" s="1" t="s">
        <v>1255</v>
      </c>
      <c r="B277" s="11"/>
      <c r="C277" s="18"/>
      <c r="D277" s="18"/>
      <c r="E277" s="18"/>
      <c r="F277" s="18"/>
      <c r="G277" s="18"/>
      <c r="H277" s="18"/>
      <c r="I277" s="18"/>
      <c r="J277" s="18"/>
      <c r="K277" s="18"/>
      <c r="L277" s="18"/>
      <c r="M277" s="18"/>
      <c r="N277" s="18"/>
      <c r="O277" s="18"/>
      <c r="P277" s="18"/>
      <c r="Q277" s="18"/>
      <c r="R277" s="18"/>
      <c r="S277" s="18"/>
      <c r="T277" s="18"/>
      <c r="U277" s="105">
        <v>80.8</v>
      </c>
      <c r="V277" s="105">
        <v>81</v>
      </c>
      <c r="W277" s="105">
        <v>81.2</v>
      </c>
      <c r="X277" s="105">
        <v>81.400000000000006</v>
      </c>
      <c r="Y277" s="105">
        <v>81.599999999999994</v>
      </c>
      <c r="Z277" s="105">
        <v>81.8</v>
      </c>
      <c r="AA277" s="105">
        <v>82</v>
      </c>
      <c r="AB277" s="105">
        <v>82.1</v>
      </c>
      <c r="AC277" s="105">
        <v>82.3</v>
      </c>
      <c r="AD277" s="105">
        <v>82.5</v>
      </c>
      <c r="AE277" s="105">
        <v>82.6</v>
      </c>
      <c r="AF277" s="105">
        <v>82.8</v>
      </c>
      <c r="AG277" s="105">
        <v>82.9</v>
      </c>
      <c r="AH277" s="105">
        <v>83.1</v>
      </c>
      <c r="AI277" s="105">
        <v>83.3</v>
      </c>
      <c r="AJ277" s="105">
        <v>83.4</v>
      </c>
      <c r="AK277" s="105">
        <v>83.6</v>
      </c>
      <c r="AL277" s="105">
        <v>83.7</v>
      </c>
      <c r="AM277" s="105">
        <v>83.9</v>
      </c>
      <c r="AN277" s="105">
        <v>84</v>
      </c>
      <c r="AO277" s="105">
        <v>84.1</v>
      </c>
      <c r="AP277" s="105">
        <v>84.3</v>
      </c>
      <c r="AQ277" s="105">
        <v>84.4</v>
      </c>
      <c r="AR277" s="105">
        <v>84.6</v>
      </c>
      <c r="AS277" s="105">
        <v>84.7</v>
      </c>
      <c r="AT277" s="105">
        <v>84.8</v>
      </c>
      <c r="AU277" s="105">
        <v>85</v>
      </c>
      <c r="AV277" s="105">
        <v>85.1</v>
      </c>
      <c r="AW277" s="105">
        <v>85.2</v>
      </c>
      <c r="AX277" s="105">
        <v>85.4</v>
      </c>
      <c r="AY277" s="105">
        <v>85.5</v>
      </c>
      <c r="AZ277" s="105">
        <v>85.6</v>
      </c>
      <c r="BA277" s="105">
        <v>85.7</v>
      </c>
      <c r="BB277" s="105">
        <v>85.9</v>
      </c>
      <c r="BC277" s="105">
        <v>86</v>
      </c>
      <c r="BD277" s="105">
        <v>86.1</v>
      </c>
      <c r="BE277" s="105">
        <v>86.2</v>
      </c>
      <c r="BF277" s="105">
        <v>86.3</v>
      </c>
      <c r="BG277" s="105">
        <v>86.5</v>
      </c>
      <c r="BH277" s="105">
        <v>86.6</v>
      </c>
      <c r="BI277" s="105">
        <v>86.7</v>
      </c>
    </row>
    <row r="278" spans="1:61" x14ac:dyDescent="0.25">
      <c r="A278" s="1" t="s">
        <v>1256</v>
      </c>
      <c r="B278" s="11"/>
      <c r="C278" s="18"/>
      <c r="D278" s="18"/>
      <c r="E278" s="18"/>
      <c r="F278" s="18"/>
      <c r="G278" s="18"/>
      <c r="H278" s="18"/>
      <c r="I278" s="18"/>
      <c r="J278" s="18"/>
      <c r="K278" s="18"/>
      <c r="L278" s="18"/>
      <c r="M278" s="18"/>
      <c r="N278" s="18"/>
      <c r="O278" s="18"/>
      <c r="P278" s="18"/>
      <c r="Q278" s="18"/>
      <c r="R278" s="18"/>
      <c r="S278" s="18"/>
      <c r="T278" s="18"/>
      <c r="U278" s="105">
        <v>19.899999999999999</v>
      </c>
      <c r="V278" s="105">
        <v>20</v>
      </c>
      <c r="W278" s="105">
        <v>20.100000000000001</v>
      </c>
      <c r="X278" s="105">
        <v>20.2</v>
      </c>
      <c r="Y278" s="105">
        <v>20.399999999999999</v>
      </c>
      <c r="Z278" s="105">
        <v>20.5</v>
      </c>
      <c r="AA278" s="105">
        <v>20.6</v>
      </c>
      <c r="AB278" s="105">
        <v>20.7</v>
      </c>
      <c r="AC278" s="105">
        <v>20.8</v>
      </c>
      <c r="AD278" s="105">
        <v>20.9</v>
      </c>
      <c r="AE278" s="105">
        <v>21</v>
      </c>
      <c r="AF278" s="105">
        <v>21.1</v>
      </c>
      <c r="AG278" s="105">
        <v>21.2</v>
      </c>
      <c r="AH278" s="105">
        <v>21.3</v>
      </c>
      <c r="AI278" s="105">
        <v>21.4</v>
      </c>
      <c r="AJ278" s="105">
        <v>21.5</v>
      </c>
      <c r="AK278" s="105">
        <v>21.6</v>
      </c>
      <c r="AL278" s="105">
        <v>21.7</v>
      </c>
      <c r="AM278" s="105">
        <v>21.8</v>
      </c>
      <c r="AN278" s="105">
        <v>21.9</v>
      </c>
      <c r="AO278" s="105">
        <v>22</v>
      </c>
      <c r="AP278" s="105">
        <v>22.1</v>
      </c>
      <c r="AQ278" s="105">
        <v>22.2</v>
      </c>
      <c r="AR278" s="105">
        <v>22.3</v>
      </c>
      <c r="AS278" s="105">
        <v>22.4</v>
      </c>
      <c r="AT278" s="105">
        <v>22.5</v>
      </c>
      <c r="AU278" s="105">
        <v>22.6</v>
      </c>
      <c r="AV278" s="105">
        <v>22.6</v>
      </c>
      <c r="AW278" s="105">
        <v>22.7</v>
      </c>
      <c r="AX278" s="105">
        <v>22.8</v>
      </c>
      <c r="AY278" s="105">
        <v>22.9</v>
      </c>
      <c r="AZ278" s="105">
        <v>23</v>
      </c>
      <c r="BA278" s="105">
        <v>23.1</v>
      </c>
      <c r="BB278" s="105">
        <v>23.2</v>
      </c>
      <c r="BC278" s="105">
        <v>23.3</v>
      </c>
      <c r="BD278" s="105">
        <v>23.3</v>
      </c>
      <c r="BE278" s="105">
        <v>23.4</v>
      </c>
      <c r="BF278" s="105">
        <v>23.5</v>
      </c>
      <c r="BG278" s="105">
        <v>23.6</v>
      </c>
      <c r="BH278" s="105">
        <v>23.7</v>
      </c>
      <c r="BI278" s="105">
        <v>23.8</v>
      </c>
    </row>
    <row r="279" spans="1:61" x14ac:dyDescent="0.25">
      <c r="A279" s="9" t="s">
        <v>480</v>
      </c>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row>
    <row r="280" spans="1:61" x14ac:dyDescent="0.25">
      <c r="A280" s="11" t="s">
        <v>1135</v>
      </c>
      <c r="B280" s="11"/>
      <c r="C280" s="18">
        <f>C$15/B$15-1</f>
        <v>3.9495395299945724E-2</v>
      </c>
      <c r="D280" s="18">
        <f t="shared" ref="D280:BI280" si="242">D$15/C$15-1</f>
        <v>3.7888756625414466E-2</v>
      </c>
      <c r="E280" s="18">
        <f t="shared" si="242"/>
        <v>-1.6443056907667675E-2</v>
      </c>
      <c r="F280" s="18">
        <f t="shared" si="242"/>
        <v>2.3908695919859779E-2</v>
      </c>
      <c r="G280" s="18">
        <f t="shared" si="242"/>
        <v>-2.4955461422689784E-2</v>
      </c>
      <c r="H280" s="18">
        <f t="shared" si="242"/>
        <v>-2.4490908290421554E-2</v>
      </c>
      <c r="I280" s="18">
        <f t="shared" si="242"/>
        <v>-1.443467759534911E-2</v>
      </c>
      <c r="J280" s="18">
        <f t="shared" si="242"/>
        <v>-2.9580881253180369E-2</v>
      </c>
      <c r="K280" s="18">
        <f t="shared" si="242"/>
        <v>7.725464395630155E-3</v>
      </c>
      <c r="L280" s="18">
        <f t="shared" si="242"/>
        <v>7.1551444780761919E-3</v>
      </c>
      <c r="M280" s="18">
        <f t="shared" si="242"/>
        <v>1.4499914729749985E-2</v>
      </c>
      <c r="N280" s="18">
        <f t="shared" si="242"/>
        <v>-1.6272985462368217E-2</v>
      </c>
      <c r="O280" s="18">
        <f t="shared" si="242"/>
        <v>-1.0508788609710384E-2</v>
      </c>
      <c r="P280" s="18">
        <f t="shared" si="242"/>
        <v>1.0764971192023909E-2</v>
      </c>
      <c r="Q280" s="18">
        <f t="shared" si="242"/>
        <v>1.0105083885885824E-2</v>
      </c>
      <c r="R280" s="18">
        <f t="shared" si="242"/>
        <v>1.3314807577563315E-2</v>
      </c>
      <c r="S280" s="18">
        <f t="shared" si="242"/>
        <v>-6.7828371812635235E-2</v>
      </c>
      <c r="T280" s="18">
        <f t="shared" si="242"/>
        <v>9.2710039683885359E-3</v>
      </c>
      <c r="U280" s="18">
        <f t="shared" si="242"/>
        <v>1.9999469008705972E-2</v>
      </c>
      <c r="V280" s="18">
        <f t="shared" si="242"/>
        <v>1.1807051617309883E-2</v>
      </c>
      <c r="W280" s="18">
        <f t="shared" si="242"/>
        <v>1.2458177437820073E-2</v>
      </c>
      <c r="X280" s="18">
        <f t="shared" si="242"/>
        <v>1.2083048205365543E-2</v>
      </c>
      <c r="Y280" s="18">
        <f t="shared" si="242"/>
        <v>1.0401964266413266E-2</v>
      </c>
      <c r="Z280" s="18">
        <f t="shared" si="242"/>
        <v>1.01737051193318E-4</v>
      </c>
      <c r="AA280" s="18">
        <f t="shared" si="242"/>
        <v>5.676438339494716E-4</v>
      </c>
      <c r="AB280" s="18">
        <f t="shared" si="242"/>
        <v>7.4997389177711149E-4</v>
      </c>
      <c r="AC280" s="18">
        <f t="shared" si="242"/>
        <v>1.5810655021628595E-3</v>
      </c>
      <c r="AD280" s="18">
        <f t="shared" si="242"/>
        <v>2.5257114881582776E-3</v>
      </c>
      <c r="AE280" s="18">
        <f t="shared" si="242"/>
        <v>3.7790225116656195E-3</v>
      </c>
      <c r="AF280" s="18">
        <f t="shared" si="242"/>
        <v>5.0197270208067746E-3</v>
      </c>
      <c r="AG280" s="18">
        <f t="shared" si="242"/>
        <v>5.6189871169471939E-3</v>
      </c>
      <c r="AH280" s="18">
        <f t="shared" si="242"/>
        <v>6.5188556041149148E-3</v>
      </c>
      <c r="AI280" s="18">
        <f t="shared" si="242"/>
        <v>6.7850465607521837E-3</v>
      </c>
      <c r="AJ280" s="18">
        <f t="shared" si="242"/>
        <v>6.7393199610290555E-3</v>
      </c>
      <c r="AK280" s="18">
        <f t="shared" si="242"/>
        <v>6.6942055678225199E-3</v>
      </c>
      <c r="AL280" s="18">
        <f t="shared" si="242"/>
        <v>5.7429150997918565E-3</v>
      </c>
      <c r="AM280" s="18">
        <f t="shared" si="242"/>
        <v>4.8085240858235512E-3</v>
      </c>
      <c r="AN280" s="18">
        <f t="shared" si="242"/>
        <v>3.8882291760871102E-3</v>
      </c>
      <c r="AO280" s="18">
        <f t="shared" si="242"/>
        <v>2.6814249732458606E-3</v>
      </c>
      <c r="AP280" s="18">
        <f t="shared" si="242"/>
        <v>1.782836107568464E-3</v>
      </c>
      <c r="AQ280" s="18">
        <f t="shared" si="242"/>
        <v>8.8983162982492203E-4</v>
      </c>
      <c r="AR280" s="18">
        <f t="shared" si="242"/>
        <v>0</v>
      </c>
      <c r="AS280" s="18">
        <f t="shared" si="242"/>
        <v>-5.926936889587564E-4</v>
      </c>
      <c r="AT280" s="18">
        <f t="shared" si="242"/>
        <v>-1.1860903661921052E-3</v>
      </c>
      <c r="AU280" s="18">
        <f t="shared" si="242"/>
        <v>-1.7812482707018074E-3</v>
      </c>
      <c r="AV280" s="18">
        <f t="shared" si="242"/>
        <v>-2.0818312407829831E-3</v>
      </c>
      <c r="AW280" s="18">
        <f t="shared" si="242"/>
        <v>-1.7881494031045664E-3</v>
      </c>
      <c r="AX280" s="18">
        <f t="shared" si="242"/>
        <v>-1.7913526092033782E-3</v>
      </c>
      <c r="AY280" s="18">
        <f t="shared" si="242"/>
        <v>-1.7945673120401961E-3</v>
      </c>
      <c r="AZ280" s="18">
        <f t="shared" si="242"/>
        <v>-1.1985290490807987E-3</v>
      </c>
      <c r="BA280" s="18">
        <f t="shared" si="242"/>
        <v>-8.9997543351116871E-4</v>
      </c>
      <c r="BB280" s="18">
        <f t="shared" si="242"/>
        <v>-6.0052407925936802E-4</v>
      </c>
      <c r="BC280" s="18">
        <f t="shared" si="242"/>
        <v>3.0044246256277773E-4</v>
      </c>
      <c r="BD280" s="18">
        <f t="shared" si="242"/>
        <v>9.01056672003131E-4</v>
      </c>
      <c r="BE280" s="18">
        <f t="shared" si="242"/>
        <v>1.5004091663151087E-3</v>
      </c>
      <c r="BF280" s="18">
        <f t="shared" si="242"/>
        <v>1.7977935736213091E-3</v>
      </c>
      <c r="BG280" s="18">
        <f t="shared" si="242"/>
        <v>2.3927564160537429E-3</v>
      </c>
      <c r="BH280" s="18">
        <f t="shared" si="242"/>
        <v>2.6854253992065757E-3</v>
      </c>
      <c r="BI280" s="18">
        <f t="shared" si="242"/>
        <v>3.2733961378998977E-3</v>
      </c>
    </row>
    <row r="281" spans="1:61" x14ac:dyDescent="0.25">
      <c r="A281" s="11" t="s">
        <v>1136</v>
      </c>
      <c r="B281" s="11"/>
      <c r="C281" s="18">
        <f>C$16/B$16-1</f>
        <v>2.4649738079042249E-2</v>
      </c>
      <c r="D281" s="18">
        <f t="shared" ref="D281:BI281" si="243">D$16/C$16-1</f>
        <v>4.4185933649147247E-2</v>
      </c>
      <c r="E281" s="18">
        <f t="shared" si="243"/>
        <v>3.8676380666111454E-2</v>
      </c>
      <c r="F281" s="18">
        <f t="shared" si="243"/>
        <v>-1.2288719812160842E-2</v>
      </c>
      <c r="G281" s="18">
        <f t="shared" si="243"/>
        <v>2.2551441235048486E-2</v>
      </c>
      <c r="H281" s="18">
        <f t="shared" si="243"/>
        <v>-2.479808177259557E-2</v>
      </c>
      <c r="I281" s="18">
        <f t="shared" si="243"/>
        <v>-1.99005925881095E-2</v>
      </c>
      <c r="J281" s="18">
        <f t="shared" si="243"/>
        <v>-1.0831492825953526E-2</v>
      </c>
      <c r="K281" s="18">
        <f t="shared" si="243"/>
        <v>-2.5422035208448213E-2</v>
      </c>
      <c r="L281" s="18">
        <f t="shared" si="243"/>
        <v>5.7137355041623206E-3</v>
      </c>
      <c r="M281" s="18">
        <f t="shared" si="243"/>
        <v>-3.4315132576844265E-3</v>
      </c>
      <c r="N281" s="18">
        <f t="shared" si="243"/>
        <v>1.8944058521310536E-2</v>
      </c>
      <c r="O281" s="18">
        <f t="shared" si="243"/>
        <v>-2.4181050230756229E-2</v>
      </c>
      <c r="P281" s="18">
        <f t="shared" si="243"/>
        <v>4.1639183946304836E-3</v>
      </c>
      <c r="Q281" s="18">
        <f t="shared" si="243"/>
        <v>-3.9163011492008293E-3</v>
      </c>
      <c r="R281" s="18">
        <f t="shared" si="243"/>
        <v>1.4819532615752529E-2</v>
      </c>
      <c r="S281" s="18">
        <f t="shared" si="243"/>
        <v>2.812068962719505E-2</v>
      </c>
      <c r="T281" s="18">
        <f t="shared" si="243"/>
        <v>-7.7712162874364221E-2</v>
      </c>
      <c r="U281" s="18">
        <f t="shared" si="243"/>
        <v>6.3312889030311403E-3</v>
      </c>
      <c r="V281" s="18">
        <f t="shared" si="243"/>
        <v>2.9257319013541672E-2</v>
      </c>
      <c r="W281" s="18">
        <f t="shared" si="243"/>
        <v>1.3530982890251009E-2</v>
      </c>
      <c r="X281" s="18">
        <f t="shared" si="243"/>
        <v>1.27982991847162E-2</v>
      </c>
      <c r="Y281" s="18">
        <f t="shared" si="243"/>
        <v>1.0760238957501223E-2</v>
      </c>
      <c r="Z281" s="18">
        <f t="shared" si="243"/>
        <v>1.0155743792639171E-4</v>
      </c>
      <c r="AA281" s="18">
        <f t="shared" si="243"/>
        <v>2.5057083941226743E-4</v>
      </c>
      <c r="AB281" s="18">
        <f t="shared" si="243"/>
        <v>1.1690376571782402E-4</v>
      </c>
      <c r="AC281" s="18">
        <f t="shared" si="243"/>
        <v>9.4786447798922424E-4</v>
      </c>
      <c r="AD281" s="18">
        <f t="shared" si="243"/>
        <v>1.5782781362001508E-3</v>
      </c>
      <c r="AE281" s="18">
        <f t="shared" si="243"/>
        <v>2.5212657592967869E-3</v>
      </c>
      <c r="AF281" s="18">
        <f t="shared" si="243"/>
        <v>3.7723874476427444E-3</v>
      </c>
      <c r="AG281" s="18">
        <f t="shared" si="243"/>
        <v>5.0109466977668049E-3</v>
      </c>
      <c r="AH281" s="18">
        <f t="shared" si="243"/>
        <v>5.9208302388646938E-3</v>
      </c>
      <c r="AI281" s="18">
        <f t="shared" si="243"/>
        <v>6.5055572272145756E-3</v>
      </c>
      <c r="AJ281" s="18">
        <f t="shared" si="243"/>
        <v>6.7712946219404824E-3</v>
      </c>
      <c r="AK281" s="18">
        <f t="shared" si="243"/>
        <v>7.0314685956334166E-3</v>
      </c>
      <c r="AL281" s="18">
        <f t="shared" si="243"/>
        <v>6.3752094587397057E-3</v>
      </c>
      <c r="AM281" s="18">
        <f t="shared" si="243"/>
        <v>5.7315070949011115E-3</v>
      </c>
      <c r="AN281" s="18">
        <f t="shared" si="243"/>
        <v>4.7990266352346822E-3</v>
      </c>
      <c r="AO281" s="18">
        <f t="shared" si="243"/>
        <v>4.1790927285150214E-3</v>
      </c>
      <c r="AP281" s="18">
        <f t="shared" si="243"/>
        <v>2.6753789544535778E-3</v>
      </c>
      <c r="AQ281" s="18">
        <f t="shared" si="243"/>
        <v>1.778826933494182E-3</v>
      </c>
      <c r="AR281" s="18">
        <f t="shared" si="243"/>
        <v>8.8783416342486099E-4</v>
      </c>
      <c r="AS281" s="18">
        <f t="shared" si="243"/>
        <v>0</v>
      </c>
      <c r="AT281" s="18">
        <f t="shared" si="243"/>
        <v>-5.9136440875806606E-4</v>
      </c>
      <c r="AU281" s="18">
        <f t="shared" si="243"/>
        <v>-1.1834286551030138E-3</v>
      </c>
      <c r="AV281" s="18">
        <f t="shared" si="243"/>
        <v>-1.4810385223054112E-3</v>
      </c>
      <c r="AW281" s="18">
        <f t="shared" si="243"/>
        <v>-1.779882301019442E-3</v>
      </c>
      <c r="AX281" s="18">
        <f t="shared" si="243"/>
        <v>-2.0802319191642882E-3</v>
      </c>
      <c r="AY281" s="18">
        <f t="shared" si="243"/>
        <v>-1.7867728325908772E-3</v>
      </c>
      <c r="AZ281" s="18">
        <f t="shared" si="243"/>
        <v>-1.4916425869426764E-3</v>
      </c>
      <c r="BA281" s="18">
        <f t="shared" si="243"/>
        <v>-1.1950967267272405E-3</v>
      </c>
      <c r="BB281" s="18">
        <f t="shared" si="243"/>
        <v>-8.9739501889507522E-4</v>
      </c>
      <c r="BC281" s="18">
        <f t="shared" si="243"/>
        <v>-2.9940035335074278E-4</v>
      </c>
      <c r="BD281" s="18">
        <f t="shared" si="243"/>
        <v>0</v>
      </c>
      <c r="BE281" s="18">
        <f t="shared" si="243"/>
        <v>8.9847006230647786E-4</v>
      </c>
      <c r="BF281" s="18">
        <f t="shared" si="243"/>
        <v>1.4961058974851671E-3</v>
      </c>
      <c r="BG281" s="18">
        <f t="shared" si="243"/>
        <v>2.0914192717726987E-3</v>
      </c>
      <c r="BH281" s="18">
        <f t="shared" si="243"/>
        <v>2.3852049897719052E-3</v>
      </c>
      <c r="BI281" s="18">
        <f t="shared" si="243"/>
        <v>2.6769704901228319E-3</v>
      </c>
    </row>
    <row r="282" spans="1:61" x14ac:dyDescent="0.25">
      <c r="A282" s="11" t="s">
        <v>1137</v>
      </c>
      <c r="B282" s="11"/>
      <c r="C282" s="18">
        <f>C$17/B$17-1</f>
        <v>-8.7165727820656125E-3</v>
      </c>
      <c r="D282" s="18">
        <f t="shared" ref="D282:BI282" si="244">D$17/C$17-1</f>
        <v>2.7905913245038549E-2</v>
      </c>
      <c r="E282" s="18">
        <f t="shared" si="244"/>
        <v>4.7248420220396881E-2</v>
      </c>
      <c r="F282" s="18">
        <f t="shared" si="244"/>
        <v>3.8940999562773415E-2</v>
      </c>
      <c r="G282" s="18">
        <f t="shared" si="244"/>
        <v>-1.6470059083290689E-2</v>
      </c>
      <c r="H282" s="18">
        <f t="shared" si="244"/>
        <v>1.8873051425682519E-2</v>
      </c>
      <c r="I282" s="18">
        <f t="shared" si="244"/>
        <v>-2.0698376905181726E-2</v>
      </c>
      <c r="J282" s="18">
        <f t="shared" si="244"/>
        <v>-1.0199352433368336E-2</v>
      </c>
      <c r="K282" s="18">
        <f t="shared" si="244"/>
        <v>-5.5185128902042191E-3</v>
      </c>
      <c r="L282" s="18">
        <f t="shared" si="244"/>
        <v>-2.9995103293344427E-2</v>
      </c>
      <c r="M282" s="18">
        <f t="shared" si="244"/>
        <v>5.7566354760403282E-3</v>
      </c>
      <c r="N282" s="18">
        <f t="shared" si="244"/>
        <v>-1.0082559264394941E-3</v>
      </c>
      <c r="O282" s="18">
        <f t="shared" si="244"/>
        <v>1.0098180904098752E-2</v>
      </c>
      <c r="P282" s="18">
        <f t="shared" si="244"/>
        <v>-9.5529154140636674E-3</v>
      </c>
      <c r="Q282" s="18">
        <f t="shared" si="244"/>
        <v>-1.5727147833240251E-2</v>
      </c>
      <c r="R282" s="18">
        <f t="shared" si="244"/>
        <v>3.1139900684549193E-3</v>
      </c>
      <c r="S282" s="18">
        <f t="shared" si="244"/>
        <v>2.930896859781229E-2</v>
      </c>
      <c r="T282" s="18">
        <f t="shared" si="244"/>
        <v>2.0277623809465961E-2</v>
      </c>
      <c r="U282" s="18">
        <f t="shared" si="244"/>
        <v>-8.4551043498993228E-2</v>
      </c>
      <c r="V282" s="18">
        <f t="shared" si="244"/>
        <v>1.5449747994727314E-2</v>
      </c>
      <c r="W282" s="18">
        <f t="shared" si="244"/>
        <v>3.0945690262641046E-2</v>
      </c>
      <c r="X282" s="18">
        <f t="shared" si="244"/>
        <v>1.3866907637114734E-2</v>
      </c>
      <c r="Y282" s="18">
        <f t="shared" si="244"/>
        <v>1.1473632542636558E-2</v>
      </c>
      <c r="Z282" s="18">
        <f t="shared" si="244"/>
        <v>4.1560601115286921E-4</v>
      </c>
      <c r="AA282" s="18">
        <f t="shared" si="244"/>
        <v>2.4926001273217757E-4</v>
      </c>
      <c r="AB282" s="18">
        <f t="shared" si="244"/>
        <v>-1.9804675481704948E-4</v>
      </c>
      <c r="AC282" s="18">
        <f t="shared" si="244"/>
        <v>3.1440137323057726E-4</v>
      </c>
      <c r="AD282" s="18">
        <f t="shared" si="244"/>
        <v>9.4290766822613392E-4</v>
      </c>
      <c r="AE282" s="18">
        <f t="shared" si="244"/>
        <v>1.5700323848018005E-3</v>
      </c>
      <c r="AF282" s="18">
        <f t="shared" si="244"/>
        <v>2.8216282449209373E-3</v>
      </c>
      <c r="AG282" s="18">
        <f t="shared" si="244"/>
        <v>3.7515854138607807E-3</v>
      </c>
      <c r="AH282" s="18">
        <f t="shared" si="244"/>
        <v>4.9834181662442578E-3</v>
      </c>
      <c r="AI282" s="18">
        <f t="shared" si="244"/>
        <v>5.5785452134666791E-3</v>
      </c>
      <c r="AJ282" s="18">
        <f t="shared" si="244"/>
        <v>6.472197303754923E-3</v>
      </c>
      <c r="AK282" s="18">
        <f t="shared" si="244"/>
        <v>7.0430132754382146E-3</v>
      </c>
      <c r="AL282" s="18">
        <f t="shared" si="244"/>
        <v>6.9937561579724861E-3</v>
      </c>
      <c r="AM282" s="18">
        <f t="shared" si="244"/>
        <v>6.3412542625356227E-3</v>
      </c>
      <c r="AN282" s="18">
        <f t="shared" si="244"/>
        <v>6.0012344204940504E-3</v>
      </c>
      <c r="AO282" s="18">
        <f t="shared" si="244"/>
        <v>4.7723475599519283E-3</v>
      </c>
      <c r="AP282" s="18">
        <f t="shared" si="244"/>
        <v>3.8591153527236521E-3</v>
      </c>
      <c r="AQ282" s="18">
        <f t="shared" si="244"/>
        <v>2.9571383333835133E-3</v>
      </c>
      <c r="AR282" s="18">
        <f t="shared" si="244"/>
        <v>1.7690516695243463E-3</v>
      </c>
      <c r="AS282" s="18">
        <f t="shared" si="244"/>
        <v>1.1772851015086072E-3</v>
      </c>
      <c r="AT282" s="18">
        <f t="shared" si="244"/>
        <v>0</v>
      </c>
      <c r="AU282" s="18">
        <f t="shared" si="244"/>
        <v>-5.8795036554848412E-4</v>
      </c>
      <c r="AV282" s="18">
        <f t="shared" si="244"/>
        <v>-1.1765925090928553E-3</v>
      </c>
      <c r="AW282" s="18">
        <f t="shared" si="244"/>
        <v>-1.4724731372292021E-3</v>
      </c>
      <c r="AX282" s="18">
        <f t="shared" si="244"/>
        <v>-1.769573413991421E-3</v>
      </c>
      <c r="AY282" s="18">
        <f t="shared" si="244"/>
        <v>-1.7727103551065104E-3</v>
      </c>
      <c r="AZ282" s="18">
        <f t="shared" si="244"/>
        <v>-1.7758584377483011E-3</v>
      </c>
      <c r="BA282" s="18">
        <f t="shared" si="244"/>
        <v>-1.4825147678164674E-3</v>
      </c>
      <c r="BB282" s="18">
        <f t="shared" si="244"/>
        <v>-1.4847158810361583E-3</v>
      </c>
      <c r="BC282" s="18">
        <f t="shared" si="244"/>
        <v>-5.9476941601199762E-4</v>
      </c>
      <c r="BD282" s="18">
        <f t="shared" si="244"/>
        <v>-2.9756168859773613E-4</v>
      </c>
      <c r="BE282" s="18">
        <f t="shared" si="244"/>
        <v>2.9765025791106403E-4</v>
      </c>
      <c r="BF282" s="18">
        <f t="shared" si="244"/>
        <v>8.9268506579309737E-4</v>
      </c>
      <c r="BG282" s="18">
        <f t="shared" si="244"/>
        <v>1.4864814831681006E-3</v>
      </c>
      <c r="BH282" s="18">
        <f t="shared" si="244"/>
        <v>2.0779851899281887E-3</v>
      </c>
      <c r="BI282" s="18">
        <f t="shared" si="244"/>
        <v>2.3699155676097927E-3</v>
      </c>
    </row>
    <row r="283" spans="1:61" x14ac:dyDescent="0.25">
      <c r="A283" s="11" t="s">
        <v>1138</v>
      </c>
      <c r="B283" s="11"/>
      <c r="C283" s="18">
        <f>C$18/B$18-1</f>
        <v>2.8686337342805013E-2</v>
      </c>
      <c r="D283" s="18">
        <f t="shared" ref="D283:BI283" si="245">D$18/C$18-1</f>
        <v>-5.5281777872485671E-3</v>
      </c>
      <c r="E283" s="18">
        <f t="shared" si="245"/>
        <v>2.9670784121455407E-2</v>
      </c>
      <c r="F283" s="18">
        <f t="shared" si="245"/>
        <v>4.9286613104806198E-2</v>
      </c>
      <c r="G283" s="18">
        <f t="shared" si="245"/>
        <v>3.516307875411262E-2</v>
      </c>
      <c r="H283" s="18">
        <f t="shared" si="245"/>
        <v>-1.8539745370515504E-2</v>
      </c>
      <c r="I283" s="18">
        <f t="shared" si="245"/>
        <v>2.3929459441316636E-2</v>
      </c>
      <c r="J283" s="18">
        <f t="shared" si="245"/>
        <v>-1.499438752012916E-2</v>
      </c>
      <c r="K283" s="18">
        <f t="shared" si="245"/>
        <v>-6.660978169063636E-3</v>
      </c>
      <c r="L283" s="18">
        <f t="shared" si="245"/>
        <v>-1.3066032840634012E-3</v>
      </c>
      <c r="M283" s="18">
        <f t="shared" si="245"/>
        <v>-3.5911529875794601E-2</v>
      </c>
      <c r="N283" s="18">
        <f t="shared" si="245"/>
        <v>1.3161839734178393E-2</v>
      </c>
      <c r="O283" s="18">
        <f t="shared" si="245"/>
        <v>-1.0721995076288793E-2</v>
      </c>
      <c r="P283" s="18">
        <f t="shared" si="245"/>
        <v>2.4349714380047738E-2</v>
      </c>
      <c r="Q283" s="18">
        <f t="shared" si="245"/>
        <v>-3.2706770085840442E-2</v>
      </c>
      <c r="R283" s="18">
        <f t="shared" si="245"/>
        <v>-3.9786599239146625E-3</v>
      </c>
      <c r="S283" s="18">
        <f t="shared" si="245"/>
        <v>1.8544414296887357E-2</v>
      </c>
      <c r="T283" s="18">
        <f t="shared" si="245"/>
        <v>2.0010156434424387E-2</v>
      </c>
      <c r="U283" s="18">
        <f t="shared" si="245"/>
        <v>1.0903185519478553E-2</v>
      </c>
      <c r="V283" s="18">
        <f t="shared" si="245"/>
        <v>-7.57782556972183E-2</v>
      </c>
      <c r="W283" s="18">
        <f t="shared" si="245"/>
        <v>1.7520697974714894E-2</v>
      </c>
      <c r="X283" s="18">
        <f t="shared" si="245"/>
        <v>3.1181482874810484E-2</v>
      </c>
      <c r="Y283" s="18">
        <f t="shared" si="245"/>
        <v>1.2533720610101495E-2</v>
      </c>
      <c r="Z283" s="18">
        <f t="shared" si="245"/>
        <v>1.0381366723641872E-3</v>
      </c>
      <c r="AA283" s="18">
        <f t="shared" si="245"/>
        <v>5.5978660779687495E-4</v>
      </c>
      <c r="AB283" s="18">
        <f t="shared" si="245"/>
        <v>-1.9661866872788814E-4</v>
      </c>
      <c r="AC283" s="18">
        <f t="shared" si="245"/>
        <v>0</v>
      </c>
      <c r="AD283" s="18">
        <f t="shared" si="245"/>
        <v>3.1213382521877442E-4</v>
      </c>
      <c r="AE283" s="18">
        <f t="shared" si="245"/>
        <v>9.361092842843366E-4</v>
      </c>
      <c r="AF283" s="18">
        <f t="shared" si="245"/>
        <v>1.5587230053968337E-3</v>
      </c>
      <c r="AG283" s="18">
        <f t="shared" si="245"/>
        <v>2.8013349045528102E-3</v>
      </c>
      <c r="AH283" s="18">
        <f t="shared" si="245"/>
        <v>4.0350690601094197E-3</v>
      </c>
      <c r="AI283" s="18">
        <f t="shared" si="245"/>
        <v>4.9462802607687095E-3</v>
      </c>
      <c r="AJ283" s="18">
        <f t="shared" si="245"/>
        <v>5.8447978016682445E-3</v>
      </c>
      <c r="AK283" s="18">
        <f t="shared" si="245"/>
        <v>6.4225014531533731E-3</v>
      </c>
      <c r="AL283" s="18">
        <f t="shared" si="245"/>
        <v>6.685397878097632E-3</v>
      </c>
      <c r="AM283" s="18">
        <f t="shared" si="245"/>
        <v>6.9428637929598302E-3</v>
      </c>
      <c r="AN283" s="18">
        <f t="shared" si="245"/>
        <v>6.5952105015891771E-3</v>
      </c>
      <c r="AO283" s="18">
        <f t="shared" si="245"/>
        <v>5.956362446378094E-3</v>
      </c>
      <c r="AP283" s="18">
        <f t="shared" si="245"/>
        <v>4.736875410295438E-3</v>
      </c>
      <c r="AQ283" s="18">
        <f t="shared" si="245"/>
        <v>4.1252253056960342E-3</v>
      </c>
      <c r="AR283" s="18">
        <f t="shared" si="245"/>
        <v>2.9344840960165985E-3</v>
      </c>
      <c r="AS283" s="18">
        <f t="shared" si="245"/>
        <v>1.7555388567547237E-3</v>
      </c>
      <c r="AT283" s="18">
        <f t="shared" si="245"/>
        <v>1.1683082273468148E-3</v>
      </c>
      <c r="AU283" s="18">
        <f t="shared" si="245"/>
        <v>0</v>
      </c>
      <c r="AV283" s="18">
        <f t="shared" si="245"/>
        <v>-5.8347243802359117E-4</v>
      </c>
      <c r="AW283" s="18">
        <f t="shared" si="245"/>
        <v>-8.7571961529442355E-4</v>
      </c>
      <c r="AX283" s="18">
        <f t="shared" si="245"/>
        <v>-1.4608119538395137E-3</v>
      </c>
      <c r="AY283" s="18">
        <f t="shared" si="245"/>
        <v>-1.7555388567548347E-3</v>
      </c>
      <c r="AZ283" s="18">
        <f t="shared" si="245"/>
        <v>-1.7586261933717484E-3</v>
      </c>
      <c r="BA283" s="18">
        <f t="shared" si="245"/>
        <v>-1.761724408061327E-3</v>
      </c>
      <c r="BB283" s="18">
        <f t="shared" si="245"/>
        <v>-1.4706946320144354E-3</v>
      </c>
      <c r="BC283" s="18">
        <f t="shared" si="245"/>
        <v>-1.1782886083427924E-3</v>
      </c>
      <c r="BD283" s="18">
        <f t="shared" si="245"/>
        <v>-8.8475895765804946E-4</v>
      </c>
      <c r="BE283" s="18">
        <f t="shared" si="245"/>
        <v>0</v>
      </c>
      <c r="BF283" s="18">
        <f t="shared" si="245"/>
        <v>2.9518081642421201E-4</v>
      </c>
      <c r="BG283" s="18">
        <f t="shared" si="245"/>
        <v>8.8528113126540298E-4</v>
      </c>
      <c r="BH283" s="18">
        <f t="shared" si="245"/>
        <v>1.4741635029753564E-3</v>
      </c>
      <c r="BI283" s="18">
        <f t="shared" si="245"/>
        <v>2.0607909613430397E-3</v>
      </c>
    </row>
    <row r="284" spans="1:61" x14ac:dyDescent="0.25">
      <c r="A284" s="11" t="s">
        <v>1139</v>
      </c>
      <c r="B284" s="11"/>
      <c r="C284" s="18">
        <f>C$19/B$19-1</f>
        <v>-3.717540011717535E-3</v>
      </c>
      <c r="D284" s="18">
        <f t="shared" ref="D284:BI284" si="246">D$19/C$19-1</f>
        <v>3.145963477370084E-2</v>
      </c>
      <c r="E284" s="18">
        <f t="shared" si="246"/>
        <v>-3.7754398641740572E-3</v>
      </c>
      <c r="F284" s="18">
        <f t="shared" si="246"/>
        <v>3.1664087577647493E-2</v>
      </c>
      <c r="G284" s="18">
        <f t="shared" si="246"/>
        <v>4.3848386909569603E-2</v>
      </c>
      <c r="H284" s="18">
        <f t="shared" si="246"/>
        <v>3.0760419156182106E-2</v>
      </c>
      <c r="I284" s="18">
        <f t="shared" si="246"/>
        <v>-1.6318129759495204E-2</v>
      </c>
      <c r="J284" s="18">
        <f t="shared" si="246"/>
        <v>3.3821124198327279E-2</v>
      </c>
      <c r="K284" s="18">
        <f t="shared" si="246"/>
        <v>-1.0260054400969332E-2</v>
      </c>
      <c r="L284" s="18">
        <f t="shared" si="246"/>
        <v>-7.4330485851431538E-3</v>
      </c>
      <c r="M284" s="18">
        <f t="shared" si="246"/>
        <v>-5.0242355025057472E-3</v>
      </c>
      <c r="N284" s="18">
        <f t="shared" si="246"/>
        <v>-2.9385038843958267E-2</v>
      </c>
      <c r="O284" s="18">
        <f t="shared" si="246"/>
        <v>6.1099408829980995E-3</v>
      </c>
      <c r="P284" s="18">
        <f t="shared" si="246"/>
        <v>2.5632611372892189E-3</v>
      </c>
      <c r="Q284" s="18">
        <f t="shared" si="246"/>
        <v>-1.0177876271710851E-4</v>
      </c>
      <c r="R284" s="18">
        <f t="shared" si="246"/>
        <v>-2.2762384398881341E-2</v>
      </c>
      <c r="S284" s="18">
        <f t="shared" si="246"/>
        <v>2.24892896845581E-2</v>
      </c>
      <c r="T284" s="18">
        <f t="shared" si="246"/>
        <v>7.1197458848357709E-3</v>
      </c>
      <c r="U284" s="18">
        <f t="shared" si="246"/>
        <v>5.6085316572349608E-3</v>
      </c>
      <c r="V284" s="18">
        <f t="shared" si="246"/>
        <v>2.038690589453318E-2</v>
      </c>
      <c r="W284" s="18">
        <f t="shared" si="246"/>
        <v>-7.3303118703355485E-2</v>
      </c>
      <c r="X284" s="18">
        <f t="shared" si="246"/>
        <v>1.7469420690363613E-2</v>
      </c>
      <c r="Y284" s="18">
        <f t="shared" si="246"/>
        <v>3.0045605959348798E-2</v>
      </c>
      <c r="Z284" s="18">
        <f t="shared" si="246"/>
        <v>1.9621489695973438E-3</v>
      </c>
      <c r="AA284" s="18">
        <f t="shared" si="246"/>
        <v>1.1749838883325925E-3</v>
      </c>
      <c r="AB284" s="18">
        <f t="shared" si="246"/>
        <v>4.2390936802760848E-4</v>
      </c>
      <c r="AC284" s="18">
        <f t="shared" si="246"/>
        <v>-3.0930120595429322E-4</v>
      </c>
      <c r="AD284" s="18">
        <f t="shared" si="246"/>
        <v>0</v>
      </c>
      <c r="AE284" s="18">
        <f t="shared" si="246"/>
        <v>3.0939690278941612E-4</v>
      </c>
      <c r="AF284" s="18">
        <f t="shared" si="246"/>
        <v>9.2790361786310172E-4</v>
      </c>
      <c r="AG284" s="18">
        <f t="shared" si="246"/>
        <v>1.8540868218561712E-3</v>
      </c>
      <c r="AH284" s="18">
        <f t="shared" si="246"/>
        <v>2.7759833186953298E-3</v>
      </c>
      <c r="AI284" s="18">
        <f t="shared" si="246"/>
        <v>3.9986534871823132E-3</v>
      </c>
      <c r="AJ284" s="18">
        <f t="shared" si="246"/>
        <v>4.9018190008907059E-3</v>
      </c>
      <c r="AK284" s="18">
        <f t="shared" si="246"/>
        <v>5.7925161975973527E-3</v>
      </c>
      <c r="AL284" s="18">
        <f t="shared" si="246"/>
        <v>6.3653831596566235E-3</v>
      </c>
      <c r="AM284" s="18">
        <f t="shared" si="246"/>
        <v>6.9275138472613129E-3</v>
      </c>
      <c r="AN284" s="18">
        <f t="shared" si="246"/>
        <v>6.8798535664129634E-3</v>
      </c>
      <c r="AO284" s="18">
        <f t="shared" si="246"/>
        <v>6.5357643963168677E-3</v>
      </c>
      <c r="AP284" s="18">
        <f t="shared" si="246"/>
        <v>5.9030232276100492E-3</v>
      </c>
      <c r="AQ284" s="18">
        <f t="shared" si="246"/>
        <v>4.9881247273408924E-3</v>
      </c>
      <c r="AR284" s="18">
        <f t="shared" si="246"/>
        <v>4.0874785695905747E-3</v>
      </c>
      <c r="AS284" s="18">
        <f t="shared" si="246"/>
        <v>2.9077422157148813E-3</v>
      </c>
      <c r="AT284" s="18">
        <f t="shared" si="246"/>
        <v>1.7395870587004758E-3</v>
      </c>
      <c r="AU284" s="18">
        <f t="shared" si="246"/>
        <v>1.1577107671321141E-3</v>
      </c>
      <c r="AV284" s="18">
        <f t="shared" si="246"/>
        <v>2.8909300569757157E-4</v>
      </c>
      <c r="AW284" s="18">
        <f t="shared" si="246"/>
        <v>-5.7801891017117413E-4</v>
      </c>
      <c r="AX284" s="18">
        <f t="shared" si="246"/>
        <v>-8.6752981389426331E-4</v>
      </c>
      <c r="AY284" s="18">
        <f t="shared" si="246"/>
        <v>-1.4471384589150871E-3</v>
      </c>
      <c r="AZ284" s="18">
        <f t="shared" si="246"/>
        <v>-1.7390828443654138E-3</v>
      </c>
      <c r="BA284" s="18">
        <f t="shared" si="246"/>
        <v>-1.7421125223660017E-3</v>
      </c>
      <c r="BB284" s="18">
        <f t="shared" si="246"/>
        <v>-1.4542939790571641E-3</v>
      </c>
      <c r="BC284" s="18">
        <f t="shared" si="246"/>
        <v>-1.4564120303037775E-3</v>
      </c>
      <c r="BD284" s="18">
        <f t="shared" si="246"/>
        <v>-1.166829008047654E-3</v>
      </c>
      <c r="BE284" s="18">
        <f t="shared" si="246"/>
        <v>-5.840960442317078E-4</v>
      </c>
      <c r="BF284" s="18">
        <f t="shared" si="246"/>
        <v>-2.9221870590601107E-4</v>
      </c>
      <c r="BG284" s="18">
        <f t="shared" si="246"/>
        <v>5.8460824527695188E-4</v>
      </c>
      <c r="BH284" s="18">
        <f t="shared" si="246"/>
        <v>8.7640001723920946E-4</v>
      </c>
      <c r="BI284" s="18">
        <f t="shared" si="246"/>
        <v>1.4593876880037993E-3</v>
      </c>
    </row>
    <row r="285" spans="1:61" x14ac:dyDescent="0.25">
      <c r="A285" s="11" t="s">
        <v>1140</v>
      </c>
      <c r="B285" s="11"/>
      <c r="C285" s="18">
        <f>C$20/B$20-1</f>
        <v>-3.1123741096129809E-2</v>
      </c>
      <c r="D285" s="18">
        <f t="shared" ref="D285:BI285" si="247">D$20/C$20-1</f>
        <v>-9.5702235945260838E-4</v>
      </c>
      <c r="E285" s="18">
        <f t="shared" si="247"/>
        <v>2.9453809028350486E-2</v>
      </c>
      <c r="F285" s="18">
        <f t="shared" si="247"/>
        <v>-1.3613549250364176E-3</v>
      </c>
      <c r="G285" s="18">
        <f t="shared" si="247"/>
        <v>2.7571307163887004E-2</v>
      </c>
      <c r="H285" s="18">
        <f t="shared" si="247"/>
        <v>3.8181617972879556E-2</v>
      </c>
      <c r="I285" s="18">
        <f t="shared" si="247"/>
        <v>3.4970128680591017E-2</v>
      </c>
      <c r="J285" s="18">
        <f t="shared" si="247"/>
        <v>-8.6761573931145586E-3</v>
      </c>
      <c r="K285" s="18">
        <f t="shared" si="247"/>
        <v>3.6460862521264348E-2</v>
      </c>
      <c r="L285" s="18">
        <f t="shared" si="247"/>
        <v>-1.2355382714238416E-2</v>
      </c>
      <c r="M285" s="18">
        <f t="shared" si="247"/>
        <v>-8.5517552261396013E-3</v>
      </c>
      <c r="N285" s="18">
        <f t="shared" si="247"/>
        <v>1.5377568013679177E-3</v>
      </c>
      <c r="O285" s="18">
        <f t="shared" si="247"/>
        <v>-3.4849965819658046E-2</v>
      </c>
      <c r="P285" s="18">
        <f t="shared" si="247"/>
        <v>1.8344013720369867E-2</v>
      </c>
      <c r="Q285" s="18">
        <f t="shared" si="247"/>
        <v>-2.2340726611747019E-2</v>
      </c>
      <c r="R285" s="18">
        <f t="shared" si="247"/>
        <v>9.3969010187633373E-3</v>
      </c>
      <c r="S285" s="18">
        <f t="shared" si="247"/>
        <v>3.0199708649252255E-3</v>
      </c>
      <c r="T285" s="18">
        <f t="shared" si="247"/>
        <v>1.6890583492774169E-2</v>
      </c>
      <c r="U285" s="18">
        <f t="shared" si="247"/>
        <v>-8.8899261636561366E-3</v>
      </c>
      <c r="V285" s="18">
        <f t="shared" si="247"/>
        <v>1.5101716256338493E-2</v>
      </c>
      <c r="W285" s="18">
        <f t="shared" si="247"/>
        <v>2.1930029199247247E-2</v>
      </c>
      <c r="X285" s="18">
        <f t="shared" si="247"/>
        <v>-7.2469011141688133E-2</v>
      </c>
      <c r="Y285" s="18">
        <f t="shared" si="247"/>
        <v>1.6659680755346296E-2</v>
      </c>
      <c r="Z285" s="18">
        <f t="shared" si="247"/>
        <v>1.723970288845722E-2</v>
      </c>
      <c r="AA285" s="18">
        <f t="shared" si="247"/>
        <v>2.2274997412909947E-3</v>
      </c>
      <c r="AB285" s="18">
        <f t="shared" si="247"/>
        <v>1.098611016051354E-3</v>
      </c>
      <c r="AC285" s="18">
        <f t="shared" si="247"/>
        <v>0</v>
      </c>
      <c r="AD285" s="18">
        <f t="shared" si="247"/>
        <v>0</v>
      </c>
      <c r="AE285" s="18">
        <f t="shared" si="247"/>
        <v>0</v>
      </c>
      <c r="AF285" s="18">
        <f t="shared" si="247"/>
        <v>6.1354071954422551E-4</v>
      </c>
      <c r="AG285" s="18">
        <f t="shared" si="247"/>
        <v>9.1974677721662346E-4</v>
      </c>
      <c r="AH285" s="18">
        <f t="shared" si="247"/>
        <v>1.8378032408254974E-3</v>
      </c>
      <c r="AI285" s="18">
        <f t="shared" si="247"/>
        <v>2.7516478738580652E-3</v>
      </c>
      <c r="AJ285" s="18">
        <f t="shared" si="247"/>
        <v>3.9636957893702807E-3</v>
      </c>
      <c r="AK285" s="18">
        <f t="shared" si="247"/>
        <v>4.8591346859916396E-3</v>
      </c>
      <c r="AL285" s="18">
        <f t="shared" si="247"/>
        <v>6.0445470890679864E-3</v>
      </c>
      <c r="AM285" s="18">
        <f t="shared" si="247"/>
        <v>6.3086415625286385E-3</v>
      </c>
      <c r="AN285" s="18">
        <f t="shared" si="247"/>
        <v>6.8661484986902721E-3</v>
      </c>
      <c r="AO285" s="18">
        <f t="shared" si="247"/>
        <v>7.115818428267362E-3</v>
      </c>
      <c r="AP285" s="18">
        <f t="shared" si="247"/>
        <v>6.4767462092143457E-3</v>
      </c>
      <c r="AQ285" s="18">
        <f t="shared" si="247"/>
        <v>5.8500617341257222E-3</v>
      </c>
      <c r="AR285" s="18">
        <f t="shared" si="247"/>
        <v>4.9436319220719227E-3</v>
      </c>
      <c r="AS285" s="18">
        <f t="shared" si="247"/>
        <v>4.0511986537776767E-3</v>
      </c>
      <c r="AT285" s="18">
        <f t="shared" si="247"/>
        <v>2.8820376172118412E-3</v>
      </c>
      <c r="AU285" s="18">
        <f t="shared" si="247"/>
        <v>2.011628742341065E-3</v>
      </c>
      <c r="AV285" s="18">
        <f t="shared" si="247"/>
        <v>1.1471944092338315E-3</v>
      </c>
      <c r="AW285" s="18">
        <f t="shared" si="247"/>
        <v>0</v>
      </c>
      <c r="AX285" s="18">
        <f t="shared" si="247"/>
        <v>-2.8646996556558335E-4</v>
      </c>
      <c r="AY285" s="18">
        <f t="shared" si="247"/>
        <v>-8.5965616236793885E-4</v>
      </c>
      <c r="AZ285" s="18">
        <f t="shared" si="247"/>
        <v>-1.4339930115423449E-3</v>
      </c>
      <c r="BA285" s="18">
        <f t="shared" si="247"/>
        <v>-1.4360523005054748E-3</v>
      </c>
      <c r="BB285" s="18">
        <f t="shared" si="247"/>
        <v>-1.7257410149612573E-3</v>
      </c>
      <c r="BC285" s="18">
        <f t="shared" si="247"/>
        <v>-1.4406036212231133E-3</v>
      </c>
      <c r="BD285" s="18">
        <f t="shared" si="247"/>
        <v>-1.4426819540704905E-3</v>
      </c>
      <c r="BE285" s="18">
        <f t="shared" si="247"/>
        <v>-1.1558130338625849E-3</v>
      </c>
      <c r="BF285" s="18">
        <f t="shared" si="247"/>
        <v>-5.7857524173676733E-4</v>
      </c>
      <c r="BG285" s="18">
        <f t="shared" si="247"/>
        <v>0</v>
      </c>
      <c r="BH285" s="18">
        <f t="shared" si="247"/>
        <v>2.8945509241840028E-4</v>
      </c>
      <c r="BI285" s="18">
        <f t="shared" si="247"/>
        <v>1.1574853296507648E-3</v>
      </c>
    </row>
    <row r="286" spans="1:61" x14ac:dyDescent="0.25">
      <c r="A286" s="11" t="s">
        <v>1141</v>
      </c>
      <c r="B286" s="11"/>
      <c r="C286" s="18">
        <f>C$21/B$21-1</f>
        <v>-1.5866417020031554E-2</v>
      </c>
      <c r="D286" s="18">
        <f t="shared" ref="D286:BI286" si="248">D$21/C$21-1</f>
        <v>-2.6077536087952158E-2</v>
      </c>
      <c r="E286" s="18">
        <f t="shared" si="248"/>
        <v>-2.7666236849197556E-3</v>
      </c>
      <c r="F286" s="18">
        <f t="shared" si="248"/>
        <v>2.9951052650061039E-2</v>
      </c>
      <c r="G286" s="18">
        <f t="shared" si="248"/>
        <v>-7.3733838208158708E-3</v>
      </c>
      <c r="H286" s="18">
        <f t="shared" si="248"/>
        <v>2.2891099043253815E-2</v>
      </c>
      <c r="I286" s="18">
        <f t="shared" si="248"/>
        <v>4.2578331342508102E-2</v>
      </c>
      <c r="J286" s="18">
        <f t="shared" si="248"/>
        <v>4.1668503367445986E-2</v>
      </c>
      <c r="K286" s="18">
        <f t="shared" si="248"/>
        <v>-6.8413649508923813E-3</v>
      </c>
      <c r="L286" s="18">
        <f t="shared" si="248"/>
        <v>3.3907872810714945E-2</v>
      </c>
      <c r="M286" s="18">
        <f t="shared" si="248"/>
        <v>-1.5676462661605717E-2</v>
      </c>
      <c r="N286" s="18">
        <f t="shared" si="248"/>
        <v>1.5088886255569811E-3</v>
      </c>
      <c r="O286" s="18">
        <f t="shared" si="248"/>
        <v>-5.213284668819429E-3</v>
      </c>
      <c r="P286" s="18">
        <f t="shared" si="248"/>
        <v>-2.0332036177860391E-2</v>
      </c>
      <c r="Q286" s="18">
        <f t="shared" si="248"/>
        <v>-5.9885482309242066E-3</v>
      </c>
      <c r="R286" s="18">
        <f t="shared" si="248"/>
        <v>-1.3634818286852868E-2</v>
      </c>
      <c r="S286" s="18">
        <f t="shared" si="248"/>
        <v>3.7335575965824486E-2</v>
      </c>
      <c r="T286" s="18">
        <f t="shared" si="248"/>
        <v>-5.8893456215515227E-3</v>
      </c>
      <c r="U286" s="18">
        <f t="shared" si="248"/>
        <v>2.7356434845564603E-3</v>
      </c>
      <c r="V286" s="18">
        <f t="shared" si="248"/>
        <v>-1.7224854063824235E-4</v>
      </c>
      <c r="W286" s="18">
        <f t="shared" si="248"/>
        <v>1.6979054217044931E-2</v>
      </c>
      <c r="X286" s="18">
        <f t="shared" si="248"/>
        <v>2.2104418076907661E-2</v>
      </c>
      <c r="Y286" s="18">
        <f t="shared" si="248"/>
        <v>-7.2642225608921307E-2</v>
      </c>
      <c r="Z286" s="18">
        <f t="shared" si="248"/>
        <v>5.6314538622028731E-3</v>
      </c>
      <c r="AA286" s="18">
        <f t="shared" si="248"/>
        <v>1.7125867882449741E-2</v>
      </c>
      <c r="AB286" s="18">
        <f t="shared" si="248"/>
        <v>2.0049069454339818E-3</v>
      </c>
      <c r="AC286" s="18">
        <f t="shared" si="248"/>
        <v>9.1263870355584586E-4</v>
      </c>
      <c r="AD286" s="18">
        <f t="shared" si="248"/>
        <v>3.039355178682257E-4</v>
      </c>
      <c r="AE286" s="18">
        <f t="shared" si="248"/>
        <v>0</v>
      </c>
      <c r="AF286" s="18">
        <f t="shared" si="248"/>
        <v>3.0384316913734111E-4</v>
      </c>
      <c r="AG286" s="18">
        <f t="shared" si="248"/>
        <v>3.0375087650824639E-4</v>
      </c>
      <c r="AH286" s="18">
        <f t="shared" si="248"/>
        <v>9.1097591979094616E-4</v>
      </c>
      <c r="AI286" s="18">
        <f t="shared" si="248"/>
        <v>2.1236758619405105E-3</v>
      </c>
      <c r="AJ286" s="18">
        <f t="shared" si="248"/>
        <v>2.7246541117542655E-3</v>
      </c>
      <c r="AK286" s="18">
        <f t="shared" si="248"/>
        <v>3.9249174522815178E-3</v>
      </c>
      <c r="AL286" s="18">
        <f t="shared" si="248"/>
        <v>5.1125181489677374E-3</v>
      </c>
      <c r="AM286" s="18">
        <f t="shared" si="248"/>
        <v>5.6849265820495543E-3</v>
      </c>
      <c r="AN286" s="18">
        <f t="shared" si="248"/>
        <v>6.5453368094723352E-3</v>
      </c>
      <c r="AO286" s="18">
        <f t="shared" si="248"/>
        <v>6.7983545983969496E-3</v>
      </c>
      <c r="AP286" s="18">
        <f t="shared" si="248"/>
        <v>7.0460337968465403E-3</v>
      </c>
      <c r="AQ286" s="18">
        <f t="shared" si="248"/>
        <v>6.4136733545578917E-3</v>
      </c>
      <c r="AR286" s="18">
        <f t="shared" si="248"/>
        <v>5.7934548137374975E-3</v>
      </c>
      <c r="AS286" s="18">
        <f t="shared" si="248"/>
        <v>5.1840756244823094E-3</v>
      </c>
      <c r="AT286" s="18">
        <f t="shared" si="248"/>
        <v>4.0112641224809842E-3</v>
      </c>
      <c r="AU286" s="18">
        <f t="shared" si="248"/>
        <v>2.8537415478293582E-3</v>
      </c>
      <c r="AV286" s="18">
        <f t="shared" si="248"/>
        <v>1.9919346169037233E-3</v>
      </c>
      <c r="AW286" s="18">
        <f t="shared" si="248"/>
        <v>1.1359855435879584E-3</v>
      </c>
      <c r="AX286" s="18">
        <f t="shared" si="248"/>
        <v>2.8367413617913506E-4</v>
      </c>
      <c r="AY286" s="18">
        <f t="shared" si="248"/>
        <v>-2.8359368798469564E-4</v>
      </c>
      <c r="AZ286" s="18">
        <f t="shared" si="248"/>
        <v>-8.5102240853751621E-4</v>
      </c>
      <c r="BA286" s="18">
        <f t="shared" si="248"/>
        <v>-1.135663019394717E-3</v>
      </c>
      <c r="BB286" s="18">
        <f t="shared" si="248"/>
        <v>-1.7054313243793917E-3</v>
      </c>
      <c r="BC286" s="18">
        <f t="shared" si="248"/>
        <v>-1.4236206575796162E-3</v>
      </c>
      <c r="BD286" s="18">
        <f t="shared" si="248"/>
        <v>-1.4256502427155704E-3</v>
      </c>
      <c r="BE286" s="18">
        <f t="shared" si="248"/>
        <v>-1.427685623070718E-3</v>
      </c>
      <c r="BF286" s="18">
        <f t="shared" si="248"/>
        <v>-8.5783609410094996E-4</v>
      </c>
      <c r="BG286" s="18">
        <f t="shared" si="248"/>
        <v>-5.7238173911600132E-4</v>
      </c>
      <c r="BH286" s="18">
        <f t="shared" si="248"/>
        <v>0</v>
      </c>
      <c r="BI286" s="18">
        <f t="shared" si="248"/>
        <v>5.7270954760291204E-4</v>
      </c>
    </row>
    <row r="287" spans="1:61" x14ac:dyDescent="0.25">
      <c r="A287" s="11" t="s">
        <v>1142</v>
      </c>
      <c r="B287" s="11"/>
      <c r="C287" s="18">
        <f>C$22/B$22-1</f>
        <v>3.6029982152580464E-2</v>
      </c>
      <c r="D287" s="18">
        <f t="shared" ref="D287:BI287" si="249">D$22/C$22-1</f>
        <v>-1.3233805740437421E-2</v>
      </c>
      <c r="E287" s="18">
        <f t="shared" si="249"/>
        <v>-2.6320436927480428E-2</v>
      </c>
      <c r="F287" s="18">
        <f t="shared" si="249"/>
        <v>-3.1985661769776685E-3</v>
      </c>
      <c r="G287" s="18">
        <f t="shared" si="249"/>
        <v>2.8726470339944576E-2</v>
      </c>
      <c r="H287" s="18">
        <f t="shared" si="249"/>
        <v>-1.2703541011289676E-2</v>
      </c>
      <c r="I287" s="18">
        <f t="shared" si="249"/>
        <v>2.3657369638355075E-2</v>
      </c>
      <c r="J287" s="18">
        <f t="shared" si="249"/>
        <v>5.1340875393803387E-2</v>
      </c>
      <c r="K287" s="18">
        <f t="shared" si="249"/>
        <v>4.1726843807551095E-2</v>
      </c>
      <c r="L287" s="18">
        <f t="shared" si="249"/>
        <v>-9.6192868416110633E-3</v>
      </c>
      <c r="M287" s="18">
        <f t="shared" si="249"/>
        <v>2.9737042726031504E-2</v>
      </c>
      <c r="N287" s="18">
        <f t="shared" si="249"/>
        <v>-7.8188596976259683E-3</v>
      </c>
      <c r="O287" s="18">
        <f t="shared" si="249"/>
        <v>-2.7477171321307337E-3</v>
      </c>
      <c r="P287" s="18">
        <f t="shared" si="249"/>
        <v>1.0820726124949998E-2</v>
      </c>
      <c r="Q287" s="18">
        <f t="shared" si="249"/>
        <v>-4.1610879022847991E-2</v>
      </c>
      <c r="R287" s="18">
        <f t="shared" si="249"/>
        <v>2.1924910468265058E-3</v>
      </c>
      <c r="S287" s="18">
        <f t="shared" si="249"/>
        <v>9.2595762597214026E-3</v>
      </c>
      <c r="T287" s="18">
        <f t="shared" si="249"/>
        <v>2.9651000240087821E-2</v>
      </c>
      <c r="U287" s="18">
        <f t="shared" si="249"/>
        <v>-1.7250172366329641E-2</v>
      </c>
      <c r="V287" s="18">
        <f t="shared" si="249"/>
        <v>1.1472746735688322E-2</v>
      </c>
      <c r="W287" s="18">
        <f t="shared" si="249"/>
        <v>1.7925109435128483E-3</v>
      </c>
      <c r="X287" s="18">
        <f t="shared" si="249"/>
        <v>1.7189796774552457E-2</v>
      </c>
      <c r="Y287" s="18">
        <f t="shared" si="249"/>
        <v>2.1026689968496104E-2</v>
      </c>
      <c r="Z287" s="18">
        <f t="shared" si="249"/>
        <v>-7.2524364130211239E-2</v>
      </c>
      <c r="AA287" s="18">
        <f t="shared" si="249"/>
        <v>5.2663405669666208E-3</v>
      </c>
      <c r="AB287" s="18">
        <f t="shared" si="249"/>
        <v>1.6891273620085245E-2</v>
      </c>
      <c r="AC287" s="18">
        <f t="shared" si="249"/>
        <v>1.7932539238927347E-3</v>
      </c>
      <c r="AD287" s="18">
        <f t="shared" si="249"/>
        <v>8.9502196030410985E-4</v>
      </c>
      <c r="AE287" s="18">
        <f t="shared" si="249"/>
        <v>2.9807387077451786E-4</v>
      </c>
      <c r="AF287" s="18">
        <f t="shared" si="249"/>
        <v>0</v>
      </c>
      <c r="AG287" s="18">
        <f t="shared" si="249"/>
        <v>2.9798504921751956E-4</v>
      </c>
      <c r="AH287" s="18">
        <f t="shared" si="249"/>
        <v>5.957925611592696E-4</v>
      </c>
      <c r="AI287" s="18">
        <f t="shared" si="249"/>
        <v>8.9315670561784799E-4</v>
      </c>
      <c r="AJ287" s="18">
        <f t="shared" si="249"/>
        <v>2.0821726066826418E-3</v>
      </c>
      <c r="AK287" s="18">
        <f t="shared" si="249"/>
        <v>2.6715165072450642E-3</v>
      </c>
      <c r="AL287" s="18">
        <f t="shared" si="249"/>
        <v>4.1446199240600112E-3</v>
      </c>
      <c r="AM287" s="18">
        <f t="shared" si="249"/>
        <v>4.7171576590214759E-3</v>
      </c>
      <c r="AN287" s="18">
        <f t="shared" si="249"/>
        <v>5.8687631925340433E-3</v>
      </c>
      <c r="AO287" s="18">
        <f t="shared" si="249"/>
        <v>6.4179739425429538E-3</v>
      </c>
      <c r="AP287" s="18">
        <f t="shared" si="249"/>
        <v>6.9567777011279031E-3</v>
      </c>
      <c r="AQ287" s="18">
        <f t="shared" si="249"/>
        <v>6.620852166864033E-3</v>
      </c>
      <c r="AR287" s="18">
        <f t="shared" si="249"/>
        <v>6.5773048040995707E-3</v>
      </c>
      <c r="AS287" s="18">
        <f t="shared" si="249"/>
        <v>5.6820230840977093E-3</v>
      </c>
      <c r="AT287" s="18">
        <f t="shared" si="249"/>
        <v>5.0849280968605637E-3</v>
      </c>
      <c r="AU287" s="18">
        <f t="shared" si="249"/>
        <v>3.9349352127135973E-3</v>
      </c>
      <c r="AV287" s="18">
        <f t="shared" si="249"/>
        <v>3.0796167177249423E-3</v>
      </c>
      <c r="AW287" s="18">
        <f t="shared" si="249"/>
        <v>1.9537393248110213E-3</v>
      </c>
      <c r="AX287" s="18">
        <f t="shared" si="249"/>
        <v>1.1142455260189088E-3</v>
      </c>
      <c r="AY287" s="18">
        <f t="shared" si="249"/>
        <v>2.7825134119274786E-4</v>
      </c>
      <c r="AZ287" s="18">
        <f t="shared" si="249"/>
        <v>-2.7817393892104469E-4</v>
      </c>
      <c r="BA287" s="18">
        <f t="shared" si="249"/>
        <v>-5.5650268238538469E-4</v>
      </c>
      <c r="BB287" s="18">
        <f t="shared" si="249"/>
        <v>-1.392031375157643E-3</v>
      </c>
      <c r="BC287" s="18">
        <f t="shared" si="249"/>
        <v>-1.3939718276778645E-3</v>
      </c>
      <c r="BD287" s="18">
        <f t="shared" si="249"/>
        <v>-1.395917697622151E-3</v>
      </c>
      <c r="BE287" s="18">
        <f t="shared" si="249"/>
        <v>-1.3978690077088851E-3</v>
      </c>
      <c r="BF287" s="18">
        <f t="shared" si="249"/>
        <v>-1.1198606246273224E-3</v>
      </c>
      <c r="BG287" s="18">
        <f t="shared" si="249"/>
        <v>-8.4083708881799168E-4</v>
      </c>
      <c r="BH287" s="18">
        <f t="shared" si="249"/>
        <v>-5.6102979387062657E-4</v>
      </c>
      <c r="BI287" s="18">
        <f t="shared" si="249"/>
        <v>0</v>
      </c>
    </row>
    <row r="288" spans="1:61" x14ac:dyDescent="0.25">
      <c r="A288" s="11" t="s">
        <v>1143</v>
      </c>
      <c r="B288" s="11"/>
      <c r="C288" s="18">
        <f>C$23/B$23-1</f>
        <v>-1.9440925742880477E-2</v>
      </c>
      <c r="D288" s="18">
        <f t="shared" ref="D288:BI288" si="250">D$23/C$23-1</f>
        <v>3.9829494252239916E-2</v>
      </c>
      <c r="E288" s="18">
        <f t="shared" si="250"/>
        <v>-1.2833301340572811E-2</v>
      </c>
      <c r="F288" s="18">
        <f t="shared" si="250"/>
        <v>-2.6909794486620231E-2</v>
      </c>
      <c r="G288" s="18">
        <f t="shared" si="250"/>
        <v>-5.7316810656854456E-3</v>
      </c>
      <c r="H288" s="18">
        <f t="shared" si="250"/>
        <v>2.2108775337174258E-2</v>
      </c>
      <c r="I288" s="18">
        <f t="shared" si="250"/>
        <v>-9.6386008682505242E-3</v>
      </c>
      <c r="J288" s="18">
        <f t="shared" si="250"/>
        <v>3.1387578728965249E-2</v>
      </c>
      <c r="K288" s="18">
        <f t="shared" si="250"/>
        <v>5.2056852849292845E-2</v>
      </c>
      <c r="L288" s="18">
        <f t="shared" si="250"/>
        <v>3.8513219853626879E-2</v>
      </c>
      <c r="M288" s="18">
        <f t="shared" si="250"/>
        <v>-1.3892355989635674E-2</v>
      </c>
      <c r="N288" s="18">
        <f t="shared" si="250"/>
        <v>3.4647281146931608E-2</v>
      </c>
      <c r="O288" s="18">
        <f t="shared" si="250"/>
        <v>-8.3069928877983479E-3</v>
      </c>
      <c r="P288" s="18">
        <f t="shared" si="250"/>
        <v>1.108364547803431E-2</v>
      </c>
      <c r="Q288" s="18">
        <f t="shared" si="250"/>
        <v>-1.0264774992167824E-2</v>
      </c>
      <c r="R288" s="18">
        <f t="shared" si="250"/>
        <v>-3.3549151706065761E-2</v>
      </c>
      <c r="S288" s="18">
        <f t="shared" si="250"/>
        <v>2.6652105690229799E-2</v>
      </c>
      <c r="T288" s="18">
        <f t="shared" si="250"/>
        <v>1.0934609007140494E-3</v>
      </c>
      <c r="U288" s="18">
        <f t="shared" si="250"/>
        <v>1.6848072320858831E-2</v>
      </c>
      <c r="V288" s="18">
        <f t="shared" si="250"/>
        <v>-8.5167114624119522E-3</v>
      </c>
      <c r="W288" s="18">
        <f t="shared" si="250"/>
        <v>1.3364881686059205E-2</v>
      </c>
      <c r="X288" s="18">
        <f t="shared" si="250"/>
        <v>2.1176460705196742E-3</v>
      </c>
      <c r="Y288" s="18">
        <f t="shared" si="250"/>
        <v>1.6159120695577345E-2</v>
      </c>
      <c r="Z288" s="18">
        <f t="shared" si="250"/>
        <v>9.6580737183757925E-3</v>
      </c>
      <c r="AA288" s="18">
        <f t="shared" si="250"/>
        <v>-7.2107722183851752E-2</v>
      </c>
      <c r="AB288" s="18">
        <f t="shared" si="250"/>
        <v>5.3199024874637235E-3</v>
      </c>
      <c r="AC288" s="18">
        <f t="shared" si="250"/>
        <v>1.6257034430168904E-2</v>
      </c>
      <c r="AD288" s="18">
        <f t="shared" si="250"/>
        <v>1.7774412355437974E-3</v>
      </c>
      <c r="AE288" s="18">
        <f t="shared" si="250"/>
        <v>1.1828583624666766E-3</v>
      </c>
      <c r="AF288" s="18">
        <f t="shared" si="250"/>
        <v>2.9536521540163285E-4</v>
      </c>
      <c r="AG288" s="18">
        <f t="shared" si="250"/>
        <v>2.9527800055140219E-4</v>
      </c>
      <c r="AH288" s="18">
        <f t="shared" si="250"/>
        <v>0</v>
      </c>
      <c r="AI288" s="18">
        <f t="shared" si="250"/>
        <v>5.9038167438241196E-4</v>
      </c>
      <c r="AJ288" s="18">
        <f t="shared" si="250"/>
        <v>1.1800666590349174E-3</v>
      </c>
      <c r="AK288" s="18">
        <f t="shared" si="250"/>
        <v>2.0626825504050927E-3</v>
      </c>
      <c r="AL288" s="18">
        <f t="shared" si="250"/>
        <v>2.6465614059187903E-3</v>
      </c>
      <c r="AM288" s="18">
        <f t="shared" si="250"/>
        <v>4.1060064997611168E-3</v>
      </c>
      <c r="AN288" s="18">
        <f t="shared" si="250"/>
        <v>4.9654767555913359E-3</v>
      </c>
      <c r="AO288" s="18">
        <f t="shared" si="250"/>
        <v>5.8128736704254891E-3</v>
      </c>
      <c r="AP288" s="18">
        <f t="shared" si="250"/>
        <v>6.3572073939901497E-3</v>
      </c>
      <c r="AQ288" s="18">
        <f t="shared" si="250"/>
        <v>6.8913257518741222E-3</v>
      </c>
      <c r="AR288" s="18">
        <f t="shared" si="250"/>
        <v>6.8441604129703126E-3</v>
      </c>
      <c r="AS288" s="18">
        <f t="shared" si="250"/>
        <v>6.5144014538849326E-3</v>
      </c>
      <c r="AT288" s="18">
        <f t="shared" si="250"/>
        <v>5.6280336458565117E-3</v>
      </c>
      <c r="AU288" s="18">
        <f t="shared" si="250"/>
        <v>5.0368825368831693E-3</v>
      </c>
      <c r="AV288" s="18">
        <f t="shared" si="250"/>
        <v>3.8979418313247471E-3</v>
      </c>
      <c r="AW288" s="18">
        <f t="shared" si="250"/>
        <v>3.0507768311269778E-3</v>
      </c>
      <c r="AX288" s="18">
        <f t="shared" si="250"/>
        <v>2.2119984725834652E-3</v>
      </c>
      <c r="AY288" s="18">
        <f t="shared" si="250"/>
        <v>1.1035581673113359E-3</v>
      </c>
      <c r="AZ288" s="18">
        <f t="shared" si="250"/>
        <v>5.5117083457956184E-4</v>
      </c>
      <c r="BA288" s="18">
        <f t="shared" si="250"/>
        <v>-2.7543360631909763E-4</v>
      </c>
      <c r="BB288" s="18">
        <f t="shared" si="250"/>
        <v>-8.2652847267528085E-4</v>
      </c>
      <c r="BC288" s="18">
        <f t="shared" si="250"/>
        <v>-1.1029495828011049E-3</v>
      </c>
      <c r="BD288" s="18">
        <f t="shared" si="250"/>
        <v>-1.3802092797506882E-3</v>
      </c>
      <c r="BE288" s="18">
        <f t="shared" si="250"/>
        <v>-1.3821168903084269E-3</v>
      </c>
      <c r="BF288" s="18">
        <f t="shared" si="250"/>
        <v>-1.3840297812457436E-3</v>
      </c>
      <c r="BG288" s="18">
        <f t="shared" si="250"/>
        <v>-1.1087583796142164E-3</v>
      </c>
      <c r="BH288" s="18">
        <f t="shared" si="250"/>
        <v>-8.3249181698874519E-4</v>
      </c>
      <c r="BI288" s="18">
        <f t="shared" si="250"/>
        <v>-2.777284790157486E-4</v>
      </c>
    </row>
    <row r="289" spans="1:61" x14ac:dyDescent="0.25">
      <c r="A289" s="11" t="s">
        <v>1144</v>
      </c>
      <c r="B289" s="11"/>
      <c r="C289" s="18">
        <f>C$24/B$24-1</f>
        <v>-1.0569167876653962E-3</v>
      </c>
      <c r="D289" s="18">
        <f t="shared" ref="D289:BI289" si="251">D$24/C$24-1</f>
        <v>-1.7505333856300043E-2</v>
      </c>
      <c r="E289" s="18">
        <f t="shared" si="251"/>
        <v>4.1343787569788626E-2</v>
      </c>
      <c r="F289" s="18">
        <f t="shared" si="251"/>
        <v>-1.174862595619941E-2</v>
      </c>
      <c r="G289" s="18">
        <f t="shared" si="251"/>
        <v>-3.055403287448355E-2</v>
      </c>
      <c r="H289" s="18">
        <f t="shared" si="251"/>
        <v>-1.147736637189456E-2</v>
      </c>
      <c r="I289" s="18">
        <f t="shared" si="251"/>
        <v>2.3560979033688367E-2</v>
      </c>
      <c r="J289" s="18">
        <f t="shared" si="251"/>
        <v>-1.0264580775298793E-3</v>
      </c>
      <c r="K289" s="18">
        <f t="shared" si="251"/>
        <v>3.2562925465499326E-2</v>
      </c>
      <c r="L289" s="18">
        <f t="shared" si="251"/>
        <v>4.8074942794050557E-2</v>
      </c>
      <c r="M289" s="18">
        <f t="shared" si="251"/>
        <v>3.4235847448085055E-2</v>
      </c>
      <c r="N289" s="18">
        <f t="shared" si="251"/>
        <v>-9.1505083859731995E-3</v>
      </c>
      <c r="O289" s="18">
        <f t="shared" si="251"/>
        <v>2.9945390374684466E-2</v>
      </c>
      <c r="P289" s="18">
        <f t="shared" si="251"/>
        <v>8.2626170616311168E-3</v>
      </c>
      <c r="Q289" s="18">
        <f t="shared" si="251"/>
        <v>-1.0836025841754471E-2</v>
      </c>
      <c r="R289" s="18">
        <f t="shared" si="251"/>
        <v>-2.3262212129980808E-3</v>
      </c>
      <c r="S289" s="18">
        <f t="shared" si="251"/>
        <v>-7.8003826083055117E-3</v>
      </c>
      <c r="T289" s="18">
        <f t="shared" si="251"/>
        <v>1.7938014351679854E-2</v>
      </c>
      <c r="U289" s="18">
        <f t="shared" si="251"/>
        <v>-1.1734613833088492E-2</v>
      </c>
      <c r="V289" s="18">
        <f t="shared" si="251"/>
        <v>2.5930727550997679E-2</v>
      </c>
      <c r="W289" s="18">
        <f t="shared" si="251"/>
        <v>-6.8193244228191841E-3</v>
      </c>
      <c r="X289" s="18">
        <f t="shared" si="251"/>
        <v>1.3591511729776906E-2</v>
      </c>
      <c r="Y289" s="18">
        <f t="shared" si="251"/>
        <v>9.1050737904008194E-4</v>
      </c>
      <c r="Z289" s="18">
        <f t="shared" si="251"/>
        <v>5.3844170740344754E-3</v>
      </c>
      <c r="AA289" s="18">
        <f t="shared" si="251"/>
        <v>9.6192300937438802E-3</v>
      </c>
      <c r="AB289" s="18">
        <f t="shared" si="251"/>
        <v>-7.1636329946559441E-2</v>
      </c>
      <c r="AC289" s="18">
        <f t="shared" si="251"/>
        <v>5.0958571889816451E-3</v>
      </c>
      <c r="AD289" s="18">
        <f t="shared" si="251"/>
        <v>1.640300939453776E-2</v>
      </c>
      <c r="AE289" s="18">
        <f t="shared" si="251"/>
        <v>1.760541035531471E-3</v>
      </c>
      <c r="AF289" s="18">
        <f t="shared" si="251"/>
        <v>1.1716313186727056E-3</v>
      </c>
      <c r="AG289" s="18">
        <f t="shared" si="251"/>
        <v>2.9256505129127142E-4</v>
      </c>
      <c r="AH289" s="18">
        <f t="shared" si="251"/>
        <v>2.9247948201671647E-4</v>
      </c>
      <c r="AI289" s="18">
        <f t="shared" si="251"/>
        <v>2.9239396278191165E-4</v>
      </c>
      <c r="AJ289" s="18">
        <f t="shared" si="251"/>
        <v>5.8461698708622833E-4</v>
      </c>
      <c r="AK289" s="18">
        <f t="shared" si="251"/>
        <v>1.1685508195129479E-3</v>
      </c>
      <c r="AL289" s="18">
        <f t="shared" si="251"/>
        <v>2.0425770790282183E-3</v>
      </c>
      <c r="AM289" s="18">
        <f t="shared" si="251"/>
        <v>2.9120192320175597E-3</v>
      </c>
      <c r="AN289" s="18">
        <f t="shared" si="251"/>
        <v>4.0649895969404604E-3</v>
      </c>
      <c r="AO289" s="18">
        <f t="shared" si="251"/>
        <v>4.9160750025416533E-3</v>
      </c>
      <c r="AP289" s="18">
        <f t="shared" si="251"/>
        <v>5.7553240453780408E-3</v>
      </c>
      <c r="AQ289" s="18">
        <f t="shared" si="251"/>
        <v>6.294628821303716E-3</v>
      </c>
      <c r="AR289" s="18">
        <f t="shared" si="251"/>
        <v>6.823913800575454E-3</v>
      </c>
      <c r="AS289" s="18">
        <f t="shared" si="251"/>
        <v>6.7776636083429764E-3</v>
      </c>
      <c r="AT289" s="18">
        <f t="shared" si="251"/>
        <v>6.4515346265390239E-3</v>
      </c>
      <c r="AU289" s="18">
        <f t="shared" si="251"/>
        <v>5.8527722526862114E-3</v>
      </c>
      <c r="AV289" s="18">
        <f t="shared" si="251"/>
        <v>4.9874713966724382E-3</v>
      </c>
      <c r="AW289" s="18">
        <f t="shared" si="251"/>
        <v>4.1355999772987317E-3</v>
      </c>
      <c r="AX289" s="18">
        <f t="shared" si="251"/>
        <v>3.0202826358853851E-3</v>
      </c>
      <c r="AY289" s="18">
        <f t="shared" si="251"/>
        <v>1.9162105435863719E-3</v>
      </c>
      <c r="AZ289" s="18">
        <f t="shared" si="251"/>
        <v>1.3661040738175423E-3</v>
      </c>
      <c r="BA289" s="18">
        <f t="shared" si="251"/>
        <v>5.4569615179089759E-4</v>
      </c>
      <c r="BB289" s="18">
        <f t="shared" si="251"/>
        <v>-2.7269926495598895E-4</v>
      </c>
      <c r="BC289" s="18">
        <f t="shared" si="251"/>
        <v>-5.4554730025979659E-4</v>
      </c>
      <c r="BD289" s="18">
        <f t="shared" si="251"/>
        <v>-1.0916901691441216E-3</v>
      </c>
      <c r="BE289" s="18">
        <f t="shared" si="251"/>
        <v>-1.3661040738175423E-3</v>
      </c>
      <c r="BF289" s="18">
        <f t="shared" si="251"/>
        <v>-1.3679728671242009E-3</v>
      </c>
      <c r="BG289" s="18">
        <f t="shared" si="251"/>
        <v>-1.0958774242815217E-3</v>
      </c>
      <c r="BH289" s="18">
        <f t="shared" si="251"/>
        <v>-1.0970796891455192E-3</v>
      </c>
      <c r="BI289" s="18">
        <f t="shared" si="251"/>
        <v>-8.2371344615050912E-4</v>
      </c>
    </row>
    <row r="290" spans="1:61" x14ac:dyDescent="0.25">
      <c r="A290" s="11" t="s">
        <v>1145</v>
      </c>
      <c r="B290" s="11"/>
      <c r="C290" s="18">
        <f>C$25/B$25-1</f>
        <v>-1.4730907660369885E-2</v>
      </c>
      <c r="D290" s="18">
        <f t="shared" ref="D290:BI290" si="252">D$25/C$25-1</f>
        <v>3.9414983559522554E-3</v>
      </c>
      <c r="E290" s="18">
        <f t="shared" si="252"/>
        <v>-1.8106400422534974E-2</v>
      </c>
      <c r="F290" s="18">
        <f t="shared" si="252"/>
        <v>4.4621776518149137E-2</v>
      </c>
      <c r="G290" s="18">
        <f t="shared" si="252"/>
        <v>-1.3729450552445233E-2</v>
      </c>
      <c r="H290" s="18">
        <f t="shared" si="252"/>
        <v>-3.6278002943776033E-2</v>
      </c>
      <c r="I290" s="18">
        <f t="shared" si="252"/>
        <v>-8.3391271610085971E-3</v>
      </c>
      <c r="J290" s="18">
        <f t="shared" si="252"/>
        <v>2.6946132569946268E-2</v>
      </c>
      <c r="K290" s="18">
        <f t="shared" si="252"/>
        <v>2.7805625313845894E-3</v>
      </c>
      <c r="L290" s="18">
        <f t="shared" si="252"/>
        <v>2.9183280166320991E-2</v>
      </c>
      <c r="M290" s="18">
        <f t="shared" si="252"/>
        <v>4.298670352994538E-2</v>
      </c>
      <c r="N290" s="18">
        <f t="shared" si="252"/>
        <v>3.7079312991389113E-2</v>
      </c>
      <c r="O290" s="18">
        <f t="shared" si="252"/>
        <v>-1.2647492923242409E-2</v>
      </c>
      <c r="P290" s="18">
        <f t="shared" si="252"/>
        <v>4.5156151713170223E-2</v>
      </c>
      <c r="Q290" s="18">
        <f t="shared" si="252"/>
        <v>-1.1692510635284314E-2</v>
      </c>
      <c r="R290" s="18">
        <f t="shared" si="252"/>
        <v>-3.1875981131436193E-3</v>
      </c>
      <c r="S290" s="18">
        <f t="shared" si="252"/>
        <v>2.275327033693797E-2</v>
      </c>
      <c r="T290" s="18">
        <f t="shared" si="252"/>
        <v>-1.3684950623275793E-2</v>
      </c>
      <c r="U290" s="18">
        <f t="shared" si="252"/>
        <v>4.1711943861280076E-3</v>
      </c>
      <c r="V290" s="18">
        <f t="shared" si="252"/>
        <v>-2.6764737741048483E-3</v>
      </c>
      <c r="W290" s="18">
        <f t="shared" si="252"/>
        <v>2.7420605096867057E-2</v>
      </c>
      <c r="X290" s="18">
        <f t="shared" si="252"/>
        <v>-6.4319387364941694E-3</v>
      </c>
      <c r="Y290" s="18">
        <f t="shared" si="252"/>
        <v>1.2595742901684082E-2</v>
      </c>
      <c r="Z290" s="18">
        <f t="shared" si="252"/>
        <v>-8.0325756104896451E-3</v>
      </c>
      <c r="AA290" s="18">
        <f t="shared" si="252"/>
        <v>5.0846347029016581E-3</v>
      </c>
      <c r="AB290" s="18">
        <f t="shared" si="252"/>
        <v>9.3266164557217479E-3</v>
      </c>
      <c r="AC290" s="18">
        <f t="shared" si="252"/>
        <v>-7.0757950127705915E-2</v>
      </c>
      <c r="AD290" s="18">
        <f t="shared" si="252"/>
        <v>5.0368867552552654E-3</v>
      </c>
      <c r="AE290" s="18">
        <f t="shared" si="252"/>
        <v>1.6214141296985174E-2</v>
      </c>
      <c r="AF290" s="18">
        <f t="shared" si="252"/>
        <v>1.7405931902887417E-3</v>
      </c>
      <c r="AG290" s="18">
        <f t="shared" si="252"/>
        <v>1.1583791932567866E-3</v>
      </c>
      <c r="AH290" s="18">
        <f t="shared" si="252"/>
        <v>5.7851945173270636E-4</v>
      </c>
      <c r="AI290" s="18">
        <f t="shared" si="252"/>
        <v>2.8909248024322487E-4</v>
      </c>
      <c r="AJ290" s="18">
        <f t="shared" si="252"/>
        <v>2.8900892993477534E-4</v>
      </c>
      <c r="AK290" s="18">
        <f t="shared" si="252"/>
        <v>5.7785085581207873E-4</v>
      </c>
      <c r="AL290" s="18">
        <f t="shared" si="252"/>
        <v>1.1550342740804798E-3</v>
      </c>
      <c r="AM290" s="18">
        <f t="shared" si="252"/>
        <v>2.0189779908625916E-3</v>
      </c>
      <c r="AN290" s="18">
        <f t="shared" si="252"/>
        <v>3.1662870360884554E-3</v>
      </c>
      <c r="AO290" s="18">
        <f t="shared" si="252"/>
        <v>3.730164815606285E-3</v>
      </c>
      <c r="AP290" s="18">
        <f t="shared" si="252"/>
        <v>5.1456494702322164E-3</v>
      </c>
      <c r="AQ290" s="18">
        <f t="shared" si="252"/>
        <v>5.6881192325424212E-3</v>
      </c>
      <c r="AR290" s="18">
        <f t="shared" si="252"/>
        <v>6.5043396579205215E-3</v>
      </c>
      <c r="AS290" s="18">
        <f t="shared" si="252"/>
        <v>6.7432764737593853E-3</v>
      </c>
      <c r="AT290" s="18">
        <f t="shared" si="252"/>
        <v>6.6981092710929335E-3</v>
      </c>
      <c r="AU290" s="18">
        <f t="shared" si="252"/>
        <v>6.3763121492750319E-3</v>
      </c>
      <c r="AV290" s="18">
        <f t="shared" si="252"/>
        <v>5.7849634902649161E-3</v>
      </c>
      <c r="AW290" s="18">
        <f t="shared" si="252"/>
        <v>4.9300201479507422E-3</v>
      </c>
      <c r="AX290" s="18">
        <f t="shared" si="252"/>
        <v>4.0881952383982068E-3</v>
      </c>
      <c r="AY290" s="18">
        <f t="shared" si="252"/>
        <v>2.9858032946799007E-3</v>
      </c>
      <c r="AZ290" s="18">
        <f t="shared" si="252"/>
        <v>2.1650289546359947E-3</v>
      </c>
      <c r="BA290" s="18">
        <f t="shared" si="252"/>
        <v>1.3502198316168723E-3</v>
      </c>
      <c r="BB290" s="18">
        <f t="shared" si="252"/>
        <v>5.3935967851237443E-4</v>
      </c>
      <c r="BC290" s="18">
        <f t="shared" si="252"/>
        <v>0</v>
      </c>
      <c r="BD290" s="18">
        <f t="shared" si="252"/>
        <v>-8.086033897043432E-4</v>
      </c>
      <c r="BE290" s="18">
        <f t="shared" si="252"/>
        <v>-8.0925775827078716E-4</v>
      </c>
      <c r="BF290" s="18">
        <f t="shared" si="252"/>
        <v>-1.3498553113345801E-3</v>
      </c>
      <c r="BG290" s="18">
        <f t="shared" si="252"/>
        <v>-1.0813439068837472E-3</v>
      </c>
      <c r="BH290" s="18">
        <f t="shared" si="252"/>
        <v>-1.3531430966474689E-3</v>
      </c>
      <c r="BI290" s="18">
        <f t="shared" si="252"/>
        <v>-1.0839812590756059E-3</v>
      </c>
    </row>
    <row r="291" spans="1:61" x14ac:dyDescent="0.25">
      <c r="A291" s="11" t="s">
        <v>1146</v>
      </c>
      <c r="B291" s="11"/>
      <c r="C291" s="18">
        <f>C$26/B$26-1</f>
        <v>-2.3806225926981672E-2</v>
      </c>
      <c r="D291" s="18">
        <f t="shared" ref="D291:BI291" si="253">D$26/C$26-1</f>
        <v>-8.008556979827941E-3</v>
      </c>
      <c r="E291" s="18">
        <f t="shared" si="253"/>
        <v>3.5510568963297295E-3</v>
      </c>
      <c r="F291" s="18">
        <f t="shared" si="253"/>
        <v>-1.7696871376230883E-2</v>
      </c>
      <c r="G291" s="18">
        <f t="shared" si="253"/>
        <v>4.2936285793654605E-2</v>
      </c>
      <c r="H291" s="18">
        <f t="shared" si="253"/>
        <v>-1.5454701784056279E-2</v>
      </c>
      <c r="I291" s="18">
        <f t="shared" si="253"/>
        <v>-3.4861423858373874E-2</v>
      </c>
      <c r="J291" s="18">
        <f t="shared" si="253"/>
        <v>-4.60259918634498E-3</v>
      </c>
      <c r="K291" s="18">
        <f t="shared" si="253"/>
        <v>2.8174571475577004E-2</v>
      </c>
      <c r="L291" s="18">
        <f t="shared" si="253"/>
        <v>8.3413750623284599E-4</v>
      </c>
      <c r="M291" s="18">
        <f t="shared" si="253"/>
        <v>2.341247912011335E-2</v>
      </c>
      <c r="N291" s="18">
        <f t="shared" si="253"/>
        <v>5.0368462340200537E-2</v>
      </c>
      <c r="O291" s="18">
        <f t="shared" si="253"/>
        <v>3.3228423472623669E-2</v>
      </c>
      <c r="P291" s="18">
        <f t="shared" si="253"/>
        <v>8.764106911995917E-4</v>
      </c>
      <c r="Q291" s="18">
        <f t="shared" si="253"/>
        <v>2.2512163941612817E-2</v>
      </c>
      <c r="R291" s="18">
        <f t="shared" si="253"/>
        <v>-4.9285820995832452E-3</v>
      </c>
      <c r="S291" s="18">
        <f t="shared" si="253"/>
        <v>2.2036166167433535E-2</v>
      </c>
      <c r="T291" s="18">
        <f t="shared" si="253"/>
        <v>1.3269231965696626E-2</v>
      </c>
      <c r="U291" s="18">
        <f t="shared" si="253"/>
        <v>-2.3349502188531379E-2</v>
      </c>
      <c r="V291" s="18">
        <f t="shared" si="253"/>
        <v>1.2995044335773809E-2</v>
      </c>
      <c r="W291" s="18">
        <f t="shared" si="253"/>
        <v>-6.9986690658641049E-4</v>
      </c>
      <c r="X291" s="18">
        <f t="shared" si="253"/>
        <v>2.7212777131776278E-2</v>
      </c>
      <c r="Y291" s="18">
        <f t="shared" si="253"/>
        <v>-6.9548918385838876E-3</v>
      </c>
      <c r="Z291" s="18">
        <f t="shared" si="253"/>
        <v>1.9266789810672424E-3</v>
      </c>
      <c r="AA291" s="18">
        <f t="shared" si="253"/>
        <v>-7.9015536696708244E-3</v>
      </c>
      <c r="AB291" s="18">
        <f t="shared" si="253"/>
        <v>5.1341096319892365E-3</v>
      </c>
      <c r="AC291" s="18">
        <f t="shared" si="253"/>
        <v>8.8056602969062148E-3</v>
      </c>
      <c r="AD291" s="18">
        <f t="shared" si="253"/>
        <v>-7.0103154693554326E-2</v>
      </c>
      <c r="AE291" s="18">
        <f t="shared" si="253"/>
        <v>5.2801002633153793E-3</v>
      </c>
      <c r="AF291" s="18">
        <f t="shared" si="253"/>
        <v>1.6048899892913138E-2</v>
      </c>
      <c r="AG291" s="18">
        <f t="shared" si="253"/>
        <v>1.7231346635102618E-3</v>
      </c>
      <c r="AH291" s="18">
        <f t="shared" si="253"/>
        <v>1.1467803853066894E-3</v>
      </c>
      <c r="AI291" s="18">
        <f t="shared" si="253"/>
        <v>5.7273339323193895E-4</v>
      </c>
      <c r="AJ291" s="18">
        <f t="shared" si="253"/>
        <v>5.7240555745474708E-4</v>
      </c>
      <c r="AK291" s="18">
        <f t="shared" si="253"/>
        <v>2.8603904838653271E-4</v>
      </c>
      <c r="AL291" s="18">
        <f t="shared" si="253"/>
        <v>5.7191450689164647E-4</v>
      </c>
      <c r="AM291" s="18">
        <f t="shared" si="253"/>
        <v>1.4289690191171545E-3</v>
      </c>
      <c r="AN291" s="18">
        <f t="shared" si="253"/>
        <v>1.9977019725356815E-3</v>
      </c>
      <c r="AO291" s="18">
        <f t="shared" si="253"/>
        <v>2.8481701656073444E-3</v>
      </c>
      <c r="AP291" s="18">
        <f t="shared" si="253"/>
        <v>3.9761135837659278E-3</v>
      </c>
      <c r="AQ291" s="18">
        <f t="shared" si="253"/>
        <v>5.0919000632616562E-3</v>
      </c>
      <c r="AR291" s="18">
        <f t="shared" si="253"/>
        <v>5.9104546295034588E-3</v>
      </c>
      <c r="AS291" s="18">
        <f t="shared" si="253"/>
        <v>6.1555229110692444E-3</v>
      </c>
      <c r="AT291" s="18">
        <f t="shared" si="253"/>
        <v>6.9521184743928099E-3</v>
      </c>
      <c r="AU291" s="18">
        <f t="shared" si="253"/>
        <v>6.6279554042041333E-3</v>
      </c>
      <c r="AV291" s="18">
        <f t="shared" si="253"/>
        <v>6.3099684064953365E-3</v>
      </c>
      <c r="AW291" s="18">
        <f t="shared" si="253"/>
        <v>5.997776175860059E-3</v>
      </c>
      <c r="AX291" s="18">
        <f t="shared" si="253"/>
        <v>4.8780141793822729E-3</v>
      </c>
      <c r="AY291" s="18">
        <f t="shared" si="253"/>
        <v>4.0452788883746926E-3</v>
      </c>
      <c r="AZ291" s="18">
        <f t="shared" si="253"/>
        <v>2.9545857282047283E-3</v>
      </c>
      <c r="BA291" s="18">
        <f t="shared" si="253"/>
        <v>2.1424595401320357E-3</v>
      </c>
      <c r="BB291" s="18">
        <f t="shared" si="253"/>
        <v>1.3361745127502545E-3</v>
      </c>
      <c r="BC291" s="18">
        <f t="shared" si="253"/>
        <v>5.3375661311760858E-4</v>
      </c>
      <c r="BD291" s="18">
        <f t="shared" si="253"/>
        <v>0</v>
      </c>
      <c r="BE291" s="18">
        <f t="shared" si="253"/>
        <v>-5.3347186897967358E-4</v>
      </c>
      <c r="BF291" s="18">
        <f t="shared" si="253"/>
        <v>-8.0063491967652389E-4</v>
      </c>
      <c r="BG291" s="18">
        <f t="shared" si="253"/>
        <v>-1.3354607493039072E-3</v>
      </c>
      <c r="BH291" s="18">
        <f t="shared" si="253"/>
        <v>-1.0697972717091941E-3</v>
      </c>
      <c r="BI291" s="18">
        <f t="shared" si="253"/>
        <v>-1.0709429635697987E-3</v>
      </c>
    </row>
    <row r="292" spans="1:61" x14ac:dyDescent="0.25">
      <c r="A292" s="11" t="s">
        <v>1147</v>
      </c>
      <c r="B292" s="11"/>
      <c r="C292" s="18">
        <f>C$27/B$27-1</f>
        <v>-2.5796233404586921E-3</v>
      </c>
      <c r="D292" s="18">
        <f t="shared" ref="D292:BI292" si="254">D$27/C$27-1</f>
        <v>-1.8794616789170049E-2</v>
      </c>
      <c r="E292" s="18">
        <f t="shared" si="254"/>
        <v>-4.2810446636839528E-3</v>
      </c>
      <c r="F292" s="18">
        <f t="shared" si="254"/>
        <v>6.9287929310160035E-3</v>
      </c>
      <c r="G292" s="18">
        <f t="shared" si="254"/>
        <v>-2.0308112096350084E-2</v>
      </c>
      <c r="H292" s="18">
        <f t="shared" si="254"/>
        <v>3.7371072485459012E-2</v>
      </c>
      <c r="I292" s="18">
        <f t="shared" si="254"/>
        <v>-1.1735654984321497E-2</v>
      </c>
      <c r="J292" s="18">
        <f t="shared" si="254"/>
        <v>-2.9455888385135909E-2</v>
      </c>
      <c r="K292" s="18">
        <f t="shared" si="254"/>
        <v>-2.8515492782442697E-3</v>
      </c>
      <c r="L292" s="18">
        <f t="shared" si="254"/>
        <v>2.4122857686873722E-2</v>
      </c>
      <c r="M292" s="18">
        <f t="shared" si="254"/>
        <v>-4.1433451937169519E-3</v>
      </c>
      <c r="N292" s="18">
        <f t="shared" si="254"/>
        <v>2.9098344579886914E-2</v>
      </c>
      <c r="O292" s="18">
        <f t="shared" si="254"/>
        <v>4.6719961397515108E-2</v>
      </c>
      <c r="P292" s="18">
        <f t="shared" si="254"/>
        <v>4.7360551058718281E-2</v>
      </c>
      <c r="Q292" s="18">
        <f t="shared" si="254"/>
        <v>-2.1947484972587028E-2</v>
      </c>
      <c r="R292" s="18">
        <f t="shared" si="254"/>
        <v>3.0345874035500264E-2</v>
      </c>
      <c r="S292" s="18">
        <f t="shared" si="254"/>
        <v>2.0094514064193492E-2</v>
      </c>
      <c r="T292" s="18">
        <f t="shared" si="254"/>
        <v>1.3461957444140138E-2</v>
      </c>
      <c r="U292" s="18">
        <f t="shared" si="254"/>
        <v>2.3227196404167483E-3</v>
      </c>
      <c r="V292" s="18">
        <f t="shared" si="254"/>
        <v>-1.4534224137600082E-2</v>
      </c>
      <c r="W292" s="18">
        <f t="shared" si="254"/>
        <v>1.487573556169175E-2</v>
      </c>
      <c r="X292" s="18">
        <f t="shared" si="254"/>
        <v>-6.7830167202576064E-4</v>
      </c>
      <c r="Y292" s="18">
        <f t="shared" si="254"/>
        <v>2.6372659807004872E-2</v>
      </c>
      <c r="Z292" s="18">
        <f t="shared" si="254"/>
        <v>-1.524758955303096E-2</v>
      </c>
      <c r="AA292" s="18">
        <f t="shared" si="254"/>
        <v>1.685694613936306E-3</v>
      </c>
      <c r="AB292" s="18">
        <f t="shared" si="254"/>
        <v>-7.984227241512043E-3</v>
      </c>
      <c r="AC292" s="18">
        <f t="shared" si="254"/>
        <v>4.9213165004680093E-3</v>
      </c>
      <c r="AD292" s="18">
        <f t="shared" si="254"/>
        <v>8.9782288782678243E-3</v>
      </c>
      <c r="AE292" s="18">
        <f t="shared" si="254"/>
        <v>-6.9299174385078266E-2</v>
      </c>
      <c r="AF292" s="18">
        <f t="shared" si="254"/>
        <v>5.2150363890330897E-3</v>
      </c>
      <c r="AG292" s="18">
        <f t="shared" si="254"/>
        <v>1.5852163799872976E-2</v>
      </c>
      <c r="AH292" s="18">
        <f t="shared" si="254"/>
        <v>1.9860646970883966E-3</v>
      </c>
      <c r="AI292" s="18">
        <f t="shared" si="254"/>
        <v>1.1326446071533436E-3</v>
      </c>
      <c r="AJ292" s="18">
        <f t="shared" si="254"/>
        <v>5.6568158737735352E-4</v>
      </c>
      <c r="AK292" s="18">
        <f t="shared" si="254"/>
        <v>5.6536177263244447E-4</v>
      </c>
      <c r="AL292" s="18">
        <f t="shared" si="254"/>
        <v>2.8252115965266E-4</v>
      </c>
      <c r="AM292" s="18">
        <f t="shared" si="254"/>
        <v>8.4732409197263436E-4</v>
      </c>
      <c r="AN292" s="18">
        <f t="shared" si="254"/>
        <v>1.128808988911878E-3</v>
      </c>
      <c r="AO292" s="18">
        <f t="shared" si="254"/>
        <v>2.2550724317922377E-3</v>
      </c>
      <c r="AP292" s="18">
        <f t="shared" si="254"/>
        <v>2.8124981526918003E-3</v>
      </c>
      <c r="AQ292" s="18">
        <f t="shared" si="254"/>
        <v>4.2069152875627847E-3</v>
      </c>
      <c r="AR292" s="18">
        <f t="shared" si="254"/>
        <v>4.7478634665039099E-3</v>
      </c>
      <c r="AS292" s="18">
        <f t="shared" si="254"/>
        <v>5.8372931407175699E-3</v>
      </c>
      <c r="AT292" s="18">
        <f t="shared" si="254"/>
        <v>6.3561232660436229E-3</v>
      </c>
      <c r="AU292" s="18">
        <f t="shared" si="254"/>
        <v>6.8651936201091779E-3</v>
      </c>
      <c r="AV292" s="18">
        <f t="shared" si="254"/>
        <v>6.5456487294082155E-3</v>
      </c>
      <c r="AW292" s="18">
        <f t="shared" si="254"/>
        <v>6.5030818400249046E-3</v>
      </c>
      <c r="AX292" s="18">
        <f t="shared" si="254"/>
        <v>5.6534318798302508E-3</v>
      </c>
      <c r="AY292" s="18">
        <f t="shared" si="254"/>
        <v>5.0862549998715867E-3</v>
      </c>
      <c r="AZ292" s="18">
        <f t="shared" si="254"/>
        <v>3.9951441516661301E-3</v>
      </c>
      <c r="BA292" s="18">
        <f t="shared" si="254"/>
        <v>2.9181140914422699E-3</v>
      </c>
      <c r="BB292" s="18">
        <f t="shared" si="254"/>
        <v>2.3806010275935208E-3</v>
      </c>
      <c r="BC292" s="18">
        <f t="shared" si="254"/>
        <v>1.3194151254374287E-3</v>
      </c>
      <c r="BD292" s="18">
        <f t="shared" si="254"/>
        <v>5.2707062521983872E-4</v>
      </c>
      <c r="BE292" s="18">
        <f t="shared" si="254"/>
        <v>0</v>
      </c>
      <c r="BF292" s="18">
        <f t="shared" si="254"/>
        <v>-5.2679296812074838E-4</v>
      </c>
      <c r="BG292" s="18">
        <f t="shared" si="254"/>
        <v>-7.9060593782975808E-4</v>
      </c>
      <c r="BH292" s="18">
        <f t="shared" si="254"/>
        <v>-1.0549753201921641E-3</v>
      </c>
      <c r="BI292" s="18">
        <f t="shared" si="254"/>
        <v>-1.3201118356466202E-3</v>
      </c>
    </row>
    <row r="293" spans="1:61" x14ac:dyDescent="0.25">
      <c r="A293" s="11" t="s">
        <v>1148</v>
      </c>
      <c r="B293" s="11"/>
      <c r="C293" s="18">
        <f>C$28/B$28-1</f>
        <v>-2.723131395058076E-2</v>
      </c>
      <c r="D293" s="18">
        <f t="shared" ref="D293:BI293" si="255">D$28/C$28-1</f>
        <v>1.4878394547677143E-3</v>
      </c>
      <c r="E293" s="18">
        <f t="shared" si="255"/>
        <v>-1.5810512798866805E-2</v>
      </c>
      <c r="F293" s="18">
        <f t="shared" si="255"/>
        <v>4.5985515769553231E-4</v>
      </c>
      <c r="G293" s="18">
        <f t="shared" si="255"/>
        <v>3.103550452224324E-3</v>
      </c>
      <c r="H293" s="18">
        <f t="shared" si="255"/>
        <v>-2.3030637915138374E-2</v>
      </c>
      <c r="I293" s="18">
        <f t="shared" si="255"/>
        <v>3.8055768127315259E-2</v>
      </c>
      <c r="J293" s="18">
        <f t="shared" si="255"/>
        <v>-6.1454442115398411E-3</v>
      </c>
      <c r="K293" s="18">
        <f t="shared" si="255"/>
        <v>-2.4967839794198921E-2</v>
      </c>
      <c r="L293" s="18">
        <f t="shared" si="255"/>
        <v>-7.8330467808773729E-3</v>
      </c>
      <c r="M293" s="18">
        <f t="shared" si="255"/>
        <v>1.8081855461206331E-2</v>
      </c>
      <c r="N293" s="18">
        <f t="shared" si="255"/>
        <v>5.4478131679132069E-3</v>
      </c>
      <c r="O293" s="18">
        <f t="shared" si="255"/>
        <v>2.4457474561359049E-2</v>
      </c>
      <c r="P293" s="18">
        <f t="shared" si="255"/>
        <v>6.1501578556954817E-2</v>
      </c>
      <c r="Q293" s="18">
        <f t="shared" si="255"/>
        <v>2.4205217915988841E-2</v>
      </c>
      <c r="R293" s="18">
        <f t="shared" si="255"/>
        <v>-1.7043161979729438E-2</v>
      </c>
      <c r="S293" s="18">
        <f t="shared" si="255"/>
        <v>5.4486604346349221E-2</v>
      </c>
      <c r="T293" s="18">
        <f t="shared" si="255"/>
        <v>1.2182250662655214E-2</v>
      </c>
      <c r="U293" s="18">
        <f t="shared" si="255"/>
        <v>4.6475658395759289E-3</v>
      </c>
      <c r="V293" s="18">
        <f t="shared" si="255"/>
        <v>1.0878139758340843E-2</v>
      </c>
      <c r="W293" s="18">
        <f t="shared" si="255"/>
        <v>-1.2481432475905163E-2</v>
      </c>
      <c r="X293" s="18">
        <f t="shared" si="255"/>
        <v>1.4764322769517335E-2</v>
      </c>
      <c r="Y293" s="18">
        <f t="shared" si="255"/>
        <v>-1.5558569046237869E-3</v>
      </c>
      <c r="Z293" s="18">
        <f t="shared" si="255"/>
        <v>1.4258317240564589E-2</v>
      </c>
      <c r="AA293" s="18">
        <f t="shared" si="255"/>
        <v>-1.5327537431556348E-2</v>
      </c>
      <c r="AB293" s="18">
        <f t="shared" si="255"/>
        <v>1.7674074927935823E-3</v>
      </c>
      <c r="AC293" s="18">
        <f t="shared" si="255"/>
        <v>-7.7968484409789429E-3</v>
      </c>
      <c r="AD293" s="18">
        <f t="shared" si="255"/>
        <v>4.6064823723739323E-3</v>
      </c>
      <c r="AE293" s="18">
        <f t="shared" si="255"/>
        <v>8.9009929264194376E-3</v>
      </c>
      <c r="AF293" s="18">
        <f t="shared" si="255"/>
        <v>-6.8440934668978382E-2</v>
      </c>
      <c r="AG293" s="18">
        <f t="shared" si="255"/>
        <v>5.1658057959025339E-3</v>
      </c>
      <c r="AH293" s="18">
        <f t="shared" si="255"/>
        <v>1.5703286470327926E-2</v>
      </c>
      <c r="AI293" s="18">
        <f t="shared" si="255"/>
        <v>1.9677007280038961E-3</v>
      </c>
      <c r="AJ293" s="18">
        <f t="shared" si="255"/>
        <v>1.1221922774409254E-3</v>
      </c>
      <c r="AK293" s="18">
        <f t="shared" si="255"/>
        <v>8.4070078015763272E-4</v>
      </c>
      <c r="AL293" s="18">
        <f t="shared" si="255"/>
        <v>2.7999819868185227E-4</v>
      </c>
      <c r="AM293" s="18">
        <f t="shared" si="255"/>
        <v>5.5983964327199764E-4</v>
      </c>
      <c r="AN293" s="18">
        <f t="shared" si="255"/>
        <v>8.392895973190484E-4</v>
      </c>
      <c r="AO293" s="18">
        <f t="shared" si="255"/>
        <v>1.3976429683277836E-3</v>
      </c>
      <c r="AP293" s="18">
        <f t="shared" si="255"/>
        <v>1.9539692043399892E-3</v>
      </c>
      <c r="AQ293" s="18">
        <f t="shared" si="255"/>
        <v>3.064535028320492E-3</v>
      </c>
      <c r="AR293" s="18">
        <f t="shared" si="255"/>
        <v>3.8884011671904695E-3</v>
      </c>
      <c r="AS293" s="18">
        <f t="shared" si="255"/>
        <v>4.9800086577673763E-3</v>
      </c>
      <c r="AT293" s="18">
        <f t="shared" si="255"/>
        <v>5.7812195771818065E-3</v>
      </c>
      <c r="AU293" s="18">
        <f t="shared" si="255"/>
        <v>6.2954167314117626E-3</v>
      </c>
      <c r="AV293" s="18">
        <f t="shared" si="255"/>
        <v>6.8000352177892687E-3</v>
      </c>
      <c r="AW293" s="18">
        <f t="shared" si="255"/>
        <v>6.7541070519712143E-3</v>
      </c>
      <c r="AX293" s="18">
        <f t="shared" si="255"/>
        <v>6.4404433262050809E-3</v>
      </c>
      <c r="AY293" s="18">
        <f t="shared" si="255"/>
        <v>5.599325770141883E-3</v>
      </c>
      <c r="AZ293" s="18">
        <f t="shared" si="255"/>
        <v>5.0378480965032058E-3</v>
      </c>
      <c r="BA293" s="18">
        <f t="shared" si="255"/>
        <v>3.9573121597082928E-3</v>
      </c>
      <c r="BB293" s="18">
        <f t="shared" si="255"/>
        <v>3.1533708549382755E-3</v>
      </c>
      <c r="BC293" s="18">
        <f t="shared" si="255"/>
        <v>2.3575937737099206E-3</v>
      </c>
      <c r="BD293" s="18">
        <f t="shared" si="255"/>
        <v>1.3066936658769901E-3</v>
      </c>
      <c r="BE293" s="18">
        <f t="shared" si="255"/>
        <v>5.21995378296225E-4</v>
      </c>
      <c r="BF293" s="18">
        <f t="shared" si="255"/>
        <v>0</v>
      </c>
      <c r="BG293" s="18">
        <f t="shared" si="255"/>
        <v>-2.608615206399767E-4</v>
      </c>
      <c r="BH293" s="18">
        <f t="shared" si="255"/>
        <v>-7.8278876138671016E-4</v>
      </c>
      <c r="BI293" s="18">
        <f t="shared" si="255"/>
        <v>-1.0445359995568948E-3</v>
      </c>
    </row>
    <row r="294" spans="1:61" x14ac:dyDescent="0.25">
      <c r="A294" s="11" t="s">
        <v>1149</v>
      </c>
      <c r="B294" s="11"/>
      <c r="C294" s="18">
        <f>C$29/B$29-1</f>
        <v>-1.1674097200770062E-2</v>
      </c>
      <c r="D294" s="18">
        <f t="shared" ref="D294:BI294" si="256">D$29/C$29-1</f>
        <v>-2.1287713262576502E-2</v>
      </c>
      <c r="E294" s="18">
        <f t="shared" si="256"/>
        <v>2.45893809010167E-3</v>
      </c>
      <c r="F294" s="18">
        <f t="shared" si="256"/>
        <v>-9.4776116445685066E-3</v>
      </c>
      <c r="G294" s="18">
        <f t="shared" si="256"/>
        <v>4.0609984227701901E-4</v>
      </c>
      <c r="H294" s="18">
        <f t="shared" si="256"/>
        <v>-1.7244134542383494E-3</v>
      </c>
      <c r="I294" s="18">
        <f t="shared" si="256"/>
        <v>-2.0952845708156254E-2</v>
      </c>
      <c r="J294" s="18">
        <f t="shared" si="256"/>
        <v>3.957357716212706E-2</v>
      </c>
      <c r="K294" s="18">
        <f t="shared" si="256"/>
        <v>-5.4243097829864695E-4</v>
      </c>
      <c r="L294" s="18">
        <f t="shared" si="256"/>
        <v>-2.6299273645978061E-2</v>
      </c>
      <c r="M294" s="18">
        <f t="shared" si="256"/>
        <v>-1.1632359162822348E-2</v>
      </c>
      <c r="N294" s="18">
        <f t="shared" si="256"/>
        <v>2.1305992652523198E-2</v>
      </c>
      <c r="O294" s="18">
        <f t="shared" si="256"/>
        <v>2.9276452165600819E-3</v>
      </c>
      <c r="P294" s="18">
        <f t="shared" si="256"/>
        <v>3.6643706479404958E-2</v>
      </c>
      <c r="Q294" s="18">
        <f t="shared" si="256"/>
        <v>4.0185858600030322E-2</v>
      </c>
      <c r="R294" s="18">
        <f t="shared" si="256"/>
        <v>3.0411338300572632E-2</v>
      </c>
      <c r="S294" s="18">
        <f t="shared" si="256"/>
        <v>7.7037477403882892E-3</v>
      </c>
      <c r="T294" s="18">
        <f t="shared" si="256"/>
        <v>4.4015381332949577E-2</v>
      </c>
      <c r="U294" s="18">
        <f t="shared" si="256"/>
        <v>2.8936421603606988E-3</v>
      </c>
      <c r="V294" s="18">
        <f t="shared" si="256"/>
        <v>1.349936517001793E-2</v>
      </c>
      <c r="W294" s="18">
        <f t="shared" si="256"/>
        <v>1.2471577482535245E-2</v>
      </c>
      <c r="X294" s="18">
        <f t="shared" si="256"/>
        <v>-1.2057672824816845E-2</v>
      </c>
      <c r="Y294" s="18">
        <f t="shared" si="256"/>
        <v>1.4023459446476538E-2</v>
      </c>
      <c r="Z294" s="18">
        <f t="shared" si="256"/>
        <v>-1.0510969930695335E-2</v>
      </c>
      <c r="AA294" s="18">
        <f t="shared" si="256"/>
        <v>1.3866479230189244E-2</v>
      </c>
      <c r="AB294" s="18">
        <f t="shared" si="256"/>
        <v>-1.5047827617785892E-2</v>
      </c>
      <c r="AC294" s="18">
        <f t="shared" si="256"/>
        <v>1.5959233583060506E-3</v>
      </c>
      <c r="AD294" s="18">
        <f t="shared" si="256"/>
        <v>-7.7013388186347731E-3</v>
      </c>
      <c r="AE294" s="18">
        <f t="shared" si="256"/>
        <v>4.8172405372526317E-3</v>
      </c>
      <c r="AF294" s="18">
        <f t="shared" si="256"/>
        <v>8.7892676352843147E-3</v>
      </c>
      <c r="AG294" s="18">
        <f t="shared" si="256"/>
        <v>-6.758934865966193E-2</v>
      </c>
      <c r="AH294" s="18">
        <f t="shared" si="256"/>
        <v>4.8137107592869377E-3</v>
      </c>
      <c r="AI294" s="18">
        <f t="shared" si="256"/>
        <v>1.5780964561104227E-2</v>
      </c>
      <c r="AJ294" s="18">
        <f t="shared" si="256"/>
        <v>1.9419743418704893E-3</v>
      </c>
      <c r="AK294" s="18">
        <f t="shared" si="256"/>
        <v>1.3844359907353443E-3</v>
      </c>
      <c r="AL294" s="18">
        <f t="shared" si="256"/>
        <v>8.295131865310168E-4</v>
      </c>
      <c r="AM294" s="18">
        <f t="shared" si="256"/>
        <v>2.7627522157103179E-4</v>
      </c>
      <c r="AN294" s="18">
        <f t="shared" si="256"/>
        <v>5.5239782930915915E-4</v>
      </c>
      <c r="AO294" s="18">
        <f t="shared" si="256"/>
        <v>8.2813928162228656E-4</v>
      </c>
      <c r="AP294" s="18">
        <f t="shared" si="256"/>
        <v>1.3790900573877884E-3</v>
      </c>
      <c r="AQ294" s="18">
        <f t="shared" si="256"/>
        <v>2.2035052596254268E-3</v>
      </c>
      <c r="AR294" s="18">
        <f t="shared" si="256"/>
        <v>3.0231581870190372E-3</v>
      </c>
      <c r="AS294" s="18">
        <f t="shared" si="256"/>
        <v>4.1100630660368953E-3</v>
      </c>
      <c r="AT294" s="18">
        <f t="shared" si="256"/>
        <v>4.9118875117974969E-3</v>
      </c>
      <c r="AU294" s="18">
        <f t="shared" si="256"/>
        <v>5.7025252677820326E-3</v>
      </c>
      <c r="AV294" s="18">
        <f t="shared" si="256"/>
        <v>6.2102090383731046E-3</v>
      </c>
      <c r="AW294" s="18">
        <f t="shared" si="256"/>
        <v>6.7085656207703792E-3</v>
      </c>
      <c r="AX294" s="18">
        <f t="shared" si="256"/>
        <v>6.663860674150035E-3</v>
      </c>
      <c r="AY294" s="18">
        <f t="shared" si="256"/>
        <v>6.35495769451766E-3</v>
      </c>
      <c r="AZ294" s="18">
        <f t="shared" si="256"/>
        <v>5.7885916317108599E-3</v>
      </c>
      <c r="BA294" s="18">
        <f t="shared" si="256"/>
        <v>4.7088627424793916E-3</v>
      </c>
      <c r="BB294" s="18">
        <f t="shared" si="256"/>
        <v>4.1660384677681961E-3</v>
      </c>
      <c r="BC294" s="18">
        <f t="shared" si="256"/>
        <v>3.1115659473941459E-3</v>
      </c>
      <c r="BD294" s="18">
        <f t="shared" si="256"/>
        <v>2.3264356027452582E-3</v>
      </c>
      <c r="BE294" s="18">
        <f t="shared" si="256"/>
        <v>1.2894643679333129E-3</v>
      </c>
      <c r="BF294" s="18">
        <f t="shared" si="256"/>
        <v>7.7268227449933669E-4</v>
      </c>
      <c r="BG294" s="18">
        <f t="shared" si="256"/>
        <v>0</v>
      </c>
      <c r="BH294" s="18">
        <f t="shared" si="256"/>
        <v>-2.5736189918879049E-4</v>
      </c>
      <c r="BI294" s="18">
        <f t="shared" si="256"/>
        <v>-7.722844541602214E-4</v>
      </c>
    </row>
    <row r="295" spans="1:61" x14ac:dyDescent="0.25">
      <c r="A295" s="11" t="s">
        <v>1150</v>
      </c>
      <c r="B295" s="11"/>
      <c r="C295" s="18">
        <f>C$30/B$30-1</f>
        <v>-2.5448982229401618E-2</v>
      </c>
      <c r="D295" s="18">
        <f t="shared" ref="D295:BI295" si="257">D$30/C$30-1</f>
        <v>-7.1280989713105036E-3</v>
      </c>
      <c r="E295" s="18">
        <f t="shared" si="257"/>
        <v>-2.2297379752893365E-2</v>
      </c>
      <c r="F295" s="18">
        <f t="shared" si="257"/>
        <v>6.1398504198089121E-3</v>
      </c>
      <c r="G295" s="18">
        <f t="shared" si="257"/>
        <v>-1.4086259173670235E-2</v>
      </c>
      <c r="H295" s="18">
        <f t="shared" si="257"/>
        <v>2.944040394082359E-3</v>
      </c>
      <c r="I295" s="18">
        <f t="shared" si="257"/>
        <v>-5.1880098737069336E-3</v>
      </c>
      <c r="J295" s="18">
        <f t="shared" si="257"/>
        <v>-2.5876665312333347E-2</v>
      </c>
      <c r="K295" s="18">
        <f t="shared" si="257"/>
        <v>3.518216867629187E-2</v>
      </c>
      <c r="L295" s="18">
        <f t="shared" si="257"/>
        <v>3.3313300054185202E-3</v>
      </c>
      <c r="M295" s="18">
        <f t="shared" si="257"/>
        <v>-1.7676503691611001E-2</v>
      </c>
      <c r="N295" s="18">
        <f t="shared" si="257"/>
        <v>-6.1450350704267409E-3</v>
      </c>
      <c r="O295" s="18">
        <f t="shared" si="257"/>
        <v>2.8639864317440589E-2</v>
      </c>
      <c r="P295" s="18">
        <f t="shared" si="257"/>
        <v>1.112388991574198E-2</v>
      </c>
      <c r="Q295" s="18">
        <f t="shared" si="257"/>
        <v>2.8201901355125347E-2</v>
      </c>
      <c r="R295" s="18">
        <f t="shared" si="257"/>
        <v>4.8981678729480782E-2</v>
      </c>
      <c r="S295" s="18">
        <f t="shared" si="257"/>
        <v>3.211814331884022E-2</v>
      </c>
      <c r="T295" s="18">
        <f t="shared" si="257"/>
        <v>7.1858556830601827E-3</v>
      </c>
      <c r="U295" s="18">
        <f t="shared" si="257"/>
        <v>3.0033215299221094E-2</v>
      </c>
      <c r="V295" s="18">
        <f t="shared" si="257"/>
        <v>-3.224297212504057E-4</v>
      </c>
      <c r="W295" s="18">
        <f t="shared" si="257"/>
        <v>2.4024842277150515E-3</v>
      </c>
      <c r="X295" s="18">
        <f t="shared" si="257"/>
        <v>9.2433564147231806E-6</v>
      </c>
      <c r="Y295" s="18">
        <f t="shared" si="257"/>
        <v>-2.3648167967329492E-2</v>
      </c>
      <c r="Z295" s="18">
        <f t="shared" si="257"/>
        <v>3.7492939860399588E-3</v>
      </c>
      <c r="AA295" s="18">
        <f t="shared" si="257"/>
        <v>-1.150598390251556E-2</v>
      </c>
      <c r="AB295" s="18">
        <f t="shared" si="257"/>
        <v>1.5320304912687321E-2</v>
      </c>
      <c r="AC295" s="18">
        <f t="shared" si="257"/>
        <v>-1.6903083119211515E-2</v>
      </c>
      <c r="AD295" s="18">
        <f t="shared" si="257"/>
        <v>1.7786596371227592E-3</v>
      </c>
      <c r="AE295" s="18">
        <f t="shared" si="257"/>
        <v>-8.5815911829006941E-3</v>
      </c>
      <c r="AF295" s="18">
        <f t="shared" si="257"/>
        <v>5.3726104183404733E-3</v>
      </c>
      <c r="AG295" s="18">
        <f t="shared" si="257"/>
        <v>1.0094032817652643E-2</v>
      </c>
      <c r="AH295" s="18">
        <f t="shared" si="257"/>
        <v>-7.5536544410516049E-2</v>
      </c>
      <c r="AI295" s="18">
        <f t="shared" si="257"/>
        <v>6.0407079969899691E-3</v>
      </c>
      <c r="AJ295" s="18">
        <f t="shared" si="257"/>
        <v>1.7381264845734989E-2</v>
      </c>
      <c r="AK295" s="18">
        <f t="shared" si="257"/>
        <v>2.484991679048365E-3</v>
      </c>
      <c r="AL295" s="18">
        <f t="shared" si="257"/>
        <v>1.5492698766532698E-3</v>
      </c>
      <c r="AM295" s="18">
        <f t="shared" si="257"/>
        <v>6.1874934094618972E-4</v>
      </c>
      <c r="AN295" s="18">
        <f t="shared" si="257"/>
        <v>6.1836672694148831E-4</v>
      </c>
      <c r="AO295" s="18">
        <f t="shared" si="257"/>
        <v>6.1798458583584015E-4</v>
      </c>
      <c r="AP295" s="18">
        <f t="shared" si="257"/>
        <v>9.2640437512958584E-4</v>
      </c>
      <c r="AQ295" s="18">
        <f t="shared" si="257"/>
        <v>1.8510938887816852E-3</v>
      </c>
      <c r="AR295" s="18">
        <f t="shared" si="257"/>
        <v>2.4635648951203404E-3</v>
      </c>
      <c r="AS295" s="18">
        <f t="shared" si="257"/>
        <v>3.3790771549337961E-3</v>
      </c>
      <c r="AT295" s="18">
        <f t="shared" si="257"/>
        <v>4.5923146983151142E-3</v>
      </c>
      <c r="AU295" s="18">
        <f t="shared" si="257"/>
        <v>5.485586100300921E-3</v>
      </c>
      <c r="AV295" s="18">
        <f t="shared" si="257"/>
        <v>6.3649350511054692E-3</v>
      </c>
      <c r="AW295" s="18">
        <f t="shared" si="257"/>
        <v>7.2282044352114383E-3</v>
      </c>
      <c r="AX295" s="18">
        <f t="shared" si="257"/>
        <v>7.4753462888124123E-3</v>
      </c>
      <c r="AY295" s="18">
        <f t="shared" si="257"/>
        <v>7.4198801155274108E-3</v>
      </c>
      <c r="AZ295" s="18">
        <f t="shared" si="257"/>
        <v>7.0706217452145559E-3</v>
      </c>
      <c r="BA295" s="18">
        <f t="shared" si="257"/>
        <v>6.4358974698464078E-3</v>
      </c>
      <c r="BB295" s="18">
        <f t="shared" si="257"/>
        <v>5.5227313548413814E-3</v>
      </c>
      <c r="BC295" s="18">
        <f t="shared" si="257"/>
        <v>4.6251775279635421E-3</v>
      </c>
      <c r="BD295" s="18">
        <f t="shared" si="257"/>
        <v>3.4529128112321672E-3</v>
      </c>
      <c r="BE295" s="18">
        <f t="shared" si="257"/>
        <v>2.5807734228096013E-3</v>
      </c>
      <c r="BF295" s="18">
        <f t="shared" si="257"/>
        <v>1.4300723200357801E-3</v>
      </c>
      <c r="BG295" s="18">
        <f t="shared" si="257"/>
        <v>8.5681808020154904E-4</v>
      </c>
      <c r="BH295" s="18">
        <f t="shared" si="257"/>
        <v>2.8536152382097058E-4</v>
      </c>
      <c r="BI295" s="18">
        <f t="shared" si="257"/>
        <v>-2.8528011585227109E-4</v>
      </c>
    </row>
    <row r="296" spans="1:61" x14ac:dyDescent="0.25">
      <c r="A296" s="11" t="s">
        <v>1151</v>
      </c>
      <c r="B296" s="11"/>
      <c r="C296" s="18">
        <f>C$31/B$31-1</f>
        <v>9.3410811869616417E-3</v>
      </c>
      <c r="D296" s="18">
        <f t="shared" ref="D296:BI296" si="258">D$31/C$31-1</f>
        <v>-3.1445708682928841E-2</v>
      </c>
      <c r="E296" s="18">
        <f t="shared" si="258"/>
        <v>-3.8420149757840694E-3</v>
      </c>
      <c r="F296" s="18">
        <f t="shared" si="258"/>
        <v>-1.6871509184929856E-2</v>
      </c>
      <c r="G296" s="18">
        <f t="shared" si="258"/>
        <v>7.290850837065932E-3</v>
      </c>
      <c r="H296" s="18">
        <f t="shared" si="258"/>
        <v>-1.8282377088591484E-2</v>
      </c>
      <c r="I296" s="18">
        <f t="shared" si="258"/>
        <v>4.0893028560855527E-3</v>
      </c>
      <c r="J296" s="18">
        <f t="shared" si="258"/>
        <v>-9.2038805320704409E-3</v>
      </c>
      <c r="K296" s="18">
        <f t="shared" si="258"/>
        <v>-1.5807575676223595E-2</v>
      </c>
      <c r="L296" s="18">
        <f t="shared" si="258"/>
        <v>3.8297228420885343E-2</v>
      </c>
      <c r="M296" s="18">
        <f t="shared" si="258"/>
        <v>8.898143215533505E-3</v>
      </c>
      <c r="N296" s="18">
        <f t="shared" si="258"/>
        <v>-1.9998072440761128E-2</v>
      </c>
      <c r="O296" s="18">
        <f t="shared" si="258"/>
        <v>-5.3422016948233564E-3</v>
      </c>
      <c r="P296" s="18">
        <f t="shared" si="258"/>
        <v>2.6786224876809595E-2</v>
      </c>
      <c r="Q296" s="18">
        <f t="shared" si="258"/>
        <v>6.8197741752435981E-3</v>
      </c>
      <c r="R296" s="18">
        <f t="shared" si="258"/>
        <v>1.8977932449912638E-2</v>
      </c>
      <c r="S296" s="18">
        <f t="shared" si="258"/>
        <v>5.7003525209376793E-2</v>
      </c>
      <c r="T296" s="18">
        <f t="shared" si="258"/>
        <v>5.3727162579995547E-2</v>
      </c>
      <c r="U296" s="18">
        <f t="shared" si="258"/>
        <v>-1.6408543863054015E-2</v>
      </c>
      <c r="V296" s="18">
        <f t="shared" si="258"/>
        <v>2.805881269525945E-2</v>
      </c>
      <c r="W296" s="18">
        <f t="shared" si="258"/>
        <v>4.0875059181733064E-4</v>
      </c>
      <c r="X296" s="18">
        <f t="shared" si="258"/>
        <v>2.5462246826060131E-3</v>
      </c>
      <c r="Y296" s="18">
        <f t="shared" si="258"/>
        <v>4.9349723895475428E-4</v>
      </c>
      <c r="Z296" s="18">
        <f t="shared" si="258"/>
        <v>-2.2747181946415118E-2</v>
      </c>
      <c r="AA296" s="18">
        <f t="shared" si="258"/>
        <v>3.6736702395916421E-3</v>
      </c>
      <c r="AB296" s="18">
        <f t="shared" si="258"/>
        <v>-1.1627389126292242E-2</v>
      </c>
      <c r="AC296" s="18">
        <f t="shared" si="258"/>
        <v>1.4915703188893348E-2</v>
      </c>
      <c r="AD296" s="18">
        <f t="shared" si="258"/>
        <v>-1.671366056753576E-2</v>
      </c>
      <c r="AE296" s="18">
        <f t="shared" si="258"/>
        <v>2.0514532234108263E-3</v>
      </c>
      <c r="AF296" s="18">
        <f t="shared" si="258"/>
        <v>-8.4814782838805725E-3</v>
      </c>
      <c r="AG296" s="18">
        <f t="shared" si="258"/>
        <v>5.3093973698672414E-3</v>
      </c>
      <c r="AH296" s="18">
        <f t="shared" si="258"/>
        <v>9.9758957042239693E-3</v>
      </c>
      <c r="AI296" s="18">
        <f t="shared" si="258"/>
        <v>-7.4370712012377771E-2</v>
      </c>
      <c r="AJ296" s="18">
        <f t="shared" si="258"/>
        <v>5.6493358153553164E-3</v>
      </c>
      <c r="AK296" s="18">
        <f t="shared" si="258"/>
        <v>1.7476978107184848E-2</v>
      </c>
      <c r="AL296" s="18">
        <f t="shared" si="258"/>
        <v>2.1470974876129922E-3</v>
      </c>
      <c r="AM296" s="18">
        <f t="shared" si="258"/>
        <v>1.5303552406882304E-3</v>
      </c>
      <c r="AN296" s="18">
        <f t="shared" si="258"/>
        <v>9.1681009927291335E-4</v>
      </c>
      <c r="AO296" s="18">
        <f t="shared" si="258"/>
        <v>6.106468856168501E-4</v>
      </c>
      <c r="AP296" s="18">
        <f t="shared" si="258"/>
        <v>6.1027422356274563E-4</v>
      </c>
      <c r="AQ296" s="18">
        <f t="shared" si="258"/>
        <v>1.2198040321669268E-3</v>
      </c>
      <c r="AR296" s="18">
        <f t="shared" si="258"/>
        <v>1.522897403814838E-3</v>
      </c>
      <c r="AS296" s="18">
        <f t="shared" si="258"/>
        <v>2.4329307421928625E-3</v>
      </c>
      <c r="AT296" s="18">
        <f t="shared" si="258"/>
        <v>3.3371606896817063E-3</v>
      </c>
      <c r="AU296" s="18">
        <f t="shared" si="258"/>
        <v>4.8379070390729417E-3</v>
      </c>
      <c r="AV296" s="18">
        <f t="shared" si="258"/>
        <v>5.4164411800454726E-3</v>
      </c>
      <c r="AW296" s="18">
        <f t="shared" si="258"/>
        <v>6.2851382948372336E-3</v>
      </c>
      <c r="AX296" s="18">
        <f t="shared" si="258"/>
        <v>7.1381509283456879E-3</v>
      </c>
      <c r="AY296" s="18">
        <f t="shared" si="258"/>
        <v>7.3828738161090257E-3</v>
      </c>
      <c r="AZ296" s="18">
        <f t="shared" si="258"/>
        <v>7.6219171164459976E-3</v>
      </c>
      <c r="BA296" s="18">
        <f t="shared" si="258"/>
        <v>6.9823965520026121E-3</v>
      </c>
      <c r="BB296" s="18">
        <f t="shared" si="258"/>
        <v>6.3561490196701875E-3</v>
      </c>
      <c r="BC296" s="18">
        <f t="shared" si="258"/>
        <v>5.4547303471303987E-3</v>
      </c>
      <c r="BD296" s="18">
        <f t="shared" si="258"/>
        <v>4.5685369970258627E-3</v>
      </c>
      <c r="BE296" s="18">
        <f t="shared" si="258"/>
        <v>3.4108202890885675E-3</v>
      </c>
      <c r="BF296" s="18">
        <f t="shared" si="258"/>
        <v>2.5494196047033402E-3</v>
      </c>
      <c r="BG296" s="18">
        <f t="shared" si="258"/>
        <v>1.6952910615342098E-3</v>
      </c>
      <c r="BH296" s="18">
        <f t="shared" si="258"/>
        <v>8.4621095689563219E-4</v>
      </c>
      <c r="BI296" s="18">
        <f t="shared" si="258"/>
        <v>2.8183182978280819E-4</v>
      </c>
    </row>
    <row r="297" spans="1:61" x14ac:dyDescent="0.25">
      <c r="A297" s="11" t="s">
        <v>1152</v>
      </c>
      <c r="B297" s="11"/>
      <c r="C297" s="18">
        <f>C$32/B$32-1</f>
        <v>4.2697175147535127E-2</v>
      </c>
      <c r="D297" s="18">
        <f t="shared" ref="D297:BI297" si="259">D$32/C$32-1</f>
        <v>8.0645085375414816E-3</v>
      </c>
      <c r="E297" s="18">
        <f t="shared" si="259"/>
        <v>-2.9391840769078859E-2</v>
      </c>
      <c r="F297" s="18">
        <f t="shared" si="259"/>
        <v>-1.3382358718083687E-4</v>
      </c>
      <c r="G297" s="18">
        <f t="shared" si="259"/>
        <v>-1.7413285781791132E-2</v>
      </c>
      <c r="H297" s="18">
        <f t="shared" si="259"/>
        <v>2.2179891195144297E-3</v>
      </c>
      <c r="I297" s="18">
        <f t="shared" si="259"/>
        <v>-1.6732415646306453E-2</v>
      </c>
      <c r="J297" s="18">
        <f t="shared" si="259"/>
        <v>2.5719560995234314E-3</v>
      </c>
      <c r="K297" s="18">
        <f t="shared" si="259"/>
        <v>-1.6061413655112933E-3</v>
      </c>
      <c r="L297" s="18">
        <f t="shared" si="259"/>
        <v>-1.1041948408123448E-2</v>
      </c>
      <c r="M297" s="18">
        <f t="shared" si="259"/>
        <v>4.0424960929509979E-2</v>
      </c>
      <c r="N297" s="18">
        <f t="shared" si="259"/>
        <v>3.8008182799558199E-3</v>
      </c>
      <c r="O297" s="18">
        <f t="shared" si="259"/>
        <v>-1.7736803922380195E-2</v>
      </c>
      <c r="P297" s="18">
        <f t="shared" si="259"/>
        <v>-1.0791620519041811E-2</v>
      </c>
      <c r="Q297" s="18">
        <f t="shared" si="259"/>
        <v>2.7965997936262976E-2</v>
      </c>
      <c r="R297" s="18">
        <f t="shared" si="259"/>
        <v>1.7496785328969811E-3</v>
      </c>
      <c r="S297" s="18">
        <f t="shared" si="259"/>
        <v>2.1181078892183569E-2</v>
      </c>
      <c r="T297" s="18">
        <f t="shared" si="259"/>
        <v>7.8443765539893295E-2</v>
      </c>
      <c r="U297" s="18">
        <f t="shared" si="259"/>
        <v>3.1893666459251513E-2</v>
      </c>
      <c r="V297" s="18">
        <f t="shared" si="259"/>
        <v>-1.7539069142161523E-2</v>
      </c>
      <c r="W297" s="18">
        <f t="shared" si="259"/>
        <v>2.8570807967762235E-2</v>
      </c>
      <c r="X297" s="18">
        <f t="shared" si="259"/>
        <v>5.7156364048793762E-4</v>
      </c>
      <c r="Y297" s="18">
        <f t="shared" si="259"/>
        <v>3.0069216353787453E-3</v>
      </c>
      <c r="Z297" s="18">
        <f t="shared" si="259"/>
        <v>1.6219744919847567E-3</v>
      </c>
      <c r="AA297" s="18">
        <f t="shared" si="259"/>
        <v>-2.2544631645210256E-2</v>
      </c>
      <c r="AB297" s="18">
        <f t="shared" si="259"/>
        <v>3.0936734433495428E-3</v>
      </c>
      <c r="AC297" s="18">
        <f t="shared" si="259"/>
        <v>-1.1448416916405413E-2</v>
      </c>
      <c r="AD297" s="18">
        <f t="shared" si="259"/>
        <v>1.4765776331959524E-2</v>
      </c>
      <c r="AE297" s="18">
        <f t="shared" si="259"/>
        <v>-1.6548105884568454E-2</v>
      </c>
      <c r="AF297" s="18">
        <f t="shared" si="259"/>
        <v>2.0307909364103427E-3</v>
      </c>
      <c r="AG297" s="18">
        <f t="shared" si="259"/>
        <v>-8.3962257573888532E-3</v>
      </c>
      <c r="AH297" s="18">
        <f t="shared" si="259"/>
        <v>5.2555774851541504E-3</v>
      </c>
      <c r="AI297" s="18">
        <f t="shared" si="259"/>
        <v>9.8753015041579406E-3</v>
      </c>
      <c r="AJ297" s="18">
        <f t="shared" si="259"/>
        <v>-7.3628111524934647E-2</v>
      </c>
      <c r="AK297" s="18">
        <f t="shared" si="259"/>
        <v>5.8989121650017129E-3</v>
      </c>
      <c r="AL297" s="18">
        <f t="shared" si="259"/>
        <v>1.7284308814161875E-2</v>
      </c>
      <c r="AM297" s="18">
        <f t="shared" si="259"/>
        <v>2.4272339129363107E-3</v>
      </c>
      <c r="AN297" s="18">
        <f t="shared" si="259"/>
        <v>1.5133479461282295E-3</v>
      </c>
      <c r="AO297" s="18">
        <f t="shared" si="259"/>
        <v>9.0663671087276576E-4</v>
      </c>
      <c r="AP297" s="18">
        <f t="shared" si="259"/>
        <v>6.0387697687902531E-4</v>
      </c>
      <c r="AQ297" s="18">
        <f t="shared" si="259"/>
        <v>9.0526879433583396E-4</v>
      </c>
      <c r="AR297" s="18">
        <f t="shared" si="259"/>
        <v>9.0445002395300733E-4</v>
      </c>
      <c r="AS297" s="18">
        <f t="shared" si="259"/>
        <v>1.807265466611474E-3</v>
      </c>
      <c r="AT297" s="18">
        <f t="shared" si="259"/>
        <v>2.4053402005355107E-3</v>
      </c>
      <c r="AU297" s="18">
        <f t="shared" si="259"/>
        <v>3.2994065804503592E-3</v>
      </c>
      <c r="AV297" s="18">
        <f t="shared" si="259"/>
        <v>4.4843949493180713E-3</v>
      </c>
      <c r="AW297" s="18">
        <f t="shared" si="259"/>
        <v>5.6548749099842865E-3</v>
      </c>
      <c r="AX297" s="18">
        <f t="shared" si="259"/>
        <v>6.5109313931952517E-3</v>
      </c>
      <c r="AY297" s="18">
        <f t="shared" si="259"/>
        <v>7.0568873378160646E-3</v>
      </c>
      <c r="AZ297" s="18">
        <f t="shared" si="259"/>
        <v>7.2994131738253198E-3</v>
      </c>
      <c r="BA297" s="18">
        <f t="shared" si="259"/>
        <v>7.2465178459959478E-3</v>
      </c>
      <c r="BB297" s="18">
        <f t="shared" si="259"/>
        <v>7.1943836167263076E-3</v>
      </c>
      <c r="BC297" s="18">
        <f t="shared" si="259"/>
        <v>6.2858348752750093E-3</v>
      </c>
      <c r="BD297" s="18">
        <f t="shared" si="259"/>
        <v>5.394764972294297E-3</v>
      </c>
      <c r="BE297" s="18">
        <f t="shared" si="259"/>
        <v>4.5185832818557259E-3</v>
      </c>
      <c r="BF297" s="18">
        <f t="shared" si="259"/>
        <v>3.6548342435966941E-3</v>
      </c>
      <c r="BG297" s="18">
        <f t="shared" si="259"/>
        <v>2.5210558198112132E-3</v>
      </c>
      <c r="BH297" s="18">
        <f t="shared" si="259"/>
        <v>1.6764773868014338E-3</v>
      </c>
      <c r="BI297" s="18">
        <f t="shared" si="259"/>
        <v>8.3683575717730108E-4</v>
      </c>
    </row>
    <row r="298" spans="1:61" x14ac:dyDescent="0.25">
      <c r="A298" s="11" t="s">
        <v>1153</v>
      </c>
      <c r="B298" s="11"/>
      <c r="C298" s="18">
        <f>C$33/B$33-1</f>
        <v>1.6663735020006065E-2</v>
      </c>
      <c r="D298" s="18">
        <f t="shared" ref="D298:BI298" si="260">D$33/C$33-1</f>
        <v>3.8552518573020889E-2</v>
      </c>
      <c r="E298" s="18">
        <f t="shared" si="260"/>
        <v>1.2242059735440458E-2</v>
      </c>
      <c r="F298" s="18">
        <f t="shared" si="260"/>
        <v>-2.4369534102494983E-2</v>
      </c>
      <c r="G298" s="18">
        <f t="shared" si="260"/>
        <v>-3.0755449211883334E-3</v>
      </c>
      <c r="H298" s="18">
        <f t="shared" si="260"/>
        <v>-2.0854425180108938E-2</v>
      </c>
      <c r="I298" s="18">
        <f t="shared" si="260"/>
        <v>3.674756609603369E-3</v>
      </c>
      <c r="J298" s="18">
        <f t="shared" si="260"/>
        <v>-9.4734748897872256E-3</v>
      </c>
      <c r="K298" s="18">
        <f t="shared" si="260"/>
        <v>8.4951019822918639E-3</v>
      </c>
      <c r="L298" s="18">
        <f t="shared" si="260"/>
        <v>3.6375508064057094E-4</v>
      </c>
      <c r="M298" s="18">
        <f t="shared" si="260"/>
        <v>-4.7172307608047692E-3</v>
      </c>
      <c r="N298" s="18">
        <f t="shared" si="260"/>
        <v>3.2555458758579237E-2</v>
      </c>
      <c r="O298" s="18">
        <f t="shared" si="260"/>
        <v>6.1611865103645691E-3</v>
      </c>
      <c r="P298" s="18">
        <f t="shared" si="260"/>
        <v>-2.059976396879859E-2</v>
      </c>
      <c r="Q298" s="18">
        <f t="shared" si="260"/>
        <v>-1.2690110750050554E-2</v>
      </c>
      <c r="R298" s="18">
        <f t="shared" si="260"/>
        <v>2.0897674068083738E-2</v>
      </c>
      <c r="S298" s="18">
        <f t="shared" si="260"/>
        <v>1.8188427619512115E-3</v>
      </c>
      <c r="T298" s="18">
        <f t="shared" si="260"/>
        <v>4.1753989126122271E-2</v>
      </c>
      <c r="U298" s="18">
        <f t="shared" si="260"/>
        <v>6.5571987031389334E-2</v>
      </c>
      <c r="V298" s="18">
        <f t="shared" si="260"/>
        <v>3.0638104148122958E-2</v>
      </c>
      <c r="W298" s="18">
        <f t="shared" si="260"/>
        <v>-1.7001238476319402E-2</v>
      </c>
      <c r="X298" s="18">
        <f t="shared" si="260"/>
        <v>2.857964471541008E-2</v>
      </c>
      <c r="Y298" s="18">
        <f t="shared" si="260"/>
        <v>1.0478235906303812E-3</v>
      </c>
      <c r="Z298" s="18">
        <f t="shared" si="260"/>
        <v>4.137851921297786E-3</v>
      </c>
      <c r="AA298" s="18">
        <f t="shared" si="260"/>
        <v>1.3007314175985663E-3</v>
      </c>
      <c r="AB298" s="18">
        <f t="shared" si="260"/>
        <v>-2.263114180543957E-2</v>
      </c>
      <c r="AC298" s="18">
        <f t="shared" si="260"/>
        <v>3.1358475956428933E-3</v>
      </c>
      <c r="AD298" s="18">
        <f t="shared" si="260"/>
        <v>-1.1651621510823773E-2</v>
      </c>
      <c r="AE298" s="18">
        <f t="shared" si="260"/>
        <v>1.4951879952492364E-2</v>
      </c>
      <c r="AF298" s="18">
        <f t="shared" si="260"/>
        <v>-1.64314163060304E-2</v>
      </c>
      <c r="AG298" s="18">
        <f t="shared" si="260"/>
        <v>2.0162315072338455E-3</v>
      </c>
      <c r="AH298" s="18">
        <f t="shared" si="260"/>
        <v>-8.3361514901141298E-3</v>
      </c>
      <c r="AI298" s="18">
        <f t="shared" si="260"/>
        <v>5.5075280819503192E-3</v>
      </c>
      <c r="AJ298" s="18">
        <f t="shared" si="260"/>
        <v>9.8015940134235091E-3</v>
      </c>
      <c r="AK298" s="18">
        <f t="shared" si="260"/>
        <v>-7.3083898574793915E-2</v>
      </c>
      <c r="AL298" s="18">
        <f t="shared" si="260"/>
        <v>5.8518733130299427E-3</v>
      </c>
      <c r="AM298" s="18">
        <f t="shared" si="260"/>
        <v>1.7147282879750314E-2</v>
      </c>
      <c r="AN298" s="18">
        <f t="shared" si="260"/>
        <v>2.4083157682228684E-3</v>
      </c>
      <c r="AO298" s="18">
        <f t="shared" si="260"/>
        <v>1.5015810737619706E-3</v>
      </c>
      <c r="AP298" s="18">
        <f t="shared" si="260"/>
        <v>1.1994637669185959E-3</v>
      </c>
      <c r="AQ298" s="18">
        <f t="shared" si="260"/>
        <v>5.9901338860379738E-4</v>
      </c>
      <c r="AR298" s="18">
        <f t="shared" si="260"/>
        <v>8.9798217955738835E-4</v>
      </c>
      <c r="AS298" s="18">
        <f t="shared" si="260"/>
        <v>8.971765310206159E-4</v>
      </c>
      <c r="AT298" s="18">
        <f t="shared" si="260"/>
        <v>1.7927446536118996E-3</v>
      </c>
      <c r="AU298" s="18">
        <f t="shared" si="260"/>
        <v>2.3860486288931337E-3</v>
      </c>
      <c r="AV298" s="18">
        <f t="shared" si="260"/>
        <v>3.5705534292254093E-3</v>
      </c>
      <c r="AW298" s="18">
        <f t="shared" si="260"/>
        <v>4.4473124199200242E-3</v>
      </c>
      <c r="AX298" s="18">
        <f t="shared" si="260"/>
        <v>5.6083204453936109E-3</v>
      </c>
      <c r="AY298" s="18">
        <f t="shared" si="260"/>
        <v>6.4576282775477001E-3</v>
      </c>
      <c r="AZ298" s="18">
        <f t="shared" si="260"/>
        <v>6.9994853193617868E-3</v>
      </c>
      <c r="BA298" s="18">
        <f t="shared" si="260"/>
        <v>7.2404511097534652E-3</v>
      </c>
      <c r="BB298" s="18">
        <f t="shared" si="260"/>
        <v>7.475939976246293E-3</v>
      </c>
      <c r="BC298" s="18">
        <f t="shared" si="260"/>
        <v>7.1350625241561882E-3</v>
      </c>
      <c r="BD298" s="18">
        <f t="shared" si="260"/>
        <v>6.2343723844953125E-3</v>
      </c>
      <c r="BE298" s="18">
        <f t="shared" si="260"/>
        <v>5.3508713709922162E-3</v>
      </c>
      <c r="BF298" s="18">
        <f t="shared" si="260"/>
        <v>4.762140153580452E-3</v>
      </c>
      <c r="BG298" s="18">
        <f t="shared" si="260"/>
        <v>3.345578582540254E-3</v>
      </c>
      <c r="BH298" s="18">
        <f t="shared" si="260"/>
        <v>2.7786858402820691E-3</v>
      </c>
      <c r="BI298" s="18">
        <f t="shared" si="260"/>
        <v>1.6625916841981336E-3</v>
      </c>
    </row>
    <row r="299" spans="1:61" x14ac:dyDescent="0.25">
      <c r="A299" s="11" t="s">
        <v>1154</v>
      </c>
      <c r="B299" s="11"/>
      <c r="C299" s="18">
        <f>C$34/B$34-1</f>
        <v>3.7529786103094764E-2</v>
      </c>
      <c r="D299" s="18">
        <f t="shared" ref="D299:BI299" si="261">D$34/C$34-1</f>
        <v>1.3251257356348578E-2</v>
      </c>
      <c r="E299" s="18">
        <f t="shared" si="261"/>
        <v>4.3008225165861891E-2</v>
      </c>
      <c r="F299" s="18">
        <f t="shared" si="261"/>
        <v>2.1886516832244185E-2</v>
      </c>
      <c r="G299" s="18">
        <f t="shared" si="261"/>
        <v>-3.0047257809043826E-2</v>
      </c>
      <c r="H299" s="18">
        <f t="shared" si="261"/>
        <v>-3.8607342960222946E-3</v>
      </c>
      <c r="I299" s="18">
        <f t="shared" si="261"/>
        <v>-1.8115601687541005E-2</v>
      </c>
      <c r="J299" s="18">
        <f t="shared" si="261"/>
        <v>5.6956847932119192E-3</v>
      </c>
      <c r="K299" s="18">
        <f t="shared" si="261"/>
        <v>-1.2859380753781346E-3</v>
      </c>
      <c r="L299" s="18">
        <f t="shared" si="261"/>
        <v>1.094201297352515E-2</v>
      </c>
      <c r="M299" s="18">
        <f t="shared" si="261"/>
        <v>-1.0702073612818275E-3</v>
      </c>
      <c r="N299" s="18">
        <f t="shared" si="261"/>
        <v>-1.0871601184741508E-2</v>
      </c>
      <c r="O299" s="18">
        <f t="shared" si="261"/>
        <v>3.7307439989193503E-2</v>
      </c>
      <c r="P299" s="18">
        <f t="shared" si="261"/>
        <v>-1.6774724356440895E-3</v>
      </c>
      <c r="Q299" s="18">
        <f t="shared" si="261"/>
        <v>-2.5936557636047519E-2</v>
      </c>
      <c r="R299" s="18">
        <f t="shared" si="261"/>
        <v>-1.9734851438956036E-2</v>
      </c>
      <c r="S299" s="18">
        <f t="shared" si="261"/>
        <v>3.4640309385007395E-2</v>
      </c>
      <c r="T299" s="18">
        <f t="shared" si="261"/>
        <v>1.9817344241196633E-2</v>
      </c>
      <c r="U299" s="18">
        <f t="shared" si="261"/>
        <v>2.0852433576021623E-2</v>
      </c>
      <c r="V299" s="18">
        <f t="shared" si="261"/>
        <v>6.3734122309054397E-2</v>
      </c>
      <c r="W299" s="18">
        <f t="shared" si="261"/>
        <v>3.0957745352720556E-2</v>
      </c>
      <c r="X299" s="18">
        <f t="shared" si="261"/>
        <v>-1.67614997985015E-2</v>
      </c>
      <c r="Y299" s="18">
        <f t="shared" si="261"/>
        <v>2.8938900360889974E-2</v>
      </c>
      <c r="Z299" s="18">
        <f t="shared" si="261"/>
        <v>2.1678295628873023E-3</v>
      </c>
      <c r="AA299" s="18">
        <f t="shared" si="261"/>
        <v>3.8032785294703775E-3</v>
      </c>
      <c r="AB299" s="18">
        <f t="shared" si="261"/>
        <v>1.0471003000265267E-3</v>
      </c>
      <c r="AC299" s="18">
        <f t="shared" si="261"/>
        <v>-2.2716651770001817E-2</v>
      </c>
      <c r="AD299" s="18">
        <f t="shared" si="261"/>
        <v>3.1181905746817673E-3</v>
      </c>
      <c r="AE299" s="18">
        <f t="shared" si="261"/>
        <v>-1.1303627950888129E-2</v>
      </c>
      <c r="AF299" s="18">
        <f t="shared" si="261"/>
        <v>1.4862718981864198E-2</v>
      </c>
      <c r="AG299" s="18">
        <f t="shared" si="261"/>
        <v>-1.633486754916702E-2</v>
      </c>
      <c r="AH299" s="18">
        <f t="shared" si="261"/>
        <v>2.0041876719611995E-3</v>
      </c>
      <c r="AI299" s="18">
        <f t="shared" si="261"/>
        <v>-8.2864556002523182E-3</v>
      </c>
      <c r="AJ299" s="18">
        <f t="shared" si="261"/>
        <v>5.4744206611523349E-3</v>
      </c>
      <c r="AK299" s="18">
        <f t="shared" si="261"/>
        <v>9.7429944592613005E-3</v>
      </c>
      <c r="AL299" s="18">
        <f t="shared" si="261"/>
        <v>-7.2367383428683429E-2</v>
      </c>
      <c r="AM299" s="18">
        <f t="shared" si="261"/>
        <v>5.8127317358871444E-3</v>
      </c>
      <c r="AN299" s="18">
        <f t="shared" si="261"/>
        <v>1.7033252232586671E-2</v>
      </c>
      <c r="AO299" s="18">
        <f t="shared" si="261"/>
        <v>2.3925685243533223E-3</v>
      </c>
      <c r="AP299" s="18">
        <f t="shared" si="261"/>
        <v>1.7901433526255062E-3</v>
      </c>
      <c r="AQ299" s="18">
        <f t="shared" si="261"/>
        <v>8.934722329341227E-4</v>
      </c>
      <c r="AR299" s="18">
        <f t="shared" si="261"/>
        <v>8.9267465291875681E-4</v>
      </c>
      <c r="AS299" s="18">
        <f t="shared" si="261"/>
        <v>5.9458566372816435E-4</v>
      </c>
      <c r="AT299" s="18">
        <f t="shared" si="261"/>
        <v>1.1884646833937307E-3</v>
      </c>
      <c r="AU299" s="18">
        <f t="shared" si="261"/>
        <v>1.7805808676134571E-3</v>
      </c>
      <c r="AV299" s="18">
        <f t="shared" si="261"/>
        <v>2.6661240519427754E-3</v>
      </c>
      <c r="AW299" s="18">
        <f t="shared" si="261"/>
        <v>3.2499313433638211E-3</v>
      </c>
      <c r="AX299" s="18">
        <f t="shared" si="261"/>
        <v>4.711859642736238E-3</v>
      </c>
      <c r="AY299" s="18">
        <f t="shared" si="261"/>
        <v>5.5690925433475869E-3</v>
      </c>
      <c r="AZ299" s="18">
        <f t="shared" si="261"/>
        <v>6.4127099696540402E-3</v>
      </c>
      <c r="BA299" s="18">
        <f t="shared" si="261"/>
        <v>6.9511081626443261E-3</v>
      </c>
      <c r="BB299" s="18">
        <f t="shared" si="261"/>
        <v>7.1907539608682125E-3</v>
      </c>
      <c r="BC299" s="18">
        <f t="shared" si="261"/>
        <v>7.424992822753218E-3</v>
      </c>
      <c r="BD299" s="18">
        <f t="shared" si="261"/>
        <v>7.0867967606402793E-3</v>
      </c>
      <c r="BE299" s="18">
        <f t="shared" si="261"/>
        <v>6.4739732868710487E-3</v>
      </c>
      <c r="BF299" s="18">
        <f t="shared" si="261"/>
        <v>5.3136643679807527E-3</v>
      </c>
      <c r="BG299" s="18">
        <f t="shared" si="261"/>
        <v>4.7292018850686457E-3</v>
      </c>
      <c r="BH299" s="18">
        <f t="shared" si="261"/>
        <v>3.3225471578837151E-3</v>
      </c>
      <c r="BI299" s="18">
        <f t="shared" si="261"/>
        <v>2.7596203295536803E-3</v>
      </c>
    </row>
    <row r="300" spans="1:61" x14ac:dyDescent="0.25">
      <c r="A300" s="11" t="s">
        <v>1197</v>
      </c>
      <c r="B300" s="11"/>
      <c r="C300" s="18">
        <f>SUM(C$33:C$34)/SUM(B$33:B$34)-1</f>
        <v>2.6901306412164594E-2</v>
      </c>
      <c r="D300" s="18">
        <f t="shared" ref="D300:BI300" si="262">SUM(D$33:D$34)/SUM(C$33:C$34)-1</f>
        <v>2.6010405416290405E-2</v>
      </c>
      <c r="E300" s="18">
        <f t="shared" si="262"/>
        <v>2.7303527662459137E-2</v>
      </c>
      <c r="F300" s="18">
        <f t="shared" si="262"/>
        <v>-1.3788742130809162E-3</v>
      </c>
      <c r="G300" s="18">
        <f t="shared" si="262"/>
        <v>-1.6793624941952801E-2</v>
      </c>
      <c r="H300" s="18">
        <f t="shared" si="262"/>
        <v>-1.2327775752139947E-2</v>
      </c>
      <c r="I300" s="18">
        <f t="shared" si="262"/>
        <v>-7.3523680316450735E-3</v>
      </c>
      <c r="J300" s="18">
        <f t="shared" si="262"/>
        <v>-1.8802776064941185E-3</v>
      </c>
      <c r="K300" s="18">
        <f t="shared" si="262"/>
        <v>3.5618630790543726E-3</v>
      </c>
      <c r="L300" s="18">
        <f t="shared" si="262"/>
        <v>5.6733119470562254E-3</v>
      </c>
      <c r="M300" s="18">
        <f t="shared" si="262"/>
        <v>-2.8770859730474774E-3</v>
      </c>
      <c r="N300" s="18">
        <f t="shared" si="262"/>
        <v>1.0604163885457707E-2</v>
      </c>
      <c r="O300" s="18">
        <f t="shared" si="262"/>
        <v>2.1570280954087862E-2</v>
      </c>
      <c r="P300" s="18">
        <f t="shared" si="262"/>
        <v>-1.1094060215879664E-2</v>
      </c>
      <c r="Q300" s="18">
        <f t="shared" si="262"/>
        <v>-1.9407891634335428E-2</v>
      </c>
      <c r="R300" s="18">
        <f t="shared" si="262"/>
        <v>4.285575221754101E-4</v>
      </c>
      <c r="S300" s="18">
        <f t="shared" si="262"/>
        <v>1.8019802687982756E-2</v>
      </c>
      <c r="T300" s="18">
        <f t="shared" si="262"/>
        <v>3.0749088190521245E-2</v>
      </c>
      <c r="U300" s="18">
        <f t="shared" si="262"/>
        <v>4.3375572577325938E-2</v>
      </c>
      <c r="V300" s="18">
        <f t="shared" si="262"/>
        <v>4.6710603499929171E-2</v>
      </c>
      <c r="W300" s="18">
        <f t="shared" si="262"/>
        <v>6.6679904562227943E-3</v>
      </c>
      <c r="X300" s="18">
        <f t="shared" si="262"/>
        <v>5.6624622498628874E-3</v>
      </c>
      <c r="Y300" s="18">
        <f t="shared" si="262"/>
        <v>1.4830725363060848E-2</v>
      </c>
      <c r="Z300" s="18">
        <f t="shared" si="262"/>
        <v>3.1507942819146706E-3</v>
      </c>
      <c r="AA300" s="18">
        <f t="shared" si="262"/>
        <v>2.553375978760597E-3</v>
      </c>
      <c r="AB300" s="18">
        <f t="shared" si="262"/>
        <v>-1.0764272539633857E-2</v>
      </c>
      <c r="AC300" s="18">
        <f t="shared" si="262"/>
        <v>-9.9753981082242316E-3</v>
      </c>
      <c r="AD300" s="18">
        <f t="shared" si="262"/>
        <v>-4.257426471102721E-3</v>
      </c>
      <c r="AE300" s="18">
        <f t="shared" si="262"/>
        <v>1.7102518599820815E-3</v>
      </c>
      <c r="AF300" s="18">
        <f t="shared" si="262"/>
        <v>-8.5366594621871794E-4</v>
      </c>
      <c r="AG300" s="18">
        <f t="shared" si="262"/>
        <v>-7.2623601724273179E-3</v>
      </c>
      <c r="AH300" s="18">
        <f t="shared" si="262"/>
        <v>-3.1557006542257682E-3</v>
      </c>
      <c r="AI300" s="18">
        <f t="shared" si="262"/>
        <v>-1.43895028463914E-3</v>
      </c>
      <c r="AJ300" s="18">
        <f t="shared" si="262"/>
        <v>7.6374263854583901E-3</v>
      </c>
      <c r="AK300" s="18">
        <f t="shared" si="262"/>
        <v>-3.1748254432054979E-2</v>
      </c>
      <c r="AL300" s="18">
        <f t="shared" si="262"/>
        <v>-3.4857047000363406E-2</v>
      </c>
      <c r="AM300" s="18">
        <f t="shared" si="262"/>
        <v>1.1477523969693593E-2</v>
      </c>
      <c r="AN300" s="18">
        <f t="shared" si="262"/>
        <v>9.6830167308445958E-3</v>
      </c>
      <c r="AO300" s="18">
        <f t="shared" si="262"/>
        <v>1.9480002543978969E-3</v>
      </c>
      <c r="AP300" s="18">
        <f t="shared" si="262"/>
        <v>1.4955484054777202E-3</v>
      </c>
      <c r="AQ300" s="18">
        <f t="shared" si="262"/>
        <v>7.4665754024505482E-4</v>
      </c>
      <c r="AR300" s="18">
        <f t="shared" si="262"/>
        <v>8.953205504542705E-4</v>
      </c>
      <c r="AS300" s="18">
        <f t="shared" si="262"/>
        <v>7.4543305717678088E-4</v>
      </c>
      <c r="AT300" s="18">
        <f t="shared" si="262"/>
        <v>1.4897556012813951E-3</v>
      </c>
      <c r="AU300" s="18">
        <f t="shared" si="262"/>
        <v>2.0825553433061472E-3</v>
      </c>
      <c r="AV300" s="18">
        <f t="shared" si="262"/>
        <v>3.1173409798446183E-3</v>
      </c>
      <c r="AW300" s="18">
        <f t="shared" si="262"/>
        <v>3.8475708324361424E-3</v>
      </c>
      <c r="AX300" s="18">
        <f t="shared" si="262"/>
        <v>5.1595704616171911E-3</v>
      </c>
      <c r="AY300" s="18">
        <f t="shared" si="262"/>
        <v>6.0130435332388377E-3</v>
      </c>
      <c r="AZ300" s="18">
        <f t="shared" si="262"/>
        <v>6.7060179472455683E-3</v>
      </c>
      <c r="BA300" s="18">
        <f t="shared" si="262"/>
        <v>7.0957824990169893E-3</v>
      </c>
      <c r="BB300" s="18">
        <f t="shared" si="262"/>
        <v>7.3333702740376872E-3</v>
      </c>
      <c r="BC300" s="18">
        <f t="shared" si="262"/>
        <v>7.2799834597385704E-3</v>
      </c>
      <c r="BD300" s="18">
        <f t="shared" si="262"/>
        <v>6.6605159191326369E-3</v>
      </c>
      <c r="BE300" s="18">
        <f t="shared" si="262"/>
        <v>5.9125696316659759E-3</v>
      </c>
      <c r="BF300" s="18">
        <f t="shared" si="262"/>
        <v>5.0381285413283461E-3</v>
      </c>
      <c r="BG300" s="18">
        <f t="shared" si="262"/>
        <v>4.0381477287436685E-3</v>
      </c>
      <c r="BH300" s="18">
        <f t="shared" si="262"/>
        <v>3.0511016158487614E-3</v>
      </c>
      <c r="BI300" s="18">
        <f t="shared" si="262"/>
        <v>2.2122332449163729E-3</v>
      </c>
    </row>
    <row r="301" spans="1:61" x14ac:dyDescent="0.25">
      <c r="A301" s="11" t="s">
        <v>848</v>
      </c>
      <c r="B301" s="11"/>
      <c r="C301" s="18">
        <f>SUM(C$35:C$39)/SUM(B$35:B$39)-1</f>
        <v>-1.8997984469797391E-3</v>
      </c>
      <c r="D301" s="18">
        <f t="shared" ref="D301:BI301" si="263">SUM(D$35:D$39)/SUM(C$35:C$39)-1</f>
        <v>-9.7627378712339397E-4</v>
      </c>
      <c r="E301" s="18">
        <f t="shared" si="263"/>
        <v>7.8765783414751489E-3</v>
      </c>
      <c r="F301" s="18">
        <f t="shared" si="263"/>
        <v>2.4823543349302035E-2</v>
      </c>
      <c r="G301" s="18">
        <f t="shared" si="263"/>
        <v>2.4259295759812893E-2</v>
      </c>
      <c r="H301" s="18">
        <f t="shared" si="263"/>
        <v>1.0553672016346827E-2</v>
      </c>
      <c r="I301" s="18">
        <f t="shared" si="263"/>
        <v>7.1153756377564381E-3</v>
      </c>
      <c r="J301" s="18">
        <f t="shared" si="263"/>
        <v>1.3698879598035063E-2</v>
      </c>
      <c r="K301" s="18">
        <f t="shared" si="263"/>
        <v>1.4560906814758745E-2</v>
      </c>
      <c r="L301" s="18">
        <f t="shared" si="263"/>
        <v>1.206989886522214E-2</v>
      </c>
      <c r="M301" s="18">
        <f t="shared" si="263"/>
        <v>7.1349765660801978E-3</v>
      </c>
      <c r="N301" s="18">
        <f t="shared" si="263"/>
        <v>-1.7901446131111109E-3</v>
      </c>
      <c r="O301" s="18">
        <f t="shared" si="263"/>
        <v>-3.0476025999561784E-3</v>
      </c>
      <c r="P301" s="18">
        <f t="shared" si="263"/>
        <v>8.8824244897653948E-3</v>
      </c>
      <c r="Q301" s="18">
        <f t="shared" si="263"/>
        <v>-1.2055456488516247E-2</v>
      </c>
      <c r="R301" s="18">
        <f t="shared" si="263"/>
        <v>-2.1941033782021946E-2</v>
      </c>
      <c r="S301" s="18">
        <f t="shared" si="263"/>
        <v>-3.1931143568479925E-3</v>
      </c>
      <c r="T301" s="18">
        <f t="shared" si="263"/>
        <v>2.2213571733262549E-2</v>
      </c>
      <c r="U301" s="18">
        <f t="shared" si="263"/>
        <v>-6.5228280314086895E-3</v>
      </c>
      <c r="V301" s="18">
        <f t="shared" si="263"/>
        <v>2.7821225971260688E-3</v>
      </c>
      <c r="W301" s="18">
        <f t="shared" si="263"/>
        <v>2.2388003502223475E-2</v>
      </c>
      <c r="X301" s="18">
        <f t="shared" si="263"/>
        <v>2.9985578466924956E-2</v>
      </c>
      <c r="Y301" s="18">
        <f t="shared" si="263"/>
        <v>2.1141278812086162E-2</v>
      </c>
      <c r="Z301" s="18">
        <f t="shared" si="263"/>
        <v>2.6033032391815647E-2</v>
      </c>
      <c r="AA301" s="18">
        <f t="shared" si="263"/>
        <v>2.190527397704134E-2</v>
      </c>
      <c r="AB301" s="18">
        <f t="shared" si="263"/>
        <v>9.932060423798017E-3</v>
      </c>
      <c r="AC301" s="18">
        <f t="shared" si="263"/>
        <v>3.900143085860952E-3</v>
      </c>
      <c r="AD301" s="18">
        <f t="shared" si="263"/>
        <v>2.4419943836015978E-3</v>
      </c>
      <c r="AE301" s="18">
        <f t="shared" si="263"/>
        <v>-2.6575042625364143E-3</v>
      </c>
      <c r="AF301" s="18">
        <f t="shared" si="263"/>
        <v>-4.9960976430383219E-3</v>
      </c>
      <c r="AG301" s="18">
        <f t="shared" si="263"/>
        <v>-3.0127103810568823E-3</v>
      </c>
      <c r="AH301" s="18">
        <f t="shared" si="263"/>
        <v>-6.3234260784168494E-3</v>
      </c>
      <c r="AI301" s="18">
        <f t="shared" si="263"/>
        <v>-1.3515751330717141E-3</v>
      </c>
      <c r="AJ301" s="18">
        <f t="shared" si="263"/>
        <v>-3.49629459860612E-3</v>
      </c>
      <c r="AK301" s="18">
        <f t="shared" si="263"/>
        <v>-3.3953821581766963E-4</v>
      </c>
      <c r="AL301" s="18">
        <f t="shared" si="263"/>
        <v>-1.245396317641756E-3</v>
      </c>
      <c r="AM301" s="18">
        <f t="shared" si="263"/>
        <v>-1.2526172148615178E-2</v>
      </c>
      <c r="AN301" s="18">
        <f t="shared" si="263"/>
        <v>-1.1996285542650087E-2</v>
      </c>
      <c r="AO301" s="18">
        <f t="shared" si="263"/>
        <v>-7.1457372409385878E-3</v>
      </c>
      <c r="AP301" s="18">
        <f t="shared" si="263"/>
        <v>-7.8993288660722527E-3</v>
      </c>
      <c r="AQ301" s="18">
        <f t="shared" si="263"/>
        <v>-9.4956906755875314E-3</v>
      </c>
      <c r="AR301" s="18">
        <f t="shared" si="263"/>
        <v>5.656762156714068E-3</v>
      </c>
      <c r="AS301" s="18">
        <f t="shared" si="263"/>
        <v>4.6775843377273585E-3</v>
      </c>
      <c r="AT301" s="18">
        <f t="shared" si="263"/>
        <v>1.5322907174066813E-3</v>
      </c>
      <c r="AU301" s="18">
        <f t="shared" si="263"/>
        <v>1.2357259342195004E-3</v>
      </c>
      <c r="AV301" s="18">
        <f t="shared" si="263"/>
        <v>1.4105152003227595E-3</v>
      </c>
      <c r="AW301" s="18">
        <f t="shared" si="263"/>
        <v>1.4672171349319196E-3</v>
      </c>
      <c r="AX301" s="18">
        <f t="shared" si="263"/>
        <v>2.1096972902880928E-3</v>
      </c>
      <c r="AY301" s="18">
        <f t="shared" si="263"/>
        <v>2.92396644132209E-3</v>
      </c>
      <c r="AZ301" s="18">
        <f t="shared" si="263"/>
        <v>3.7317654878388229E-3</v>
      </c>
      <c r="BA301" s="18">
        <f t="shared" si="263"/>
        <v>4.7054560371022625E-3</v>
      </c>
      <c r="BB301" s="18">
        <f t="shared" si="263"/>
        <v>5.5507181246041704E-3</v>
      </c>
      <c r="BC301" s="18">
        <f t="shared" si="263"/>
        <v>6.3250890645982771E-3</v>
      </c>
      <c r="BD301" s="18">
        <f t="shared" si="263"/>
        <v>6.8567277476843103E-3</v>
      </c>
      <c r="BE301" s="18">
        <f t="shared" si="263"/>
        <v>7.1505348642539879E-3</v>
      </c>
      <c r="BF301" s="18">
        <f t="shared" si="263"/>
        <v>7.1561150905070647E-3</v>
      </c>
      <c r="BG301" s="18">
        <f t="shared" si="263"/>
        <v>6.8255339692817607E-3</v>
      </c>
      <c r="BH301" s="18">
        <f t="shared" si="263"/>
        <v>6.2235846831342201E-3</v>
      </c>
      <c r="BI301" s="18">
        <f t="shared" si="263"/>
        <v>5.4671788674680588E-3</v>
      </c>
    </row>
    <row r="302" spans="1:61" x14ac:dyDescent="0.25">
      <c r="A302" s="11" t="s">
        <v>1198</v>
      </c>
      <c r="B302" s="11"/>
      <c r="C302" s="18">
        <f>SUM(C$40:C$54)/SUM(B$40:B$54)-1</f>
        <v>2.6599858957785383E-3</v>
      </c>
      <c r="D302" s="18">
        <f t="shared" ref="D302:BI302" si="264">SUM(D$40:D$54)/SUM(C$40:C$54)-1</f>
        <v>-4.1015333660975317E-3</v>
      </c>
      <c r="E302" s="18">
        <f t="shared" si="264"/>
        <v>-5.4859575275083561E-3</v>
      </c>
      <c r="F302" s="18">
        <f t="shared" si="264"/>
        <v>-3.6575061491200822E-3</v>
      </c>
      <c r="G302" s="18">
        <f t="shared" si="264"/>
        <v>-1.0784009838669339E-2</v>
      </c>
      <c r="H302" s="18">
        <f t="shared" si="264"/>
        <v>-1.2406929023521363E-2</v>
      </c>
      <c r="I302" s="18">
        <f t="shared" si="264"/>
        <v>-5.4685370071840822E-3</v>
      </c>
      <c r="J302" s="18">
        <f t="shared" si="264"/>
        <v>1.2809649292340186E-2</v>
      </c>
      <c r="K302" s="18">
        <f t="shared" si="264"/>
        <v>3.0905664512977493E-2</v>
      </c>
      <c r="L302" s="18">
        <f t="shared" si="264"/>
        <v>4.6205239834419043E-2</v>
      </c>
      <c r="M302" s="18">
        <f t="shared" si="264"/>
        <v>4.6233994497261177E-2</v>
      </c>
      <c r="N302" s="18">
        <f t="shared" si="264"/>
        <v>3.9270563273938297E-2</v>
      </c>
      <c r="O302" s="18">
        <f t="shared" si="264"/>
        <v>3.1057658086992124E-2</v>
      </c>
      <c r="P302" s="18">
        <f t="shared" si="264"/>
        <v>3.466277685779473E-2</v>
      </c>
      <c r="Q302" s="18">
        <f t="shared" si="264"/>
        <v>1.0430756458742474E-2</v>
      </c>
      <c r="R302" s="18">
        <f t="shared" si="264"/>
        <v>-7.0820777784069699E-3</v>
      </c>
      <c r="S302" s="18">
        <f t="shared" si="264"/>
        <v>2.4676560139728521E-2</v>
      </c>
      <c r="T302" s="18">
        <f t="shared" si="264"/>
        <v>3.0545056074056331E-2</v>
      </c>
      <c r="U302" s="18">
        <f t="shared" si="264"/>
        <v>7.5891339070297548E-3</v>
      </c>
      <c r="V302" s="18">
        <f t="shared" si="264"/>
        <v>3.7993950975954149E-3</v>
      </c>
      <c r="W302" s="18">
        <f t="shared" si="264"/>
        <v>3.5771732741851636E-4</v>
      </c>
      <c r="X302" s="18">
        <f t="shared" si="264"/>
        <v>-3.3252140227957305E-3</v>
      </c>
      <c r="Y302" s="18">
        <f t="shared" si="264"/>
        <v>-2.8104418185371793E-3</v>
      </c>
      <c r="Z302" s="18">
        <f t="shared" si="264"/>
        <v>-3.9001219432823753E-3</v>
      </c>
      <c r="AA302" s="18">
        <f t="shared" si="264"/>
        <v>-4.4060457823332788E-3</v>
      </c>
      <c r="AB302" s="18">
        <f t="shared" si="264"/>
        <v>-1.2972037812530868E-4</v>
      </c>
      <c r="AC302" s="18">
        <f t="shared" si="264"/>
        <v>2.3293432920332702E-3</v>
      </c>
      <c r="AD302" s="18">
        <f t="shared" si="264"/>
        <v>3.6721642950745537E-3</v>
      </c>
      <c r="AE302" s="18">
        <f t="shared" si="264"/>
        <v>6.1155564213202229E-3</v>
      </c>
      <c r="AF302" s="18">
        <f t="shared" si="264"/>
        <v>8.0986557692803718E-3</v>
      </c>
      <c r="AG302" s="18">
        <f t="shared" si="264"/>
        <v>8.6086673750271903E-3</v>
      </c>
      <c r="AH302" s="18">
        <f t="shared" si="264"/>
        <v>9.2781324623725236E-3</v>
      </c>
      <c r="AI302" s="18">
        <f t="shared" si="264"/>
        <v>9.6892876762426638E-3</v>
      </c>
      <c r="AJ302" s="18">
        <f t="shared" si="264"/>
        <v>7.2735254493734303E-3</v>
      </c>
      <c r="AK302" s="18">
        <f t="shared" si="264"/>
        <v>7.1368424205142666E-3</v>
      </c>
      <c r="AL302" s="18">
        <f t="shared" si="264"/>
        <v>9.2422327041812302E-3</v>
      </c>
      <c r="AM302" s="18">
        <f t="shared" si="264"/>
        <v>8.2468044177281818E-3</v>
      </c>
      <c r="AN302" s="18">
        <f t="shared" si="264"/>
        <v>6.8818233564291731E-3</v>
      </c>
      <c r="AO302" s="18">
        <f t="shared" si="264"/>
        <v>6.2312382966882573E-3</v>
      </c>
      <c r="AP302" s="18">
        <f t="shared" si="264"/>
        <v>5.3820940790501037E-3</v>
      </c>
      <c r="AQ302" s="18">
        <f t="shared" si="264"/>
        <v>2.4509002891726084E-3</v>
      </c>
      <c r="AR302" s="18">
        <f t="shared" si="264"/>
        <v>-3.4743430373114226E-3</v>
      </c>
      <c r="AS302" s="18">
        <f t="shared" si="264"/>
        <v>-2.2758811188529071E-3</v>
      </c>
      <c r="AT302" s="18">
        <f t="shared" si="264"/>
        <v>-2.9767188132417965E-3</v>
      </c>
      <c r="AU302" s="18">
        <f t="shared" si="264"/>
        <v>-2.9693800029232387E-3</v>
      </c>
      <c r="AV302" s="18">
        <f t="shared" si="264"/>
        <v>-3.0758701516504505E-3</v>
      </c>
      <c r="AW302" s="18">
        <f t="shared" si="264"/>
        <v>-3.0527110038152117E-3</v>
      </c>
      <c r="AX302" s="18">
        <f t="shared" si="264"/>
        <v>-1.7520869971178188E-3</v>
      </c>
      <c r="AY302" s="18">
        <f t="shared" si="264"/>
        <v>-1.8535825039183162E-3</v>
      </c>
      <c r="AZ302" s="18">
        <f t="shared" si="264"/>
        <v>-1.1668031001322854E-3</v>
      </c>
      <c r="BA302" s="18">
        <f t="shared" si="264"/>
        <v>-1.8756470095492306E-3</v>
      </c>
      <c r="BB302" s="18">
        <f t="shared" si="264"/>
        <v>-7.7474621576334446E-4</v>
      </c>
      <c r="BC302" s="18">
        <f t="shared" si="264"/>
        <v>-7.4235342719675135E-4</v>
      </c>
      <c r="BD302" s="18">
        <f t="shared" si="264"/>
        <v>-3.3017996676210082E-5</v>
      </c>
      <c r="BE302" s="18">
        <f t="shared" si="264"/>
        <v>-1.6509543450116126E-5</v>
      </c>
      <c r="BF302" s="18">
        <f t="shared" si="264"/>
        <v>-1.9811779223599668E-4</v>
      </c>
      <c r="BG302" s="18">
        <f t="shared" si="264"/>
        <v>4.3759682023705171E-3</v>
      </c>
      <c r="BH302" s="18">
        <f t="shared" si="264"/>
        <v>4.5541962351316467E-3</v>
      </c>
      <c r="BI302" s="18">
        <f t="shared" si="264"/>
        <v>3.9116185741112641E-3</v>
      </c>
    </row>
    <row r="303" spans="1:61" x14ac:dyDescent="0.25">
      <c r="A303" s="11" t="s">
        <v>1199</v>
      </c>
      <c r="B303" s="11"/>
      <c r="C303" s="18">
        <f>SUM(C$55:C$69)/SUM(B$55:B$69)-1</f>
        <v>1.8782376259049993E-2</v>
      </c>
      <c r="D303" s="18">
        <f t="shared" ref="D303:BI303" si="265">SUM(D$55:D$69)/SUM(C$55:C$69)-1</f>
        <v>1.355074400838352E-2</v>
      </c>
      <c r="E303" s="18">
        <f t="shared" si="265"/>
        <v>1.078241893798948E-2</v>
      </c>
      <c r="F303" s="18">
        <f t="shared" si="265"/>
        <v>1.2077576960960901E-2</v>
      </c>
      <c r="G303" s="18">
        <f t="shared" si="265"/>
        <v>1.1283783363913447E-2</v>
      </c>
      <c r="H303" s="18">
        <f t="shared" si="265"/>
        <v>6.1631304006291021E-3</v>
      </c>
      <c r="I303" s="18">
        <f t="shared" si="265"/>
        <v>1.6646055460542986E-3</v>
      </c>
      <c r="J303" s="18">
        <f t="shared" si="265"/>
        <v>-2.4102168186859174E-3</v>
      </c>
      <c r="K303" s="18">
        <f t="shared" si="265"/>
        <v>4.8522483487833945E-4</v>
      </c>
      <c r="L303" s="18">
        <f t="shared" si="265"/>
        <v>-1.7453641366058648E-3</v>
      </c>
      <c r="M303" s="18">
        <f t="shared" si="265"/>
        <v>1.1002599243503663E-3</v>
      </c>
      <c r="N303" s="18">
        <f t="shared" si="265"/>
        <v>-2.6728888150897578E-3</v>
      </c>
      <c r="O303" s="18">
        <f t="shared" si="265"/>
        <v>1.8069482372200518E-3</v>
      </c>
      <c r="P303" s="18">
        <f t="shared" si="265"/>
        <v>4.2847568001771474E-3</v>
      </c>
      <c r="Q303" s="18">
        <f t="shared" si="265"/>
        <v>9.9087794913541583E-3</v>
      </c>
      <c r="R303" s="18">
        <f t="shared" si="265"/>
        <v>-1.1704744261410438E-3</v>
      </c>
      <c r="S303" s="18">
        <f t="shared" si="265"/>
        <v>2.603547422117547E-4</v>
      </c>
      <c r="T303" s="18">
        <f t="shared" si="265"/>
        <v>2.317014469838341E-2</v>
      </c>
      <c r="U303" s="18">
        <f t="shared" si="265"/>
        <v>8.3206372886508451E-3</v>
      </c>
      <c r="V303" s="18">
        <f t="shared" si="265"/>
        <v>6.7691671572958079E-3</v>
      </c>
      <c r="W303" s="18">
        <f t="shared" si="265"/>
        <v>1.1595650600900509E-2</v>
      </c>
      <c r="X303" s="18">
        <f t="shared" si="265"/>
        <v>1.7809049615839179E-2</v>
      </c>
      <c r="Y303" s="18">
        <f t="shared" si="265"/>
        <v>2.1406557744422461E-2</v>
      </c>
      <c r="Z303" s="18">
        <f t="shared" si="265"/>
        <v>2.6484614689692432E-2</v>
      </c>
      <c r="AA303" s="18">
        <f t="shared" si="265"/>
        <v>2.9220949207976465E-2</v>
      </c>
      <c r="AB303" s="18">
        <f t="shared" si="265"/>
        <v>2.6893337501967762E-2</v>
      </c>
      <c r="AC303" s="18">
        <f t="shared" si="265"/>
        <v>2.5382006068557228E-2</v>
      </c>
      <c r="AD303" s="18">
        <f t="shared" si="265"/>
        <v>2.0599831775878874E-2</v>
      </c>
      <c r="AE303" s="18">
        <f t="shared" si="265"/>
        <v>1.8522805689241029E-2</v>
      </c>
      <c r="AF303" s="18">
        <f t="shared" si="265"/>
        <v>1.5282722826361006E-2</v>
      </c>
      <c r="AG303" s="18">
        <f t="shared" si="265"/>
        <v>1.2691157716309132E-2</v>
      </c>
      <c r="AH303" s="18">
        <f t="shared" si="265"/>
        <v>1.0279503478799246E-2</v>
      </c>
      <c r="AI303" s="18">
        <f t="shared" si="265"/>
        <v>7.3328444148332839E-3</v>
      </c>
      <c r="AJ303" s="18">
        <f t="shared" si="265"/>
        <v>7.6223950683631525E-3</v>
      </c>
      <c r="AK303" s="18">
        <f t="shared" si="265"/>
        <v>6.0177533770788827E-3</v>
      </c>
      <c r="AL303" s="18">
        <f t="shared" si="265"/>
        <v>2.398853562912473E-3</v>
      </c>
      <c r="AM303" s="18">
        <f t="shared" si="265"/>
        <v>-9.511089475060519E-4</v>
      </c>
      <c r="AN303" s="18">
        <f t="shared" si="265"/>
        <v>-1.0441448443815338E-3</v>
      </c>
      <c r="AO303" s="18">
        <f t="shared" si="265"/>
        <v>-3.397017722781559E-3</v>
      </c>
      <c r="AP303" s="18">
        <f t="shared" si="265"/>
        <v>-3.4702908459587345E-3</v>
      </c>
      <c r="AQ303" s="18">
        <f t="shared" si="265"/>
        <v>5.5718011239691556E-4</v>
      </c>
      <c r="AR303" s="18">
        <f t="shared" si="265"/>
        <v>2.9854410630745232E-3</v>
      </c>
      <c r="AS303" s="18">
        <f t="shared" si="265"/>
        <v>4.1024018618422975E-3</v>
      </c>
      <c r="AT303" s="18">
        <f t="shared" si="265"/>
        <v>6.18989959071925E-3</v>
      </c>
      <c r="AU303" s="18">
        <f t="shared" si="265"/>
        <v>7.8767725731674343E-3</v>
      </c>
      <c r="AV303" s="18">
        <f t="shared" si="265"/>
        <v>8.2847325757537948E-3</v>
      </c>
      <c r="AW303" s="18">
        <f t="shared" si="265"/>
        <v>8.8775976426438419E-3</v>
      </c>
      <c r="AX303" s="18">
        <f t="shared" si="265"/>
        <v>9.201486078347143E-3</v>
      </c>
      <c r="AY303" s="18">
        <f t="shared" si="265"/>
        <v>7.1258839893935111E-3</v>
      </c>
      <c r="AZ303" s="18">
        <f t="shared" si="265"/>
        <v>7.0168690624823338E-3</v>
      </c>
      <c r="BA303" s="18">
        <f t="shared" si="265"/>
        <v>8.7717940307552311E-3</v>
      </c>
      <c r="BB303" s="18">
        <f t="shared" si="265"/>
        <v>7.9168155614715019E-3</v>
      </c>
      <c r="BC303" s="18">
        <f t="shared" si="265"/>
        <v>6.7672875842132996E-3</v>
      </c>
      <c r="BD303" s="18">
        <f t="shared" si="265"/>
        <v>6.1249375699523601E-3</v>
      </c>
      <c r="BE303" s="18">
        <f t="shared" si="265"/>
        <v>5.4096760240323061E-3</v>
      </c>
      <c r="BF303" s="18">
        <f t="shared" si="265"/>
        <v>2.9080359272313228E-3</v>
      </c>
      <c r="BG303" s="18">
        <f t="shared" si="265"/>
        <v>-2.1852086422385897E-3</v>
      </c>
      <c r="BH303" s="18">
        <f t="shared" si="265"/>
        <v>-1.1932660904392378E-3</v>
      </c>
      <c r="BI303" s="18">
        <f t="shared" si="265"/>
        <v>-1.7990651113473088E-3</v>
      </c>
    </row>
    <row r="304" spans="1:61" x14ac:dyDescent="0.25">
      <c r="A304" s="11" t="s">
        <v>1155</v>
      </c>
      <c r="B304" s="11"/>
      <c r="C304" s="18">
        <f>C$115/B$115-1</f>
        <v>5.1806574045719866E-2</v>
      </c>
      <c r="D304" s="18">
        <f t="shared" ref="D304:BI304" si="266">D$115/C$115-1</f>
        <v>3.6558175238295076E-2</v>
      </c>
      <c r="E304" s="18">
        <f t="shared" si="266"/>
        <v>7.6803005061210072E-4</v>
      </c>
      <c r="F304" s="18">
        <f t="shared" si="266"/>
        <v>6.0017075961682487E-4</v>
      </c>
      <c r="G304" s="18">
        <f t="shared" si="266"/>
        <v>-2.5251135619412279E-2</v>
      </c>
      <c r="H304" s="18">
        <f t="shared" si="266"/>
        <v>-2.3942209803639924E-2</v>
      </c>
      <c r="I304" s="18">
        <f t="shared" si="266"/>
        <v>-1.108670464677286E-2</v>
      </c>
      <c r="J304" s="18">
        <f t="shared" si="266"/>
        <v>-2.0457603414898884E-2</v>
      </c>
      <c r="K304" s="18">
        <f t="shared" si="266"/>
        <v>1.0121352927485283E-2</v>
      </c>
      <c r="L304" s="18">
        <f t="shared" si="266"/>
        <v>6.2568873103774347E-3</v>
      </c>
      <c r="M304" s="18">
        <f t="shared" si="266"/>
        <v>-5.6439065452015269E-3</v>
      </c>
      <c r="N304" s="18">
        <f t="shared" si="266"/>
        <v>-6.2164240284848793E-3</v>
      </c>
      <c r="O304" s="18">
        <f t="shared" si="266"/>
        <v>-2.5519704824050748E-4</v>
      </c>
      <c r="P304" s="18">
        <f t="shared" si="266"/>
        <v>-1.0169177389369066E-2</v>
      </c>
      <c r="Q304" s="18">
        <f t="shared" si="266"/>
        <v>2.7832444725224725E-2</v>
      </c>
      <c r="R304" s="18">
        <f t="shared" si="266"/>
        <v>-2.1527323665752718E-2</v>
      </c>
      <c r="S304" s="18">
        <f t="shared" si="266"/>
        <v>-3.2366602438974379E-2</v>
      </c>
      <c r="T304" s="18">
        <f t="shared" si="266"/>
        <v>-5.0291024066639878E-4</v>
      </c>
      <c r="U304" s="18">
        <f t="shared" si="266"/>
        <v>2.3064981148162689E-2</v>
      </c>
      <c r="V304" s="18">
        <f t="shared" si="266"/>
        <v>1.1792710944299012E-2</v>
      </c>
      <c r="W304" s="18">
        <f t="shared" si="266"/>
        <v>1.2798228725655614E-2</v>
      </c>
      <c r="X304" s="18">
        <f t="shared" si="266"/>
        <v>1.1739871648567046E-2</v>
      </c>
      <c r="Y304" s="18">
        <f t="shared" si="266"/>
        <v>1.0757677056927317E-2</v>
      </c>
      <c r="Z304" s="18">
        <f t="shared" si="266"/>
        <v>1.505460098876199E-4</v>
      </c>
      <c r="AA304" s="18">
        <f t="shared" si="266"/>
        <v>2.7027062596562956E-4</v>
      </c>
      <c r="AB304" s="18">
        <f t="shared" si="266"/>
        <v>7.2578552176616462E-4</v>
      </c>
      <c r="AC304" s="18">
        <f t="shared" si="266"/>
        <v>1.7977751268520858E-3</v>
      </c>
      <c r="AD304" s="18">
        <f t="shared" si="266"/>
        <v>2.6918233971287009E-3</v>
      </c>
      <c r="AE304" s="18">
        <f t="shared" si="266"/>
        <v>3.5794625817118231E-3</v>
      </c>
      <c r="AF304" s="18">
        <f t="shared" si="266"/>
        <v>5.0528189477361263E-3</v>
      </c>
      <c r="AG304" s="18">
        <f t="shared" si="266"/>
        <v>5.6188770671947719E-3</v>
      </c>
      <c r="AH304" s="18">
        <f t="shared" si="266"/>
        <v>6.4697156461921423E-3</v>
      </c>
      <c r="AI304" s="18">
        <f t="shared" si="266"/>
        <v>6.7203151023449426E-3</v>
      </c>
      <c r="AJ304" s="18">
        <f t="shared" si="266"/>
        <v>6.9656910765503177E-3</v>
      </c>
      <c r="AK304" s="18">
        <f t="shared" si="266"/>
        <v>6.6292764565036855E-3</v>
      </c>
      <c r="AL304" s="18">
        <f t="shared" si="266"/>
        <v>5.7266248437943812E-3</v>
      </c>
      <c r="AM304" s="18">
        <f t="shared" si="266"/>
        <v>4.8399147412263588E-3</v>
      </c>
      <c r="AN304" s="18">
        <f t="shared" si="266"/>
        <v>3.6832844898042616E-3</v>
      </c>
      <c r="AO304" s="18">
        <f t="shared" si="266"/>
        <v>2.8228982241425005E-3</v>
      </c>
      <c r="AP304" s="18">
        <f t="shared" si="266"/>
        <v>1.9704663309931814E-3</v>
      </c>
      <c r="AQ304" s="18">
        <f t="shared" si="266"/>
        <v>8.4282481250963492E-4</v>
      </c>
      <c r="AR304" s="18">
        <f t="shared" si="266"/>
        <v>0</v>
      </c>
      <c r="AS304" s="18">
        <f t="shared" si="266"/>
        <v>-8.4211505704467893E-4</v>
      </c>
      <c r="AT304" s="18">
        <f t="shared" si="266"/>
        <v>-1.1237664166796613E-3</v>
      </c>
      <c r="AU304" s="18">
        <f t="shared" si="266"/>
        <v>-1.6875460325774805E-3</v>
      </c>
      <c r="AV304" s="18">
        <f t="shared" si="266"/>
        <v>-1.9721317678141892E-3</v>
      </c>
      <c r="AW304" s="18">
        <f t="shared" si="266"/>
        <v>-1.9760287568997281E-3</v>
      </c>
      <c r="AX304" s="18">
        <f t="shared" si="266"/>
        <v>-1.6970924379460239E-3</v>
      </c>
      <c r="AY304" s="18">
        <f t="shared" si="266"/>
        <v>-1.699977456832702E-3</v>
      </c>
      <c r="AZ304" s="18">
        <f t="shared" si="266"/>
        <v>-1.4190602511306993E-3</v>
      </c>
      <c r="BA304" s="18">
        <f t="shared" si="266"/>
        <v>-8.5264610687696418E-4</v>
      </c>
      <c r="BB304" s="18">
        <f t="shared" si="266"/>
        <v>-2.8445791088926864E-4</v>
      </c>
      <c r="BC304" s="18">
        <f t="shared" si="266"/>
        <v>2.8453885021617609E-4</v>
      </c>
      <c r="BD304" s="18">
        <f t="shared" si="266"/>
        <v>8.5337373266791694E-4</v>
      </c>
      <c r="BE304" s="18">
        <f t="shared" si="266"/>
        <v>1.4210768447948663E-3</v>
      </c>
      <c r="BF304" s="18">
        <f t="shared" si="266"/>
        <v>1.7028723013567948E-3</v>
      </c>
      <c r="BG304" s="18">
        <f t="shared" si="266"/>
        <v>2.5499661852490529E-3</v>
      </c>
      <c r="BH304" s="18">
        <f t="shared" si="266"/>
        <v>2.8260893291620626E-3</v>
      </c>
      <c r="BI304" s="18">
        <f t="shared" si="266"/>
        <v>3.0999375616143077E-3</v>
      </c>
    </row>
    <row r="305" spans="1:61" x14ac:dyDescent="0.25">
      <c r="A305" s="11" t="s">
        <v>1156</v>
      </c>
      <c r="B305" s="11"/>
      <c r="C305" s="18">
        <f>C$116/B$116-1</f>
        <v>2.0836131481788422E-2</v>
      </c>
      <c r="D305" s="18">
        <f t="shared" ref="D305:BI305" si="267">D$116/C$116-1</f>
        <v>5.3880777469708097E-2</v>
      </c>
      <c r="E305" s="18">
        <f t="shared" si="267"/>
        <v>3.8242484826334522E-2</v>
      </c>
      <c r="F305" s="18">
        <f t="shared" si="267"/>
        <v>6.368738527743556E-3</v>
      </c>
      <c r="G305" s="18">
        <f t="shared" si="267"/>
        <v>-3.672072743061694E-4</v>
      </c>
      <c r="H305" s="18">
        <f t="shared" si="267"/>
        <v>-2.928958609231691E-2</v>
      </c>
      <c r="I305" s="18">
        <f t="shared" si="267"/>
        <v>-1.7342974711590409E-2</v>
      </c>
      <c r="J305" s="18">
        <f t="shared" si="267"/>
        <v>-8.8674752965076653E-3</v>
      </c>
      <c r="K305" s="18">
        <f t="shared" si="267"/>
        <v>-1.8218072323946788E-2</v>
      </c>
      <c r="L305" s="18">
        <f t="shared" si="267"/>
        <v>7.5718260719721542E-3</v>
      </c>
      <c r="M305" s="18">
        <f t="shared" si="267"/>
        <v>8.242545847330085E-4</v>
      </c>
      <c r="N305" s="18">
        <f t="shared" si="267"/>
        <v>-1.9772100913995061E-3</v>
      </c>
      <c r="O305" s="18">
        <f t="shared" si="267"/>
        <v>-1.5439568657735325E-2</v>
      </c>
      <c r="P305" s="18">
        <f t="shared" si="267"/>
        <v>1.701029302268986E-2</v>
      </c>
      <c r="Q305" s="18">
        <f t="shared" si="267"/>
        <v>-2.6502649207555629E-2</v>
      </c>
      <c r="R305" s="18">
        <f t="shared" si="267"/>
        <v>3.2555666068499356E-2</v>
      </c>
      <c r="S305" s="18">
        <f t="shared" si="267"/>
        <v>-7.2076974172207153E-3</v>
      </c>
      <c r="T305" s="18">
        <f t="shared" si="267"/>
        <v>-4.1130430166417598E-2</v>
      </c>
      <c r="U305" s="18">
        <f t="shared" si="267"/>
        <v>-4.9523704521238221E-3</v>
      </c>
      <c r="V305" s="18">
        <f t="shared" si="267"/>
        <v>3.2175554481270074E-2</v>
      </c>
      <c r="W305" s="18">
        <f t="shared" si="267"/>
        <v>1.3476010855341114E-2</v>
      </c>
      <c r="X305" s="18">
        <f t="shared" si="267"/>
        <v>1.2756267648016406E-2</v>
      </c>
      <c r="Y305" s="18">
        <f t="shared" si="267"/>
        <v>1.0758511136077731E-2</v>
      </c>
      <c r="Z305" s="18">
        <f t="shared" si="267"/>
        <v>1.5034450291451229E-4</v>
      </c>
      <c r="AA305" s="18">
        <f t="shared" si="267"/>
        <v>-2.9617377869661787E-5</v>
      </c>
      <c r="AB305" s="18">
        <f t="shared" si="267"/>
        <v>4.2549639752476054E-4</v>
      </c>
      <c r="AC305" s="18">
        <f t="shared" si="267"/>
        <v>8.9822332036693098E-4</v>
      </c>
      <c r="AD305" s="18">
        <f t="shared" si="267"/>
        <v>1.4956953987910193E-3</v>
      </c>
      <c r="AE305" s="18">
        <f t="shared" si="267"/>
        <v>2.688230943171277E-3</v>
      </c>
      <c r="AF305" s="18">
        <f t="shared" si="267"/>
        <v>3.8725898354214916E-3</v>
      </c>
      <c r="AG305" s="18">
        <f t="shared" si="267"/>
        <v>4.7478778294045565E-3</v>
      </c>
      <c r="AH305" s="18">
        <f t="shared" si="267"/>
        <v>5.9068025100754706E-3</v>
      </c>
      <c r="AI305" s="18">
        <f t="shared" si="267"/>
        <v>6.4593287816223643E-3</v>
      </c>
      <c r="AJ305" s="18">
        <f t="shared" si="267"/>
        <v>7.0013166826847772E-3</v>
      </c>
      <c r="AK305" s="18">
        <f t="shared" si="267"/>
        <v>6.6629457609277409E-3</v>
      </c>
      <c r="AL305" s="18">
        <f t="shared" si="267"/>
        <v>6.6188447573098941E-3</v>
      </c>
      <c r="AM305" s="18">
        <f t="shared" si="267"/>
        <v>5.7176727916881109E-3</v>
      </c>
      <c r="AN305" s="18">
        <f t="shared" si="267"/>
        <v>5.1166501809949416E-3</v>
      </c>
      <c r="AO305" s="18">
        <f t="shared" si="267"/>
        <v>3.676546859895824E-3</v>
      </c>
      <c r="AP305" s="18">
        <f t="shared" si="267"/>
        <v>2.8177533668576338E-3</v>
      </c>
      <c r="AQ305" s="18">
        <f t="shared" si="267"/>
        <v>1.9668851595198156E-3</v>
      </c>
      <c r="AR305" s="18">
        <f t="shared" si="267"/>
        <v>8.4129604993599116E-4</v>
      </c>
      <c r="AS305" s="18">
        <f t="shared" si="267"/>
        <v>0</v>
      </c>
      <c r="AT305" s="18">
        <f t="shared" si="267"/>
        <v>-5.6039257722906299E-4</v>
      </c>
      <c r="AU305" s="18">
        <f t="shared" si="267"/>
        <v>-1.1214135863077956E-3</v>
      </c>
      <c r="AV305" s="18">
        <f t="shared" si="267"/>
        <v>-1.6840088498654149E-3</v>
      </c>
      <c r="AW305" s="18">
        <f t="shared" si="267"/>
        <v>-1.6868495193844701E-3</v>
      </c>
      <c r="AX305" s="18">
        <f t="shared" si="267"/>
        <v>-1.9713164201043964E-3</v>
      </c>
      <c r="AY305" s="18">
        <f t="shared" si="267"/>
        <v>-1.6930373008919863E-3</v>
      </c>
      <c r="AZ305" s="18">
        <f t="shared" si="267"/>
        <v>-1.6959085373046134E-3</v>
      </c>
      <c r="BA305" s="18">
        <f t="shared" si="267"/>
        <v>-1.4156579408082237E-3</v>
      </c>
      <c r="BB305" s="18">
        <f t="shared" si="267"/>
        <v>-8.5059892160277428E-4</v>
      </c>
      <c r="BC305" s="18">
        <f t="shared" si="267"/>
        <v>-2.8377435202542323E-4</v>
      </c>
      <c r="BD305" s="18">
        <f t="shared" si="267"/>
        <v>2.8385490276638947E-4</v>
      </c>
      <c r="BE305" s="18">
        <f t="shared" si="267"/>
        <v>8.5132305607604764E-4</v>
      </c>
      <c r="BF305" s="18">
        <f t="shared" si="267"/>
        <v>1.4176648693378091E-3</v>
      </c>
      <c r="BG305" s="18">
        <f t="shared" si="267"/>
        <v>1.9819211171314688E-3</v>
      </c>
      <c r="BH305" s="18">
        <f t="shared" si="267"/>
        <v>2.5431439826915092E-3</v>
      </c>
      <c r="BI305" s="18">
        <f t="shared" si="267"/>
        <v>2.8185475640465363E-3</v>
      </c>
    </row>
    <row r="306" spans="1:61" x14ac:dyDescent="0.25">
      <c r="A306" s="11" t="s">
        <v>1157</v>
      </c>
      <c r="C306" s="18">
        <f>C$117/B$117-1</f>
        <v>-6.5681550608321926E-3</v>
      </c>
      <c r="D306" s="18">
        <f t="shared" ref="D306:BI306" si="268">D$117/C$117-1</f>
        <v>2.3560312182919541E-2</v>
      </c>
      <c r="E306" s="18">
        <f t="shared" si="268"/>
        <v>5.4517636501539624E-2</v>
      </c>
      <c r="F306" s="18">
        <f t="shared" si="268"/>
        <v>4.1821769168389089E-2</v>
      </c>
      <c r="G306" s="18">
        <f t="shared" si="268"/>
        <v>1.7493775862744698E-3</v>
      </c>
      <c r="H306" s="18">
        <f t="shared" si="268"/>
        <v>-2.9382864173249645E-3</v>
      </c>
      <c r="I306" s="18">
        <f t="shared" si="268"/>
        <v>-2.655153101721075E-2</v>
      </c>
      <c r="J306" s="18">
        <f t="shared" si="268"/>
        <v>-5.5033482074048345E-3</v>
      </c>
      <c r="K306" s="18">
        <f t="shared" si="268"/>
        <v>-5.4200749958406291E-3</v>
      </c>
      <c r="L306" s="18">
        <f t="shared" si="268"/>
        <v>-1.7541829193262637E-2</v>
      </c>
      <c r="M306" s="18">
        <f t="shared" si="268"/>
        <v>3.6319041584118583E-3</v>
      </c>
      <c r="N306" s="18">
        <f t="shared" si="268"/>
        <v>3.1422370978353431E-3</v>
      </c>
      <c r="O306" s="18">
        <f t="shared" si="268"/>
        <v>-1.0561094326152487E-2</v>
      </c>
      <c r="P306" s="18">
        <f t="shared" si="268"/>
        <v>-2.5052900741320272E-3</v>
      </c>
      <c r="Q306" s="18">
        <f t="shared" si="268"/>
        <v>-3.4298570272829343E-3</v>
      </c>
      <c r="R306" s="18">
        <f t="shared" si="268"/>
        <v>-1.9394239831149296E-2</v>
      </c>
      <c r="S306" s="18">
        <f t="shared" si="268"/>
        <v>4.903642652996143E-2</v>
      </c>
      <c r="T306" s="18">
        <f t="shared" si="268"/>
        <v>-1.2477829516386207E-2</v>
      </c>
      <c r="U306" s="18">
        <f t="shared" si="268"/>
        <v>-5.037960514795492E-2</v>
      </c>
      <c r="V306" s="18">
        <f t="shared" si="268"/>
        <v>3.9472132086089129E-3</v>
      </c>
      <c r="W306" s="18">
        <f t="shared" si="268"/>
        <v>3.3799390802895068E-2</v>
      </c>
      <c r="X306" s="18">
        <f t="shared" si="268"/>
        <v>1.3768214343939711E-2</v>
      </c>
      <c r="Y306" s="18">
        <f t="shared" si="268"/>
        <v>1.1434696746597695E-2</v>
      </c>
      <c r="Z306" s="18">
        <f t="shared" si="268"/>
        <v>4.4737089434954136E-4</v>
      </c>
      <c r="AA306" s="18">
        <f t="shared" si="268"/>
        <v>2.6830250587761562E-4</v>
      </c>
      <c r="AB306" s="18">
        <f t="shared" si="268"/>
        <v>-1.7248949474979458E-4</v>
      </c>
      <c r="AC306" s="18">
        <f t="shared" si="268"/>
        <v>2.9771509898779414E-4</v>
      </c>
      <c r="AD306" s="18">
        <f t="shared" si="268"/>
        <v>8.9287947326255335E-4</v>
      </c>
      <c r="AE306" s="18">
        <f t="shared" si="268"/>
        <v>1.4868049178458076E-3</v>
      </c>
      <c r="AF306" s="18">
        <f t="shared" si="268"/>
        <v>2.6722756994705943E-3</v>
      </c>
      <c r="AG306" s="18">
        <f t="shared" si="268"/>
        <v>4.1457946041121296E-3</v>
      </c>
      <c r="AH306" s="18">
        <f t="shared" si="268"/>
        <v>4.7184890895211051E-3</v>
      </c>
      <c r="AI306" s="18">
        <f t="shared" si="268"/>
        <v>5.8704118874595146E-3</v>
      </c>
      <c r="AJ306" s="18">
        <f t="shared" si="268"/>
        <v>6.4197664031973023E-3</v>
      </c>
      <c r="AK306" s="18">
        <f t="shared" si="268"/>
        <v>6.9587082493320906E-3</v>
      </c>
      <c r="AL306" s="18">
        <f t="shared" si="268"/>
        <v>6.9106192660375321E-3</v>
      </c>
      <c r="AM306" s="18">
        <f t="shared" si="268"/>
        <v>6.5772241050021663E-3</v>
      </c>
      <c r="AN306" s="18">
        <f t="shared" si="268"/>
        <v>5.6819538250361123E-3</v>
      </c>
      <c r="AO306" s="18">
        <f t="shared" si="268"/>
        <v>5.0848664660656517E-3</v>
      </c>
      <c r="AP306" s="18">
        <f t="shared" si="268"/>
        <v>3.9348877614473476E-3</v>
      </c>
      <c r="AQ306" s="18">
        <f t="shared" si="268"/>
        <v>2.7996179329783377E-3</v>
      </c>
      <c r="AR306" s="18">
        <f t="shared" si="268"/>
        <v>1.6750811724972614E-3</v>
      </c>
      <c r="AS306" s="18">
        <f t="shared" si="268"/>
        <v>1.1148533118721105E-3</v>
      </c>
      <c r="AT306" s="18">
        <f t="shared" si="268"/>
        <v>0</v>
      </c>
      <c r="AU306" s="18">
        <f t="shared" si="268"/>
        <v>-5.5680589903539524E-4</v>
      </c>
      <c r="AV306" s="18">
        <f t="shared" si="268"/>
        <v>-1.1142322091377554E-3</v>
      </c>
      <c r="AW306" s="18">
        <f t="shared" si="268"/>
        <v>-1.3943438842887179E-3</v>
      </c>
      <c r="AX306" s="18">
        <f t="shared" si="268"/>
        <v>-1.9548071113448806E-3</v>
      </c>
      <c r="AY306" s="18">
        <f t="shared" si="268"/>
        <v>-1.678830742856241E-3</v>
      </c>
      <c r="AZ306" s="18">
        <f t="shared" si="268"/>
        <v>-1.9619296144175458E-3</v>
      </c>
      <c r="BA306" s="18">
        <f t="shared" si="268"/>
        <v>-1.4041331063364693E-3</v>
      </c>
      <c r="BB306" s="18">
        <f t="shared" si="268"/>
        <v>-1.406107468383877E-3</v>
      </c>
      <c r="BC306" s="18">
        <f t="shared" si="268"/>
        <v>-5.6323495623200603E-4</v>
      </c>
      <c r="BD306" s="18">
        <f t="shared" si="268"/>
        <v>-2.8177618431279861E-4</v>
      </c>
      <c r="BE306" s="18">
        <f t="shared" si="268"/>
        <v>2.8185560450966207E-4</v>
      </c>
      <c r="BF306" s="18">
        <f t="shared" si="268"/>
        <v>8.4532855293839582E-4</v>
      </c>
      <c r="BG306" s="18">
        <f t="shared" si="268"/>
        <v>1.4076909602016574E-3</v>
      </c>
      <c r="BH306" s="18">
        <f t="shared" si="268"/>
        <v>1.9679970126780244E-3</v>
      </c>
      <c r="BI306" s="18">
        <f t="shared" si="268"/>
        <v>2.5253120668395912E-3</v>
      </c>
    </row>
    <row r="307" spans="1:61" x14ac:dyDescent="0.25">
      <c r="A307" s="11" t="s">
        <v>1158</v>
      </c>
      <c r="B307" s="11"/>
      <c r="C307" s="18">
        <f>C$118/B$118-1</f>
        <v>2.4481034915927014E-2</v>
      </c>
      <c r="D307" s="18">
        <f t="shared" ref="D307:BI307" si="269">D$118/C$118-1</f>
        <v>-3.891860024321403E-3</v>
      </c>
      <c r="E307" s="18">
        <f t="shared" si="269"/>
        <v>2.5180704257419029E-2</v>
      </c>
      <c r="F307" s="18">
        <f t="shared" si="269"/>
        <v>5.4086505776161697E-2</v>
      </c>
      <c r="G307" s="18">
        <f t="shared" si="269"/>
        <v>3.602140588411018E-2</v>
      </c>
      <c r="H307" s="18">
        <f t="shared" si="269"/>
        <v>1.9084338313288818E-3</v>
      </c>
      <c r="I307" s="18">
        <f t="shared" si="269"/>
        <v>2.3752082898114146E-3</v>
      </c>
      <c r="J307" s="18">
        <f t="shared" si="269"/>
        <v>-1.8622195938418407E-2</v>
      </c>
      <c r="K307" s="18">
        <f t="shared" si="269"/>
        <v>-3.0947208871403564E-3</v>
      </c>
      <c r="L307" s="18">
        <f t="shared" si="269"/>
        <v>-3.8481624622245247E-3</v>
      </c>
      <c r="M307" s="18">
        <f t="shared" si="269"/>
        <v>-2.0644591095488773E-2</v>
      </c>
      <c r="N307" s="18">
        <f t="shared" si="269"/>
        <v>7.8519812715520665E-3</v>
      </c>
      <c r="O307" s="18">
        <f t="shared" si="269"/>
        <v>-6.7731963171393517E-3</v>
      </c>
      <c r="P307" s="18">
        <f t="shared" si="269"/>
        <v>7.0928826444620618E-3</v>
      </c>
      <c r="Q307" s="18">
        <f t="shared" si="269"/>
        <v>-2.7477140330416372E-2</v>
      </c>
      <c r="R307" s="18">
        <f t="shared" si="269"/>
        <v>8.6198974290214725E-3</v>
      </c>
      <c r="S307" s="18">
        <f t="shared" si="269"/>
        <v>-1.0270866116973698E-3</v>
      </c>
      <c r="T307" s="18">
        <f t="shared" si="269"/>
        <v>3.5535599313690991E-2</v>
      </c>
      <c r="U307" s="18">
        <f t="shared" si="269"/>
        <v>-2.1175759762805391E-2</v>
      </c>
      <c r="V307" s="18">
        <f t="shared" si="269"/>
        <v>-4.1276611174831168E-2</v>
      </c>
      <c r="W307" s="18">
        <f t="shared" si="269"/>
        <v>5.6632946977295262E-3</v>
      </c>
      <c r="X307" s="18">
        <f t="shared" si="269"/>
        <v>3.3967792957353415E-2</v>
      </c>
      <c r="Y307" s="18">
        <f t="shared" si="269"/>
        <v>1.2772978950225777E-2</v>
      </c>
      <c r="Z307" s="18">
        <f t="shared" si="269"/>
        <v>1.0358863498354243E-3</v>
      </c>
      <c r="AA307" s="18">
        <f t="shared" si="269"/>
        <v>2.6628413118467975E-4</v>
      </c>
      <c r="AB307" s="18">
        <f t="shared" si="269"/>
        <v>1.2423284665064038E-4</v>
      </c>
      <c r="AC307" s="18">
        <f t="shared" si="269"/>
        <v>-2.9538839325360389E-4</v>
      </c>
      <c r="AD307" s="18">
        <f t="shared" si="269"/>
        <v>2.9547567333798597E-4</v>
      </c>
      <c r="AE307" s="18">
        <f t="shared" si="269"/>
        <v>8.8616517976092268E-4</v>
      </c>
      <c r="AF307" s="18">
        <f t="shared" si="269"/>
        <v>1.7707611726289763E-3</v>
      </c>
      <c r="AG307" s="18">
        <f t="shared" si="269"/>
        <v>2.9460518667900892E-3</v>
      </c>
      <c r="AH307" s="18">
        <f t="shared" si="269"/>
        <v>3.8186175813730294E-3</v>
      </c>
      <c r="AI307" s="18">
        <f t="shared" si="269"/>
        <v>4.9745808154184612E-3</v>
      </c>
      <c r="AJ307" s="18">
        <f t="shared" si="269"/>
        <v>5.8234786529534066E-3</v>
      </c>
      <c r="AK307" s="18">
        <f t="shared" si="269"/>
        <v>6.3687383066735048E-3</v>
      </c>
      <c r="AL307" s="18">
        <f t="shared" si="269"/>
        <v>6.903746362453056E-3</v>
      </c>
      <c r="AM307" s="18">
        <f t="shared" si="269"/>
        <v>6.8564114369358276E-3</v>
      </c>
      <c r="AN307" s="18">
        <f t="shared" si="269"/>
        <v>6.5259828039294643E-3</v>
      </c>
      <c r="AO307" s="18">
        <f t="shared" si="269"/>
        <v>5.919873048653379E-3</v>
      </c>
      <c r="AP307" s="18">
        <f t="shared" si="269"/>
        <v>4.7640754603237578E-3</v>
      </c>
      <c r="AQ307" s="18">
        <f t="shared" si="269"/>
        <v>3.9047537200667115E-3</v>
      </c>
      <c r="AR307" s="18">
        <f t="shared" si="269"/>
        <v>3.0560875109750807E-3</v>
      </c>
      <c r="AS307" s="18">
        <f t="shared" si="269"/>
        <v>1.9388576429015814E-3</v>
      </c>
      <c r="AT307" s="18">
        <f t="shared" si="269"/>
        <v>8.2933103499938099E-4</v>
      </c>
      <c r="AU307" s="18">
        <f t="shared" si="269"/>
        <v>2.7621460498883366E-4</v>
      </c>
      <c r="AV307" s="18">
        <f t="shared" si="269"/>
        <v>-5.5227666309731749E-4</v>
      </c>
      <c r="AW307" s="18">
        <f t="shared" si="269"/>
        <v>-1.105163682305399E-3</v>
      </c>
      <c r="AX307" s="18">
        <f t="shared" si="269"/>
        <v>-1.3829830254947773E-3</v>
      </c>
      <c r="AY307" s="18">
        <f t="shared" si="269"/>
        <v>-1.9388576429015814E-3</v>
      </c>
      <c r="AZ307" s="18">
        <f t="shared" si="269"/>
        <v>-1.6651063838685198E-3</v>
      </c>
      <c r="BA307" s="18">
        <f t="shared" si="269"/>
        <v>-1.6678835874776032E-3</v>
      </c>
      <c r="BB307" s="18">
        <f t="shared" si="269"/>
        <v>-1.3922250588904728E-3</v>
      </c>
      <c r="BC307" s="18">
        <f t="shared" si="269"/>
        <v>-1.1153328414432728E-3</v>
      </c>
      <c r="BD307" s="18">
        <f t="shared" si="269"/>
        <v>-8.3743364833299694E-4</v>
      </c>
      <c r="BE307" s="18">
        <f t="shared" si="269"/>
        <v>-2.7937851040960027E-4</v>
      </c>
      <c r="BF307" s="18">
        <f t="shared" si="269"/>
        <v>2.7945658457384503E-4</v>
      </c>
      <c r="BG307" s="18">
        <f t="shared" si="269"/>
        <v>1.117514041638179E-3</v>
      </c>
      <c r="BH307" s="18">
        <f t="shared" si="269"/>
        <v>1.3953332475509228E-3</v>
      </c>
      <c r="BI307" s="18">
        <f t="shared" si="269"/>
        <v>1.9507446077624557E-3</v>
      </c>
    </row>
    <row r="308" spans="1:61" x14ac:dyDescent="0.25">
      <c r="A308" s="11" t="s">
        <v>1159</v>
      </c>
      <c r="B308" s="11"/>
      <c r="C308" s="18">
        <f>C$119/B$119-1</f>
        <v>1.5130026055881318E-2</v>
      </c>
      <c r="D308" s="18">
        <f t="shared" ref="D308:BI308" si="270">D$119/C$119-1</f>
        <v>2.7082594386724779E-2</v>
      </c>
      <c r="E308" s="18">
        <f t="shared" si="270"/>
        <v>-1.8895101817739679E-3</v>
      </c>
      <c r="F308" s="18">
        <f t="shared" si="270"/>
        <v>2.2746683778507526E-2</v>
      </c>
      <c r="G308" s="18">
        <f t="shared" si="270"/>
        <v>5.2018742192782907E-2</v>
      </c>
      <c r="H308" s="18">
        <f t="shared" si="270"/>
        <v>3.3092983185481817E-2</v>
      </c>
      <c r="I308" s="18">
        <f t="shared" si="270"/>
        <v>6.0399219227795786E-3</v>
      </c>
      <c r="J308" s="18">
        <f t="shared" si="270"/>
        <v>9.4047596854029969E-3</v>
      </c>
      <c r="K308" s="18">
        <f t="shared" si="270"/>
        <v>-1.413721665318346E-2</v>
      </c>
      <c r="L308" s="18">
        <f t="shared" si="270"/>
        <v>-4.7430967183166306E-3</v>
      </c>
      <c r="M308" s="18">
        <f t="shared" si="270"/>
        <v>-7.6248383395128849E-3</v>
      </c>
      <c r="N308" s="18">
        <f t="shared" si="270"/>
        <v>-1.20808245183881E-2</v>
      </c>
      <c r="O308" s="18">
        <f t="shared" si="270"/>
        <v>3.3409792980432229E-4</v>
      </c>
      <c r="P308" s="18">
        <f t="shared" si="270"/>
        <v>5.1998509101682799E-3</v>
      </c>
      <c r="Q308" s="18">
        <f t="shared" si="270"/>
        <v>-1.6748787671869936E-2</v>
      </c>
      <c r="R308" s="18">
        <f t="shared" si="270"/>
        <v>-1.6890331285254079E-2</v>
      </c>
      <c r="S308" s="18">
        <f t="shared" si="270"/>
        <v>3.3699068214419592E-2</v>
      </c>
      <c r="T308" s="18">
        <f t="shared" si="270"/>
        <v>-9.4940914941435972E-3</v>
      </c>
      <c r="U308" s="18">
        <f t="shared" si="270"/>
        <v>2.0414939391607101E-2</v>
      </c>
      <c r="V308" s="18">
        <f t="shared" si="270"/>
        <v>-1.1942524460489823E-2</v>
      </c>
      <c r="W308" s="18">
        <f t="shared" si="270"/>
        <v>-3.8992564008150099E-2</v>
      </c>
      <c r="X308" s="18">
        <f t="shared" si="270"/>
        <v>6.0162754902521876E-3</v>
      </c>
      <c r="Y308" s="18">
        <f t="shared" si="270"/>
        <v>3.2779044142751124E-2</v>
      </c>
      <c r="Z308" s="18">
        <f t="shared" si="270"/>
        <v>1.9094355798348062E-3</v>
      </c>
      <c r="AA308" s="18">
        <f t="shared" si="270"/>
        <v>1.1434779504175818E-3</v>
      </c>
      <c r="AB308" s="18">
        <f t="shared" si="270"/>
        <v>4.1590132860647167E-4</v>
      </c>
      <c r="AC308" s="18">
        <f t="shared" si="270"/>
        <v>-2.9265884698492783E-4</v>
      </c>
      <c r="AD308" s="18">
        <f t="shared" si="270"/>
        <v>0</v>
      </c>
      <c r="AE308" s="18">
        <f t="shared" si="270"/>
        <v>2.9274452125904737E-4</v>
      </c>
      <c r="AF308" s="18">
        <f t="shared" si="270"/>
        <v>8.779765409547835E-4</v>
      </c>
      <c r="AG308" s="18">
        <f t="shared" si="270"/>
        <v>1.7544127486728289E-3</v>
      </c>
      <c r="AH308" s="18">
        <f t="shared" si="270"/>
        <v>2.918900291903892E-3</v>
      </c>
      <c r="AI308" s="18">
        <f t="shared" si="270"/>
        <v>3.7835266424539604E-3</v>
      </c>
      <c r="AJ308" s="18">
        <f t="shared" si="270"/>
        <v>5.2189830358813083E-3</v>
      </c>
      <c r="AK308" s="18">
        <f t="shared" si="270"/>
        <v>5.768762963821894E-3</v>
      </c>
      <c r="AL308" s="18">
        <f t="shared" si="270"/>
        <v>6.3092427343882651E-3</v>
      </c>
      <c r="AM308" s="18">
        <f t="shared" si="270"/>
        <v>6.8396571982127785E-3</v>
      </c>
      <c r="AN308" s="18">
        <f t="shared" si="270"/>
        <v>7.0762438327380828E-3</v>
      </c>
      <c r="AO308" s="18">
        <f t="shared" si="270"/>
        <v>6.4644006508807195E-3</v>
      </c>
      <c r="AP308" s="18">
        <f t="shared" si="270"/>
        <v>5.8643692229303213E-3</v>
      </c>
      <c r="AQ308" s="18">
        <f t="shared" si="270"/>
        <v>4.7196686343191629E-3</v>
      </c>
      <c r="AR308" s="18">
        <f t="shared" si="270"/>
        <v>4.1448511767769869E-3</v>
      </c>
      <c r="AS308" s="18">
        <f t="shared" si="270"/>
        <v>2.7518281995002614E-3</v>
      </c>
      <c r="AT308" s="18">
        <f t="shared" si="270"/>
        <v>1.9209934955779495E-3</v>
      </c>
      <c r="AU308" s="18">
        <f t="shared" si="270"/>
        <v>1.0956059170612598E-3</v>
      </c>
      <c r="AV308" s="18">
        <f t="shared" si="270"/>
        <v>2.7360171960233437E-4</v>
      </c>
      <c r="AW308" s="18">
        <f t="shared" si="270"/>
        <v>-5.4705376435415509E-4</v>
      </c>
      <c r="AX308" s="18">
        <f t="shared" si="270"/>
        <v>-8.2102979397069564E-4</v>
      </c>
      <c r="AY308" s="18">
        <f t="shared" si="270"/>
        <v>-1.6434088755920007E-3</v>
      </c>
      <c r="AZ308" s="18">
        <f t="shared" si="270"/>
        <v>-1.6461141141373981E-3</v>
      </c>
      <c r="BA308" s="18">
        <f t="shared" si="270"/>
        <v>-1.6488282736304427E-3</v>
      </c>
      <c r="BB308" s="18">
        <f t="shared" si="270"/>
        <v>-1.6515513982712227E-3</v>
      </c>
      <c r="BC308" s="18">
        <f t="shared" si="270"/>
        <v>-1.3785696104604561E-3</v>
      </c>
      <c r="BD308" s="18">
        <f t="shared" si="270"/>
        <v>-1.1043781505251093E-3</v>
      </c>
      <c r="BE308" s="18">
        <f t="shared" si="270"/>
        <v>-5.5279957503484578E-4</v>
      </c>
      <c r="BF308" s="18">
        <f t="shared" si="270"/>
        <v>-2.7655266571346981E-4</v>
      </c>
      <c r="BG308" s="18">
        <f t="shared" si="270"/>
        <v>5.5325833649488843E-4</v>
      </c>
      <c r="BH308" s="18">
        <f t="shared" si="270"/>
        <v>8.294286164456377E-4</v>
      </c>
      <c r="BI308" s="18">
        <f t="shared" si="270"/>
        <v>1.6574824694999268E-3</v>
      </c>
    </row>
    <row r="309" spans="1:61" x14ac:dyDescent="0.25">
      <c r="A309" s="11" t="s">
        <v>1160</v>
      </c>
      <c r="C309" s="18">
        <f>C$120/B$120-1</f>
        <v>-4.2080258970082718E-2</v>
      </c>
      <c r="D309" s="18">
        <f t="shared" ref="D309:BI309" si="271">D$120/C$120-1</f>
        <v>1.8337493555618201E-2</v>
      </c>
      <c r="E309" s="18">
        <f t="shared" si="271"/>
        <v>2.6938111019711775E-2</v>
      </c>
      <c r="F309" s="18">
        <f t="shared" si="271"/>
        <v>-1.8770138351259513E-3</v>
      </c>
      <c r="G309" s="18">
        <f t="shared" si="271"/>
        <v>1.7906625611859628E-2</v>
      </c>
      <c r="H309" s="18">
        <f t="shared" si="271"/>
        <v>4.8650530140122772E-2</v>
      </c>
      <c r="I309" s="18">
        <f t="shared" si="271"/>
        <v>3.6239165522870431E-2</v>
      </c>
      <c r="J309" s="18">
        <f t="shared" si="271"/>
        <v>1.3732468805296438E-2</v>
      </c>
      <c r="K309" s="18">
        <f t="shared" si="271"/>
        <v>1.2541150796471445E-2</v>
      </c>
      <c r="L309" s="18">
        <f t="shared" si="271"/>
        <v>-1.3355940676655242E-2</v>
      </c>
      <c r="M309" s="18">
        <f t="shared" si="271"/>
        <v>-9.4384094783671602E-3</v>
      </c>
      <c r="N309" s="18">
        <f t="shared" si="271"/>
        <v>-7.0507178559775507E-4</v>
      </c>
      <c r="O309" s="18">
        <f t="shared" si="271"/>
        <v>-1.5519901591101837E-2</v>
      </c>
      <c r="P309" s="18">
        <f t="shared" si="271"/>
        <v>1.2274390864553952E-2</v>
      </c>
      <c r="Q309" s="18">
        <f t="shared" si="271"/>
        <v>-1.8687898453872975E-2</v>
      </c>
      <c r="R309" s="18">
        <f t="shared" si="271"/>
        <v>-1.0098656268161643E-2</v>
      </c>
      <c r="S309" s="18">
        <f t="shared" si="271"/>
        <v>1.0815305181056001E-2</v>
      </c>
      <c r="T309" s="18">
        <f t="shared" si="271"/>
        <v>2.4741144123023417E-2</v>
      </c>
      <c r="U309" s="18">
        <f t="shared" si="271"/>
        <v>-2.3028954642069999E-2</v>
      </c>
      <c r="V309" s="18">
        <f t="shared" si="271"/>
        <v>2.9751451980575938E-2</v>
      </c>
      <c r="W309" s="18">
        <f t="shared" si="271"/>
        <v>-9.9142851644820063E-3</v>
      </c>
      <c r="X309" s="18">
        <f t="shared" si="271"/>
        <v>-3.8435265088006321E-2</v>
      </c>
      <c r="Y309" s="18">
        <f t="shared" si="271"/>
        <v>4.9650235319076419E-3</v>
      </c>
      <c r="Z309" s="18">
        <f t="shared" si="271"/>
        <v>1.9967446143198453E-2</v>
      </c>
      <c r="AA309" s="18">
        <f t="shared" si="271"/>
        <v>1.8432071908838221E-3</v>
      </c>
      <c r="AB309" s="18">
        <f t="shared" si="271"/>
        <v>1.0523946379452642E-3</v>
      </c>
      <c r="AC309" s="18">
        <f t="shared" si="271"/>
        <v>2.9041510549321359E-4</v>
      </c>
      <c r="AD309" s="18">
        <f t="shared" si="271"/>
        <v>0</v>
      </c>
      <c r="AE309" s="18">
        <f t="shared" si="271"/>
        <v>0</v>
      </c>
      <c r="AF309" s="18">
        <f t="shared" si="271"/>
        <v>2.9033078904650012E-4</v>
      </c>
      <c r="AG309" s="18">
        <f t="shared" si="271"/>
        <v>1.1609860861796495E-3</v>
      </c>
      <c r="AH309" s="18">
        <f t="shared" si="271"/>
        <v>1.7394596408291108E-3</v>
      </c>
      <c r="AI309" s="18">
        <f t="shared" si="271"/>
        <v>2.8940652916089604E-3</v>
      </c>
      <c r="AJ309" s="18">
        <f t="shared" si="271"/>
        <v>3.7514280015185086E-3</v>
      </c>
      <c r="AK309" s="18">
        <f t="shared" si="271"/>
        <v>5.174871766331135E-3</v>
      </c>
      <c r="AL309" s="18">
        <f t="shared" si="271"/>
        <v>5.7202559272515607E-3</v>
      </c>
      <c r="AM309" s="18">
        <f t="shared" si="271"/>
        <v>6.5408788155252306E-3</v>
      </c>
      <c r="AN309" s="18">
        <f t="shared" si="271"/>
        <v>6.780911729104E-3</v>
      </c>
      <c r="AO309" s="18">
        <f t="shared" si="271"/>
        <v>7.0158756841005587E-3</v>
      </c>
      <c r="AP309" s="18">
        <f t="shared" si="271"/>
        <v>6.4096364170898035E-3</v>
      </c>
      <c r="AQ309" s="18">
        <f t="shared" si="271"/>
        <v>5.8150046629936725E-3</v>
      </c>
      <c r="AR309" s="18">
        <f t="shared" si="271"/>
        <v>4.9554736089938434E-3</v>
      </c>
      <c r="AS309" s="18">
        <f t="shared" si="271"/>
        <v>4.1091983170140622E-3</v>
      </c>
      <c r="AT309" s="18">
        <f t="shared" si="271"/>
        <v>2.7282546054430146E-3</v>
      </c>
      <c r="AU309" s="18">
        <f t="shared" si="271"/>
        <v>2.176665187532123E-3</v>
      </c>
      <c r="AV309" s="18">
        <f t="shared" si="271"/>
        <v>1.0859688032771597E-3</v>
      </c>
      <c r="AW309" s="18">
        <f t="shared" si="271"/>
        <v>2.7119768859007465E-4</v>
      </c>
      <c r="AX309" s="18">
        <f t="shared" si="271"/>
        <v>-5.4224832068872075E-4</v>
      </c>
      <c r="AY309" s="18">
        <f t="shared" si="271"/>
        <v>-8.1381377018330259E-4</v>
      </c>
      <c r="AZ309" s="18">
        <f t="shared" si="271"/>
        <v>-1.3574610040965052E-3</v>
      </c>
      <c r="BA309" s="18">
        <f t="shared" si="271"/>
        <v>-1.6311674511217955E-3</v>
      </c>
      <c r="BB309" s="18">
        <f t="shared" si="271"/>
        <v>-1.633832505525401E-3</v>
      </c>
      <c r="BC309" s="18">
        <f t="shared" si="271"/>
        <v>-1.6365062826855237E-3</v>
      </c>
      <c r="BD309" s="18">
        <f t="shared" si="271"/>
        <v>-1.3659906879142092E-3</v>
      </c>
      <c r="BE309" s="18">
        <f t="shared" si="271"/>
        <v>-8.207155024823054E-4</v>
      </c>
      <c r="BF309" s="18">
        <f t="shared" si="271"/>
        <v>-8.2138962968492102E-4</v>
      </c>
      <c r="BG309" s="18">
        <f t="shared" si="271"/>
        <v>0</v>
      </c>
      <c r="BH309" s="18">
        <f t="shared" si="271"/>
        <v>5.4804324349344569E-4</v>
      </c>
      <c r="BI309" s="18">
        <f t="shared" si="271"/>
        <v>8.2161458491825101E-4</v>
      </c>
    </row>
    <row r="310" spans="1:61" x14ac:dyDescent="0.25">
      <c r="A310" s="11" t="s">
        <v>1161</v>
      </c>
      <c r="C310" s="18">
        <f>C$121/B$121-1</f>
        <v>-1.5743544203728699E-2</v>
      </c>
      <c r="D310" s="18">
        <f t="shared" ref="D310:BI310" si="272">D$121/C$121-1</f>
        <v>-4.0223408118450821E-2</v>
      </c>
      <c r="E310" s="18">
        <f t="shared" si="272"/>
        <v>1.6119329665891247E-2</v>
      </c>
      <c r="F310" s="18">
        <f t="shared" si="272"/>
        <v>2.7191986677979729E-2</v>
      </c>
      <c r="G310" s="18">
        <f t="shared" si="272"/>
        <v>-5.6090485596013151E-3</v>
      </c>
      <c r="H310" s="18">
        <f t="shared" si="272"/>
        <v>1.3088596553949783E-2</v>
      </c>
      <c r="I310" s="18">
        <f t="shared" si="272"/>
        <v>5.0679933060555404E-2</v>
      </c>
      <c r="J310" s="18">
        <f t="shared" si="272"/>
        <v>4.6914930414608813E-2</v>
      </c>
      <c r="K310" s="18">
        <f t="shared" si="272"/>
        <v>1.5644492552269851E-2</v>
      </c>
      <c r="L310" s="18">
        <f t="shared" si="272"/>
        <v>8.2025264921032903E-3</v>
      </c>
      <c r="M310" s="18">
        <f t="shared" si="272"/>
        <v>-1.3544189178880228E-2</v>
      </c>
      <c r="N310" s="18">
        <f t="shared" si="272"/>
        <v>-4.2934305706275877E-3</v>
      </c>
      <c r="O310" s="18">
        <f t="shared" si="272"/>
        <v>-7.3827585415315866E-3</v>
      </c>
      <c r="P310" s="18">
        <f t="shared" si="272"/>
        <v>6.7599919590133339E-4</v>
      </c>
      <c r="Q310" s="18">
        <f t="shared" si="272"/>
        <v>-1.2297971885842029E-2</v>
      </c>
      <c r="R310" s="18">
        <f t="shared" si="272"/>
        <v>-9.8963697311067467E-3</v>
      </c>
      <c r="S310" s="18">
        <f t="shared" si="272"/>
        <v>1.5743697260859335E-2</v>
      </c>
      <c r="T310" s="18">
        <f t="shared" si="272"/>
        <v>4.4165800850037851E-3</v>
      </c>
      <c r="U310" s="18">
        <f t="shared" si="272"/>
        <v>1.0756873849573134E-2</v>
      </c>
      <c r="V310" s="18">
        <f t="shared" si="272"/>
        <v>-1.4419870400988688E-2</v>
      </c>
      <c r="W310" s="18">
        <f t="shared" si="272"/>
        <v>3.1497218855573328E-2</v>
      </c>
      <c r="X310" s="18">
        <f t="shared" si="272"/>
        <v>-9.5202048620403046E-3</v>
      </c>
      <c r="Y310" s="18">
        <f t="shared" si="272"/>
        <v>-3.8921270119492202E-2</v>
      </c>
      <c r="Z310" s="18">
        <f t="shared" si="272"/>
        <v>-4.3236111070579231E-3</v>
      </c>
      <c r="AA310" s="18">
        <f t="shared" si="272"/>
        <v>1.9479636400985489E-2</v>
      </c>
      <c r="AB310" s="18">
        <f t="shared" si="272"/>
        <v>1.9070280321205058E-3</v>
      </c>
      <c r="AC310" s="18">
        <f t="shared" si="272"/>
        <v>8.6257362643960001E-4</v>
      </c>
      <c r="AD310" s="18">
        <f t="shared" si="272"/>
        <v>2.8727674480300003E-4</v>
      </c>
      <c r="AE310" s="18">
        <f t="shared" si="272"/>
        <v>0</v>
      </c>
      <c r="AF310" s="18">
        <f t="shared" si="272"/>
        <v>0</v>
      </c>
      <c r="AG310" s="18">
        <f t="shared" si="272"/>
        <v>5.7438848115287655E-4</v>
      </c>
      <c r="AH310" s="18">
        <f t="shared" si="272"/>
        <v>8.6108812263030465E-4</v>
      </c>
      <c r="AI310" s="18">
        <f t="shared" si="272"/>
        <v>2.0074770048652546E-3</v>
      </c>
      <c r="AJ310" s="18">
        <f t="shared" si="272"/>
        <v>2.8620787354172172E-3</v>
      </c>
      <c r="AK310" s="18">
        <f t="shared" si="272"/>
        <v>3.9954748659325467E-3</v>
      </c>
      <c r="AL310" s="18">
        <f t="shared" si="272"/>
        <v>4.8323405562531452E-3</v>
      </c>
      <c r="AM310" s="18">
        <f t="shared" si="272"/>
        <v>5.9406545974649561E-3</v>
      </c>
      <c r="AN310" s="18">
        <f t="shared" si="272"/>
        <v>6.4680070300950909E-3</v>
      </c>
      <c r="AO310" s="18">
        <f t="shared" si="272"/>
        <v>6.7058512341306997E-3</v>
      </c>
      <c r="AP310" s="18">
        <f t="shared" si="272"/>
        <v>6.9387316003539645E-3</v>
      </c>
      <c r="AQ310" s="18">
        <f t="shared" si="272"/>
        <v>6.6152806792454388E-3</v>
      </c>
      <c r="AR310" s="18">
        <f t="shared" si="272"/>
        <v>5.7503305437942576E-3</v>
      </c>
      <c r="AS310" s="18">
        <f t="shared" si="272"/>
        <v>4.9006742549699833E-3</v>
      </c>
      <c r="AT310" s="18">
        <f t="shared" si="272"/>
        <v>4.0639789753378341E-3</v>
      </c>
      <c r="AU310" s="18">
        <f t="shared" si="272"/>
        <v>2.968188592546106E-3</v>
      </c>
      <c r="AV310" s="18">
        <f t="shared" si="272"/>
        <v>1.8832574229661336E-3</v>
      </c>
      <c r="AW310" s="18">
        <f t="shared" si="272"/>
        <v>1.0741242463776501E-3</v>
      </c>
      <c r="AX310" s="18">
        <f t="shared" si="272"/>
        <v>5.3648587070731502E-4</v>
      </c>
      <c r="AY310" s="18">
        <f t="shared" si="272"/>
        <v>-5.3619820794470474E-4</v>
      </c>
      <c r="AZ310" s="18">
        <f t="shared" si="272"/>
        <v>-8.047288060608615E-4</v>
      </c>
      <c r="BA310" s="18">
        <f t="shared" si="272"/>
        <v>-1.342294860108173E-3</v>
      </c>
      <c r="BB310" s="18">
        <f t="shared" si="272"/>
        <v>-1.344099037337454E-3</v>
      </c>
      <c r="BC310" s="18">
        <f t="shared" si="272"/>
        <v>-1.6150896852962227E-3</v>
      </c>
      <c r="BD310" s="18">
        <f t="shared" si="272"/>
        <v>-1.3480853498235579E-3</v>
      </c>
      <c r="BE310" s="18">
        <f t="shared" si="272"/>
        <v>-1.3499051371625992E-3</v>
      </c>
      <c r="BF310" s="18">
        <f t="shared" si="272"/>
        <v>-1.0813838753787053E-3</v>
      </c>
      <c r="BG310" s="18">
        <f t="shared" si="272"/>
        <v>-5.4127726619712657E-4</v>
      </c>
      <c r="BH310" s="18">
        <f t="shared" si="272"/>
        <v>0</v>
      </c>
      <c r="BI310" s="18">
        <f t="shared" si="272"/>
        <v>5.4157040594593475E-4</v>
      </c>
    </row>
    <row r="311" spans="1:61" x14ac:dyDescent="0.25">
      <c r="A311" s="11" t="s">
        <v>1162</v>
      </c>
      <c r="C311" s="18">
        <f>C$122/B$122-1</f>
        <v>3.016297550886371E-2</v>
      </c>
      <c r="D311" s="18">
        <f t="shared" ref="D311:BI311" si="273">D$122/C$122-1</f>
        <v>-1.227351947365507E-2</v>
      </c>
      <c r="E311" s="18">
        <f t="shared" si="273"/>
        <v>-4.2298110681785017E-2</v>
      </c>
      <c r="F311" s="18">
        <f t="shared" si="273"/>
        <v>1.7416837560169762E-2</v>
      </c>
      <c r="G311" s="18">
        <f t="shared" si="273"/>
        <v>2.1210766312388163E-2</v>
      </c>
      <c r="H311" s="18">
        <f t="shared" si="273"/>
        <v>-8.7424719682054342E-3</v>
      </c>
      <c r="I311" s="18">
        <f t="shared" si="273"/>
        <v>1.4531328482612071E-2</v>
      </c>
      <c r="J311" s="18">
        <f t="shared" si="273"/>
        <v>6.1216887777345352E-2</v>
      </c>
      <c r="K311" s="18">
        <f t="shared" si="273"/>
        <v>4.7159628045780444E-2</v>
      </c>
      <c r="L311" s="18">
        <f t="shared" si="273"/>
        <v>1.129022708451255E-2</v>
      </c>
      <c r="M311" s="18">
        <f t="shared" si="273"/>
        <v>5.3782824943024998E-3</v>
      </c>
      <c r="N311" s="18">
        <f t="shared" si="273"/>
        <v>-6.5957870237010052E-3</v>
      </c>
      <c r="O311" s="18">
        <f t="shared" si="273"/>
        <v>-7.9667509201141185E-3</v>
      </c>
      <c r="P311" s="18">
        <f t="shared" si="273"/>
        <v>4.9020139173061583E-3</v>
      </c>
      <c r="Q311" s="18">
        <f t="shared" si="273"/>
        <v>-1.7794332147372138E-2</v>
      </c>
      <c r="R311" s="18">
        <f t="shared" si="273"/>
        <v>-6.4335297975572914E-3</v>
      </c>
      <c r="S311" s="18">
        <f t="shared" si="273"/>
        <v>1.5945548367270135E-2</v>
      </c>
      <c r="T311" s="18">
        <f t="shared" si="273"/>
        <v>6.4540378888702232E-3</v>
      </c>
      <c r="U311" s="18">
        <f t="shared" si="273"/>
        <v>-6.1545049779068162E-3</v>
      </c>
      <c r="V311" s="18">
        <f t="shared" si="273"/>
        <v>1.9394820669382362E-2</v>
      </c>
      <c r="W311" s="18">
        <f t="shared" si="273"/>
        <v>-1.2406557535699192E-2</v>
      </c>
      <c r="X311" s="18">
        <f t="shared" si="273"/>
        <v>3.155098311132698E-2</v>
      </c>
      <c r="Y311" s="18">
        <f t="shared" si="273"/>
        <v>-1.0302641780464583E-2</v>
      </c>
      <c r="Z311" s="18">
        <f t="shared" si="273"/>
        <v>-4.2892177041962687E-2</v>
      </c>
      <c r="AA311" s="18">
        <f t="shared" si="273"/>
        <v>-4.5081736351707535E-3</v>
      </c>
      <c r="AB311" s="18">
        <f t="shared" si="273"/>
        <v>1.9251106923493966E-2</v>
      </c>
      <c r="AC311" s="18">
        <f t="shared" si="273"/>
        <v>1.7010671583810311E-3</v>
      </c>
      <c r="AD311" s="18">
        <f t="shared" si="273"/>
        <v>8.490892214014778E-4</v>
      </c>
      <c r="AE311" s="18">
        <f t="shared" si="273"/>
        <v>2.8278962684313846E-4</v>
      </c>
      <c r="AF311" s="18">
        <f t="shared" si="273"/>
        <v>2.8270967947818804E-4</v>
      </c>
      <c r="AG311" s="18">
        <f t="shared" si="273"/>
        <v>0</v>
      </c>
      <c r="AH311" s="18">
        <f t="shared" si="273"/>
        <v>5.6525955460906552E-4</v>
      </c>
      <c r="AI311" s="18">
        <f t="shared" si="273"/>
        <v>1.1298804335075907E-3</v>
      </c>
      <c r="AJ311" s="18">
        <f t="shared" si="273"/>
        <v>1.6929078667868858E-3</v>
      </c>
      <c r="AK311" s="18">
        <f t="shared" si="273"/>
        <v>2.8167446221818437E-3</v>
      </c>
      <c r="AL311" s="18">
        <f t="shared" si="273"/>
        <v>4.2132492860047499E-3</v>
      </c>
      <c r="AM311" s="18">
        <f t="shared" si="273"/>
        <v>4.7549819332368681E-3</v>
      </c>
      <c r="AN311" s="18">
        <f t="shared" si="273"/>
        <v>5.8460035702869728E-3</v>
      </c>
      <c r="AO311" s="18">
        <f t="shared" si="273"/>
        <v>6.3655527708510462E-3</v>
      </c>
      <c r="AP311" s="18">
        <f t="shared" si="273"/>
        <v>6.8753139251445106E-3</v>
      </c>
      <c r="AQ311" s="18">
        <f t="shared" si="273"/>
        <v>6.8283667600730347E-3</v>
      </c>
      <c r="AR311" s="18">
        <f t="shared" si="273"/>
        <v>6.5107741359775595E-3</v>
      </c>
      <c r="AS311" s="18">
        <f t="shared" si="273"/>
        <v>5.6600758932470185E-3</v>
      </c>
      <c r="AT311" s="18">
        <f t="shared" si="273"/>
        <v>5.0921988145173902E-3</v>
      </c>
      <c r="AU311" s="18">
        <f t="shared" si="273"/>
        <v>3.9997892368195398E-3</v>
      </c>
      <c r="AV311" s="18">
        <f t="shared" si="273"/>
        <v>2.9214934157477668E-3</v>
      </c>
      <c r="AW311" s="18">
        <f t="shared" si="273"/>
        <v>2.1185332033755166E-3</v>
      </c>
      <c r="AX311" s="18">
        <f t="shared" si="273"/>
        <v>1.0570272543526382E-3</v>
      </c>
      <c r="AY311" s="18">
        <f t="shared" si="273"/>
        <v>2.6397778187825516E-4</v>
      </c>
      <c r="AZ311" s="18">
        <f t="shared" si="273"/>
        <v>-2.639081159990786E-4</v>
      </c>
      <c r="BA311" s="18">
        <f t="shared" si="273"/>
        <v>-7.9193334563443241E-4</v>
      </c>
      <c r="BB311" s="18">
        <f t="shared" si="273"/>
        <v>-1.0567480014929131E-3</v>
      </c>
      <c r="BC311" s="18">
        <f t="shared" si="273"/>
        <v>-1.5867988487515694E-3</v>
      </c>
      <c r="BD311" s="18">
        <f t="shared" si="273"/>
        <v>-1.3244339842811703E-3</v>
      </c>
      <c r="BE311" s="18">
        <f t="shared" si="273"/>
        <v>-1.3261904359641585E-3</v>
      </c>
      <c r="BF311" s="18">
        <f t="shared" si="273"/>
        <v>-1.3279515526126717E-3</v>
      </c>
      <c r="BG311" s="18">
        <f t="shared" si="273"/>
        <v>-7.978304117015611E-4</v>
      </c>
      <c r="BH311" s="18">
        <f t="shared" si="273"/>
        <v>-5.3231163554567917E-4</v>
      </c>
      <c r="BI311" s="18">
        <f t="shared" si="273"/>
        <v>0</v>
      </c>
    </row>
    <row r="312" spans="1:61" x14ac:dyDescent="0.25">
      <c r="A312" s="11" t="s">
        <v>1163</v>
      </c>
      <c r="C312" s="18">
        <f>C$123/B$123-1</f>
        <v>-1.0871577709744007E-2</v>
      </c>
      <c r="D312" s="18">
        <f t="shared" ref="D312:BI312" si="274">D$123/C$123-1</f>
        <v>3.5730692451624524E-2</v>
      </c>
      <c r="E312" s="18">
        <f t="shared" si="274"/>
        <v>-1.5420230415666425E-2</v>
      </c>
      <c r="F312" s="18">
        <f t="shared" si="274"/>
        <v>-3.9421345589423784E-2</v>
      </c>
      <c r="G312" s="18">
        <f t="shared" si="274"/>
        <v>1.1725590481192816E-2</v>
      </c>
      <c r="H312" s="18">
        <f t="shared" si="274"/>
        <v>1.5940558183255682E-2</v>
      </c>
      <c r="I312" s="18">
        <f t="shared" si="274"/>
        <v>-7.0652107135501518E-3</v>
      </c>
      <c r="J312" s="18">
        <f t="shared" si="274"/>
        <v>2.2942372734087613E-2</v>
      </c>
      <c r="K312" s="18">
        <f t="shared" si="274"/>
        <v>6.2100617956272419E-2</v>
      </c>
      <c r="L312" s="18">
        <f t="shared" si="274"/>
        <v>4.4027554567439786E-2</v>
      </c>
      <c r="M312" s="18">
        <f t="shared" si="274"/>
        <v>6.6286629535625696E-3</v>
      </c>
      <c r="N312" s="18">
        <f t="shared" si="274"/>
        <v>9.0229665480143773E-3</v>
      </c>
      <c r="O312" s="18">
        <f t="shared" si="274"/>
        <v>-7.955921707258673E-3</v>
      </c>
      <c r="P312" s="18">
        <f t="shared" si="274"/>
        <v>6.3765554473766972E-3</v>
      </c>
      <c r="Q312" s="18">
        <f t="shared" si="274"/>
        <v>-1.6184187853323873E-2</v>
      </c>
      <c r="R312" s="18">
        <f t="shared" si="274"/>
        <v>-1.1611047528845231E-2</v>
      </c>
      <c r="S312" s="18">
        <f t="shared" si="274"/>
        <v>2.0407275301691952E-2</v>
      </c>
      <c r="T312" s="18">
        <f t="shared" si="274"/>
        <v>9.0249889543199124E-3</v>
      </c>
      <c r="U312" s="18">
        <f t="shared" si="274"/>
        <v>-6.3110645789338227E-3</v>
      </c>
      <c r="V312" s="18">
        <f t="shared" si="274"/>
        <v>2.4880486140483882E-3</v>
      </c>
      <c r="W312" s="18">
        <f t="shared" si="274"/>
        <v>2.1194981638135602E-2</v>
      </c>
      <c r="X312" s="18">
        <f t="shared" si="274"/>
        <v>-1.1993788562357111E-2</v>
      </c>
      <c r="Y312" s="18">
        <f t="shared" si="274"/>
        <v>3.0356636821985195E-2</v>
      </c>
      <c r="Z312" s="18">
        <f t="shared" si="274"/>
        <v>-1.7828726154552887E-2</v>
      </c>
      <c r="AA312" s="18">
        <f t="shared" si="274"/>
        <v>-4.2583215941960351E-2</v>
      </c>
      <c r="AB312" s="18">
        <f t="shared" si="274"/>
        <v>-4.6501026001903867E-3</v>
      </c>
      <c r="AC312" s="18">
        <f t="shared" si="274"/>
        <v>1.8824154620562528E-2</v>
      </c>
      <c r="AD312" s="18">
        <f t="shared" si="274"/>
        <v>1.9596131860251109E-3</v>
      </c>
      <c r="AE312" s="18">
        <f t="shared" si="274"/>
        <v>8.3819169109200509E-4</v>
      </c>
      <c r="AF312" s="18">
        <f t="shared" si="274"/>
        <v>5.5832647611486763E-4</v>
      </c>
      <c r="AG312" s="18">
        <f t="shared" si="274"/>
        <v>0</v>
      </c>
      <c r="AH312" s="18">
        <f t="shared" si="274"/>
        <v>2.7900746080500305E-4</v>
      </c>
      <c r="AI312" s="18">
        <f t="shared" si="274"/>
        <v>5.5785927471019292E-4</v>
      </c>
      <c r="AJ312" s="18">
        <f t="shared" si="274"/>
        <v>1.1150964825055176E-3</v>
      </c>
      <c r="AK312" s="18">
        <f t="shared" si="274"/>
        <v>1.9492452478653277E-3</v>
      </c>
      <c r="AL312" s="18">
        <f t="shared" si="274"/>
        <v>2.7792186895554405E-3</v>
      </c>
      <c r="AM312" s="18">
        <f t="shared" si="274"/>
        <v>3.8801224565288006E-3</v>
      </c>
      <c r="AN312" s="18">
        <f t="shared" si="274"/>
        <v>4.9694468105139222E-3</v>
      </c>
      <c r="AO312" s="18">
        <f t="shared" si="274"/>
        <v>5.7690191119736944E-3</v>
      </c>
      <c r="AP312" s="18">
        <f t="shared" si="274"/>
        <v>6.5553467785475217E-3</v>
      </c>
      <c r="AQ312" s="18">
        <f t="shared" si="274"/>
        <v>6.7840146590130157E-3</v>
      </c>
      <c r="AR312" s="18">
        <f t="shared" si="274"/>
        <v>6.7383019200109029E-3</v>
      </c>
      <c r="AS312" s="18">
        <f t="shared" si="274"/>
        <v>6.4254730657147263E-3</v>
      </c>
      <c r="AT312" s="18">
        <f t="shared" si="274"/>
        <v>5.8524124582850501E-3</v>
      </c>
      <c r="AU312" s="18">
        <f t="shared" si="274"/>
        <v>4.7604771898561715E-3</v>
      </c>
      <c r="AV312" s="18">
        <f t="shared" si="274"/>
        <v>3.9482686818805846E-3</v>
      </c>
      <c r="AW312" s="18">
        <f t="shared" si="274"/>
        <v>3.1461929304898995E-3</v>
      </c>
      <c r="AX312" s="18">
        <f t="shared" si="274"/>
        <v>2.0908836303636935E-3</v>
      </c>
      <c r="AY312" s="18">
        <f t="shared" si="274"/>
        <v>1.0432604789241129E-3</v>
      </c>
      <c r="AZ312" s="18">
        <f t="shared" si="274"/>
        <v>5.210866103952938E-4</v>
      </c>
      <c r="BA312" s="18">
        <f t="shared" si="274"/>
        <v>-2.6040761027867898E-4</v>
      </c>
      <c r="BB312" s="18">
        <f t="shared" si="274"/>
        <v>-7.8142632019684299E-4</v>
      </c>
      <c r="BC312" s="18">
        <f t="shared" si="274"/>
        <v>-1.042716566431956E-3</v>
      </c>
      <c r="BD312" s="18">
        <f t="shared" si="274"/>
        <v>-1.3047561989437684E-3</v>
      </c>
      <c r="BE312" s="18">
        <f t="shared" si="274"/>
        <v>-1.3064608117866472E-3</v>
      </c>
      <c r="BF312" s="18">
        <f t="shared" si="274"/>
        <v>-1.5698038613710663E-3</v>
      </c>
      <c r="BG312" s="18">
        <f t="shared" si="274"/>
        <v>-1.0481813467061452E-3</v>
      </c>
      <c r="BH312" s="18">
        <f t="shared" si="274"/>
        <v>-7.869608877527634E-4</v>
      </c>
      <c r="BI312" s="18">
        <f t="shared" si="274"/>
        <v>-2.6252689431538467E-4</v>
      </c>
    </row>
    <row r="313" spans="1:61" x14ac:dyDescent="0.25">
      <c r="A313" s="11" t="s">
        <v>1164</v>
      </c>
      <c r="C313" s="18">
        <f>C$124/B$124-1</f>
        <v>9.1071797980910585E-3</v>
      </c>
      <c r="D313" s="18">
        <f t="shared" ref="D313:BI313" si="275">D$124/C$124-1</f>
        <v>-5.4590558656834043E-3</v>
      </c>
      <c r="E313" s="18">
        <f t="shared" si="275"/>
        <v>3.338192305500165E-2</v>
      </c>
      <c r="F313" s="18">
        <f t="shared" si="275"/>
        <v>-1.3337386137190599E-2</v>
      </c>
      <c r="G313" s="18">
        <f t="shared" si="275"/>
        <v>-4.3740058377296887E-2</v>
      </c>
      <c r="H313" s="18">
        <f t="shared" si="275"/>
        <v>5.0701053212993674E-3</v>
      </c>
      <c r="I313" s="18">
        <f t="shared" si="275"/>
        <v>1.9088671575959504E-2</v>
      </c>
      <c r="J313" s="18">
        <f t="shared" si="275"/>
        <v>2.1271584251580933E-4</v>
      </c>
      <c r="K313" s="18">
        <f t="shared" si="275"/>
        <v>2.4748358814162374E-2</v>
      </c>
      <c r="L313" s="18">
        <f t="shared" si="275"/>
        <v>6.0189963085259368E-2</v>
      </c>
      <c r="M313" s="18">
        <f t="shared" si="275"/>
        <v>3.4523153061174927E-2</v>
      </c>
      <c r="N313" s="18">
        <f t="shared" si="275"/>
        <v>1.4438538807971746E-2</v>
      </c>
      <c r="O313" s="18">
        <f t="shared" si="275"/>
        <v>6.2896076847207549E-3</v>
      </c>
      <c r="P313" s="18">
        <f t="shared" si="275"/>
        <v>4.6189784161432268E-3</v>
      </c>
      <c r="Q313" s="18">
        <f t="shared" si="275"/>
        <v>-1.4352029625986473E-2</v>
      </c>
      <c r="R313" s="18">
        <f t="shared" si="275"/>
        <v>-7.6100295689085495E-3</v>
      </c>
      <c r="S313" s="18">
        <f t="shared" si="275"/>
        <v>1.188326148307417E-2</v>
      </c>
      <c r="T313" s="18">
        <f t="shared" si="275"/>
        <v>1.6585787184606904E-2</v>
      </c>
      <c r="U313" s="18">
        <f t="shared" si="275"/>
        <v>-5.0217813907565967E-3</v>
      </c>
      <c r="V313" s="18">
        <f t="shared" si="275"/>
        <v>2.0522578765505006E-3</v>
      </c>
      <c r="W313" s="18">
        <f t="shared" si="275"/>
        <v>4.3939637260819175E-3</v>
      </c>
      <c r="X313" s="18">
        <f t="shared" si="275"/>
        <v>2.1319567763277814E-2</v>
      </c>
      <c r="Y313" s="18">
        <f t="shared" si="275"/>
        <v>-1.2757975142510869E-2</v>
      </c>
      <c r="Z313" s="18">
        <f t="shared" si="275"/>
        <v>1.7841008163305583E-2</v>
      </c>
      <c r="AA313" s="18">
        <f t="shared" si="275"/>
        <v>-1.79140977244866E-2</v>
      </c>
      <c r="AB313" s="18">
        <f t="shared" si="275"/>
        <v>-4.2152251963786025E-2</v>
      </c>
      <c r="AC313" s="18">
        <f t="shared" si="275"/>
        <v>-4.7840077417399263E-3</v>
      </c>
      <c r="AD313" s="18">
        <f t="shared" si="275"/>
        <v>1.8662488013893697E-2</v>
      </c>
      <c r="AE313" s="18">
        <f t="shared" si="275"/>
        <v>1.9430918607905578E-3</v>
      </c>
      <c r="AF313" s="18">
        <f t="shared" si="275"/>
        <v>1.1081849011043143E-3</v>
      </c>
      <c r="AG313" s="18">
        <f t="shared" si="275"/>
        <v>2.7673954668894218E-4</v>
      </c>
      <c r="AH313" s="18">
        <f t="shared" si="275"/>
        <v>2.7666298310036197E-4</v>
      </c>
      <c r="AI313" s="18">
        <f t="shared" si="275"/>
        <v>2.7658646186479174E-4</v>
      </c>
      <c r="AJ313" s="18">
        <f t="shared" si="275"/>
        <v>5.5301996589385283E-4</v>
      </c>
      <c r="AK313" s="18">
        <f t="shared" si="275"/>
        <v>1.1054286076968012E-3</v>
      </c>
      <c r="AL313" s="18">
        <f t="shared" si="275"/>
        <v>2.2084159692032923E-3</v>
      </c>
      <c r="AM313" s="18">
        <f t="shared" si="275"/>
        <v>2.7544370188057332E-3</v>
      </c>
      <c r="AN313" s="18">
        <f t="shared" si="275"/>
        <v>4.1203064037214077E-3</v>
      </c>
      <c r="AO313" s="18">
        <f t="shared" si="275"/>
        <v>4.9240789703517418E-3</v>
      </c>
      <c r="AP313" s="18">
        <f t="shared" si="275"/>
        <v>5.7166097608385424E-3</v>
      </c>
      <c r="AQ313" s="18">
        <f t="shared" si="275"/>
        <v>6.4961324439642976E-3</v>
      </c>
      <c r="AR313" s="18">
        <f t="shared" si="275"/>
        <v>6.7231302843642204E-3</v>
      </c>
      <c r="AS313" s="18">
        <f t="shared" si="275"/>
        <v>6.6782316628259952E-3</v>
      </c>
      <c r="AT313" s="18">
        <f t="shared" si="275"/>
        <v>6.6339287498000665E-3</v>
      </c>
      <c r="AU313" s="18">
        <f t="shared" si="275"/>
        <v>5.5357762049137449E-3</v>
      </c>
      <c r="AV313" s="18">
        <f t="shared" si="275"/>
        <v>4.9809858008202923E-3</v>
      </c>
      <c r="AW313" s="18">
        <f t="shared" si="275"/>
        <v>4.1737250931599412E-3</v>
      </c>
      <c r="AX313" s="18">
        <f t="shared" si="275"/>
        <v>2.8575095422669339E-3</v>
      </c>
      <c r="AY313" s="18">
        <f t="shared" si="275"/>
        <v>2.0722672346153992E-3</v>
      </c>
      <c r="AZ313" s="18">
        <f t="shared" si="275"/>
        <v>1.2924886397751578E-3</v>
      </c>
      <c r="BA313" s="18">
        <f t="shared" si="275"/>
        <v>5.163281076965287E-4</v>
      </c>
      <c r="BB313" s="18">
        <f t="shared" si="275"/>
        <v>-2.5803082528053078E-4</v>
      </c>
      <c r="BC313" s="18">
        <f t="shared" si="275"/>
        <v>-5.161948447428566E-4</v>
      </c>
      <c r="BD313" s="18">
        <f t="shared" si="275"/>
        <v>-1.0329228789507372E-3</v>
      </c>
      <c r="BE313" s="18">
        <f t="shared" si="275"/>
        <v>-1.2924886397752688E-3</v>
      </c>
      <c r="BF313" s="18">
        <f t="shared" si="275"/>
        <v>-1.294161328590504E-3</v>
      </c>
      <c r="BG313" s="18">
        <f t="shared" si="275"/>
        <v>-1.2958383524743766E-3</v>
      </c>
      <c r="BH313" s="18">
        <f t="shared" si="275"/>
        <v>-1.0380157826410663E-3</v>
      </c>
      <c r="BI313" s="18">
        <f t="shared" si="275"/>
        <v>-7.7932078425457796E-4</v>
      </c>
    </row>
    <row r="314" spans="1:61" x14ac:dyDescent="0.25">
      <c r="A314" s="11" t="s">
        <v>1165</v>
      </c>
      <c r="C314" s="18">
        <f>C$125/B$125-1</f>
        <v>-3.4982390525280627E-2</v>
      </c>
      <c r="D314" s="18">
        <f t="shared" ref="D314:BI314" si="276">D$125/C$125-1</f>
        <v>1.0100881489644831E-2</v>
      </c>
      <c r="E314" s="18">
        <f t="shared" si="276"/>
        <v>-4.7864690451889791E-3</v>
      </c>
      <c r="F314" s="18">
        <f t="shared" si="276"/>
        <v>3.6175239198013021E-2</v>
      </c>
      <c r="G314" s="18">
        <f t="shared" si="276"/>
        <v>-1.8694487262424841E-2</v>
      </c>
      <c r="H314" s="18">
        <f t="shared" si="276"/>
        <v>-4.7590969907569058E-2</v>
      </c>
      <c r="I314" s="18">
        <f t="shared" si="276"/>
        <v>6.4539582604963286E-3</v>
      </c>
      <c r="J314" s="18">
        <f t="shared" si="276"/>
        <v>2.5481061479198486E-2</v>
      </c>
      <c r="K314" s="18">
        <f t="shared" si="276"/>
        <v>3.8016929387316711E-3</v>
      </c>
      <c r="L314" s="18">
        <f t="shared" si="276"/>
        <v>2.2003586004201381E-2</v>
      </c>
      <c r="M314" s="18">
        <f t="shared" si="276"/>
        <v>5.5384258096438987E-2</v>
      </c>
      <c r="N314" s="18">
        <f t="shared" si="276"/>
        <v>3.7202872595345937E-2</v>
      </c>
      <c r="O314" s="18">
        <f t="shared" si="276"/>
        <v>1.047323601297423E-2</v>
      </c>
      <c r="P314" s="18">
        <f t="shared" si="276"/>
        <v>2.1793071733185787E-2</v>
      </c>
      <c r="Q314" s="18">
        <f t="shared" si="276"/>
        <v>-1.7632391157272553E-2</v>
      </c>
      <c r="R314" s="18">
        <f t="shared" si="276"/>
        <v>-6.0353908964794201E-3</v>
      </c>
      <c r="S314" s="18">
        <f t="shared" si="276"/>
        <v>1.8592856303136784E-2</v>
      </c>
      <c r="T314" s="18">
        <f t="shared" si="276"/>
        <v>3.5843575725742483E-3</v>
      </c>
      <c r="U314" s="18">
        <f t="shared" si="276"/>
        <v>3.8551079148143597E-3</v>
      </c>
      <c r="V314" s="18">
        <f t="shared" si="276"/>
        <v>3.6417997655278089E-3</v>
      </c>
      <c r="W314" s="18">
        <f t="shared" si="276"/>
        <v>4.2613654078640373E-3</v>
      </c>
      <c r="X314" s="18">
        <f t="shared" si="276"/>
        <v>4.3778469522905983E-3</v>
      </c>
      <c r="Y314" s="18">
        <f t="shared" si="276"/>
        <v>2.023773091188219E-2</v>
      </c>
      <c r="Z314" s="18">
        <f t="shared" si="276"/>
        <v>-1.9779869855407028E-2</v>
      </c>
      <c r="AA314" s="18">
        <f t="shared" si="276"/>
        <v>1.7357559145287915E-2</v>
      </c>
      <c r="AB314" s="18">
        <f t="shared" si="276"/>
        <v>-1.7880976856875952E-2</v>
      </c>
      <c r="AC314" s="18">
        <f t="shared" si="276"/>
        <v>-4.1785737010318735E-2</v>
      </c>
      <c r="AD314" s="18">
        <f t="shared" si="276"/>
        <v>-4.4441198830519335E-3</v>
      </c>
      <c r="AE314" s="18">
        <f t="shared" si="276"/>
        <v>1.841382777573064E-2</v>
      </c>
      <c r="AF314" s="18">
        <f t="shared" si="276"/>
        <v>1.9176700870755514E-3</v>
      </c>
      <c r="AG314" s="18">
        <f t="shared" si="276"/>
        <v>1.0937140955240565E-3</v>
      </c>
      <c r="AH314" s="18">
        <f t="shared" si="276"/>
        <v>5.4625959594223339E-4</v>
      </c>
      <c r="AI314" s="18">
        <f t="shared" si="276"/>
        <v>2.7298067965531025E-4</v>
      </c>
      <c r="AJ314" s="18">
        <f t="shared" si="276"/>
        <v>2.729061815403E-4</v>
      </c>
      <c r="AK314" s="18">
        <f t="shared" si="276"/>
        <v>5.4566344815265566E-4</v>
      </c>
      <c r="AL314" s="18">
        <f t="shared" si="276"/>
        <v>1.3634146548400228E-3</v>
      </c>
      <c r="AM314" s="18">
        <f t="shared" si="276"/>
        <v>1.906181600846546E-3</v>
      </c>
      <c r="AN314" s="18">
        <f t="shared" si="276"/>
        <v>2.989729262989238E-3</v>
      </c>
      <c r="AO314" s="18">
        <f t="shared" si="276"/>
        <v>4.0647510353226668E-3</v>
      </c>
      <c r="AP314" s="18">
        <f t="shared" si="276"/>
        <v>4.8579548653189253E-3</v>
      </c>
      <c r="AQ314" s="18">
        <f t="shared" si="276"/>
        <v>5.6402141039908482E-3</v>
      </c>
      <c r="AR314" s="18">
        <f t="shared" si="276"/>
        <v>6.4098062961142066E-3</v>
      </c>
      <c r="AS314" s="18">
        <f t="shared" si="276"/>
        <v>6.8997308823393055E-3</v>
      </c>
      <c r="AT314" s="18">
        <f t="shared" si="276"/>
        <v>6.5888950152170889E-3</v>
      </c>
      <c r="AU314" s="18">
        <f t="shared" si="276"/>
        <v>6.5457656525382824E-3</v>
      </c>
      <c r="AV314" s="18">
        <f t="shared" si="276"/>
        <v>5.7228135776810074E-3</v>
      </c>
      <c r="AW314" s="18">
        <f t="shared" si="276"/>
        <v>4.9143062494678702E-3</v>
      </c>
      <c r="AX314" s="18">
        <f t="shared" si="276"/>
        <v>3.8607425886751923E-3</v>
      </c>
      <c r="AY314" s="18">
        <f t="shared" si="276"/>
        <v>3.0767156637439008E-3</v>
      </c>
      <c r="AZ314" s="18">
        <f t="shared" si="276"/>
        <v>2.3004588899075973E-3</v>
      </c>
      <c r="BA314" s="18">
        <f t="shared" si="276"/>
        <v>1.2750994028585261E-3</v>
      </c>
      <c r="BB314" s="18">
        <f t="shared" si="276"/>
        <v>5.0939023795515403E-4</v>
      </c>
      <c r="BC314" s="18">
        <f t="shared" si="276"/>
        <v>-2.5456544582458385E-4</v>
      </c>
      <c r="BD314" s="18">
        <f t="shared" si="276"/>
        <v>-5.0926053178346198E-4</v>
      </c>
      <c r="BE314" s="18">
        <f t="shared" si="276"/>
        <v>-1.019040020429518E-3</v>
      </c>
      <c r="BF314" s="18">
        <f t="shared" si="276"/>
        <v>-1.2750994028584151E-3</v>
      </c>
      <c r="BG314" s="18">
        <f t="shared" si="276"/>
        <v>-1.2767273571491211E-3</v>
      </c>
      <c r="BH314" s="18">
        <f t="shared" si="276"/>
        <v>-1.0226875789292045E-3</v>
      </c>
      <c r="BI314" s="18">
        <f t="shared" si="276"/>
        <v>-1.023734539526866E-3</v>
      </c>
    </row>
    <row r="315" spans="1:61" x14ac:dyDescent="0.25">
      <c r="A315" s="11" t="s">
        <v>1166</v>
      </c>
      <c r="C315" s="18">
        <f>C$126/B$126-1</f>
        <v>-1.408153590503447E-2</v>
      </c>
      <c r="D315" s="18">
        <f t="shared" ref="D315:BI315" si="277">D$126/C$126-1</f>
        <v>-2.7949019748451764E-2</v>
      </c>
      <c r="E315" s="18">
        <f t="shared" si="277"/>
        <v>9.3451870788903157E-3</v>
      </c>
      <c r="F315" s="18">
        <f t="shared" si="277"/>
        <v>-4.727220037639146E-4</v>
      </c>
      <c r="G315" s="18">
        <f t="shared" si="277"/>
        <v>3.0539039646232835E-2</v>
      </c>
      <c r="H315" s="18">
        <f t="shared" si="277"/>
        <v>-2.1268335014404616E-2</v>
      </c>
      <c r="I315" s="18">
        <f t="shared" si="277"/>
        <v>-4.7796572882645161E-2</v>
      </c>
      <c r="J315" s="18">
        <f t="shared" si="277"/>
        <v>1.6277337158930649E-2</v>
      </c>
      <c r="K315" s="18">
        <f t="shared" si="277"/>
        <v>2.2110219209882098E-2</v>
      </c>
      <c r="L315" s="18">
        <f t="shared" si="277"/>
        <v>2.3410642045209595E-3</v>
      </c>
      <c r="M315" s="18">
        <f t="shared" si="277"/>
        <v>1.9585858202261663E-2</v>
      </c>
      <c r="N315" s="18">
        <f t="shared" si="277"/>
        <v>5.8642615469285175E-2</v>
      </c>
      <c r="O315" s="18">
        <f t="shared" si="277"/>
        <v>3.2920419182122629E-2</v>
      </c>
      <c r="P315" s="18">
        <f t="shared" si="277"/>
        <v>2.0714001200860865E-2</v>
      </c>
      <c r="Q315" s="18">
        <f t="shared" si="277"/>
        <v>3.3807242116006275E-3</v>
      </c>
      <c r="R315" s="18">
        <f t="shared" si="277"/>
        <v>-9.028912760249086E-3</v>
      </c>
      <c r="S315" s="18">
        <f t="shared" si="277"/>
        <v>1.673701844501041E-2</v>
      </c>
      <c r="T315" s="18">
        <f t="shared" si="277"/>
        <v>1.1822931036417961E-2</v>
      </c>
      <c r="U315" s="18">
        <f t="shared" si="277"/>
        <v>-7.1986359331945859E-3</v>
      </c>
      <c r="V315" s="18">
        <f t="shared" si="277"/>
        <v>1.2617884271636903E-2</v>
      </c>
      <c r="W315" s="18">
        <f t="shared" si="277"/>
        <v>5.5505057738194363E-3</v>
      </c>
      <c r="X315" s="18">
        <f t="shared" si="277"/>
        <v>4.5191874050596326E-3</v>
      </c>
      <c r="Y315" s="18">
        <f t="shared" si="277"/>
        <v>3.4425890872171738E-3</v>
      </c>
      <c r="Z315" s="18">
        <f t="shared" si="277"/>
        <v>8.8885693434310742E-3</v>
      </c>
      <c r="AA315" s="18">
        <f t="shared" si="277"/>
        <v>-1.9813051649463342E-2</v>
      </c>
      <c r="AB315" s="18">
        <f t="shared" si="277"/>
        <v>1.7280019682148096E-2</v>
      </c>
      <c r="AC315" s="18">
        <f t="shared" si="277"/>
        <v>-1.7868717975521364E-2</v>
      </c>
      <c r="AD315" s="18">
        <f t="shared" si="277"/>
        <v>-4.1397528326032162E-2</v>
      </c>
      <c r="AE315" s="18">
        <f t="shared" si="277"/>
        <v>-4.4010489379887607E-3</v>
      </c>
      <c r="AF315" s="18">
        <f t="shared" si="277"/>
        <v>1.8510859626930332E-2</v>
      </c>
      <c r="AG315" s="18">
        <f t="shared" si="277"/>
        <v>1.8988215888950943E-3</v>
      </c>
      <c r="AH315" s="18">
        <f t="shared" si="277"/>
        <v>1.082984513565366E-3</v>
      </c>
      <c r="AI315" s="18">
        <f t="shared" si="277"/>
        <v>5.4090646345938964E-4</v>
      </c>
      <c r="AJ315" s="18">
        <f t="shared" si="277"/>
        <v>2.703070209149061E-4</v>
      </c>
      <c r="AK315" s="18">
        <f t="shared" si="277"/>
        <v>2.702339747742144E-4</v>
      </c>
      <c r="AL315" s="18">
        <f t="shared" si="277"/>
        <v>8.1048290430629777E-4</v>
      </c>
      <c r="AM315" s="18">
        <f t="shared" si="277"/>
        <v>1.3497109228814974E-3</v>
      </c>
      <c r="AN315" s="18">
        <f t="shared" si="277"/>
        <v>1.8870483223016876E-3</v>
      </c>
      <c r="AO315" s="18">
        <f t="shared" si="277"/>
        <v>2.959776408225645E-3</v>
      </c>
      <c r="AP315" s="18">
        <f t="shared" si="277"/>
        <v>4.0241481597032003E-3</v>
      </c>
      <c r="AQ315" s="18">
        <f t="shared" si="277"/>
        <v>5.0768244418890607E-3</v>
      </c>
      <c r="AR315" s="18">
        <f t="shared" si="277"/>
        <v>5.5828836943239146E-3</v>
      </c>
      <c r="AS315" s="18">
        <f t="shared" si="277"/>
        <v>6.3450150268651306E-3</v>
      </c>
      <c r="AT315" s="18">
        <f t="shared" si="277"/>
        <v>6.8304271164103536E-3</v>
      </c>
      <c r="AU315" s="18">
        <f t="shared" si="277"/>
        <v>6.7840888916843589E-3</v>
      </c>
      <c r="AV315" s="18">
        <f t="shared" si="277"/>
        <v>6.2200386052089218E-3</v>
      </c>
      <c r="AW315" s="18">
        <f t="shared" si="277"/>
        <v>5.9240226802226292E-3</v>
      </c>
      <c r="AX315" s="18">
        <f t="shared" si="277"/>
        <v>4.8649378640266416E-3</v>
      </c>
      <c r="AY315" s="18">
        <f t="shared" si="277"/>
        <v>4.0769556443487343E-3</v>
      </c>
      <c r="AZ315" s="18">
        <f t="shared" si="277"/>
        <v>3.0453011754456583E-3</v>
      </c>
      <c r="BA315" s="18">
        <f t="shared" si="277"/>
        <v>2.0240369814317205E-3</v>
      </c>
      <c r="BB315" s="18">
        <f t="shared" si="277"/>
        <v>1.514961398178416E-3</v>
      </c>
      <c r="BC315" s="18">
        <f t="shared" si="277"/>
        <v>5.0422325396026757E-4</v>
      </c>
      <c r="BD315" s="18">
        <f t="shared" si="277"/>
        <v>0</v>
      </c>
      <c r="BE315" s="18">
        <f t="shared" si="277"/>
        <v>-7.5595371150027901E-4</v>
      </c>
      <c r="BF315" s="18">
        <f t="shared" si="277"/>
        <v>-7.5652560984285078E-4</v>
      </c>
      <c r="BG315" s="18">
        <f t="shared" si="277"/>
        <v>-1.2618306235867571E-3</v>
      </c>
      <c r="BH315" s="18">
        <f t="shared" si="277"/>
        <v>-1.2634248517553459E-3</v>
      </c>
      <c r="BI315" s="18">
        <f t="shared" si="277"/>
        <v>-1.0120184907158603E-3</v>
      </c>
    </row>
    <row r="316" spans="1:61" x14ac:dyDescent="0.25">
      <c r="A316" s="11" t="s">
        <v>1167</v>
      </c>
      <c r="C316" s="18">
        <f>C$127/B$127-1</f>
        <v>-5.8944135586694868E-3</v>
      </c>
      <c r="D316" s="18">
        <f t="shared" ref="D316:BI316" si="278">D$127/C$127-1</f>
        <v>-5.5176598125510345E-3</v>
      </c>
      <c r="E316" s="18">
        <f t="shared" si="278"/>
        <v>-2.5938059818060633E-2</v>
      </c>
      <c r="F316" s="18">
        <f t="shared" si="278"/>
        <v>1.3590613463283718E-2</v>
      </c>
      <c r="G316" s="18">
        <f t="shared" si="278"/>
        <v>-6.3344618067714409E-3</v>
      </c>
      <c r="H316" s="18">
        <f t="shared" si="278"/>
        <v>3.0951936593390572E-2</v>
      </c>
      <c r="I316" s="18">
        <f t="shared" si="278"/>
        <v>-2.172216106436653E-2</v>
      </c>
      <c r="J316" s="18">
        <f t="shared" si="278"/>
        <v>-4.0961501596532779E-2</v>
      </c>
      <c r="K316" s="18">
        <f t="shared" si="278"/>
        <v>1.9799888790925868E-2</v>
      </c>
      <c r="L316" s="18">
        <f t="shared" si="278"/>
        <v>1.3350999473394021E-2</v>
      </c>
      <c r="M316" s="18">
        <f t="shared" si="278"/>
        <v>2.3235804648957803E-4</v>
      </c>
      <c r="N316" s="18">
        <f t="shared" si="278"/>
        <v>2.5991520940413348E-2</v>
      </c>
      <c r="O316" s="18">
        <f t="shared" si="278"/>
        <v>5.6506952859866511E-2</v>
      </c>
      <c r="P316" s="18">
        <f t="shared" si="278"/>
        <v>4.3538820193988803E-2</v>
      </c>
      <c r="Q316" s="18">
        <f t="shared" si="278"/>
        <v>-1.1743850647850662E-3</v>
      </c>
      <c r="R316" s="18">
        <f t="shared" si="278"/>
        <v>1.0106111841661658E-2</v>
      </c>
      <c r="S316" s="18">
        <f t="shared" si="278"/>
        <v>1.4336655056054859E-2</v>
      </c>
      <c r="T316" s="18">
        <f t="shared" si="278"/>
        <v>9.4306953784804026E-3</v>
      </c>
      <c r="U316" s="18">
        <f t="shared" si="278"/>
        <v>1.5637686638001469E-3</v>
      </c>
      <c r="V316" s="18">
        <f t="shared" si="278"/>
        <v>1.5681640077913617E-3</v>
      </c>
      <c r="W316" s="18">
        <f t="shared" si="278"/>
        <v>1.4753675528975441E-2</v>
      </c>
      <c r="X316" s="18">
        <f t="shared" si="278"/>
        <v>5.5053305907690753E-3</v>
      </c>
      <c r="Y316" s="18">
        <f t="shared" si="278"/>
        <v>3.5755537303214791E-3</v>
      </c>
      <c r="Z316" s="18">
        <f t="shared" si="278"/>
        <v>-5.8603125369075526E-3</v>
      </c>
      <c r="AA316" s="18">
        <f t="shared" si="278"/>
        <v>8.8293221314590387E-3</v>
      </c>
      <c r="AB316" s="18">
        <f t="shared" si="278"/>
        <v>-2.0023125307127354E-2</v>
      </c>
      <c r="AC316" s="18">
        <f t="shared" si="278"/>
        <v>1.6938547388577696E-2</v>
      </c>
      <c r="AD316" s="18">
        <f t="shared" si="278"/>
        <v>-1.742516944049799E-2</v>
      </c>
      <c r="AE316" s="18">
        <f t="shared" si="278"/>
        <v>-4.0945116806319626E-2</v>
      </c>
      <c r="AF316" s="18">
        <f t="shared" si="278"/>
        <v>-4.0789676415303733E-3</v>
      </c>
      <c r="AG316" s="18">
        <f t="shared" si="278"/>
        <v>1.8020964554018581E-2</v>
      </c>
      <c r="AH316" s="18">
        <f t="shared" si="278"/>
        <v>1.8774804143972812E-3</v>
      </c>
      <c r="AI316" s="18">
        <f t="shared" si="278"/>
        <v>1.3385443480578019E-3</v>
      </c>
      <c r="AJ316" s="18">
        <f t="shared" si="278"/>
        <v>5.3470201686067753E-4</v>
      </c>
      <c r="AK316" s="18">
        <f t="shared" si="278"/>
        <v>2.6720813170344471E-4</v>
      </c>
      <c r="AL316" s="18">
        <f t="shared" si="278"/>
        <v>5.3427350118262495E-4</v>
      </c>
      <c r="AM316" s="18">
        <f t="shared" si="278"/>
        <v>8.0098230815184301E-4</v>
      </c>
      <c r="AN316" s="18">
        <f t="shared" si="278"/>
        <v>1.0671216652944349E-3</v>
      </c>
      <c r="AO316" s="18">
        <f t="shared" si="278"/>
        <v>2.1319682610678736E-3</v>
      </c>
      <c r="AP316" s="18">
        <f t="shared" si="278"/>
        <v>2.9252198830209686E-3</v>
      </c>
      <c r="AQ316" s="18">
        <f t="shared" si="278"/>
        <v>3.9773017220414708E-3</v>
      </c>
      <c r="AR316" s="18">
        <f t="shared" si="278"/>
        <v>5.0179575832489665E-3</v>
      </c>
      <c r="AS316" s="18">
        <f t="shared" si="278"/>
        <v>5.7812565750692269E-3</v>
      </c>
      <c r="AT316" s="18">
        <f t="shared" si="278"/>
        <v>6.2705735599979384E-3</v>
      </c>
      <c r="AU316" s="18">
        <f t="shared" si="278"/>
        <v>6.7507900311858382E-3</v>
      </c>
      <c r="AV316" s="18">
        <f t="shared" si="278"/>
        <v>6.705522457028934E-3</v>
      </c>
      <c r="AW316" s="18">
        <f t="shared" si="278"/>
        <v>6.4046710813772112E-3</v>
      </c>
      <c r="AX316" s="18">
        <f t="shared" si="278"/>
        <v>5.6002428382571079E-3</v>
      </c>
      <c r="AY316" s="18">
        <f t="shared" si="278"/>
        <v>5.0627770719222642E-3</v>
      </c>
      <c r="AZ316" s="18">
        <f t="shared" si="278"/>
        <v>4.0298195793673219E-3</v>
      </c>
      <c r="BA316" s="18">
        <f t="shared" si="278"/>
        <v>3.0102339846755921E-3</v>
      </c>
      <c r="BB316" s="18">
        <f t="shared" si="278"/>
        <v>2.2508997535723996E-3</v>
      </c>
      <c r="BC316" s="18">
        <f t="shared" si="278"/>
        <v>1.2476914347527845E-3</v>
      </c>
      <c r="BD316" s="18">
        <f t="shared" si="278"/>
        <v>7.4768198444363776E-4</v>
      </c>
      <c r="BE316" s="18">
        <f t="shared" si="278"/>
        <v>0</v>
      </c>
      <c r="BF316" s="18">
        <f t="shared" si="278"/>
        <v>-4.9808224917136101E-4</v>
      </c>
      <c r="BG316" s="18">
        <f t="shared" si="278"/>
        <v>-9.9666091745409524E-4</v>
      </c>
      <c r="BH316" s="18">
        <f t="shared" si="278"/>
        <v>-9.9765524144235229E-4</v>
      </c>
      <c r="BI316" s="18">
        <f t="shared" si="278"/>
        <v>-1.2483144392462231E-3</v>
      </c>
    </row>
    <row r="317" spans="1:61" x14ac:dyDescent="0.25">
      <c r="A317" s="11" t="s">
        <v>1168</v>
      </c>
      <c r="C317" s="18">
        <f>C$128/B$128-1</f>
        <v>-2.9826585084108848E-2</v>
      </c>
      <c r="D317" s="18">
        <f t="shared" ref="D317:BI317" si="279">D$128/C$128-1</f>
        <v>4.9034160670524685E-4</v>
      </c>
      <c r="E317" s="18">
        <f t="shared" si="279"/>
        <v>1.4891470417022212E-4</v>
      </c>
      <c r="F317" s="18">
        <f t="shared" si="279"/>
        <v>-2.2591241241107562E-2</v>
      </c>
      <c r="G317" s="18">
        <f t="shared" si="279"/>
        <v>1.3118128628920367E-2</v>
      </c>
      <c r="H317" s="18">
        <f t="shared" si="279"/>
        <v>-1.0256509342433717E-2</v>
      </c>
      <c r="I317" s="18">
        <f t="shared" si="279"/>
        <v>3.3576030213322561E-2</v>
      </c>
      <c r="J317" s="18">
        <f t="shared" si="279"/>
        <v>-1.914319417142829E-2</v>
      </c>
      <c r="K317" s="18">
        <f t="shared" si="279"/>
        <v>-3.4667133143105988E-2</v>
      </c>
      <c r="L317" s="18">
        <f t="shared" si="279"/>
        <v>1.8411929500681046E-2</v>
      </c>
      <c r="M317" s="18">
        <f t="shared" si="279"/>
        <v>-1.0669291003095882E-4</v>
      </c>
      <c r="N317" s="18">
        <f t="shared" si="279"/>
        <v>8.413129627424798E-3</v>
      </c>
      <c r="O317" s="18">
        <f t="shared" si="279"/>
        <v>2.5223181637160641E-2</v>
      </c>
      <c r="P317" s="18">
        <f t="shared" si="279"/>
        <v>6.9808640079433548E-2</v>
      </c>
      <c r="Q317" s="18">
        <f t="shared" si="279"/>
        <v>2.2241068470311376E-2</v>
      </c>
      <c r="R317" s="18">
        <f t="shared" si="279"/>
        <v>3.8001145486661336E-3</v>
      </c>
      <c r="S317" s="18">
        <f t="shared" si="279"/>
        <v>3.3331890910075712E-2</v>
      </c>
      <c r="T317" s="18">
        <f t="shared" si="279"/>
        <v>7.3477833844810547E-3</v>
      </c>
      <c r="U317" s="18">
        <f t="shared" si="279"/>
        <v>-9.2140269333629288E-4</v>
      </c>
      <c r="V317" s="18">
        <f t="shared" si="279"/>
        <v>1.0344394390100264E-2</v>
      </c>
      <c r="W317" s="18">
        <f t="shared" si="279"/>
        <v>3.4911473837815343E-3</v>
      </c>
      <c r="X317" s="18">
        <f t="shared" si="279"/>
        <v>1.462580474071884E-2</v>
      </c>
      <c r="Y317" s="18">
        <f t="shared" si="279"/>
        <v>4.8318464046088749E-3</v>
      </c>
      <c r="Z317" s="18">
        <f t="shared" si="279"/>
        <v>-6.0098323951334187E-3</v>
      </c>
      <c r="AA317" s="18">
        <f t="shared" si="279"/>
        <v>-5.7543957772223653E-3</v>
      </c>
      <c r="AB317" s="18">
        <f t="shared" si="279"/>
        <v>8.2996606472254264E-3</v>
      </c>
      <c r="AC317" s="18">
        <f t="shared" si="279"/>
        <v>-1.9698679601445002E-2</v>
      </c>
      <c r="AD317" s="18">
        <f t="shared" si="279"/>
        <v>1.6745429178717686E-2</v>
      </c>
      <c r="AE317" s="18">
        <f t="shared" si="279"/>
        <v>-1.7229775161087257E-2</v>
      </c>
      <c r="AF317" s="18">
        <f t="shared" si="279"/>
        <v>-4.0220114786632788E-2</v>
      </c>
      <c r="AG317" s="18">
        <f t="shared" si="279"/>
        <v>-4.2980062842212785E-3</v>
      </c>
      <c r="AH317" s="18">
        <f t="shared" si="279"/>
        <v>1.80755903159453E-2</v>
      </c>
      <c r="AI317" s="18">
        <f t="shared" si="279"/>
        <v>1.8549649245938049E-3</v>
      </c>
      <c r="AJ317" s="18">
        <f t="shared" si="279"/>
        <v>1.3225217147454504E-3</v>
      </c>
      <c r="AK317" s="18">
        <f t="shared" si="279"/>
        <v>5.2830998447173094E-4</v>
      </c>
      <c r="AL317" s="18">
        <f t="shared" si="279"/>
        <v>5.2803102041143468E-4</v>
      </c>
      <c r="AM317" s="18">
        <f t="shared" si="279"/>
        <v>2.6387617539946895E-4</v>
      </c>
      <c r="AN317" s="18">
        <f t="shared" si="279"/>
        <v>7.9141968939788754E-4</v>
      </c>
      <c r="AO317" s="18">
        <f t="shared" si="279"/>
        <v>1.5815876791660521E-3</v>
      </c>
      <c r="AP317" s="18">
        <f t="shared" si="279"/>
        <v>1.8422719111372832E-3</v>
      </c>
      <c r="AQ317" s="18">
        <f t="shared" si="279"/>
        <v>3.1523728910618498E-3</v>
      </c>
      <c r="AR317" s="18">
        <f t="shared" si="279"/>
        <v>3.9280833304227158E-3</v>
      </c>
      <c r="AS317" s="18">
        <f t="shared" si="279"/>
        <v>4.9561042281331957E-3</v>
      </c>
      <c r="AT317" s="18">
        <f t="shared" si="279"/>
        <v>5.710345931381644E-3</v>
      </c>
      <c r="AU317" s="18">
        <f t="shared" si="279"/>
        <v>6.1940978473389308E-3</v>
      </c>
      <c r="AV317" s="18">
        <f t="shared" si="279"/>
        <v>6.6689644496091827E-3</v>
      </c>
      <c r="AW317" s="18">
        <f t="shared" si="279"/>
        <v>6.8795833852619559E-3</v>
      </c>
      <c r="AX317" s="18">
        <f t="shared" si="279"/>
        <v>6.3264611986337815E-3</v>
      </c>
      <c r="AY317" s="18">
        <f t="shared" si="279"/>
        <v>5.5322860616886516E-3</v>
      </c>
      <c r="AZ317" s="18">
        <f t="shared" si="279"/>
        <v>5.0016802392987003E-3</v>
      </c>
      <c r="BA317" s="18">
        <f t="shared" si="279"/>
        <v>3.9814303499334791E-3</v>
      </c>
      <c r="BB317" s="18">
        <f t="shared" si="279"/>
        <v>3.222083657656416E-3</v>
      </c>
      <c r="BC317" s="18">
        <f t="shared" si="279"/>
        <v>2.2235089695410437E-3</v>
      </c>
      <c r="BD317" s="18">
        <f t="shared" si="279"/>
        <v>1.2325421922363411E-3</v>
      </c>
      <c r="BE317" s="18">
        <f t="shared" si="279"/>
        <v>7.3861494126292726E-4</v>
      </c>
      <c r="BF317" s="18">
        <f t="shared" si="279"/>
        <v>0</v>
      </c>
      <c r="BG317" s="18">
        <f t="shared" si="279"/>
        <v>-4.9204652792456116E-4</v>
      </c>
      <c r="BH317" s="18">
        <f t="shared" si="279"/>
        <v>-7.3843313534727173E-4</v>
      </c>
      <c r="BI317" s="18">
        <f t="shared" si="279"/>
        <v>-9.8530509572747338E-4</v>
      </c>
    </row>
    <row r="318" spans="1:61" x14ac:dyDescent="0.25">
      <c r="A318" s="11" t="s">
        <v>1169</v>
      </c>
      <c r="C318" s="18">
        <f>C$129/B$129-1</f>
        <v>-2.2260786018374223E-2</v>
      </c>
      <c r="D318" s="18">
        <f t="shared" ref="D318:BI318" si="280">D$129/C$129-1</f>
        <v>-2.1529129643783063E-2</v>
      </c>
      <c r="E318" s="18">
        <f t="shared" si="280"/>
        <v>3.3192596661741902E-3</v>
      </c>
      <c r="F318" s="18">
        <f t="shared" si="280"/>
        <v>7.1949677831966152E-3</v>
      </c>
      <c r="G318" s="18">
        <f t="shared" si="280"/>
        <v>-2.1869359703562297E-2</v>
      </c>
      <c r="H318" s="18">
        <f t="shared" si="280"/>
        <v>1.2261456926449421E-2</v>
      </c>
      <c r="I318" s="18">
        <f t="shared" si="280"/>
        <v>-1.0732307328298774E-2</v>
      </c>
      <c r="J318" s="18">
        <f t="shared" si="280"/>
        <v>3.2109846841128054E-2</v>
      </c>
      <c r="K318" s="18">
        <f t="shared" si="280"/>
        <v>-1.2300755319730516E-2</v>
      </c>
      <c r="L318" s="18">
        <f t="shared" si="280"/>
        <v>-3.1877909167565277E-2</v>
      </c>
      <c r="M318" s="18">
        <f t="shared" si="280"/>
        <v>1.2948669635351351E-2</v>
      </c>
      <c r="N318" s="18">
        <f t="shared" si="280"/>
        <v>1.563151394213147E-3</v>
      </c>
      <c r="O318" s="18">
        <f t="shared" si="280"/>
        <v>5.9797282073015268E-3</v>
      </c>
      <c r="P318" s="18">
        <f t="shared" si="280"/>
        <v>3.6721797454389415E-2</v>
      </c>
      <c r="Q318" s="18">
        <f t="shared" si="280"/>
        <v>4.6184046170242299E-2</v>
      </c>
      <c r="R318" s="18">
        <f t="shared" si="280"/>
        <v>3.1325555262660787E-2</v>
      </c>
      <c r="S318" s="18">
        <f t="shared" si="280"/>
        <v>2.522215192786792E-2</v>
      </c>
      <c r="T318" s="18">
        <f t="shared" si="280"/>
        <v>2.4415602023028393E-2</v>
      </c>
      <c r="U318" s="18">
        <f t="shared" si="280"/>
        <v>-6.6193926756663579E-5</v>
      </c>
      <c r="V318" s="18">
        <f t="shared" si="280"/>
        <v>7.5955901823909766E-3</v>
      </c>
      <c r="W318" s="18">
        <f t="shared" si="280"/>
        <v>1.2204406197346751E-2</v>
      </c>
      <c r="X318" s="18">
        <f t="shared" si="280"/>
        <v>3.4726046922799458E-3</v>
      </c>
      <c r="Y318" s="18">
        <f t="shared" si="280"/>
        <v>1.356986794786752E-2</v>
      </c>
      <c r="Z318" s="18">
        <f t="shared" si="280"/>
        <v>-4.6714474311563281E-3</v>
      </c>
      <c r="AA318" s="18">
        <f t="shared" si="280"/>
        <v>-6.1469291148027461E-3</v>
      </c>
      <c r="AB318" s="18">
        <f t="shared" si="280"/>
        <v>-5.8543102822939952E-3</v>
      </c>
      <c r="AC318" s="18">
        <f t="shared" si="280"/>
        <v>8.3023161659343536E-3</v>
      </c>
      <c r="AD318" s="18">
        <f t="shared" si="280"/>
        <v>-1.9462076083319291E-2</v>
      </c>
      <c r="AE318" s="18">
        <f t="shared" si="280"/>
        <v>1.6540305418597523E-2</v>
      </c>
      <c r="AF318" s="18">
        <f t="shared" si="280"/>
        <v>-1.702215252852135E-2</v>
      </c>
      <c r="AG318" s="18">
        <f t="shared" si="280"/>
        <v>-3.9727060591506325E-2</v>
      </c>
      <c r="AH318" s="18">
        <f t="shared" si="280"/>
        <v>-3.9779415992011735E-3</v>
      </c>
      <c r="AI318" s="18">
        <f t="shared" si="280"/>
        <v>1.7839102049232558E-2</v>
      </c>
      <c r="AJ318" s="18">
        <f t="shared" si="280"/>
        <v>1.831121222903187E-3</v>
      </c>
      <c r="AK318" s="18">
        <f t="shared" si="280"/>
        <v>1.3055531046475277E-3</v>
      </c>
      <c r="AL318" s="18">
        <f t="shared" si="280"/>
        <v>7.8231051486699066E-4</v>
      </c>
      <c r="AM318" s="18">
        <f t="shared" si="280"/>
        <v>2.6056632784432487E-4</v>
      </c>
      <c r="AN318" s="18">
        <f t="shared" si="280"/>
        <v>5.2099690143903032E-4</v>
      </c>
      <c r="AO318" s="18">
        <f t="shared" si="280"/>
        <v>7.8108840751855979E-4</v>
      </c>
      <c r="AP318" s="18">
        <f t="shared" si="280"/>
        <v>1.5609575691752919E-3</v>
      </c>
      <c r="AQ318" s="18">
        <f t="shared" si="280"/>
        <v>2.0780330375014255E-3</v>
      </c>
      <c r="AR318" s="18">
        <f t="shared" si="280"/>
        <v>2.8513701851178297E-3</v>
      </c>
      <c r="AS318" s="18">
        <f t="shared" si="280"/>
        <v>4.1356552578910577E-3</v>
      </c>
      <c r="AT318" s="18">
        <f t="shared" si="280"/>
        <v>4.8908636925997229E-3</v>
      </c>
      <c r="AU318" s="18">
        <f t="shared" si="280"/>
        <v>5.6355426573027056E-3</v>
      </c>
      <c r="AV318" s="18">
        <f t="shared" si="280"/>
        <v>6.3681378345208373E-3</v>
      </c>
      <c r="AW318" s="18">
        <f t="shared" si="280"/>
        <v>6.5809549198891926E-3</v>
      </c>
      <c r="AX318" s="18">
        <f t="shared" si="280"/>
        <v>6.5379291031915088E-3</v>
      </c>
      <c r="AY318" s="18">
        <f t="shared" si="280"/>
        <v>6.4954622316286681E-3</v>
      </c>
      <c r="AZ318" s="18">
        <f t="shared" si="280"/>
        <v>5.4606906400287425E-3</v>
      </c>
      <c r="BA318" s="18">
        <f t="shared" si="280"/>
        <v>4.9373031332016204E-3</v>
      </c>
      <c r="BB318" s="18">
        <f t="shared" si="280"/>
        <v>4.1760890456914446E-3</v>
      </c>
      <c r="BC318" s="18">
        <f t="shared" si="280"/>
        <v>2.9355683667653398E-3</v>
      </c>
      <c r="BD318" s="18">
        <f t="shared" si="280"/>
        <v>2.1952320213942667E-3</v>
      </c>
      <c r="BE318" s="18">
        <f t="shared" si="280"/>
        <v>1.460282355675302E-3</v>
      </c>
      <c r="BF318" s="18">
        <f t="shared" si="280"/>
        <v>7.2907652025921976E-4</v>
      </c>
      <c r="BG318" s="18">
        <f t="shared" si="280"/>
        <v>0</v>
      </c>
      <c r="BH318" s="18">
        <f t="shared" si="280"/>
        <v>-2.428484516490137E-4</v>
      </c>
      <c r="BI318" s="18">
        <f t="shared" si="280"/>
        <v>-7.2872232403509152E-4</v>
      </c>
    </row>
    <row r="319" spans="1:61" x14ac:dyDescent="0.25">
      <c r="A319" s="11" t="s">
        <v>1170</v>
      </c>
      <c r="C319" s="18">
        <f>C$130/B$130-1</f>
        <v>-2.6187184458439372E-2</v>
      </c>
      <c r="D319" s="18">
        <f t="shared" ref="D319:BI319" si="281">D$130/C$130-1</f>
        <v>-1.4769945572514986E-2</v>
      </c>
      <c r="E319" s="18">
        <f t="shared" si="281"/>
        <v>-2.0882184824293715E-2</v>
      </c>
      <c r="F319" s="18">
        <f t="shared" si="281"/>
        <v>1.0033740583150763E-2</v>
      </c>
      <c r="G319" s="18">
        <f t="shared" si="281"/>
        <v>6.4307052082477334E-3</v>
      </c>
      <c r="H319" s="18">
        <f t="shared" si="281"/>
        <v>-1.976542871483955E-2</v>
      </c>
      <c r="I319" s="18">
        <f t="shared" si="281"/>
        <v>7.682647711430457E-3</v>
      </c>
      <c r="J319" s="18">
        <f t="shared" si="281"/>
        <v>-1.8483570460570031E-2</v>
      </c>
      <c r="K319" s="18">
        <f t="shared" si="281"/>
        <v>3.0393661795850679E-2</v>
      </c>
      <c r="L319" s="18">
        <f t="shared" si="281"/>
        <v>-7.1025072571360148E-3</v>
      </c>
      <c r="M319" s="18">
        <f t="shared" si="281"/>
        <v>-2.360623862719391E-2</v>
      </c>
      <c r="N319" s="18">
        <f t="shared" si="281"/>
        <v>2.1532889666709742E-2</v>
      </c>
      <c r="O319" s="18">
        <f t="shared" si="281"/>
        <v>5.8416848366691365E-3</v>
      </c>
      <c r="P319" s="18">
        <f t="shared" si="281"/>
        <v>1.1215206823096846E-2</v>
      </c>
      <c r="Q319" s="18">
        <f t="shared" si="281"/>
        <v>2.9310934727257099E-2</v>
      </c>
      <c r="R319" s="18">
        <f t="shared" si="281"/>
        <v>5.6620933944750984E-2</v>
      </c>
      <c r="S319" s="18">
        <f t="shared" si="281"/>
        <v>3.4260559213836084E-2</v>
      </c>
      <c r="T319" s="18">
        <f t="shared" si="281"/>
        <v>2.1514200386017812E-2</v>
      </c>
      <c r="U319" s="18">
        <f t="shared" si="281"/>
        <v>1.4303901904154204E-2</v>
      </c>
      <c r="V319" s="18">
        <f t="shared" si="281"/>
        <v>-3.2652875209456811E-3</v>
      </c>
      <c r="W319" s="18">
        <f t="shared" si="281"/>
        <v>-3.4639941584583278E-3</v>
      </c>
      <c r="X319" s="18">
        <f t="shared" si="281"/>
        <v>-6.3715010823672813E-4</v>
      </c>
      <c r="Y319" s="18">
        <f t="shared" si="281"/>
        <v>-8.2902604794515833E-3</v>
      </c>
      <c r="Z319" s="18">
        <f t="shared" si="281"/>
        <v>3.4309847844335994E-3</v>
      </c>
      <c r="AA319" s="18">
        <f t="shared" si="281"/>
        <v>-5.2099521230102308E-3</v>
      </c>
      <c r="AB319" s="18">
        <f t="shared" si="281"/>
        <v>-6.6468065603779714E-3</v>
      </c>
      <c r="AC319" s="18">
        <f t="shared" si="281"/>
        <v>-6.6803432900540693E-3</v>
      </c>
      <c r="AD319" s="18">
        <f t="shared" si="281"/>
        <v>9.2472468069828562E-3</v>
      </c>
      <c r="AE319" s="18">
        <f t="shared" si="281"/>
        <v>-2.1656862464233262E-2</v>
      </c>
      <c r="AF319" s="18">
        <f t="shared" si="281"/>
        <v>1.8730685346137976E-2</v>
      </c>
      <c r="AG319" s="18">
        <f t="shared" si="281"/>
        <v>-1.8943457922072415E-2</v>
      </c>
      <c r="AH319" s="18">
        <f t="shared" si="281"/>
        <v>-4.4297672204799965E-2</v>
      </c>
      <c r="AI319" s="18">
        <f t="shared" si="281"/>
        <v>-4.4568182312375582E-3</v>
      </c>
      <c r="AJ319" s="18">
        <f t="shared" si="281"/>
        <v>1.9996241044504481E-2</v>
      </c>
      <c r="AK319" s="18">
        <f t="shared" si="281"/>
        <v>2.3408035980021502E-3</v>
      </c>
      <c r="AL319" s="18">
        <f t="shared" si="281"/>
        <v>1.4595856454209244E-3</v>
      </c>
      <c r="AM319" s="18">
        <f t="shared" si="281"/>
        <v>5.8298334404782715E-4</v>
      </c>
      <c r="AN319" s="18">
        <f t="shared" si="281"/>
        <v>5.8264367249138971E-4</v>
      </c>
      <c r="AO319" s="18">
        <f t="shared" si="281"/>
        <v>5.8230439651918431E-4</v>
      </c>
      <c r="AP319" s="18">
        <f t="shared" si="281"/>
        <v>1.1639310308819706E-3</v>
      </c>
      <c r="AQ319" s="18">
        <f t="shared" si="281"/>
        <v>1.4532223380283593E-3</v>
      </c>
      <c r="AR319" s="18">
        <f t="shared" si="281"/>
        <v>2.3217816758500653E-3</v>
      </c>
      <c r="AS319" s="18">
        <f t="shared" si="281"/>
        <v>3.474605239000228E-3</v>
      </c>
      <c r="AT319" s="18">
        <f t="shared" si="281"/>
        <v>4.6167655475748415E-3</v>
      </c>
      <c r="AU319" s="18">
        <f t="shared" si="281"/>
        <v>5.4572144082793983E-3</v>
      </c>
      <c r="AV319" s="18">
        <f t="shared" si="281"/>
        <v>6.5702464087598056E-3</v>
      </c>
      <c r="AW319" s="18">
        <f t="shared" si="281"/>
        <v>6.8111583076866378E-3</v>
      </c>
      <c r="AX319" s="18">
        <f t="shared" si="281"/>
        <v>7.6107153093407653E-3</v>
      </c>
      <c r="AY319" s="18">
        <f t="shared" si="281"/>
        <v>7.2734805745890974E-3</v>
      </c>
      <c r="AZ319" s="18">
        <f t="shared" si="281"/>
        <v>7.2209590690703873E-3</v>
      </c>
      <c r="BA319" s="18">
        <f t="shared" si="281"/>
        <v>6.3419763326624246E-3</v>
      </c>
      <c r="BB319" s="18">
        <f t="shared" si="281"/>
        <v>5.480007947695098E-3</v>
      </c>
      <c r="BC319" s="18">
        <f t="shared" si="281"/>
        <v>4.3601129047849962E-3</v>
      </c>
      <c r="BD319" s="18">
        <f t="shared" si="281"/>
        <v>3.5272126895720124E-3</v>
      </c>
      <c r="BE319" s="18">
        <f t="shared" si="281"/>
        <v>2.4333335922714916E-3</v>
      </c>
      <c r="BF319" s="18">
        <f t="shared" si="281"/>
        <v>1.6182845686447678E-3</v>
      </c>
      <c r="BG319" s="18">
        <f t="shared" si="281"/>
        <v>8.0783497744452148E-4</v>
      </c>
      <c r="BH319" s="18">
        <f t="shared" si="281"/>
        <v>2.6906096895307208E-4</v>
      </c>
      <c r="BI319" s="18">
        <f t="shared" si="281"/>
        <v>-2.6898859462110014E-4</v>
      </c>
    </row>
    <row r="320" spans="1:61" x14ac:dyDescent="0.25">
      <c r="A320" s="11" t="s">
        <v>1171</v>
      </c>
      <c r="C320" s="18">
        <f>C$131/B$131-1</f>
        <v>2.523863302549012E-2</v>
      </c>
      <c r="D320" s="18">
        <f t="shared" ref="D320:BI320" si="282">D$131/C$131-1</f>
        <v>-3.0060001437012485E-2</v>
      </c>
      <c r="E320" s="18">
        <f t="shared" si="282"/>
        <v>-9.3259823507358952E-3</v>
      </c>
      <c r="F320" s="18">
        <f t="shared" si="282"/>
        <v>-1.1362188165703002E-2</v>
      </c>
      <c r="G320" s="18">
        <f t="shared" si="282"/>
        <v>1.0873542893602428E-2</v>
      </c>
      <c r="H320" s="18">
        <f t="shared" si="282"/>
        <v>6.526910185011392E-3</v>
      </c>
      <c r="I320" s="18">
        <f t="shared" si="282"/>
        <v>-1.8630273398790975E-2</v>
      </c>
      <c r="J320" s="18">
        <f t="shared" si="282"/>
        <v>3.2149918023796076E-3</v>
      </c>
      <c r="K320" s="18">
        <f t="shared" si="282"/>
        <v>-1.0989542292527132E-2</v>
      </c>
      <c r="L320" s="18">
        <f t="shared" si="282"/>
        <v>3.6411504695077923E-2</v>
      </c>
      <c r="M320" s="18">
        <f t="shared" si="282"/>
        <v>9.3551761028165537E-4</v>
      </c>
      <c r="N320" s="18">
        <f t="shared" si="282"/>
        <v>-2.5695984809216088E-2</v>
      </c>
      <c r="O320" s="18">
        <f t="shared" si="282"/>
        <v>1.7215724538931276E-2</v>
      </c>
      <c r="P320" s="18">
        <f t="shared" si="282"/>
        <v>4.2261394430347377E-3</v>
      </c>
      <c r="Q320" s="18">
        <f t="shared" si="282"/>
        <v>1.012758457293228E-2</v>
      </c>
      <c r="R320" s="18">
        <f t="shared" si="282"/>
        <v>2.1004804699714885E-2</v>
      </c>
      <c r="S320" s="18">
        <f t="shared" si="282"/>
        <v>5.9313062502294844E-2</v>
      </c>
      <c r="T320" s="18">
        <f t="shared" si="282"/>
        <v>5.8335608490996282E-2</v>
      </c>
      <c r="U320" s="18">
        <f t="shared" si="282"/>
        <v>2.255821515787293E-3</v>
      </c>
      <c r="V320" s="18">
        <f t="shared" si="282"/>
        <v>1.2595547649083327E-2</v>
      </c>
      <c r="W320" s="18">
        <f t="shared" si="282"/>
        <v>-2.8723579337398553E-3</v>
      </c>
      <c r="X320" s="18">
        <f t="shared" si="282"/>
        <v>-3.0193589794227371E-3</v>
      </c>
      <c r="Y320" s="18">
        <f t="shared" si="282"/>
        <v>1.2120235553059189E-4</v>
      </c>
      <c r="Z320" s="18">
        <f t="shared" si="282"/>
        <v>-7.1645336106209712E-3</v>
      </c>
      <c r="AA320" s="18">
        <f t="shared" si="282"/>
        <v>3.2751794326522088E-3</v>
      </c>
      <c r="AB320" s="18">
        <f t="shared" si="282"/>
        <v>-5.4249919338296149E-3</v>
      </c>
      <c r="AC320" s="18">
        <f t="shared" si="282"/>
        <v>-6.8048573714384331E-3</v>
      </c>
      <c r="AD320" s="18">
        <f t="shared" si="282"/>
        <v>-6.3033622628828612E-3</v>
      </c>
      <c r="AE320" s="18">
        <f t="shared" si="282"/>
        <v>9.1013234901227147E-3</v>
      </c>
      <c r="AF320" s="18">
        <f t="shared" si="282"/>
        <v>-2.1318195366218151E-2</v>
      </c>
      <c r="AG320" s="18">
        <f t="shared" si="282"/>
        <v>1.8431397127010474E-2</v>
      </c>
      <c r="AH320" s="18">
        <f t="shared" si="282"/>
        <v>-1.8646247912474045E-2</v>
      </c>
      <c r="AI320" s="18">
        <f t="shared" si="282"/>
        <v>-4.3589466384009179E-2</v>
      </c>
      <c r="AJ320" s="18">
        <f t="shared" si="282"/>
        <v>-4.0901632205142535E-3</v>
      </c>
      <c r="AK320" s="18">
        <f t="shared" si="282"/>
        <v>1.9654743664965224E-2</v>
      </c>
      <c r="AL320" s="18">
        <f t="shared" si="282"/>
        <v>2.301597750664186E-3</v>
      </c>
      <c r="AM320" s="18">
        <f t="shared" si="282"/>
        <v>1.4351953517717231E-3</v>
      </c>
      <c r="AN320" s="18">
        <f t="shared" si="282"/>
        <v>8.5988311081930391E-4</v>
      </c>
      <c r="AO320" s="18">
        <f t="shared" si="282"/>
        <v>5.7276289807028924E-4</v>
      </c>
      <c r="AP320" s="18">
        <f t="shared" si="282"/>
        <v>5.7243502852455386E-4</v>
      </c>
      <c r="AQ320" s="18">
        <f t="shared" si="282"/>
        <v>1.1442150682636765E-3</v>
      </c>
      <c r="AR320" s="18">
        <f t="shared" si="282"/>
        <v>1.714361004701459E-3</v>
      </c>
      <c r="AS320" s="18">
        <f t="shared" si="282"/>
        <v>2.2819026679847809E-3</v>
      </c>
      <c r="AT320" s="18">
        <f t="shared" si="282"/>
        <v>3.4150611647938423E-3</v>
      </c>
      <c r="AU320" s="18">
        <f t="shared" si="282"/>
        <v>4.537917620158316E-3</v>
      </c>
      <c r="AV320" s="18">
        <f t="shared" si="282"/>
        <v>5.6467724370585781E-3</v>
      </c>
      <c r="AW320" s="18">
        <f t="shared" si="282"/>
        <v>6.176571984327861E-3</v>
      </c>
      <c r="AX320" s="18">
        <f t="shared" si="282"/>
        <v>6.9757456054959643E-3</v>
      </c>
      <c r="AY320" s="18">
        <f t="shared" si="282"/>
        <v>7.4816154081303043E-3</v>
      </c>
      <c r="AZ320" s="18">
        <f t="shared" si="282"/>
        <v>7.4260565093284825E-3</v>
      </c>
      <c r="BA320" s="18">
        <f t="shared" si="282"/>
        <v>6.8252932361141383E-3</v>
      </c>
      <c r="BB320" s="18">
        <f t="shared" si="282"/>
        <v>6.2367024541489791E-3</v>
      </c>
      <c r="BC320" s="18">
        <f t="shared" si="282"/>
        <v>5.6590864631811399E-3</v>
      </c>
      <c r="BD320" s="18">
        <f t="shared" si="282"/>
        <v>4.2874220323432244E-3</v>
      </c>
      <c r="BE320" s="18">
        <f t="shared" si="282"/>
        <v>3.4686587971295424E-3</v>
      </c>
      <c r="BF320" s="18">
        <f t="shared" si="282"/>
        <v>2.6589759942412527E-3</v>
      </c>
      <c r="BG320" s="18">
        <f t="shared" si="282"/>
        <v>1.5911547542499793E-3</v>
      </c>
      <c r="BH320" s="18">
        <f t="shared" si="282"/>
        <v>7.9431350142078472E-4</v>
      </c>
      <c r="BI320" s="18">
        <f t="shared" si="282"/>
        <v>2.6456102274807769E-4</v>
      </c>
    </row>
    <row r="321" spans="1:61" x14ac:dyDescent="0.25">
      <c r="A321" s="11" t="s">
        <v>1172</v>
      </c>
      <c r="C321" s="18">
        <f>C$132/B$132-1</f>
        <v>1.7572394902134914E-2</v>
      </c>
      <c r="D321" s="18">
        <f t="shared" ref="D321:BI321" si="283">D$132/C$132-1</f>
        <v>2.8175233385029808E-2</v>
      </c>
      <c r="E321" s="18">
        <f t="shared" si="283"/>
        <v>-3.1104855970962797E-2</v>
      </c>
      <c r="F321" s="18">
        <f t="shared" si="283"/>
        <v>1.1168304096411674E-3</v>
      </c>
      <c r="G321" s="18">
        <f t="shared" si="283"/>
        <v>-1.1355991397871579E-2</v>
      </c>
      <c r="H321" s="18">
        <f t="shared" si="283"/>
        <v>1.0336927969498921E-2</v>
      </c>
      <c r="I321" s="18">
        <f t="shared" si="283"/>
        <v>7.4335136600036655E-3</v>
      </c>
      <c r="J321" s="18">
        <f t="shared" si="283"/>
        <v>-1.9380482637044838E-2</v>
      </c>
      <c r="K321" s="18">
        <f t="shared" si="283"/>
        <v>9.9486202139307256E-3</v>
      </c>
      <c r="L321" s="18">
        <f t="shared" si="283"/>
        <v>-5.8346758951357547E-3</v>
      </c>
      <c r="M321" s="18">
        <f t="shared" si="283"/>
        <v>3.7403380507720518E-2</v>
      </c>
      <c r="N321" s="18">
        <f t="shared" si="283"/>
        <v>1.5722722197084593E-3</v>
      </c>
      <c r="O321" s="18">
        <f t="shared" si="283"/>
        <v>-3.1083778014757035E-2</v>
      </c>
      <c r="P321" s="18">
        <f t="shared" si="283"/>
        <v>1.0483462984793857E-2</v>
      </c>
      <c r="Q321" s="18">
        <f t="shared" si="283"/>
        <v>1.1065202999206658E-2</v>
      </c>
      <c r="R321" s="18">
        <f t="shared" si="283"/>
        <v>4.5609707401921273E-3</v>
      </c>
      <c r="S321" s="18">
        <f t="shared" si="283"/>
        <v>2.2334053336787729E-2</v>
      </c>
      <c r="T321" s="18">
        <f t="shared" si="283"/>
        <v>8.0298496991656698E-2</v>
      </c>
      <c r="U321" s="18">
        <f t="shared" si="283"/>
        <v>4.6428397203143179E-2</v>
      </c>
      <c r="V321" s="18">
        <f t="shared" si="283"/>
        <v>1.0164310129461285E-3</v>
      </c>
      <c r="W321" s="18">
        <f t="shared" si="283"/>
        <v>1.3281762776496286E-2</v>
      </c>
      <c r="X321" s="18">
        <f t="shared" si="283"/>
        <v>-2.1736729808442545E-3</v>
      </c>
      <c r="Y321" s="18">
        <f t="shared" si="283"/>
        <v>-2.4930647515905013E-3</v>
      </c>
      <c r="Z321" s="18">
        <f t="shared" si="283"/>
        <v>1.4391544034171311E-3</v>
      </c>
      <c r="AA321" s="18">
        <f t="shared" si="283"/>
        <v>-7.1288031826497456E-3</v>
      </c>
      <c r="AB321" s="18">
        <f t="shared" si="283"/>
        <v>2.921074073157337E-3</v>
      </c>
      <c r="AC321" s="18">
        <f t="shared" si="283"/>
        <v>-5.3145622527255298E-3</v>
      </c>
      <c r="AD321" s="18">
        <f t="shared" si="283"/>
        <v>-6.6786971677720297E-3</v>
      </c>
      <c r="AE321" s="18">
        <f t="shared" si="283"/>
        <v>-6.185713904283463E-3</v>
      </c>
      <c r="AF321" s="18">
        <f t="shared" si="283"/>
        <v>8.9303956044943789E-3</v>
      </c>
      <c r="AG321" s="18">
        <f t="shared" si="283"/>
        <v>-2.0653148953189593E-2</v>
      </c>
      <c r="AH321" s="18">
        <f t="shared" si="283"/>
        <v>1.8076025959354203E-2</v>
      </c>
      <c r="AI321" s="18">
        <f t="shared" si="283"/>
        <v>-1.8024101022578343E-2</v>
      </c>
      <c r="AJ321" s="18">
        <f t="shared" si="283"/>
        <v>-4.2736857002967588E-2</v>
      </c>
      <c r="AK321" s="18">
        <f t="shared" si="283"/>
        <v>-4.0065879375621449E-3</v>
      </c>
      <c r="AL321" s="18">
        <f t="shared" si="283"/>
        <v>1.9251518029679282E-2</v>
      </c>
      <c r="AM321" s="18">
        <f t="shared" si="283"/>
        <v>2.2552713234171851E-3</v>
      </c>
      <c r="AN321" s="18">
        <f t="shared" si="283"/>
        <v>1.6876473898006505E-3</v>
      </c>
      <c r="AO321" s="18">
        <f t="shared" si="283"/>
        <v>8.4240201733454256E-4</v>
      </c>
      <c r="AP321" s="18">
        <f t="shared" si="283"/>
        <v>8.4169297347580496E-4</v>
      </c>
      <c r="AQ321" s="18">
        <f t="shared" si="283"/>
        <v>5.606567481384328E-4</v>
      </c>
      <c r="AR321" s="18">
        <f t="shared" si="283"/>
        <v>1.1206851765699355E-3</v>
      </c>
      <c r="AS321" s="18">
        <f t="shared" si="283"/>
        <v>1.6791459708560552E-3</v>
      </c>
      <c r="AT321" s="18">
        <f t="shared" si="283"/>
        <v>2.5144967491990133E-3</v>
      </c>
      <c r="AU321" s="18">
        <f t="shared" si="283"/>
        <v>3.3442532184193574E-3</v>
      </c>
      <c r="AV321" s="18">
        <f t="shared" si="283"/>
        <v>4.4441419551888295E-3</v>
      </c>
      <c r="AW321" s="18">
        <f t="shared" si="283"/>
        <v>5.5305986783622529E-3</v>
      </c>
      <c r="AX321" s="18">
        <f t="shared" si="283"/>
        <v>6.3252063024996641E-3</v>
      </c>
      <c r="AY321" s="18">
        <f t="shared" si="283"/>
        <v>6.8320103668164656E-3</v>
      </c>
      <c r="AZ321" s="18">
        <f t="shared" si="283"/>
        <v>7.3285027891332177E-3</v>
      </c>
      <c r="BA321" s="18">
        <f t="shared" si="283"/>
        <v>7.2751865641067504E-3</v>
      </c>
      <c r="BB321" s="18">
        <f t="shared" si="283"/>
        <v>6.9551353029728702E-3</v>
      </c>
      <c r="BC321" s="18">
        <f t="shared" si="283"/>
        <v>6.3757804791573225E-3</v>
      </c>
      <c r="BD321" s="18">
        <f t="shared" si="283"/>
        <v>5.2794895329932867E-3</v>
      </c>
      <c r="BE321" s="18">
        <f t="shared" si="283"/>
        <v>4.4639984698475743E-3</v>
      </c>
      <c r="BF321" s="18">
        <f t="shared" si="283"/>
        <v>3.6598962626757103E-3</v>
      </c>
      <c r="BG321" s="18">
        <f t="shared" si="283"/>
        <v>2.3442108859168531E-3</v>
      </c>
      <c r="BH321" s="18">
        <f t="shared" si="283"/>
        <v>1.8190109881308647E-3</v>
      </c>
      <c r="BI321" s="18">
        <f t="shared" si="283"/>
        <v>7.7816065498836906E-4</v>
      </c>
    </row>
    <row r="322" spans="1:61" x14ac:dyDescent="0.25">
      <c r="A322" s="11" t="s">
        <v>1173</v>
      </c>
      <c r="C322" s="18">
        <f>C$133/B$133-1</f>
        <v>1.1106819365360954E-2</v>
      </c>
      <c r="D322" s="18">
        <f t="shared" ref="D322:BI322" si="284">D$133/C$133-1</f>
        <v>1.3023862751943449E-2</v>
      </c>
      <c r="E322" s="18">
        <f t="shared" si="284"/>
        <v>3.014176664956314E-2</v>
      </c>
      <c r="F322" s="18">
        <f t="shared" si="284"/>
        <v>-1.964841823102248E-2</v>
      </c>
      <c r="G322" s="18">
        <f t="shared" si="284"/>
        <v>1.7023450710031973E-3</v>
      </c>
      <c r="H322" s="18">
        <f t="shared" si="284"/>
        <v>-1.155517611355239E-2</v>
      </c>
      <c r="I322" s="18">
        <f t="shared" si="284"/>
        <v>1.0370199594495366E-2</v>
      </c>
      <c r="J322" s="18">
        <f t="shared" si="284"/>
        <v>1.6689899991178869E-2</v>
      </c>
      <c r="K322" s="18">
        <f t="shared" si="284"/>
        <v>-1.0414605588328518E-2</v>
      </c>
      <c r="L322" s="18">
        <f t="shared" si="284"/>
        <v>9.8630160123023281E-3</v>
      </c>
      <c r="M322" s="18">
        <f t="shared" si="284"/>
        <v>-1.0644053117417007E-2</v>
      </c>
      <c r="N322" s="18">
        <f t="shared" si="284"/>
        <v>3.2446879871363965E-2</v>
      </c>
      <c r="O322" s="18">
        <f t="shared" si="284"/>
        <v>8.3488793409136619E-5</v>
      </c>
      <c r="P322" s="18">
        <f t="shared" si="284"/>
        <v>-3.2267779186040069E-2</v>
      </c>
      <c r="Q322" s="18">
        <f t="shared" si="284"/>
        <v>6.9870622486667422E-3</v>
      </c>
      <c r="R322" s="18">
        <f t="shared" si="284"/>
        <v>7.3923348469482342E-3</v>
      </c>
      <c r="S322" s="18">
        <f t="shared" si="284"/>
        <v>8.8176885996271714E-3</v>
      </c>
      <c r="T322" s="18">
        <f t="shared" si="284"/>
        <v>3.9847621312895321E-2</v>
      </c>
      <c r="U322" s="18">
        <f t="shared" si="284"/>
        <v>7.8940166244008125E-2</v>
      </c>
      <c r="V322" s="18">
        <f t="shared" si="284"/>
        <v>4.4625204182959788E-2</v>
      </c>
      <c r="W322" s="18">
        <f t="shared" si="284"/>
        <v>1.8763703774391516E-3</v>
      </c>
      <c r="X322" s="18">
        <f t="shared" si="284"/>
        <v>1.3713350780180544E-2</v>
      </c>
      <c r="Y322" s="18">
        <f t="shared" si="284"/>
        <v>-1.4104859298205152E-3</v>
      </c>
      <c r="Z322" s="18">
        <f t="shared" si="284"/>
        <v>-9.2649466222471943E-4</v>
      </c>
      <c r="AA322" s="18">
        <f t="shared" si="284"/>
        <v>1.054602455937026E-3</v>
      </c>
      <c r="AB322" s="18">
        <f t="shared" si="284"/>
        <v>-7.278086699896269E-3</v>
      </c>
      <c r="AC322" s="18">
        <f t="shared" si="284"/>
        <v>2.8761739037506118E-3</v>
      </c>
      <c r="AD322" s="18">
        <f t="shared" si="284"/>
        <v>-5.2144095490600506E-3</v>
      </c>
      <c r="AE322" s="18">
        <f t="shared" si="284"/>
        <v>-6.5521776741563897E-3</v>
      </c>
      <c r="AF322" s="18">
        <f t="shared" si="284"/>
        <v>-6.0677605051376871E-3</v>
      </c>
      <c r="AG322" s="18">
        <f t="shared" si="284"/>
        <v>9.0244913729702336E-3</v>
      </c>
      <c r="AH322" s="18">
        <f t="shared" si="284"/>
        <v>-2.0255027377779067E-2</v>
      </c>
      <c r="AI322" s="18">
        <f t="shared" si="284"/>
        <v>1.7988869383563255E-2</v>
      </c>
      <c r="AJ322" s="18">
        <f t="shared" si="284"/>
        <v>-1.7670988283453704E-2</v>
      </c>
      <c r="AK322" s="18">
        <f t="shared" si="284"/>
        <v>-4.1616041111228408E-2</v>
      </c>
      <c r="AL322" s="18">
        <f t="shared" si="284"/>
        <v>-3.9220900919080259E-3</v>
      </c>
      <c r="AM322" s="18">
        <f t="shared" si="284"/>
        <v>1.8843910095782235E-2</v>
      </c>
      <c r="AN322" s="18">
        <f t="shared" si="284"/>
        <v>2.4844546650582E-3</v>
      </c>
      <c r="AO322" s="18">
        <f t="shared" si="284"/>
        <v>1.6521982982691252E-3</v>
      </c>
      <c r="AP322" s="18">
        <f t="shared" si="284"/>
        <v>8.2473652085823801E-4</v>
      </c>
      <c r="AQ322" s="18">
        <f t="shared" si="284"/>
        <v>8.2405689104492197E-4</v>
      </c>
      <c r="AR322" s="18">
        <f t="shared" si="284"/>
        <v>8.2337838041657285E-4</v>
      </c>
      <c r="AS322" s="18">
        <f t="shared" si="284"/>
        <v>1.0969346482814224E-3</v>
      </c>
      <c r="AT322" s="18">
        <f t="shared" si="284"/>
        <v>1.9175322269533446E-3</v>
      </c>
      <c r="AU322" s="18">
        <f t="shared" si="284"/>
        <v>2.4606801440352211E-3</v>
      </c>
      <c r="AV322" s="18">
        <f t="shared" si="284"/>
        <v>3.2728534133050768E-3</v>
      </c>
      <c r="AW322" s="18">
        <f t="shared" si="284"/>
        <v>4.6214171147371808E-3</v>
      </c>
      <c r="AX322" s="18">
        <f t="shared" si="284"/>
        <v>5.4119504311092026E-3</v>
      </c>
      <c r="AY322" s="18">
        <f t="shared" si="284"/>
        <v>6.190241714460365E-3</v>
      </c>
      <c r="AZ322" s="18">
        <f t="shared" si="284"/>
        <v>6.954613806289478E-3</v>
      </c>
      <c r="BA322" s="18">
        <f t="shared" si="284"/>
        <v>7.1722189398246705E-3</v>
      </c>
      <c r="BB322" s="18">
        <f t="shared" si="284"/>
        <v>7.1211445321379685E-3</v>
      </c>
      <c r="BC322" s="18">
        <f t="shared" si="284"/>
        <v>7.0707923975186215E-3</v>
      </c>
      <c r="BD322" s="18">
        <f t="shared" si="284"/>
        <v>6.2410198421416485E-3</v>
      </c>
      <c r="BE322" s="18">
        <f t="shared" si="284"/>
        <v>5.1685925796061127E-3</v>
      </c>
      <c r="BF322" s="18">
        <f t="shared" si="284"/>
        <v>4.6278140363573694E-3</v>
      </c>
      <c r="BG322" s="18">
        <f t="shared" si="284"/>
        <v>3.3269137989926367E-3</v>
      </c>
      <c r="BH322" s="18">
        <f t="shared" si="284"/>
        <v>2.8057464303243851E-3</v>
      </c>
      <c r="BI322" s="18">
        <f t="shared" si="284"/>
        <v>1.5261252234153311E-3</v>
      </c>
    </row>
    <row r="323" spans="1:61" x14ac:dyDescent="0.25">
      <c r="A323" s="11" t="s">
        <v>1174</v>
      </c>
      <c r="C323" s="18">
        <f>C$134/B$134-1</f>
        <v>2.0947115072303069E-2</v>
      </c>
      <c r="D323" s="18">
        <f t="shared" ref="D323:BI323" si="285">D$134/C$134-1</f>
        <v>1.3272568719672195E-2</v>
      </c>
      <c r="E323" s="18">
        <f t="shared" si="285"/>
        <v>1.8581019379173336E-2</v>
      </c>
      <c r="F323" s="18">
        <f t="shared" si="285"/>
        <v>3.9499827063886439E-2</v>
      </c>
      <c r="G323" s="18">
        <f t="shared" si="285"/>
        <v>-1.6485889148098232E-2</v>
      </c>
      <c r="H323" s="18">
        <f t="shared" si="285"/>
        <v>5.7945983062035467E-4</v>
      </c>
      <c r="I323" s="18">
        <f t="shared" si="285"/>
        <v>-7.7279956295071006E-3</v>
      </c>
      <c r="J323" s="18">
        <f t="shared" si="285"/>
        <v>2.6459439502451332E-2</v>
      </c>
      <c r="K323" s="18">
        <f t="shared" si="285"/>
        <v>2.2664537670921359E-2</v>
      </c>
      <c r="L323" s="18">
        <f t="shared" si="285"/>
        <v>-1.431681408120189E-2</v>
      </c>
      <c r="M323" s="18">
        <f t="shared" si="285"/>
        <v>2.4902243640934074E-3</v>
      </c>
      <c r="N323" s="18">
        <f t="shared" si="285"/>
        <v>-1.9883605078660826E-2</v>
      </c>
      <c r="O323" s="18">
        <f t="shared" si="285"/>
        <v>3.1472782756052808E-2</v>
      </c>
      <c r="P323" s="18">
        <f t="shared" si="285"/>
        <v>-1.332645088734985E-3</v>
      </c>
      <c r="Q323" s="18">
        <f t="shared" si="285"/>
        <v>-4.676988419073036E-2</v>
      </c>
      <c r="R323" s="18">
        <f t="shared" si="285"/>
        <v>1.9013030147863041E-4</v>
      </c>
      <c r="S323" s="18">
        <f t="shared" si="285"/>
        <v>2.5966872315791534E-2</v>
      </c>
      <c r="T323" s="18">
        <f t="shared" si="285"/>
        <v>3.2798904597652001E-2</v>
      </c>
      <c r="U323" s="18">
        <f t="shared" si="285"/>
        <v>2.3538465098958072E-2</v>
      </c>
      <c r="V323" s="18">
        <f t="shared" si="285"/>
        <v>7.6818618593478494E-2</v>
      </c>
      <c r="W323" s="18">
        <f t="shared" si="285"/>
        <v>4.484932457942703E-2</v>
      </c>
      <c r="X323" s="18">
        <f t="shared" si="285"/>
        <v>2.4898729548898935E-3</v>
      </c>
      <c r="Y323" s="18">
        <f t="shared" si="285"/>
        <v>1.4226712608071956E-2</v>
      </c>
      <c r="Z323" s="18">
        <f t="shared" si="285"/>
        <v>-1.4508121065726076E-4</v>
      </c>
      <c r="AA323" s="18">
        <f t="shared" si="285"/>
        <v>-1.0052253244250409E-3</v>
      </c>
      <c r="AB323" s="18">
        <f t="shared" si="285"/>
        <v>1.0111754769563941E-3</v>
      </c>
      <c r="AC323" s="18">
        <f t="shared" si="285"/>
        <v>-7.3962843547900059E-3</v>
      </c>
      <c r="AD323" s="18">
        <f t="shared" si="285"/>
        <v>2.8263919677498084E-3</v>
      </c>
      <c r="AE323" s="18">
        <f t="shared" si="285"/>
        <v>-4.8681903483788203E-3</v>
      </c>
      <c r="AF323" s="18">
        <f t="shared" si="285"/>
        <v>-6.1793754475492069E-3</v>
      </c>
      <c r="AG323" s="18">
        <f t="shared" si="285"/>
        <v>-5.9587226550413819E-3</v>
      </c>
      <c r="AH323" s="18">
        <f t="shared" si="285"/>
        <v>8.8613488537081508E-3</v>
      </c>
      <c r="AI323" s="18">
        <f t="shared" si="285"/>
        <v>-1.9633739551642382E-2</v>
      </c>
      <c r="AJ323" s="18">
        <f t="shared" si="285"/>
        <v>1.7655331629759186E-2</v>
      </c>
      <c r="AK323" s="18">
        <f t="shared" si="285"/>
        <v>-1.7349028773312125E-2</v>
      </c>
      <c r="AL323" s="18">
        <f t="shared" si="285"/>
        <v>-4.084442391959231E-2</v>
      </c>
      <c r="AM323" s="18">
        <f t="shared" si="285"/>
        <v>-3.5715388060371112E-3</v>
      </c>
      <c r="AN323" s="18">
        <f t="shared" si="285"/>
        <v>1.8748857565481281E-2</v>
      </c>
      <c r="AO323" s="18">
        <f t="shared" si="285"/>
        <v>2.4357980124956047E-3</v>
      </c>
      <c r="AP323" s="18">
        <f t="shared" si="285"/>
        <v>1.6199195448560744E-3</v>
      </c>
      <c r="AQ323" s="18">
        <f t="shared" si="285"/>
        <v>1.0781997663624754E-3</v>
      </c>
      <c r="AR323" s="18">
        <f t="shared" si="285"/>
        <v>8.0777887777450097E-4</v>
      </c>
      <c r="AS323" s="18">
        <f t="shared" si="285"/>
        <v>8.0712689771500479E-4</v>
      </c>
      <c r="AT323" s="18">
        <f t="shared" si="285"/>
        <v>1.3441266154463616E-3</v>
      </c>
      <c r="AU323" s="18">
        <f t="shared" si="285"/>
        <v>1.8792513099221697E-3</v>
      </c>
      <c r="AV323" s="18">
        <f t="shared" si="285"/>
        <v>2.4116481626452746E-3</v>
      </c>
      <c r="AW323" s="18">
        <f t="shared" si="285"/>
        <v>3.4751110453203893E-3</v>
      </c>
      <c r="AX323" s="18">
        <f t="shared" si="285"/>
        <v>4.5286384608065333E-3</v>
      </c>
      <c r="AY323" s="18">
        <f t="shared" si="285"/>
        <v>5.5689805520688918E-3</v>
      </c>
      <c r="AZ323" s="18">
        <f t="shared" si="285"/>
        <v>6.0655805521341311E-3</v>
      </c>
      <c r="BA323" s="18">
        <f t="shared" si="285"/>
        <v>6.8154038517889148E-3</v>
      </c>
      <c r="BB323" s="18">
        <f t="shared" si="285"/>
        <v>7.2899815184217509E-3</v>
      </c>
      <c r="BC323" s="18">
        <f t="shared" si="285"/>
        <v>6.9787500765412513E-3</v>
      </c>
      <c r="BD323" s="18">
        <f t="shared" si="285"/>
        <v>6.9303846541060032E-3</v>
      </c>
      <c r="BE323" s="18">
        <f t="shared" si="285"/>
        <v>6.117942221871786E-3</v>
      </c>
      <c r="BF323" s="18">
        <f t="shared" si="285"/>
        <v>5.3206480269261114E-3</v>
      </c>
      <c r="BG323" s="18">
        <f t="shared" si="285"/>
        <v>4.5364187641043774E-3</v>
      </c>
      <c r="BH323" s="18">
        <f t="shared" si="285"/>
        <v>3.5123920243285145E-3</v>
      </c>
      <c r="BI323" s="18">
        <f t="shared" si="285"/>
        <v>2.750077241175708E-3</v>
      </c>
    </row>
    <row r="324" spans="1:61" x14ac:dyDescent="0.25">
      <c r="A324" s="11" t="s">
        <v>1200</v>
      </c>
      <c r="C324" s="18">
        <f>SUM(C$133:C$134)/SUM(B$133:B$134)-1</f>
        <v>1.5955637497548469E-2</v>
      </c>
      <c r="D324" s="18">
        <f t="shared" ref="D324:BI324" si="286">SUM(D$133:D$134)/SUM(C$133:C$134)-1</f>
        <v>1.3147015031103715E-2</v>
      </c>
      <c r="E324" s="18">
        <f t="shared" si="286"/>
        <v>2.4416496671519905E-2</v>
      </c>
      <c r="F324" s="18">
        <f t="shared" si="286"/>
        <v>9.4769177921751879E-3</v>
      </c>
      <c r="G324" s="18">
        <f t="shared" si="286"/>
        <v>-7.5201333110359592E-3</v>
      </c>
      <c r="H324" s="18">
        <f t="shared" si="286"/>
        <v>-5.4578033155980865E-3</v>
      </c>
      <c r="I324" s="18">
        <f t="shared" si="286"/>
        <v>1.2210730348916066E-3</v>
      </c>
      <c r="J324" s="18">
        <f t="shared" si="286"/>
        <v>2.1584522657105865E-2</v>
      </c>
      <c r="K324" s="18">
        <f t="shared" si="286"/>
        <v>6.2374121393977688E-3</v>
      </c>
      <c r="L324" s="18">
        <f t="shared" si="286"/>
        <v>-2.5078069691293337E-3</v>
      </c>
      <c r="M324" s="18">
        <f t="shared" si="286"/>
        <v>-4.0038803720304772E-3</v>
      </c>
      <c r="N324" s="18">
        <f t="shared" si="286"/>
        <v>5.8181501337357666E-3</v>
      </c>
      <c r="O324" s="18">
        <f t="shared" si="286"/>
        <v>1.5647997740060093E-2</v>
      </c>
      <c r="P324" s="18">
        <f t="shared" si="286"/>
        <v>-1.6689465833936601E-2</v>
      </c>
      <c r="Q324" s="18">
        <f t="shared" si="286"/>
        <v>-2.0506637506756187E-2</v>
      </c>
      <c r="R324" s="18">
        <f t="shared" si="286"/>
        <v>3.8075730476776481E-3</v>
      </c>
      <c r="S324" s="18">
        <f t="shared" si="286"/>
        <v>1.7322611898862528E-2</v>
      </c>
      <c r="T324" s="18">
        <f t="shared" si="286"/>
        <v>3.6322194967892463E-2</v>
      </c>
      <c r="U324" s="18">
        <f t="shared" si="286"/>
        <v>5.1325127422777284E-2</v>
      </c>
      <c r="V324" s="18">
        <f t="shared" si="286"/>
        <v>6.0247926796090479E-2</v>
      </c>
      <c r="W324" s="18">
        <f t="shared" si="286"/>
        <v>2.3056080722940742E-2</v>
      </c>
      <c r="X324" s="18">
        <f t="shared" si="286"/>
        <v>8.0638966869681639E-3</v>
      </c>
      <c r="Y324" s="18">
        <f t="shared" si="286"/>
        <v>6.4171373193204762E-3</v>
      </c>
      <c r="Z324" s="18">
        <f t="shared" si="286"/>
        <v>-5.3230169775353442E-4</v>
      </c>
      <c r="AA324" s="18">
        <f t="shared" si="286"/>
        <v>1.509616623396326E-5</v>
      </c>
      <c r="AB324" s="18">
        <f t="shared" si="286"/>
        <v>-3.0991215750203471E-3</v>
      </c>
      <c r="AC324" s="18">
        <f t="shared" si="286"/>
        <v>-2.3239561272326847E-3</v>
      </c>
      <c r="AD324" s="18">
        <f t="shared" si="286"/>
        <v>-1.1646847398537608E-3</v>
      </c>
      <c r="AE324" s="18">
        <f t="shared" si="286"/>
        <v>-5.7006537481574249E-3</v>
      </c>
      <c r="AF324" s="18">
        <f t="shared" si="286"/>
        <v>-6.1242468965573282E-3</v>
      </c>
      <c r="AG324" s="18">
        <f t="shared" si="286"/>
        <v>1.4421665641501935E-3</v>
      </c>
      <c r="AH324" s="18">
        <f t="shared" si="286"/>
        <v>-5.6294416128452873E-3</v>
      </c>
      <c r="AI324" s="18">
        <f t="shared" si="286"/>
        <v>-1.1849256912879191E-3</v>
      </c>
      <c r="AJ324" s="18">
        <f t="shared" si="286"/>
        <v>0</v>
      </c>
      <c r="AK324" s="18">
        <f t="shared" si="286"/>
        <v>-2.9262841344276258E-2</v>
      </c>
      <c r="AL324" s="18">
        <f t="shared" si="286"/>
        <v>-2.2948196956507405E-2</v>
      </c>
      <c r="AM324" s="18">
        <f t="shared" si="286"/>
        <v>7.5047811706892009E-3</v>
      </c>
      <c r="AN324" s="18">
        <f t="shared" si="286"/>
        <v>1.0621549633989646E-2</v>
      </c>
      <c r="AO324" s="18">
        <f t="shared" si="286"/>
        <v>2.0473866269048457E-3</v>
      </c>
      <c r="AP324" s="18">
        <f t="shared" si="286"/>
        <v>1.2259220397530246E-3</v>
      </c>
      <c r="AQ324" s="18">
        <f t="shared" si="286"/>
        <v>9.5232744060935737E-4</v>
      </c>
      <c r="AR324" s="18">
        <f t="shared" si="286"/>
        <v>8.1550403650765269E-4</v>
      </c>
      <c r="AS324" s="18">
        <f t="shared" si="286"/>
        <v>9.5064612017714545E-4</v>
      </c>
      <c r="AT324" s="18">
        <f t="shared" si="286"/>
        <v>1.6281312864703246E-3</v>
      </c>
      <c r="AU324" s="18">
        <f t="shared" si="286"/>
        <v>2.1673130451174138E-3</v>
      </c>
      <c r="AV324" s="18">
        <f t="shared" si="286"/>
        <v>2.8384465694388794E-3</v>
      </c>
      <c r="AW324" s="18">
        <f t="shared" si="286"/>
        <v>4.0434465635998951E-3</v>
      </c>
      <c r="AX324" s="18">
        <f t="shared" si="286"/>
        <v>4.9668342993600678E-3</v>
      </c>
      <c r="AY324" s="18">
        <f t="shared" si="286"/>
        <v>5.8773140084875664E-3</v>
      </c>
      <c r="AZ324" s="18">
        <f t="shared" si="286"/>
        <v>6.5069472282639484E-3</v>
      </c>
      <c r="BA324" s="18">
        <f t="shared" si="286"/>
        <v>6.9926259458201745E-3</v>
      </c>
      <c r="BB324" s="18">
        <f t="shared" si="286"/>
        <v>7.2061089982711213E-3</v>
      </c>
      <c r="BC324" s="18">
        <f t="shared" si="286"/>
        <v>7.0244697400643208E-3</v>
      </c>
      <c r="BD324" s="18">
        <f t="shared" si="286"/>
        <v>6.5879446036543055E-3</v>
      </c>
      <c r="BE324" s="18">
        <f t="shared" si="286"/>
        <v>5.6465179653970576E-3</v>
      </c>
      <c r="BF324" s="18">
        <f t="shared" si="286"/>
        <v>4.9767667934927928E-3</v>
      </c>
      <c r="BG324" s="18">
        <f t="shared" si="286"/>
        <v>3.9363014992115364E-3</v>
      </c>
      <c r="BH324" s="18">
        <f t="shared" si="286"/>
        <v>3.1619901463588729E-3</v>
      </c>
      <c r="BI324" s="18">
        <f t="shared" si="286"/>
        <v>2.143375965840244E-3</v>
      </c>
    </row>
    <row r="325" spans="1:61" x14ac:dyDescent="0.25">
      <c r="A325" s="11" t="s">
        <v>859</v>
      </c>
      <c r="C325" s="18">
        <f>SUM(C$135:C$139)/SUM(B$135:B$139)-1</f>
        <v>-4.5644800469669677E-3</v>
      </c>
      <c r="D325" s="18">
        <f t="shared" ref="D325:BI325" si="287">SUM(D$135:D$139)/SUM(C$135:C$139)-1</f>
        <v>-1.528534610712784E-3</v>
      </c>
      <c r="E325" s="18">
        <f t="shared" si="287"/>
        <v>1.3821180547233691E-2</v>
      </c>
      <c r="F325" s="18">
        <f t="shared" si="287"/>
        <v>2.631116728311711E-2</v>
      </c>
      <c r="G325" s="18">
        <f t="shared" si="287"/>
        <v>2.8214235473386307E-2</v>
      </c>
      <c r="H325" s="18">
        <f t="shared" si="287"/>
        <v>1.237971583278763E-2</v>
      </c>
      <c r="I325" s="18">
        <f t="shared" si="287"/>
        <v>1.5927881111849507E-2</v>
      </c>
      <c r="J325" s="18">
        <f t="shared" si="287"/>
        <v>3.9157345074809058E-2</v>
      </c>
      <c r="K325" s="18">
        <f t="shared" si="287"/>
        <v>4.9844462173259441E-2</v>
      </c>
      <c r="L325" s="18">
        <f t="shared" si="287"/>
        <v>2.7891031421258594E-2</v>
      </c>
      <c r="M325" s="18">
        <f t="shared" si="287"/>
        <v>8.1712318685922547E-4</v>
      </c>
      <c r="N325" s="18">
        <f t="shared" si="287"/>
        <v>-1.2282587413852797E-2</v>
      </c>
      <c r="O325" s="18">
        <f t="shared" si="287"/>
        <v>-9.7157216224490472E-3</v>
      </c>
      <c r="P325" s="18">
        <f t="shared" si="287"/>
        <v>5.6828564238642354E-3</v>
      </c>
      <c r="Q325" s="18">
        <f t="shared" si="287"/>
        <v>-2.3011759360219153E-2</v>
      </c>
      <c r="R325" s="18">
        <f t="shared" si="287"/>
        <v>-2.9550078511384914E-2</v>
      </c>
      <c r="S325" s="18">
        <f t="shared" si="287"/>
        <v>-3.4558273043105991E-5</v>
      </c>
      <c r="T325" s="18">
        <f t="shared" si="287"/>
        <v>2.5887263456023213E-2</v>
      </c>
      <c r="U325" s="18">
        <f t="shared" si="287"/>
        <v>-1.3216195255757457E-3</v>
      </c>
      <c r="V325" s="18">
        <f t="shared" si="287"/>
        <v>9.2081290740797517E-3</v>
      </c>
      <c r="W325" s="18">
        <f t="shared" si="287"/>
        <v>3.1719980826197425E-2</v>
      </c>
      <c r="X325" s="18">
        <f t="shared" si="287"/>
        <v>3.7668808034471146E-2</v>
      </c>
      <c r="Y325" s="18">
        <f t="shared" si="287"/>
        <v>3.2449896733130368E-2</v>
      </c>
      <c r="Z325" s="18">
        <f t="shared" si="287"/>
        <v>3.2752919457779361E-2</v>
      </c>
      <c r="AA325" s="18">
        <f t="shared" si="287"/>
        <v>2.7151039081585449E-2</v>
      </c>
      <c r="AB325" s="18">
        <f t="shared" si="287"/>
        <v>1.2234567705151855E-2</v>
      </c>
      <c r="AC325" s="18">
        <f t="shared" si="287"/>
        <v>3.4920620966853999E-3</v>
      </c>
      <c r="AD325" s="18">
        <f t="shared" si="287"/>
        <v>1.4416770143976798E-3</v>
      </c>
      <c r="AE325" s="18">
        <f t="shared" si="287"/>
        <v>-9.4318723807162996E-4</v>
      </c>
      <c r="AF325" s="18">
        <f t="shared" si="287"/>
        <v>-1.7390904633258764E-3</v>
      </c>
      <c r="AG325" s="18">
        <f t="shared" si="287"/>
        <v>-2.5882928208738054E-3</v>
      </c>
      <c r="AH325" s="18">
        <f t="shared" si="287"/>
        <v>-3.7927061415087282E-3</v>
      </c>
      <c r="AI325" s="18">
        <f t="shared" si="287"/>
        <v>-7.5141030113012874E-4</v>
      </c>
      <c r="AJ325" s="18">
        <f t="shared" si="287"/>
        <v>-5.113432333414103E-3</v>
      </c>
      <c r="AK325" s="18">
        <f t="shared" si="287"/>
        <v>-8.0622963336784981E-4</v>
      </c>
      <c r="AL325" s="18">
        <f t="shared" si="287"/>
        <v>-2.9753706049958639E-3</v>
      </c>
      <c r="AM325" s="18">
        <f t="shared" si="287"/>
        <v>-9.5597156349298551E-3</v>
      </c>
      <c r="AN325" s="18">
        <f t="shared" si="287"/>
        <v>-1.2205421291931251E-2</v>
      </c>
      <c r="AO325" s="18">
        <f t="shared" si="287"/>
        <v>-4.8597741746223555E-3</v>
      </c>
      <c r="AP325" s="18">
        <f t="shared" si="287"/>
        <v>-7.8447823853948773E-3</v>
      </c>
      <c r="AQ325" s="18">
        <f t="shared" si="287"/>
        <v>-4.1366752138464191E-3</v>
      </c>
      <c r="AR325" s="18">
        <f t="shared" si="287"/>
        <v>4.2064388626184002E-3</v>
      </c>
      <c r="AS325" s="18">
        <f t="shared" si="287"/>
        <v>5.0789428583046803E-3</v>
      </c>
      <c r="AT325" s="18">
        <f t="shared" si="287"/>
        <v>1.6670606351765205E-3</v>
      </c>
      <c r="AU325" s="18">
        <f t="shared" si="287"/>
        <v>1.4042414552779547E-3</v>
      </c>
      <c r="AV325" s="18">
        <f t="shared" si="287"/>
        <v>1.4542083384325721E-3</v>
      </c>
      <c r="AW325" s="18">
        <f t="shared" si="287"/>
        <v>1.7113996672004639E-3</v>
      </c>
      <c r="AX325" s="18">
        <f t="shared" si="287"/>
        <v>2.2779677097535256E-3</v>
      </c>
      <c r="AY325" s="18">
        <f t="shared" si="287"/>
        <v>2.7893336318434159E-3</v>
      </c>
      <c r="AZ325" s="18">
        <f t="shared" si="287"/>
        <v>3.7602771680702585E-3</v>
      </c>
      <c r="BA325" s="18">
        <f t="shared" si="287"/>
        <v>4.6699086476884588E-3</v>
      </c>
      <c r="BB325" s="18">
        <f t="shared" si="287"/>
        <v>5.3633099643652926E-3</v>
      </c>
      <c r="BC325" s="18">
        <f t="shared" si="287"/>
        <v>6.147604734917822E-3</v>
      </c>
      <c r="BD325" s="18">
        <f t="shared" si="287"/>
        <v>6.6655010269636161E-3</v>
      </c>
      <c r="BE325" s="18">
        <f t="shared" si="287"/>
        <v>6.822013766800028E-3</v>
      </c>
      <c r="BF325" s="18">
        <f t="shared" si="287"/>
        <v>6.8754331987304074E-3</v>
      </c>
      <c r="BG325" s="18">
        <f t="shared" si="287"/>
        <v>6.6305573259615169E-3</v>
      </c>
      <c r="BH325" s="18">
        <f t="shared" si="287"/>
        <v>6.0953242184182965E-3</v>
      </c>
      <c r="BI325" s="18">
        <f t="shared" si="287"/>
        <v>5.325525804936948E-3</v>
      </c>
    </row>
    <row r="326" spans="1:61" x14ac:dyDescent="0.25">
      <c r="A326" s="11" t="s">
        <v>1201</v>
      </c>
      <c r="C326" s="18">
        <f>SUM(C$140:C$154)/SUM(B$140:B$154)-1</f>
        <v>3.2065939510763641E-3</v>
      </c>
      <c r="D326" s="18">
        <f t="shared" ref="D326:BI326" si="288">SUM(D$140:D$154)/SUM(C$140:C$154)-1</f>
        <v>-3.8332567543698515E-3</v>
      </c>
      <c r="E326" s="18">
        <f t="shared" si="288"/>
        <v>-4.7370488907370056E-3</v>
      </c>
      <c r="F326" s="18">
        <f t="shared" si="288"/>
        <v>-5.1214210416969941E-3</v>
      </c>
      <c r="G326" s="18">
        <f t="shared" si="288"/>
        <v>-1.1013189297339632E-2</v>
      </c>
      <c r="H326" s="18">
        <f t="shared" si="288"/>
        <v>-1.1826041350423422E-2</v>
      </c>
      <c r="I326" s="18">
        <f t="shared" si="288"/>
        <v>-3.8303182430933225E-3</v>
      </c>
      <c r="J326" s="18">
        <f t="shared" si="288"/>
        <v>2.8410498040612797E-2</v>
      </c>
      <c r="K326" s="18">
        <f t="shared" si="288"/>
        <v>5.0657496538895286E-2</v>
      </c>
      <c r="L326" s="18">
        <f t="shared" si="288"/>
        <v>6.2008326231465904E-2</v>
      </c>
      <c r="M326" s="18">
        <f t="shared" si="288"/>
        <v>6.2392221124139224E-2</v>
      </c>
      <c r="N326" s="18">
        <f t="shared" si="288"/>
        <v>5.2408995437393857E-2</v>
      </c>
      <c r="O326" s="18">
        <f t="shared" si="288"/>
        <v>3.6904047175980281E-2</v>
      </c>
      <c r="P326" s="18">
        <f t="shared" si="288"/>
        <v>3.9898793991171466E-2</v>
      </c>
      <c r="Q326" s="18">
        <f t="shared" si="288"/>
        <v>1.0677099444644567E-2</v>
      </c>
      <c r="R326" s="18">
        <f t="shared" si="288"/>
        <v>-5.3941512465102148E-3</v>
      </c>
      <c r="S326" s="18">
        <f t="shared" si="288"/>
        <v>3.8871844225812247E-2</v>
      </c>
      <c r="T326" s="18">
        <f t="shared" si="288"/>
        <v>2.5979109626119268E-2</v>
      </c>
      <c r="U326" s="18">
        <f t="shared" si="288"/>
        <v>4.9311186307110511E-3</v>
      </c>
      <c r="V326" s="18">
        <f t="shared" si="288"/>
        <v>9.5704677978325492E-4</v>
      </c>
      <c r="W326" s="18">
        <f t="shared" si="288"/>
        <v>-3.1866508786634329E-3</v>
      </c>
      <c r="X326" s="18">
        <f t="shared" si="288"/>
        <v>-3.8143426146177717E-3</v>
      </c>
      <c r="Y326" s="18">
        <f t="shared" si="288"/>
        <v>-2.7932774979287922E-3</v>
      </c>
      <c r="Z326" s="18">
        <f t="shared" si="288"/>
        <v>-3.927740054975648E-3</v>
      </c>
      <c r="AA326" s="18">
        <f t="shared" si="288"/>
        <v>-4.049475355202059E-3</v>
      </c>
      <c r="AB326" s="18">
        <f t="shared" si="288"/>
        <v>7.1603732516822838E-4</v>
      </c>
      <c r="AC326" s="18">
        <f t="shared" si="288"/>
        <v>5.232577021330842E-3</v>
      </c>
      <c r="AD326" s="18">
        <f t="shared" si="288"/>
        <v>7.5634633613075319E-3</v>
      </c>
      <c r="AE326" s="18">
        <f t="shared" si="288"/>
        <v>9.2576691844972192E-3</v>
      </c>
      <c r="AF326" s="18">
        <f t="shared" si="288"/>
        <v>1.0083155005907507E-2</v>
      </c>
      <c r="AG326" s="18">
        <f t="shared" si="288"/>
        <v>1.2499382342900045E-2</v>
      </c>
      <c r="AH326" s="18">
        <f t="shared" si="288"/>
        <v>1.2848957185470189E-2</v>
      </c>
      <c r="AI326" s="18">
        <f t="shared" si="288"/>
        <v>1.3365856784944619E-2</v>
      </c>
      <c r="AJ326" s="18">
        <f t="shared" si="288"/>
        <v>1.1847700312432652E-2</v>
      </c>
      <c r="AK326" s="18">
        <f t="shared" si="288"/>
        <v>1.2145636577828522E-2</v>
      </c>
      <c r="AL326" s="18">
        <f t="shared" si="288"/>
        <v>1.284675336668295E-2</v>
      </c>
      <c r="AM326" s="18">
        <f t="shared" si="288"/>
        <v>1.1295530167681589E-2</v>
      </c>
      <c r="AN326" s="18">
        <f t="shared" si="288"/>
        <v>1.0186586821221866E-2</v>
      </c>
      <c r="AO326" s="18">
        <f t="shared" si="288"/>
        <v>8.416090838941459E-3</v>
      </c>
      <c r="AP326" s="18">
        <f t="shared" si="288"/>
        <v>8.0089546418904423E-3</v>
      </c>
      <c r="AQ326" s="18">
        <f t="shared" si="288"/>
        <v>2.7952945517450978E-3</v>
      </c>
      <c r="AR326" s="18">
        <f t="shared" si="288"/>
        <v>-2.1815238214522026E-3</v>
      </c>
      <c r="AS326" s="18">
        <f t="shared" si="288"/>
        <v>-2.5810406686951337E-3</v>
      </c>
      <c r="AT326" s="18">
        <f t="shared" si="288"/>
        <v>-2.4202789933498448E-3</v>
      </c>
      <c r="AU326" s="18">
        <f t="shared" si="288"/>
        <v>-2.2430452230484121E-3</v>
      </c>
      <c r="AV326" s="18">
        <f t="shared" si="288"/>
        <v>-2.0798635295503631E-3</v>
      </c>
      <c r="AW326" s="18">
        <f t="shared" si="288"/>
        <v>-2.0382234135296606E-3</v>
      </c>
      <c r="AX326" s="18">
        <f t="shared" si="288"/>
        <v>-1.5663413368949275E-3</v>
      </c>
      <c r="AY326" s="18">
        <f t="shared" si="288"/>
        <v>-1.6918416393230107E-3</v>
      </c>
      <c r="AZ326" s="18">
        <f t="shared" si="288"/>
        <v>-1.340360610812108E-3</v>
      </c>
      <c r="BA326" s="18">
        <f t="shared" si="288"/>
        <v>-8.7934593739680267E-4</v>
      </c>
      <c r="BB326" s="18">
        <f t="shared" si="288"/>
        <v>-4.1689888447571377E-4</v>
      </c>
      <c r="BC326" s="18">
        <f t="shared" si="288"/>
        <v>-6.3333271212717701E-4</v>
      </c>
      <c r="BD326" s="18">
        <f t="shared" si="288"/>
        <v>7.2647564884120719E-4</v>
      </c>
      <c r="BE326" s="18">
        <f t="shared" si="288"/>
        <v>3.0891415536249411E-5</v>
      </c>
      <c r="BF326" s="18">
        <f t="shared" si="288"/>
        <v>1.4209612191689036E-3</v>
      </c>
      <c r="BG326" s="18">
        <f t="shared" si="288"/>
        <v>4.133448342565238E-3</v>
      </c>
      <c r="BH326" s="18">
        <f t="shared" si="288"/>
        <v>4.7615459561891615E-3</v>
      </c>
      <c r="BI326" s="18">
        <f t="shared" si="288"/>
        <v>4.1733607575407117E-3</v>
      </c>
    </row>
    <row r="327" spans="1:61" x14ac:dyDescent="0.25">
      <c r="A327" s="11" t="s">
        <v>1202</v>
      </c>
      <c r="C327" s="18">
        <f>SUM(C$155:C$169)/SUM(B$155:B$169)-1</f>
        <v>1.3776622398056437E-2</v>
      </c>
      <c r="D327" s="18">
        <f t="shared" ref="D327:BI327" si="289">SUM(D$155:D$169)/SUM(C$155:C$169)-1</f>
        <v>8.6017447889281673E-3</v>
      </c>
      <c r="E327" s="18">
        <f t="shared" si="289"/>
        <v>6.9426354940043122E-3</v>
      </c>
      <c r="F327" s="18">
        <f t="shared" si="289"/>
        <v>6.7430620770074778E-3</v>
      </c>
      <c r="G327" s="18">
        <f t="shared" si="289"/>
        <v>4.9308904804856724E-3</v>
      </c>
      <c r="H327" s="18">
        <f t="shared" si="289"/>
        <v>9.3617248500765804E-4</v>
      </c>
      <c r="I327" s="18">
        <f t="shared" si="289"/>
        <v>-1.5559000443937654E-3</v>
      </c>
      <c r="J327" s="18">
        <f t="shared" si="289"/>
        <v>1.9926786803976526E-3</v>
      </c>
      <c r="K327" s="18">
        <f t="shared" si="289"/>
        <v>5.3461871977891207E-3</v>
      </c>
      <c r="L327" s="18">
        <f t="shared" si="289"/>
        <v>6.2145385402272435E-3</v>
      </c>
      <c r="M327" s="18">
        <f t="shared" si="289"/>
        <v>8.9542030134874828E-3</v>
      </c>
      <c r="N327" s="18">
        <f t="shared" si="289"/>
        <v>6.9063318423447928E-3</v>
      </c>
      <c r="O327" s="18">
        <f t="shared" si="289"/>
        <v>6.9390388515719881E-3</v>
      </c>
      <c r="P327" s="18">
        <f t="shared" si="289"/>
        <v>8.1780451589967829E-3</v>
      </c>
      <c r="Q327" s="18">
        <f t="shared" si="289"/>
        <v>1.0979406809041414E-2</v>
      </c>
      <c r="R327" s="18">
        <f t="shared" si="289"/>
        <v>-5.1760218623930765E-4</v>
      </c>
      <c r="S327" s="18">
        <f t="shared" si="289"/>
        <v>1.5083834520802419E-2</v>
      </c>
      <c r="T327" s="18">
        <f t="shared" si="289"/>
        <v>2.7443458252889741E-2</v>
      </c>
      <c r="U327" s="18">
        <f t="shared" si="289"/>
        <v>1.1280609970932387E-2</v>
      </c>
      <c r="V327" s="18">
        <f t="shared" si="289"/>
        <v>1.115825713143126E-2</v>
      </c>
      <c r="W327" s="18">
        <f t="shared" si="289"/>
        <v>1.6523388454853905E-2</v>
      </c>
      <c r="X327" s="18">
        <f t="shared" si="289"/>
        <v>2.0629058400401856E-2</v>
      </c>
      <c r="Y327" s="18">
        <f t="shared" si="289"/>
        <v>2.3489235507807127E-2</v>
      </c>
      <c r="Z327" s="18">
        <f t="shared" si="289"/>
        <v>2.8591677912330082E-2</v>
      </c>
      <c r="AA327" s="18">
        <f t="shared" si="289"/>
        <v>2.9412548398815019E-2</v>
      </c>
      <c r="AB327" s="18">
        <f t="shared" si="289"/>
        <v>2.7600260431874135E-2</v>
      </c>
      <c r="AC327" s="18">
        <f t="shared" si="289"/>
        <v>2.5665034958129107E-2</v>
      </c>
      <c r="AD327" s="18">
        <f t="shared" si="289"/>
        <v>2.0795995058812133E-2</v>
      </c>
      <c r="AE327" s="18">
        <f t="shared" si="289"/>
        <v>1.7805087033176958E-2</v>
      </c>
      <c r="AF327" s="18">
        <f t="shared" si="289"/>
        <v>1.5068915798728488E-2</v>
      </c>
      <c r="AG327" s="18">
        <f t="shared" si="289"/>
        <v>1.0917484969932501E-2</v>
      </c>
      <c r="AH327" s="18">
        <f t="shared" si="289"/>
        <v>8.3098095329838806E-3</v>
      </c>
      <c r="AI327" s="18">
        <f t="shared" si="289"/>
        <v>5.536157712888734E-3</v>
      </c>
      <c r="AJ327" s="18">
        <f t="shared" si="289"/>
        <v>6.1938870912070509E-3</v>
      </c>
      <c r="AK327" s="18">
        <f t="shared" si="289"/>
        <v>3.6219491173574703E-3</v>
      </c>
      <c r="AL327" s="18">
        <f t="shared" si="289"/>
        <v>-7.2797108763211771E-4</v>
      </c>
      <c r="AM327" s="18">
        <f t="shared" si="289"/>
        <v>-1.4880028914381338E-3</v>
      </c>
      <c r="AN327" s="18">
        <f t="shared" si="289"/>
        <v>-1.1176652577137292E-3</v>
      </c>
      <c r="AO327" s="18">
        <f t="shared" si="289"/>
        <v>-3.1858020190029812E-3</v>
      </c>
      <c r="AP327" s="18">
        <f t="shared" si="289"/>
        <v>-2.9309509884671847E-3</v>
      </c>
      <c r="AQ327" s="18">
        <f t="shared" si="289"/>
        <v>1.5010553435410579E-3</v>
      </c>
      <c r="AR327" s="18">
        <f t="shared" si="289"/>
        <v>5.6361333833088167E-3</v>
      </c>
      <c r="AS327" s="18">
        <f t="shared" si="289"/>
        <v>7.6383278270040211E-3</v>
      </c>
      <c r="AT327" s="18">
        <f t="shared" si="289"/>
        <v>9.1827925294276636E-3</v>
      </c>
      <c r="AU327" s="18">
        <f t="shared" si="289"/>
        <v>9.8778620424642138E-3</v>
      </c>
      <c r="AV327" s="18">
        <f t="shared" si="289"/>
        <v>1.1927977931945E-2</v>
      </c>
      <c r="AW327" s="18">
        <f t="shared" si="289"/>
        <v>1.217580906172544E-2</v>
      </c>
      <c r="AX327" s="18">
        <f t="shared" si="289"/>
        <v>1.2708298820728769E-2</v>
      </c>
      <c r="AY327" s="18">
        <f t="shared" si="289"/>
        <v>1.1339123745459645E-2</v>
      </c>
      <c r="AZ327" s="18">
        <f t="shared" si="289"/>
        <v>1.1557860752578808E-2</v>
      </c>
      <c r="BA327" s="18">
        <f t="shared" si="289"/>
        <v>1.2152381403031098E-2</v>
      </c>
      <c r="BB327" s="18">
        <f t="shared" si="289"/>
        <v>1.0753747069742303E-2</v>
      </c>
      <c r="BC327" s="18">
        <f t="shared" si="289"/>
        <v>9.887339522158145E-3</v>
      </c>
      <c r="BD327" s="18">
        <f t="shared" si="289"/>
        <v>8.2185354164503455E-3</v>
      </c>
      <c r="BE327" s="18">
        <f t="shared" si="289"/>
        <v>7.8643229318791086E-3</v>
      </c>
      <c r="BF327" s="18">
        <f t="shared" si="289"/>
        <v>3.2975978817870732E-3</v>
      </c>
      <c r="BG327" s="18">
        <f t="shared" si="289"/>
        <v>-1.0414834536844886E-3</v>
      </c>
      <c r="BH327" s="18">
        <f t="shared" si="289"/>
        <v>-1.5029245354379883E-3</v>
      </c>
      <c r="BI327" s="18">
        <f t="shared" si="289"/>
        <v>-1.3153433477131049E-3</v>
      </c>
    </row>
    <row r="328" spans="1:61" x14ac:dyDescent="0.25">
      <c r="A328" s="11" t="s">
        <v>1310</v>
      </c>
      <c r="C328" s="18">
        <f>SUM(C$33:C$55,C$133:C$155)/SUM(B$33:B$55,B$133:B$155)-1</f>
        <v>3.4224202293364758E-3</v>
      </c>
      <c r="D328" s="18">
        <f t="shared" ref="D328:BI328" si="290">SUM(D$33:D$55,D$133:D$155)/SUM(C$33:C$55,C$133:C$155)-1</f>
        <v>-6.4651653020530997E-4</v>
      </c>
      <c r="E328" s="18">
        <f t="shared" si="290"/>
        <v>2.1892323633736499E-3</v>
      </c>
      <c r="F328" s="18">
        <f t="shared" si="290"/>
        <v>2.8341949742134442E-3</v>
      </c>
      <c r="G328" s="18">
        <f t="shared" si="290"/>
        <v>-8.8905044660436694E-4</v>
      </c>
      <c r="H328" s="18">
        <f t="shared" si="290"/>
        <v>-6.5683362212552998E-3</v>
      </c>
      <c r="I328" s="18">
        <f t="shared" si="290"/>
        <v>-2.4070454816671472E-3</v>
      </c>
      <c r="J328" s="18">
        <f t="shared" si="290"/>
        <v>1.854683091413678E-2</v>
      </c>
      <c r="K328" s="18">
        <f t="shared" si="290"/>
        <v>3.2149936633277809E-2</v>
      </c>
      <c r="L328" s="18">
        <f t="shared" si="290"/>
        <v>3.795677177551493E-2</v>
      </c>
      <c r="M328" s="18">
        <f t="shared" si="290"/>
        <v>3.6026858182742982E-2</v>
      </c>
      <c r="N328" s="18">
        <f t="shared" si="290"/>
        <v>2.9097533142761867E-2</v>
      </c>
      <c r="O328" s="18">
        <f t="shared" si="290"/>
        <v>2.4423148129190553E-2</v>
      </c>
      <c r="P328" s="18">
        <f t="shared" si="290"/>
        <v>2.6522343351241151E-2</v>
      </c>
      <c r="Q328" s="18">
        <f t="shared" si="290"/>
        <v>2.8777833364821426E-3</v>
      </c>
      <c r="R328" s="18">
        <f t="shared" si="290"/>
        <v>-8.4945548590455999E-3</v>
      </c>
      <c r="S328" s="18">
        <f t="shared" si="290"/>
        <v>2.4853266805572982E-2</v>
      </c>
      <c r="T328" s="18">
        <f t="shared" si="290"/>
        <v>2.8777699645180732E-2</v>
      </c>
      <c r="U328" s="18">
        <f t="shared" si="290"/>
        <v>8.3623270049373311E-3</v>
      </c>
      <c r="V328" s="18">
        <f t="shared" si="290"/>
        <v>8.2006468754118877E-3</v>
      </c>
      <c r="W328" s="18">
        <f t="shared" si="290"/>
        <v>7.7360326059958684E-3</v>
      </c>
      <c r="X328" s="18">
        <f t="shared" si="290"/>
        <v>6.8889683436228477E-3</v>
      </c>
      <c r="Y328" s="18">
        <f t="shared" si="290"/>
        <v>5.5141834966005998E-3</v>
      </c>
      <c r="Z328" s="18">
        <f t="shared" si="290"/>
        <v>5.6422311859285479E-3</v>
      </c>
      <c r="AA328" s="18">
        <f t="shared" si="290"/>
        <v>3.4754846042379661E-3</v>
      </c>
      <c r="AB328" s="18">
        <f t="shared" si="290"/>
        <v>1.7567114930998606E-3</v>
      </c>
      <c r="AC328" s="18">
        <f t="shared" si="290"/>
        <v>2.00570382997034E-3</v>
      </c>
      <c r="AD328" s="18">
        <f t="shared" si="290"/>
        <v>2.4807257266499239E-3</v>
      </c>
      <c r="AE328" s="18">
        <f t="shared" si="290"/>
        <v>4.0617358297956319E-3</v>
      </c>
      <c r="AF328" s="18">
        <f t="shared" si="290"/>
        <v>4.0566362562530767E-3</v>
      </c>
      <c r="AG328" s="18">
        <f t="shared" si="290"/>
        <v>5.2026637196158632E-3</v>
      </c>
      <c r="AH328" s="18">
        <f t="shared" si="290"/>
        <v>5.6079830466964076E-3</v>
      </c>
      <c r="AI328" s="18">
        <f t="shared" si="290"/>
        <v>6.3638120234674744E-3</v>
      </c>
      <c r="AJ328" s="18">
        <f t="shared" si="290"/>
        <v>7.1944476371310628E-3</v>
      </c>
      <c r="AK328" s="18">
        <f t="shared" si="290"/>
        <v>3.5302233770386771E-3</v>
      </c>
      <c r="AL328" s="18">
        <f t="shared" si="290"/>
        <v>4.0117242828567878E-3</v>
      </c>
      <c r="AM328" s="18">
        <f t="shared" si="290"/>
        <v>5.4988629624044272E-3</v>
      </c>
      <c r="AN328" s="18">
        <f t="shared" si="290"/>
        <v>5.2241630105798187E-3</v>
      </c>
      <c r="AO328" s="18">
        <f t="shared" si="290"/>
        <v>4.2938900065856433E-3</v>
      </c>
      <c r="AP328" s="18">
        <f t="shared" si="290"/>
        <v>4.0816785386827981E-3</v>
      </c>
      <c r="AQ328" s="18">
        <f t="shared" si="290"/>
        <v>3.2606495877944841E-3</v>
      </c>
      <c r="AR328" s="18">
        <f t="shared" si="290"/>
        <v>6.6283961505630984E-4</v>
      </c>
      <c r="AS328" s="18">
        <f t="shared" si="290"/>
        <v>-8.0663292749483251E-4</v>
      </c>
      <c r="AT328" s="18">
        <f t="shared" si="290"/>
        <v>-4.9185521899619555E-4</v>
      </c>
      <c r="AU328" s="18">
        <f t="shared" si="290"/>
        <v>-1.2623364485431221E-3</v>
      </c>
      <c r="AV328" s="18">
        <f t="shared" si="290"/>
        <v>-1.1353965027751656E-3</v>
      </c>
      <c r="AW328" s="18">
        <f t="shared" si="290"/>
        <v>-9.972820724460929E-4</v>
      </c>
      <c r="AX328" s="18">
        <f t="shared" si="290"/>
        <v>-8.2116386255914886E-4</v>
      </c>
      <c r="AY328" s="18">
        <f t="shared" si="290"/>
        <v>5.3714949466154849E-6</v>
      </c>
      <c r="AZ328" s="18">
        <f t="shared" si="290"/>
        <v>1.504010506250264E-4</v>
      </c>
      <c r="BA328" s="18">
        <f t="shared" si="290"/>
        <v>7.7337480111738799E-4</v>
      </c>
      <c r="BB328" s="18">
        <f t="shared" si="290"/>
        <v>8.9620683917646105E-4</v>
      </c>
      <c r="BC328" s="18">
        <f t="shared" si="290"/>
        <v>1.635319361405374E-3</v>
      </c>
      <c r="BD328" s="18">
        <f t="shared" si="290"/>
        <v>1.6272965090928793E-3</v>
      </c>
      <c r="BE328" s="18">
        <f t="shared" si="290"/>
        <v>2.3888808048573296E-3</v>
      </c>
      <c r="BF328" s="18">
        <f t="shared" si="290"/>
        <v>2.1379379174508717E-3</v>
      </c>
      <c r="BG328" s="18">
        <f t="shared" si="290"/>
        <v>2.4259846929874929E-3</v>
      </c>
      <c r="BH328" s="18">
        <f t="shared" si="290"/>
        <v>4.7128526726369913E-3</v>
      </c>
      <c r="BI328" s="18">
        <f t="shared" si="290"/>
        <v>4.7013106213567024E-3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4110-2098-4D58-9D16-3A30233E3E34}">
  <dimension ref="A1:AQ146"/>
  <sheetViews>
    <sheetView workbookViewId="0">
      <pane xSplit="1" ySplit="8" topLeftCell="B9" activePane="bottomRight" state="frozen"/>
      <selection pane="topRight" activeCell="B1" sqref="B1"/>
      <selection pane="bottomLeft" activeCell="A14" sqref="A14"/>
      <selection pane="bottomRight" activeCell="B9" sqref="B9"/>
    </sheetView>
  </sheetViews>
  <sheetFormatPr defaultRowHeight="15" x14ac:dyDescent="0.25"/>
  <cols>
    <col min="1" max="1" width="30.7109375" customWidth="1"/>
    <col min="2" max="16" width="10.140625" bestFit="1" customWidth="1"/>
    <col min="17" max="43" width="10.140625" customWidth="1"/>
  </cols>
  <sheetData>
    <row r="1" spans="1:43" x14ac:dyDescent="0.25">
      <c r="A1" s="9" t="s">
        <v>110</v>
      </c>
      <c r="B1" s="11"/>
      <c r="C1" s="11"/>
      <c r="D1" s="11"/>
      <c r="E1" s="11"/>
      <c r="F1" s="11"/>
      <c r="G1" s="11"/>
      <c r="H1" s="11"/>
      <c r="I1" s="11"/>
      <c r="J1" s="11"/>
      <c r="K1" s="11"/>
      <c r="L1" s="11"/>
      <c r="M1" s="11"/>
      <c r="N1" s="11"/>
      <c r="O1" s="11"/>
      <c r="P1" s="11"/>
      <c r="Q1" s="11"/>
    </row>
    <row r="2" spans="1:43" x14ac:dyDescent="0.25">
      <c r="A2" s="9" t="s">
        <v>1</v>
      </c>
      <c r="B2" s="13" t="s">
        <v>36</v>
      </c>
      <c r="C2" s="13" t="s">
        <v>37</v>
      </c>
      <c r="D2" s="13" t="s">
        <v>38</v>
      </c>
      <c r="E2" s="13" t="s">
        <v>39</v>
      </c>
      <c r="F2" s="13" t="s">
        <v>40</v>
      </c>
      <c r="G2" s="13" t="s">
        <v>41</v>
      </c>
      <c r="H2" s="13" t="s">
        <v>42</v>
      </c>
      <c r="I2" s="13" t="s">
        <v>43</v>
      </c>
      <c r="J2" s="13" t="s">
        <v>44</v>
      </c>
      <c r="K2" s="13" t="s">
        <v>45</v>
      </c>
      <c r="L2" s="13" t="s">
        <v>46</v>
      </c>
      <c r="M2" s="13" t="s">
        <v>47</v>
      </c>
      <c r="N2" s="13" t="s">
        <v>48</v>
      </c>
      <c r="O2" s="13" t="s">
        <v>49</v>
      </c>
      <c r="P2" s="13" t="s">
        <v>50</v>
      </c>
      <c r="Q2" s="13" t="s">
        <v>51</v>
      </c>
      <c r="R2" s="13" t="s">
        <v>1278</v>
      </c>
      <c r="S2" s="13" t="s">
        <v>1280</v>
      </c>
      <c r="T2" s="13" t="s">
        <v>1281</v>
      </c>
      <c r="U2" s="13" t="s">
        <v>1282</v>
      </c>
      <c r="V2" s="13" t="s">
        <v>1283</v>
      </c>
      <c r="W2" s="13" t="s">
        <v>1284</v>
      </c>
      <c r="X2" s="13" t="s">
        <v>1285</v>
      </c>
      <c r="Y2" s="13" t="s">
        <v>1286</v>
      </c>
      <c r="Z2" s="13" t="s">
        <v>1287</v>
      </c>
      <c r="AA2" s="13" t="s">
        <v>1288</v>
      </c>
      <c r="AB2" s="13" t="s">
        <v>1279</v>
      </c>
      <c r="AC2" s="13" t="s">
        <v>1289</v>
      </c>
      <c r="AD2" s="13" t="s">
        <v>1290</v>
      </c>
      <c r="AE2" s="13" t="s">
        <v>1291</v>
      </c>
      <c r="AF2" s="13" t="s">
        <v>1292</v>
      </c>
      <c r="AG2" s="13" t="s">
        <v>1293</v>
      </c>
      <c r="AH2" s="13" t="s">
        <v>1294</v>
      </c>
      <c r="AI2" s="13" t="s">
        <v>1295</v>
      </c>
      <c r="AJ2" s="13" t="s">
        <v>1296</v>
      </c>
      <c r="AK2" s="13" t="s">
        <v>1297</v>
      </c>
      <c r="AL2" s="13" t="s">
        <v>1298</v>
      </c>
      <c r="AM2" s="13" t="s">
        <v>1299</v>
      </c>
      <c r="AN2" s="13" t="s">
        <v>1300</v>
      </c>
      <c r="AO2" s="13" t="s">
        <v>1301</v>
      </c>
      <c r="AP2" s="13" t="s">
        <v>1302</v>
      </c>
      <c r="AQ2" s="13" t="s">
        <v>1303</v>
      </c>
    </row>
    <row r="3" spans="1:43" x14ac:dyDescent="0.25">
      <c r="A3" s="11"/>
      <c r="B3" s="9">
        <v>2024</v>
      </c>
      <c r="C3" s="9">
        <v>2025</v>
      </c>
      <c r="D3" s="9">
        <v>2026</v>
      </c>
      <c r="E3" s="9">
        <v>2027</v>
      </c>
      <c r="F3" s="9">
        <v>2028</v>
      </c>
      <c r="G3" s="9">
        <v>2029</v>
      </c>
      <c r="H3" s="9">
        <v>2030</v>
      </c>
      <c r="I3" s="9">
        <v>2031</v>
      </c>
      <c r="J3" s="9">
        <v>2032</v>
      </c>
      <c r="K3" s="9">
        <v>2033</v>
      </c>
      <c r="L3" s="9">
        <v>2034</v>
      </c>
      <c r="M3" s="9">
        <v>2035</v>
      </c>
      <c r="N3" s="9">
        <v>2036</v>
      </c>
      <c r="O3" s="9">
        <v>2037</v>
      </c>
      <c r="P3" s="9">
        <v>2038</v>
      </c>
      <c r="Q3" s="9">
        <v>2039</v>
      </c>
      <c r="R3" s="9">
        <v>2040</v>
      </c>
      <c r="S3" s="9">
        <v>2041</v>
      </c>
      <c r="T3" s="9">
        <v>2042</v>
      </c>
      <c r="U3" s="9">
        <v>2043</v>
      </c>
      <c r="V3" s="9">
        <v>2044</v>
      </c>
      <c r="W3" s="9">
        <v>2045</v>
      </c>
      <c r="X3" s="9">
        <v>2046</v>
      </c>
      <c r="Y3" s="9">
        <v>2047</v>
      </c>
      <c r="Z3" s="9">
        <v>2048</v>
      </c>
      <c r="AA3" s="9">
        <v>2049</v>
      </c>
      <c r="AB3" s="9">
        <v>2050</v>
      </c>
      <c r="AC3" s="9">
        <v>2051</v>
      </c>
      <c r="AD3" s="9">
        <v>2052</v>
      </c>
      <c r="AE3" s="9">
        <v>2053</v>
      </c>
      <c r="AF3" s="9">
        <v>2054</v>
      </c>
      <c r="AG3" s="9">
        <v>2055</v>
      </c>
      <c r="AH3" s="9">
        <v>2056</v>
      </c>
      <c r="AI3" s="9">
        <v>2057</v>
      </c>
      <c r="AJ3" s="9">
        <v>2058</v>
      </c>
      <c r="AK3" s="9">
        <v>2059</v>
      </c>
      <c r="AL3" s="9">
        <v>2060</v>
      </c>
      <c r="AM3" s="9">
        <v>2061</v>
      </c>
      <c r="AN3" s="9">
        <v>2062</v>
      </c>
      <c r="AO3" s="9">
        <v>2063</v>
      </c>
      <c r="AP3" s="9">
        <v>2064</v>
      </c>
      <c r="AQ3" s="9">
        <v>2065</v>
      </c>
    </row>
    <row r="4" spans="1:43" x14ac:dyDescent="0.25">
      <c r="A4" s="9" t="s">
        <v>111</v>
      </c>
      <c r="B4" s="81">
        <f t="shared" ref="B4:AQ4" si="0">SUM(B$10:B$75,B$80:B$145)/1000000</f>
        <v>3.0680000000000014</v>
      </c>
      <c r="C4" s="81">
        <f t="shared" si="0"/>
        <v>3.078399999999998</v>
      </c>
      <c r="D4" s="81">
        <f t="shared" si="0"/>
        <v>3.126100000000001</v>
      </c>
      <c r="E4" s="81">
        <f t="shared" si="0"/>
        <v>3.1818000000000004</v>
      </c>
      <c r="F4" s="81">
        <f t="shared" si="0"/>
        <v>3.2342000000000013</v>
      </c>
      <c r="G4" s="81">
        <f t="shared" si="0"/>
        <v>3.2824000000000009</v>
      </c>
      <c r="H4" s="81">
        <f t="shared" si="0"/>
        <v>3.3240155687061064</v>
      </c>
      <c r="I4" s="81">
        <f t="shared" si="0"/>
        <v>3.3643725851303175</v>
      </c>
      <c r="J4" s="81">
        <f t="shared" si="0"/>
        <v>3.4037464781168927</v>
      </c>
      <c r="K4" s="81">
        <f t="shared" si="0"/>
        <v>3.4419557392089999</v>
      </c>
      <c r="L4" s="81">
        <f t="shared" si="0"/>
        <v>3.4794476887830301</v>
      </c>
      <c r="M4" s="81">
        <f t="shared" si="0"/>
        <v>3.5160496529105902</v>
      </c>
      <c r="N4" s="81">
        <f t="shared" si="0"/>
        <v>3.5521976253497409</v>
      </c>
      <c r="O4" s="81">
        <f t="shared" si="0"/>
        <v>3.5877994877760586</v>
      </c>
      <c r="P4" s="81">
        <f t="shared" si="0"/>
        <v>3.6220440069161337</v>
      </c>
      <c r="Q4" s="81">
        <f t="shared" si="0"/>
        <v>3.6550938422009613</v>
      </c>
      <c r="R4" s="81">
        <f t="shared" si="0"/>
        <v>3.687577079631335</v>
      </c>
      <c r="S4" s="81">
        <f t="shared" si="0"/>
        <v>3.7194024527069942</v>
      </c>
      <c r="T4" s="81">
        <f t="shared" si="0"/>
        <v>3.7510062485911133</v>
      </c>
      <c r="U4" s="81">
        <f t="shared" si="0"/>
        <v>3.7821051955248839</v>
      </c>
      <c r="V4" s="81">
        <f t="shared" si="0"/>
        <v>3.812577811393687</v>
      </c>
      <c r="W4" s="81">
        <f t="shared" si="0"/>
        <v>3.8424127711863636</v>
      </c>
      <c r="X4" s="81">
        <f t="shared" si="0"/>
        <v>3.8714680620398383</v>
      </c>
      <c r="Y4" s="81">
        <f t="shared" si="0"/>
        <v>3.8996826009980752</v>
      </c>
      <c r="Z4" s="81">
        <f t="shared" si="0"/>
        <v>3.9269847000468472</v>
      </c>
      <c r="AA4" s="81">
        <f t="shared" si="0"/>
        <v>3.9532325232930239</v>
      </c>
      <c r="AB4" s="81">
        <f t="shared" si="0"/>
        <v>3.9784877719595726</v>
      </c>
      <c r="AC4" s="81">
        <f t="shared" si="0"/>
        <v>4.0028395173020845</v>
      </c>
      <c r="AD4" s="81">
        <f t="shared" si="0"/>
        <v>4.0260366964537102</v>
      </c>
      <c r="AE4" s="81">
        <f t="shared" si="0"/>
        <v>4.0482102999343459</v>
      </c>
      <c r="AF4" s="81">
        <f t="shared" si="0"/>
        <v>4.0694918409856262</v>
      </c>
      <c r="AG4" s="81">
        <f t="shared" si="0"/>
        <v>4.0899622869771166</v>
      </c>
      <c r="AH4" s="81">
        <f t="shared" si="0"/>
        <v>4.1096019139459639</v>
      </c>
      <c r="AI4" s="81">
        <f t="shared" si="0"/>
        <v>4.128744618458895</v>
      </c>
      <c r="AJ4" s="81">
        <f t="shared" si="0"/>
        <v>4.1474208752796873</v>
      </c>
      <c r="AK4" s="81">
        <f t="shared" si="0"/>
        <v>4.1658747186289569</v>
      </c>
      <c r="AL4" s="81">
        <f t="shared" si="0"/>
        <v>4.1840847780621475</v>
      </c>
      <c r="AM4" s="81">
        <f t="shared" si="0"/>
        <v>4.2023449390276895</v>
      </c>
      <c r="AN4" s="81">
        <f t="shared" si="0"/>
        <v>4.220454571411727</v>
      </c>
      <c r="AO4" s="81">
        <f t="shared" si="0"/>
        <v>4.2386651812887459</v>
      </c>
      <c r="AP4" s="81">
        <f t="shared" si="0"/>
        <v>4.2569467958729161</v>
      </c>
      <c r="AQ4" s="81">
        <f t="shared" si="0"/>
        <v>4.2750973671002912</v>
      </c>
    </row>
    <row r="5" spans="1:43" x14ac:dyDescent="0.25">
      <c r="A5" s="10" t="s">
        <v>3</v>
      </c>
      <c r="B5" s="18"/>
      <c r="C5" s="18">
        <f t="shared" ref="C5:Q5" si="1">C$4/B$4-1</f>
        <v>3.3898305084734126E-3</v>
      </c>
      <c r="D5" s="18">
        <f t="shared" si="1"/>
        <v>1.5495062370063373E-2</v>
      </c>
      <c r="E5" s="18">
        <f t="shared" si="1"/>
        <v>1.7817728159687629E-2</v>
      </c>
      <c r="F5" s="18">
        <f t="shared" si="1"/>
        <v>1.6468665535231963E-2</v>
      </c>
      <c r="G5" s="18">
        <f t="shared" si="1"/>
        <v>1.4903221816832568E-2</v>
      </c>
      <c r="H5" s="18">
        <f t="shared" si="1"/>
        <v>1.2678396510512169E-2</v>
      </c>
      <c r="I5" s="18">
        <f t="shared" si="1"/>
        <v>1.2141043141961072E-2</v>
      </c>
      <c r="J5" s="18">
        <f t="shared" si="1"/>
        <v>1.1703190413748343E-2</v>
      </c>
      <c r="K5" s="18">
        <f t="shared" si="1"/>
        <v>1.122564836651585E-2</v>
      </c>
      <c r="L5" s="18">
        <f t="shared" si="1"/>
        <v>1.0892629776420693E-2</v>
      </c>
      <c r="M5" s="18">
        <f t="shared" si="1"/>
        <v>1.0519475330971861E-2</v>
      </c>
      <c r="N5" s="18">
        <f t="shared" si="1"/>
        <v>1.0280848112946162E-2</v>
      </c>
      <c r="O5" s="18">
        <f t="shared" si="1"/>
        <v>1.0022489225331999E-2</v>
      </c>
      <c r="P5" s="18">
        <f t="shared" si="1"/>
        <v>9.5447137602726606E-3</v>
      </c>
      <c r="Q5" s="18">
        <f t="shared" si="1"/>
        <v>9.1246365924104733E-3</v>
      </c>
      <c r="R5" s="18">
        <f t="shared" ref="R5" si="2">R$4/Q$4-1</f>
        <v>8.8871144853597261E-3</v>
      </c>
      <c r="S5" s="18">
        <f t="shared" ref="S5" si="3">S$4/R$4-1</f>
        <v>8.6304292461978349E-3</v>
      </c>
      <c r="T5" s="18">
        <f t="shared" ref="T5" si="4">T$4/S$4-1</f>
        <v>8.4970089378517688E-3</v>
      </c>
      <c r="U5" s="18">
        <f t="shared" ref="U5" si="5">U$4/T$4-1</f>
        <v>8.2908278133237978E-3</v>
      </c>
      <c r="V5" s="18">
        <f t="shared" ref="V5" si="6">V$4/U$4-1</f>
        <v>8.0570513757416418E-3</v>
      </c>
      <c r="W5" s="18">
        <f t="shared" ref="W5" si="7">W$4/V$4-1</f>
        <v>7.8254035113765053E-3</v>
      </c>
      <c r="X5" s="18">
        <f t="shared" ref="X5" si="8">X$4/W$4-1</f>
        <v>7.5617307623365715E-3</v>
      </c>
      <c r="Y5" s="18">
        <f t="shared" ref="Y5" si="9">Y$4/X$4-1</f>
        <v>7.2878139522531971E-3</v>
      </c>
      <c r="Z5" s="18">
        <f t="shared" ref="Z5" si="10">Z$4/Y$4-1</f>
        <v>7.0011079983238744E-3</v>
      </c>
      <c r="AA5" s="18">
        <f t="shared" ref="AA5" si="11">AA$4/Z$4-1</f>
        <v>6.6839637154336717E-3</v>
      </c>
      <c r="AB5" s="18">
        <f t="shared" ref="AB5" si="12">AB$4/AA$4-1</f>
        <v>6.3885057399839518E-3</v>
      </c>
      <c r="AC5" s="18">
        <f t="shared" ref="AC5" si="13">AC$4/AB$4-1</f>
        <v>6.1208546408368925E-3</v>
      </c>
      <c r="AD5" s="18">
        <f t="shared" ref="AD5" si="14">AD$4/AC$4-1</f>
        <v>5.7951809087917194E-3</v>
      </c>
      <c r="AE5" s="18">
        <f t="shared" ref="AE5" si="15">AE$4/AD$4-1</f>
        <v>5.5075512600684107E-3</v>
      </c>
      <c r="AF5" s="18">
        <f t="shared" ref="AF5" si="16">AF$4/AE$4-1</f>
        <v>5.2570245798804205E-3</v>
      </c>
      <c r="AG5" s="18">
        <f t="shared" ref="AG5" si="17">AG$4/AF$4-1</f>
        <v>5.0302216569950708E-3</v>
      </c>
      <c r="AH5" s="18">
        <f t="shared" ref="AH5" si="18">AH$4/AG$4-1</f>
        <v>4.8019090619446647E-3</v>
      </c>
      <c r="AI5" s="18">
        <f t="shared" ref="AI5" si="19">AI$4/AH$4-1</f>
        <v>4.6580435073213522E-3</v>
      </c>
      <c r="AJ5" s="18">
        <f t="shared" ref="AJ5" si="20">AJ$4/AI$4-1</f>
        <v>4.523471066070206E-3</v>
      </c>
      <c r="AK5" s="18">
        <f t="shared" ref="AK5" si="21">AK$4/AJ$4-1</f>
        <v>4.4494744816621079E-3</v>
      </c>
      <c r="AL5" s="18">
        <f t="shared" ref="AL5" si="22">AL$4/AK$4-1</f>
        <v>4.3712450957200666E-3</v>
      </c>
      <c r="AM5" s="18">
        <f t="shared" ref="AM5" si="23">AM$4/AL$4-1</f>
        <v>4.3641947843129358E-3</v>
      </c>
      <c r="AN5" s="18">
        <f t="shared" ref="AN5" si="24">AN$4/AM$4-1</f>
        <v>4.3094112089303582E-3</v>
      </c>
      <c r="AO5" s="18">
        <f t="shared" ref="AO5" si="25">AO$4/AN$4-1</f>
        <v>4.3148456093742293E-3</v>
      </c>
      <c r="AP5" s="18">
        <f t="shared" ref="AP5" si="26">AP$4/AO$4-1</f>
        <v>4.3130593718212484E-3</v>
      </c>
      <c r="AQ5" s="18">
        <f t="shared" ref="AQ5" si="27">AQ$4/AP$4-1</f>
        <v>4.2637533654337201E-3</v>
      </c>
    </row>
    <row r="6" spans="1:43" x14ac:dyDescent="0.25">
      <c r="A6" s="9" t="s">
        <v>112</v>
      </c>
      <c r="B6" s="82">
        <f>100*1000000*B$4/SUM('Population Treasury'!T$30:T$110,'Population Treasury'!T$130:T$210)</f>
        <v>71.764403171855676</v>
      </c>
      <c r="C6" s="82">
        <f>100*1000000*C$4/SUM('Population Treasury'!U$30:U$110,'Population Treasury'!U$130:U$210)</f>
        <v>71.053664166185797</v>
      </c>
      <c r="D6" s="82">
        <f>100*1000000*D$4/SUM('Population Treasury'!V$30:V$110,'Population Treasury'!V$130:V$210)</f>
        <v>71.238776719383807</v>
      </c>
      <c r="E6" s="82">
        <f>100*1000000*E$4/SUM('Population Treasury'!W$30:W$110,'Population Treasury'!W$130:W$210)</f>
        <v>71.552577134118906</v>
      </c>
      <c r="F6" s="82">
        <f>100*1000000*F$4/SUM('Population Treasury'!X$30:X$110,'Population Treasury'!X$130:X$210)</f>
        <v>71.775410563692844</v>
      </c>
      <c r="G6" s="82">
        <f>100*1000000*G$4/SUM('Population Treasury'!Y$30:Y$110,'Population Treasury'!Y$130:Y$210)</f>
        <v>71.898889448667134</v>
      </c>
      <c r="H6" s="82">
        <f>100*1000000*H$4/SUM('Population Treasury'!Z$30:Z$110,'Population Treasury'!Z$130:Z$210)</f>
        <v>71.843908554062736</v>
      </c>
      <c r="I6" s="82">
        <f>100*1000000*I$4/SUM('Population Treasury'!AA$30:AA$110,'Population Treasury'!AA$130:AA$210)</f>
        <v>71.792549673375447</v>
      </c>
      <c r="J6" s="82">
        <f>100*1000000*J$4/SUM('Population Treasury'!AB$30:AB$110,'Population Treasury'!AB$130:AB$210)</f>
        <v>71.737489982525332</v>
      </c>
      <c r="K6" s="82">
        <f>100*1000000*K$4/SUM('Population Treasury'!AC$30:AC$110,'Population Treasury'!AC$130:AC$210)</f>
        <v>71.689118559716562</v>
      </c>
      <c r="L6" s="82">
        <f>100*1000000*L$4/SUM('Population Treasury'!AD$30:AD$110,'Population Treasury'!AD$130:AD$210)</f>
        <v>71.631972117328388</v>
      </c>
      <c r="M6" s="82">
        <f>100*1000000*M$4/SUM('Population Treasury'!AE$30:AE$110,'Population Treasury'!AE$130:AE$210)</f>
        <v>71.585991985660939</v>
      </c>
      <c r="N6" s="82">
        <f>100*1000000*N$4/SUM('Population Treasury'!AF$30:AF$110,'Population Treasury'!AF$130:AF$210)</f>
        <v>71.528849438120943</v>
      </c>
      <c r="O6" s="82">
        <f>100*1000000*O$4/SUM('Population Treasury'!AG$30:AG$110,'Population Treasury'!AG$130:AG$210)</f>
        <v>71.478441824684978</v>
      </c>
      <c r="P6" s="82">
        <f>100*1000000*P$4/SUM('Population Treasury'!AH$30:AH$110,'Population Treasury'!AH$130:AH$210)</f>
        <v>71.470950724509805</v>
      </c>
      <c r="Q6" s="82">
        <f>100*1000000*Q$4/SUM('Population Treasury'!AI$30:AI$110,'Population Treasury'!AI$130:AI$210)</f>
        <v>71.451423275467633</v>
      </c>
      <c r="R6" s="82">
        <f>100*1000000*R$4/SUM('Population Treasury'!AJ$30:AJ$110,'Population Treasury'!AJ$130:AJ$210)</f>
        <v>71.413813271372547</v>
      </c>
      <c r="S6" s="82">
        <f>100*1000000*S$4/SUM('Population Treasury'!AK$30:AK$110,'Population Treasury'!AK$130:AK$210)</f>
        <v>71.373451440228905</v>
      </c>
      <c r="T6" s="82">
        <f>100*1000000*T$4/SUM('Population Treasury'!AL$30:AL$110,'Population Treasury'!AL$130:AL$210)</f>
        <v>71.336523748132976</v>
      </c>
      <c r="U6" s="82">
        <f>100*1000000*U$4/SUM('Population Treasury'!AM$30:AM$110,'Population Treasury'!AM$130:AM$210)</f>
        <v>71.300276428997236</v>
      </c>
      <c r="V6" s="82">
        <f>100*1000000*V$4/SUM('Population Treasury'!AN$30:AN$110,'Population Treasury'!AN$130:AN$210)</f>
        <v>71.261074751992439</v>
      </c>
      <c r="W6" s="82">
        <f>100*1000000*W$4/SUM('Population Treasury'!AO$30:AO$110,'Population Treasury'!AO$130:AO$210)</f>
        <v>71.218770553694085</v>
      </c>
      <c r="X6" s="82">
        <f>100*1000000*X$4/SUM('Population Treasury'!AP$30:AP$110,'Population Treasury'!AP$130:AP$210)</f>
        <v>71.169769362482143</v>
      </c>
      <c r="Y6" s="82">
        <f>100*1000000*Y$4/SUM('Population Treasury'!AQ$30:AQ$110,'Population Treasury'!AQ$130:AQ$210)</f>
        <v>71.113624987476399</v>
      </c>
      <c r="Z6" s="82">
        <f>100*1000000*Z$4/SUM('Population Treasury'!AR$30:AR$110,'Population Treasury'!AR$130:AR$210)</f>
        <v>71.046751224544053</v>
      </c>
      <c r="AA6" s="82">
        <f>100*1000000*AA$4/SUM('Population Treasury'!AS$30:AS$110,'Population Treasury'!AS$130:AS$210)</f>
        <v>70.968368877569475</v>
      </c>
      <c r="AB6" s="82">
        <f>100*1000000*AB$4/SUM('Population Treasury'!AT$30:AT$110,'Population Treasury'!AT$130:AT$210)</f>
        <v>70.87514932979883</v>
      </c>
      <c r="AC6" s="82">
        <f>100*1000000*AC$4/SUM('Population Treasury'!AU$30:AU$110,'Population Treasury'!AU$130:AU$210)</f>
        <v>70.770375300000907</v>
      </c>
      <c r="AD6" s="82">
        <f>100*1000000*AD$4/SUM('Population Treasury'!AV$30:AV$110,'Population Treasury'!AV$130:AV$210)</f>
        <v>70.646788377061412</v>
      </c>
      <c r="AE6" s="82">
        <f>100*1000000*AE$4/SUM('Population Treasury'!AW$30:AW$110,'Population Treasury'!AW$130:AW$210)</f>
        <v>70.506845077271436</v>
      </c>
      <c r="AF6" s="82">
        <f>100*1000000*AF$4/SUM('Population Treasury'!AX$30:AX$110,'Population Treasury'!AX$130:AX$210)</f>
        <v>70.352819031051993</v>
      </c>
      <c r="AG6" s="82">
        <f>100*1000000*AG$4/SUM('Population Treasury'!AY$30:AY$110,'Population Treasury'!AY$130:AY$210)</f>
        <v>70.184608276681502</v>
      </c>
      <c r="AH6" s="82">
        <f>100*1000000*AH$4/SUM('Population Treasury'!AZ$30:AZ$110,'Population Treasury'!AZ$130:AZ$210)</f>
        <v>70.003876204394743</v>
      </c>
      <c r="AI6" s="82">
        <f>100*1000000*AI$4/SUM('Population Treasury'!BA$30:BA$110,'Population Treasury'!BA$130:BA$210)</f>
        <v>69.813715854109645</v>
      </c>
      <c r="AJ6" s="82">
        <f>100*1000000*AJ$4/SUM('Population Treasury'!BB$30:BB$110,'Population Treasury'!BB$130:BB$210)</f>
        <v>69.618497042709876</v>
      </c>
      <c r="AK6" s="82">
        <f>100*1000000*AK$4/SUM('Population Treasury'!BC$30:BC$110,'Population Treasury'!BC$130:BC$210)</f>
        <v>69.418694410234906</v>
      </c>
      <c r="AL6" s="82">
        <f>100*1000000*AL$4/SUM('Population Treasury'!BD$30:BD$110,'Population Treasury'!BD$130:BD$210)</f>
        <v>69.218780283335619</v>
      </c>
      <c r="AM6" s="82">
        <f>100*1000000*AM$4/SUM('Population Treasury'!BE$30:BE$110,'Population Treasury'!BE$130:BE$210)</f>
        <v>69.023575266508871</v>
      </c>
      <c r="AN6" s="82">
        <f>100*1000000*AN$4/SUM('Population Treasury'!BF$30:BF$110,'Population Treasury'!BF$130:BF$210)</f>
        <v>68.827565716298096</v>
      </c>
      <c r="AO6" s="82">
        <f>100*1000000*AO$4/SUM('Population Treasury'!BG$30:BG$110,'Population Treasury'!BG$130:BG$210)</f>
        <v>68.63874077151452</v>
      </c>
      <c r="AP6" s="82">
        <f>100*1000000*AP$4/SUM('Population Treasury'!BH$30:BH$110,'Population Treasury'!BH$130:BH$210)</f>
        <v>68.454793990067799</v>
      </c>
      <c r="AQ6" s="82">
        <f>100*1000000*AQ$4/SUM('Population Treasury'!BI$30:BI$110,'Population Treasury'!BI$130:BI$210)</f>
        <v>68.275114545987492</v>
      </c>
    </row>
    <row r="7" spans="1:43" x14ac:dyDescent="0.25">
      <c r="A7" s="9" t="s">
        <v>113</v>
      </c>
      <c r="B7" s="81">
        <f>SUM(SUMPRODUCT('Population Treasury'!T$30:T$94,'Statistics NZ'!T$355:'Statistics NZ'!T$419),SUM('Population Treasury'!T$95:T$110)*'Statistics NZ'!T$420,SUMPRODUCT('Population Treasury'!T$130:T$194,'Statistics NZ'!T$425:'Statistics NZ'!T$489),SUM('Population Treasury'!T$195:T$210)*'Statistics NZ'!T$490)/1000000</f>
        <v>3.0439366162406536</v>
      </c>
      <c r="C7" s="81">
        <f>SUM(SUMPRODUCT('Population Treasury'!U$30:U$94,'Statistics NZ'!U$355:'Statistics NZ'!U$419),SUM('Population Treasury'!U$95:U$110)*'Statistics NZ'!U$420,SUMPRODUCT('Population Treasury'!U$130:U$194,'Statistics NZ'!U$425:'Statistics NZ'!U$489),SUM('Population Treasury'!U$195:U$210)*'Statistics NZ'!U$490)/1000000</f>
        <v>3.0815422001389301</v>
      </c>
      <c r="D7" s="81">
        <f>SUM(SUMPRODUCT('Population Treasury'!V$30:V$94,'Statistics NZ'!V$355:'Statistics NZ'!V$419),SUM('Population Treasury'!V$95:V$110)*'Statistics NZ'!V$420,SUMPRODUCT('Population Treasury'!V$130:V$194,'Statistics NZ'!V$425:'Statistics NZ'!V$489),SUM('Population Treasury'!V$195:V$210)*'Statistics NZ'!V$490)/1000000</f>
        <v>3.1179780269293076</v>
      </c>
      <c r="E7" s="81">
        <f>SUM(SUMPRODUCT('Population Treasury'!W$30:W$94,'Statistics NZ'!W$355:'Statistics NZ'!W$419),SUM('Population Treasury'!W$95:W$110)*'Statistics NZ'!W$420,SUMPRODUCT('Population Treasury'!W$130:W$194,'Statistics NZ'!W$425:'Statistics NZ'!W$489),SUM('Population Treasury'!W$195:W$210)*'Statistics NZ'!W$490)/1000000</f>
        <v>3.1563857404701725</v>
      </c>
      <c r="F7" s="81">
        <f>SUM(SUMPRODUCT('Population Treasury'!X$30:X$94,'Statistics NZ'!X$355:'Statistics NZ'!X$419),SUM('Population Treasury'!X$95:X$110)*'Statistics NZ'!X$420,SUMPRODUCT('Population Treasury'!X$130:X$194,'Statistics NZ'!X$425:'Statistics NZ'!X$489),SUM('Population Treasury'!X$195:X$210)*'Statistics NZ'!X$490)/1000000</f>
        <v>3.1954089650684141</v>
      </c>
      <c r="G7" s="81">
        <f>SUM(SUMPRODUCT('Population Treasury'!Y$30:Y$94,'Statistics NZ'!Y$355:'Statistics NZ'!Y$419),SUM('Population Treasury'!Y$95:Y$110)*'Statistics NZ'!Y$420,SUMPRODUCT('Population Treasury'!Y$130:Y$194,'Statistics NZ'!Y$425:'Statistics NZ'!Y$489),SUM('Population Treasury'!Y$195:Y$210)*'Statistics NZ'!Y$490)/1000000</f>
        <v>3.2349683461673564</v>
      </c>
      <c r="H7" s="81"/>
      <c r="I7" s="81"/>
      <c r="J7" s="81"/>
      <c r="K7" s="81"/>
      <c r="L7" s="81"/>
      <c r="M7" s="81"/>
      <c r="N7" s="81"/>
      <c r="O7" s="81"/>
      <c r="P7" s="81"/>
      <c r="Q7" s="81"/>
    </row>
    <row r="8" spans="1:43" x14ac:dyDescent="0.25">
      <c r="A8" s="9" t="s">
        <v>845</v>
      </c>
      <c r="B8" s="11"/>
      <c r="C8" s="11"/>
      <c r="D8" s="11"/>
      <c r="E8" s="11"/>
      <c r="F8" s="11"/>
      <c r="G8" s="11"/>
      <c r="H8" s="11"/>
      <c r="I8" s="11"/>
      <c r="J8" s="11"/>
      <c r="K8" s="11"/>
      <c r="L8" s="11"/>
      <c r="M8" s="11"/>
      <c r="N8" s="11"/>
      <c r="O8" s="11"/>
      <c r="P8" s="11"/>
      <c r="Q8" s="11"/>
    </row>
    <row r="9" spans="1:43" x14ac:dyDescent="0.25">
      <c r="A9" s="9" t="s">
        <v>12</v>
      </c>
    </row>
    <row r="10" spans="1:43" x14ac:dyDescent="0.25">
      <c r="A10" s="11">
        <v>15</v>
      </c>
      <c r="B10" s="45">
        <f>'Population Treasury'!T$30*'Statistics NZ'!T$355*'Economic Forecasts'!V$8/B$7</f>
        <v>8731.1777538992537</v>
      </c>
      <c r="C10" s="45">
        <f>'Population Treasury'!U$30*'Statistics NZ'!U$355*'Economic Forecasts'!W$8/C$7</f>
        <v>8917.6816847719656</v>
      </c>
      <c r="D10" s="45">
        <f>'Population Treasury'!V$30*'Statistics NZ'!V$355*'Economic Forecasts'!X$8/D$7</f>
        <v>8947.1516712149223</v>
      </c>
      <c r="E10" s="45">
        <f>'Population Treasury'!W$30*'Statistics NZ'!W$355*'Economic Forecasts'!Y$8/E$7</f>
        <v>9014.2916271946451</v>
      </c>
      <c r="F10" s="45">
        <f>'Population Treasury'!X$30*'Statistics NZ'!X$355*'Economic Forecasts'!Z$8/F$7</f>
        <v>9058.3990051800429</v>
      </c>
      <c r="G10" s="45">
        <f>'Population Treasury'!Y$30*'Statistics NZ'!Y$355*'Economic Forecasts'!AA$8/G$7</f>
        <v>8859.1087868772538</v>
      </c>
      <c r="H10" s="46">
        <f>G$10*'Population Treasury'!Z$30*'Statistics NZ'!Z$355/('Population Treasury'!Y$30*'Statistics NZ'!Y$355)</f>
        <v>8896.7236284148839</v>
      </c>
      <c r="I10" s="46">
        <f>H$10*'Population Treasury'!AA$30*'Statistics NZ'!AA$355/('Population Treasury'!Z$30*'Statistics NZ'!Z$355)</f>
        <v>8789.4690069099815</v>
      </c>
      <c r="J10" s="46">
        <f>I$10*'Population Treasury'!AB$30*'Statistics NZ'!AB$355/('Population Treasury'!AA$30*'Statistics NZ'!AA$355)</f>
        <v>8923.3972510148287</v>
      </c>
      <c r="K10" s="46">
        <f>J$10*'Population Treasury'!AC$30*'Statistics NZ'!AC$355/('Population Treasury'!AB$30*'Statistics NZ'!AB$355)</f>
        <v>8781.2884952846453</v>
      </c>
      <c r="L10" s="46">
        <f>K$10*'Population Treasury'!AD$30*'Statistics NZ'!AD$355/('Population Treasury'!AC$30*'Statistics NZ'!AC$355)</f>
        <v>8791.4699899489005</v>
      </c>
      <c r="M10" s="46">
        <f>L$10*'Population Treasury'!AE$30*'Statistics NZ'!AE$355/('Population Treasury'!AD$30*'Statistics NZ'!AD$355)</f>
        <v>8720.4152387770046</v>
      </c>
      <c r="N10" s="46">
        <f>M$10*'Population Treasury'!AF$30*'Statistics NZ'!AF$355/('Population Treasury'!AE$30*'Statistics NZ'!AE$355)</f>
        <v>8761.0417790519477</v>
      </c>
      <c r="O10" s="46">
        <f>N$10*'Population Treasury'!AG$30*'Statistics NZ'!AG$355/('Population Treasury'!AF$30*'Statistics NZ'!AF$355)</f>
        <v>8852.3431105195505</v>
      </c>
      <c r="P10" s="46">
        <f>O$10*'Population Treasury'!AH$30*'Statistics NZ'!AH$355/('Population Treasury'!AG$30*'Statistics NZ'!AG$355)</f>
        <v>8182.6729333247085</v>
      </c>
      <c r="Q10" s="46">
        <f>P$10*'Population Treasury'!AI$30*'Statistics NZ'!AI$355/('Population Treasury'!AH$30*'Statistics NZ'!AH$355)</f>
        <v>8233.3971713043193</v>
      </c>
      <c r="R10" s="46">
        <f>Q$10*'Population Treasury'!AJ$30*'Statistics NZ'!AJ$355/('Population Treasury'!AI$30*'Statistics NZ'!AI$355)</f>
        <v>8375.4569243858805</v>
      </c>
      <c r="S10" s="46">
        <f>R$10*'Population Treasury'!AK$30*'Statistics NZ'!AK$355/('Population Treasury'!AJ$30*'Statistics NZ'!AJ$355)</f>
        <v>8395.7536345540611</v>
      </c>
      <c r="T10" s="46">
        <f>S$10*'Population Treasury'!AL$30*'Statistics NZ'!AL$355/('Population Treasury'!AK$30*'Statistics NZ'!AK$355)</f>
        <v>8405.9193097679381</v>
      </c>
      <c r="U10" s="46">
        <f>T$10*'Population Treasury'!AM$30*'Statistics NZ'!AM$355/('Population Treasury'!AL$30*'Statistics NZ'!AL$355)</f>
        <v>8416.0330123395379</v>
      </c>
      <c r="V10" s="46">
        <f>U$10*'Population Treasury'!AN$30*'Statistics NZ'!AN$355/('Population Treasury'!AM$30*'Statistics NZ'!AM$355)</f>
        <v>8416.0676324144242</v>
      </c>
      <c r="W10" s="46">
        <f>V$10*'Population Treasury'!AO$30*'Statistics NZ'!AO$355/('Population Treasury'!AN$30*'Statistics NZ'!AN$355)</f>
        <v>8426.1813743340572</v>
      </c>
      <c r="X10" s="46">
        <f>W$10*'Population Treasury'!AP$30*'Statistics NZ'!AP$355/('Population Treasury'!AO$30*'Statistics NZ'!AO$355)</f>
        <v>8436.3124496157961</v>
      </c>
      <c r="Y10" s="46">
        <f>X$10*'Population Treasury'!AQ$30*'Statistics NZ'!AQ$355/('Population Treasury'!AP$30*'Statistics NZ'!AP$355)</f>
        <v>8446.4953357393897</v>
      </c>
      <c r="Z10" s="46">
        <f>Y$10*'Population Treasury'!AR$30*'Statistics NZ'!AR$355/('Population Treasury'!AQ$30*'Statistics NZ'!AQ$355)</f>
        <v>8466.7919868456756</v>
      </c>
      <c r="AA10" s="46">
        <f>Z$10*'Population Treasury'!AS$30*'Statistics NZ'!AS$355/('Population Treasury'!AR$30*'Statistics NZ'!AR$355)</f>
        <v>8497.2197897350543</v>
      </c>
      <c r="AB10" s="46">
        <f>AA$10*'Population Treasury'!AT$30*'Statistics NZ'!AT$355/('Population Treasury'!AS$30*'Statistics NZ'!AS$355)</f>
        <v>8537.7960101952995</v>
      </c>
      <c r="AC10" s="46">
        <f>AB$10*'Population Treasury'!AU$30*'Statistics NZ'!AU$355/('Population Treasury'!AT$30*'Statistics NZ'!AT$355)</f>
        <v>8588.5036778399099</v>
      </c>
      <c r="AD10" s="46">
        <f>AC$10*'Population Treasury'!AV$30*'Statistics NZ'!AV$355/('Population Treasury'!AU$30*'Statistics NZ'!AU$355)</f>
        <v>8639.2622868992385</v>
      </c>
      <c r="AE10" s="46">
        <f>AD$10*'Population Treasury'!AW$30*'Statistics NZ'!AW$355/('Population Treasury'!AV$30*'Statistics NZ'!AV$355)</f>
        <v>8700.1521043903049</v>
      </c>
      <c r="AF10" s="46">
        <f>AE$10*'Population Treasury'!AX$30*'Statistics NZ'!AX$355/('Population Treasury'!AW$30*'Statistics NZ'!AW$355)</f>
        <v>8761.0584031961134</v>
      </c>
      <c r="AG10" s="46">
        <f>AF$10*'Population Treasury'!AY$30*'Statistics NZ'!AY$355/('Population Treasury'!AX$30*'Statistics NZ'!AX$355)</f>
        <v>8832.0465580459095</v>
      </c>
      <c r="AH10" s="46">
        <f>AG$10*'Population Treasury'!AZ$30*'Statistics NZ'!AZ$355/('Population Treasury'!AY$30*'Statistics NZ'!AY$355)</f>
        <v>8892.9361692935381</v>
      </c>
      <c r="AI10" s="46">
        <f>AH$10*'Population Treasury'!BA$30*'Statistics NZ'!BA$355/('Population Treasury'!AZ$30*'Statistics NZ'!AZ$355)</f>
        <v>8953.7930760757754</v>
      </c>
      <c r="AJ10" s="46">
        <f>AI$10*'Population Treasury'!BB$30*'Statistics NZ'!BB$355/('Population Treasury'!BA$30*'Statistics NZ'!BA$355)</f>
        <v>9004.5181919088664</v>
      </c>
      <c r="AK10" s="46">
        <f>AJ$10*'Population Treasury'!BC$30*'Statistics NZ'!BC$355/('Population Treasury'!BB$30*'Statistics NZ'!BB$355)</f>
        <v>9045.1112544862153</v>
      </c>
      <c r="AL10" s="46">
        <f>AK$10*'Population Treasury'!BD$30*'Statistics NZ'!BD$355/('Population Treasury'!BC$30*'Statistics NZ'!BC$355)</f>
        <v>9075.55601206561</v>
      </c>
      <c r="AM10" s="46">
        <f>AL$10*'Population Treasury'!BE$30*'Statistics NZ'!BE$355/('Population Treasury'!BD$30*'Statistics NZ'!BD$355)</f>
        <v>9095.8685304833434</v>
      </c>
      <c r="AN10" s="46">
        <f>AM$10*'Population Treasury'!BF$30*'Statistics NZ'!BF$355/('Population Treasury'!BE$30*'Statistics NZ'!BE$355)</f>
        <v>9106.0327536983023</v>
      </c>
      <c r="AO10" s="46">
        <f>AN$10*'Population Treasury'!BG$30*'Statistics NZ'!BG$355/('Population Treasury'!BF$30*'Statistics NZ'!BF$355)</f>
        <v>9116.1649649779829</v>
      </c>
      <c r="AP10" s="46">
        <f>AO$10*'Population Treasury'!BH$30*'Statistics NZ'!BH$355/('Population Treasury'!BG$30*'Statistics NZ'!BG$355)</f>
        <v>9116.1809505312067</v>
      </c>
      <c r="AQ10" s="46">
        <f>AP$10*'Population Treasury'!BI$30*'Statistics NZ'!BI$355/('Population Treasury'!BH$30*'Statistics NZ'!BH$355)</f>
        <v>9116.1649649779811</v>
      </c>
    </row>
    <row r="11" spans="1:43" x14ac:dyDescent="0.25">
      <c r="A11" s="11">
        <v>16</v>
      </c>
      <c r="B11" s="45">
        <f>'Population Treasury'!T$31*'Statistics NZ'!T$356*'Economic Forecasts'!V$8/B$7</f>
        <v>15384.455081241251</v>
      </c>
      <c r="C11" s="45">
        <f>'Population Treasury'!U$31*'Statistics NZ'!U$356*'Economic Forecasts'!W$8/C$7</f>
        <v>14999.053688716878</v>
      </c>
      <c r="D11" s="45">
        <f>'Population Treasury'!V$31*'Statistics NZ'!V$356*'Economic Forecasts'!X$8/D$7</f>
        <v>15475.489802836655</v>
      </c>
      <c r="E11" s="45">
        <f>'Population Treasury'!W$31*'Statistics NZ'!W$356*'Economic Forecasts'!Y$8/E$7</f>
        <v>15567.140590556693</v>
      </c>
      <c r="F11" s="45">
        <f>'Population Treasury'!X$31*'Statistics NZ'!X$356*'Economic Forecasts'!Z$8/F$7</f>
        <v>15666.133487873953</v>
      </c>
      <c r="G11" s="45">
        <f>'Population Treasury'!Y$31*'Statistics NZ'!Y$356*'Economic Forecasts'!AA$8/G$7</f>
        <v>15714.155454499594</v>
      </c>
      <c r="H11" s="46">
        <f>G$11*'Population Treasury'!Z$31*'Statistics NZ'!Z$356/('Population Treasury'!Y$31*'Statistics NZ'!Y$356)</f>
        <v>15361.18805056448</v>
      </c>
      <c r="I11" s="46">
        <f>H$11*'Population Treasury'!AA$31*'Statistics NZ'!AA$356/('Population Treasury'!Z$31*'Statistics NZ'!Z$356)</f>
        <v>15409.240052001698</v>
      </c>
      <c r="J11" s="46">
        <f>I$11*'Population Treasury'!AB$31*'Statistics NZ'!AB$356/('Population Treasury'!AA$31*'Statistics NZ'!AA$356)</f>
        <v>15230.056352274907</v>
      </c>
      <c r="K11" s="46">
        <f>J$11*'Population Treasury'!AC$31*'Statistics NZ'!AC$356/('Population Treasury'!AB$31*'Statistics NZ'!AB$356)</f>
        <v>15463.388174249003</v>
      </c>
      <c r="L11" s="46">
        <f>K$11*'Population Treasury'!AD$31*'Statistics NZ'!AD$356/('Population Treasury'!AC$31*'Statistics NZ'!AC$356)</f>
        <v>15199.611579226817</v>
      </c>
      <c r="M11" s="46">
        <f>L$11*'Population Treasury'!AE$31*'Statistics NZ'!AE$356/('Population Treasury'!AD$31*'Statistics NZ'!AD$356)</f>
        <v>15230.056352274909</v>
      </c>
      <c r="N11" s="46">
        <f>M$11*'Population Treasury'!AF$31*'Statistics NZ'!AF$356/('Population Treasury'!AE$31*'Statistics NZ'!AE$356)</f>
        <v>15098.16851333156</v>
      </c>
      <c r="O11" s="46">
        <f>N$11*'Population Treasury'!AG$31*'Statistics NZ'!AG$356/('Population Treasury'!AF$31*'Statistics NZ'!AF$356)</f>
        <v>15179.334774334058</v>
      </c>
      <c r="P11" s="46">
        <f>O$11*'Population Treasury'!AH$31*'Statistics NZ'!AH$356/('Population Treasury'!AG$31*'Statistics NZ'!AG$356)</f>
        <v>15331.529024203657</v>
      </c>
      <c r="Q11" s="46">
        <f>P$11*'Population Treasury'!AI$31*'Statistics NZ'!AI$356/('Population Treasury'!AH$31*'Statistics NZ'!AH$356)</f>
        <v>14195.080448296838</v>
      </c>
      <c r="R11" s="46">
        <f>Q$11*'Population Treasury'!AJ$31*'Statistics NZ'!AJ$356/('Population Treasury'!AI$31*'Statistics NZ'!AI$356)</f>
        <v>14276.246501012183</v>
      </c>
      <c r="S11" s="46">
        <f>R$11*'Population Treasury'!AK$31*'Statistics NZ'!AK$356/('Population Treasury'!AJ$31*'Statistics NZ'!AJ$356)</f>
        <v>14519.806970855943</v>
      </c>
      <c r="T11" s="46">
        <f>S$11*'Population Treasury'!AL$31*'Statistics NZ'!AL$356/('Population Treasury'!AK$31*'Statistics NZ'!AK$356)</f>
        <v>14560.328281885728</v>
      </c>
      <c r="U11" s="46">
        <f>T$11*'Population Treasury'!AM$31*'Statistics NZ'!AM$356/('Population Treasury'!AL$31*'Statistics NZ'!AL$356)</f>
        <v>14580.635280694391</v>
      </c>
      <c r="V11" s="46">
        <f>U$11*'Population Treasury'!AN$31*'Statistics NZ'!AN$356/('Population Treasury'!AM$31*'Statistics NZ'!AM$356)</f>
        <v>14590.804155518201</v>
      </c>
      <c r="W11" s="46">
        <f>V$11*'Population Treasury'!AO$31*'Statistics NZ'!AO$356/('Population Treasury'!AN$31*'Statistics NZ'!AN$356)</f>
        <v>14600.94223781996</v>
      </c>
      <c r="X11" s="46">
        <f>W$11*'Population Treasury'!AP$31*'Statistics NZ'!AP$356/('Population Treasury'!AO$31*'Statistics NZ'!AO$356)</f>
        <v>14611.080330466229</v>
      </c>
      <c r="Y11" s="46">
        <f>X$11*'Population Treasury'!AQ$31*'Statistics NZ'!AQ$356/('Population Treasury'!AP$31*'Statistics NZ'!AP$356)</f>
        <v>14621.279854880611</v>
      </c>
      <c r="Z11" s="46">
        <f>Y$11*'Population Treasury'!AR$31*'Statistics NZ'!AR$356/('Population Treasury'!AQ$31*'Statistics NZ'!AQ$356)</f>
        <v>14651.663476165659</v>
      </c>
      <c r="AA11" s="46">
        <f>Z$11*'Population Treasury'!AS$31*'Statistics NZ'!AS$356/('Population Treasury'!AR$31*'Statistics NZ'!AR$356)</f>
        <v>14682.139084365213</v>
      </c>
      <c r="AB11" s="46">
        <f>AA$11*'Population Treasury'!AT$31*'Statistics NZ'!AT$356/('Population Treasury'!AS$31*'Statistics NZ'!AS$356)</f>
        <v>14732.860311578599</v>
      </c>
      <c r="AC11" s="46">
        <f>AB$11*'Population Treasury'!AU$31*'Statistics NZ'!AU$356/('Population Treasury'!AT$31*'Statistics NZ'!AT$356)</f>
        <v>14803.888364846001</v>
      </c>
      <c r="AD11" s="46">
        <f>AC$11*'Population Treasury'!AV$31*'Statistics NZ'!AV$356/('Population Treasury'!AU$31*'Statistics NZ'!AU$356)</f>
        <v>14885.054642616593</v>
      </c>
      <c r="AE11" s="46">
        <f>AD$11*'Population Treasury'!AW$31*'Statistics NZ'!AW$356/('Population Treasury'!AV$31*'Statistics NZ'!AV$356)</f>
        <v>14976.389282058783</v>
      </c>
      <c r="AF11" s="46">
        <f>AE$11*'Population Treasury'!AX$31*'Statistics NZ'!AX$356/('Population Treasury'!AW$31*'Statistics NZ'!AW$356)</f>
        <v>15087.970646396343</v>
      </c>
      <c r="AG11" s="46">
        <f>AF$11*'Population Treasury'!AY$31*'Statistics NZ'!AY$356/('Population Treasury'!AX$31*'Statistics NZ'!AX$356)</f>
        <v>15199.582023625473</v>
      </c>
      <c r="AH11" s="46">
        <f>AG$11*'Population Treasury'!AZ$31*'Statistics NZ'!AZ$356/('Population Treasury'!AY$31*'Statistics NZ'!AY$356)</f>
        <v>15311.222764444827</v>
      </c>
      <c r="AI11" s="46">
        <f>AH$11*'Population Treasury'!BA$31*'Statistics NZ'!BA$356/('Population Treasury'!AZ$31*'Statistics NZ'!AZ$356)</f>
        <v>15422.804841002911</v>
      </c>
      <c r="AJ11" s="46">
        <f>AI$11*'Population Treasury'!BB$31*'Statistics NZ'!BB$356/('Population Treasury'!BA$31*'Statistics NZ'!BA$356)</f>
        <v>15514.168043417627</v>
      </c>
      <c r="AK11" s="46">
        <f>AJ$11*'Population Treasury'!BC$31*'Statistics NZ'!BC$356/('Population Treasury'!BB$31*'Statistics NZ'!BB$356)</f>
        <v>15605.444370336158</v>
      </c>
      <c r="AL11" s="46">
        <f>AK$11*'Population Treasury'!BD$31*'Statistics NZ'!BD$356/('Population Treasury'!BC$31*'Statistics NZ'!BC$356)</f>
        <v>15676.472444709307</v>
      </c>
      <c r="AM11" s="46">
        <f>AL$11*'Population Treasury'!BE$31*'Statistics NZ'!BE$356/('Population Treasury'!BD$31*'Statistics NZ'!BD$356)</f>
        <v>15727.223101990612</v>
      </c>
      <c r="AN11" s="46">
        <f>AM$11*'Population Treasury'!BF$31*'Statistics NZ'!BF$356/('Population Treasury'!BE$31*'Statistics NZ'!BE$356)</f>
        <v>15767.806446775719</v>
      </c>
      <c r="AO11" s="46">
        <f>AN$11*'Population Treasury'!BG$31*'Statistics NZ'!BG$356/('Population Treasury'!BF$31*'Statistics NZ'!BF$356)</f>
        <v>15798.222627711979</v>
      </c>
      <c r="AP11" s="46">
        <f>AO$11*'Population Treasury'!BH$31*'Statistics NZ'!BH$356/('Population Treasury'!BG$31*'Statistics NZ'!BG$356)</f>
        <v>15808.389807398358</v>
      </c>
      <c r="AQ11" s="46">
        <f>AP$11*'Population Treasury'!BI$31*'Statistics NZ'!BI$356/('Population Treasury'!BH$31*'Statistics NZ'!BH$356)</f>
        <v>15808.418226493679</v>
      </c>
    </row>
    <row r="12" spans="1:43" x14ac:dyDescent="0.25">
      <c r="A12" s="11">
        <v>17</v>
      </c>
      <c r="B12" s="45">
        <f>'Population Treasury'!T$32*'Statistics NZ'!T$357*'Economic Forecasts'!V$8/B$7</f>
        <v>20139.650288170367</v>
      </c>
      <c r="C12" s="45">
        <f>'Population Treasury'!U$32*'Statistics NZ'!U$357*'Economic Forecasts'!W$8/C$7</f>
        <v>20602.527556773417</v>
      </c>
      <c r="D12" s="45">
        <f>'Population Treasury'!V$32*'Statistics NZ'!V$357*'Economic Forecasts'!X$8/D$7</f>
        <v>20313.235668750338</v>
      </c>
      <c r="E12" s="45">
        <f>'Population Treasury'!W$32*'Statistics NZ'!W$357*'Economic Forecasts'!Y$8/E$7</f>
        <v>20999.259977823531</v>
      </c>
      <c r="F12" s="45">
        <f>'Population Treasury'!X$32*'Statistics NZ'!X$357*'Economic Forecasts'!Z$8/F$7</f>
        <v>21098.8499182169</v>
      </c>
      <c r="G12" s="45">
        <f>'Population Treasury'!Y$32*'Statistics NZ'!Y$357*'Economic Forecasts'!AA$8/G$7</f>
        <v>21220.424772159473</v>
      </c>
      <c r="H12" s="46">
        <f>G$12*'Population Treasury'!Z$32*'Statistics NZ'!Z$357/('Population Treasury'!Y$32*'Statistics NZ'!Y$357)</f>
        <v>21247.151617796979</v>
      </c>
      <c r="I12" s="46">
        <f>H$12*'Population Treasury'!AA$32*'Statistics NZ'!AA$357/('Population Treasury'!Z$32*'Statistics NZ'!Z$357)</f>
        <v>20770.0124882698</v>
      </c>
      <c r="J12" s="46">
        <f>I$12*'Population Treasury'!AB$32*'Statistics NZ'!AB$357/('Population Treasury'!AA$32*'Statistics NZ'!AA$357)</f>
        <v>20835.509809897379</v>
      </c>
      <c r="K12" s="46">
        <f>J$12*'Population Treasury'!AC$32*'Statistics NZ'!AC$357/('Population Treasury'!AB$32*'Statistics NZ'!AB$357)</f>
        <v>20602.103269769585</v>
      </c>
      <c r="L12" s="46">
        <f>K$12*'Population Treasury'!AD$32*'Statistics NZ'!AD$357/('Population Treasury'!AC$32*'Statistics NZ'!AC$357)</f>
        <v>20906.500661293117</v>
      </c>
      <c r="M12" s="46">
        <f>L$12*'Population Treasury'!AE$32*'Statistics NZ'!AE$357/('Population Treasury'!AD$32*'Statistics NZ'!AD$357)</f>
        <v>20561.509023362036</v>
      </c>
      <c r="N12" s="46">
        <f>M$12*'Population Treasury'!AF$32*'Statistics NZ'!AF$357/('Population Treasury'!AE$32*'Statistics NZ'!AE$357)</f>
        <v>20602.103269769581</v>
      </c>
      <c r="O12" s="46">
        <f>N$12*'Population Treasury'!AG$32*'Statistics NZ'!AG$357/('Population Treasury'!AF$32*'Statistics NZ'!AF$357)</f>
        <v>20429.607440657775</v>
      </c>
      <c r="P12" s="46">
        <f>O$12*'Population Treasury'!AH$32*'Statistics NZ'!AH$357/('Population Treasury'!AG$32*'Statistics NZ'!AG$357)</f>
        <v>20541.192037984583</v>
      </c>
      <c r="Q12" s="46">
        <f>P$12*'Population Treasury'!AI$32*'Statistics NZ'!AI$357/('Population Treasury'!AH$32*'Statistics NZ'!AH$357)</f>
        <v>20734.044182395231</v>
      </c>
      <c r="R12" s="46">
        <f>Q$12*'Population Treasury'!AJ$32*'Statistics NZ'!AJ$357/('Population Treasury'!AI$32*'Statistics NZ'!AI$357)</f>
        <v>19212.018110522182</v>
      </c>
      <c r="S12" s="46">
        <f>R$12*'Population Treasury'!AK$32*'Statistics NZ'!AK$357/('Population Treasury'!AJ$32*'Statistics NZ'!AJ$357)</f>
        <v>19323.643088344994</v>
      </c>
      <c r="T12" s="46">
        <f>S$12*'Population Treasury'!AL$32*'Statistics NZ'!AL$357/('Population Treasury'!AK$32*'Statistics NZ'!AK$357)</f>
        <v>19658.475747442131</v>
      </c>
      <c r="U12" s="46">
        <f>T$12*'Population Treasury'!AM$32*'Statistics NZ'!AM$357/('Population Treasury'!AL$32*'Statistics NZ'!AL$357)</f>
        <v>19699.111663443364</v>
      </c>
      <c r="V12" s="46">
        <f>U$12*'Population Treasury'!AN$32*'Statistics NZ'!AN$357/('Population Treasury'!AM$32*'Statistics NZ'!AM$357)</f>
        <v>19729.547179170913</v>
      </c>
      <c r="W12" s="46">
        <f>V$12*'Population Treasury'!AO$32*'Statistics NZ'!AO$357/('Population Treasury'!AN$32*'Statistics NZ'!AN$357)</f>
        <v>19749.823783008513</v>
      </c>
      <c r="X12" s="46">
        <f>W$12*'Population Treasury'!AP$32*'Statistics NZ'!AP$357/('Population Treasury'!AO$32*'Statistics NZ'!AO$357)</f>
        <v>19770.059190700136</v>
      </c>
      <c r="Y12" s="46">
        <f>X$12*'Population Treasury'!AQ$32*'Statistics NZ'!AQ$357/('Population Treasury'!AP$32*'Statistics NZ'!AP$357)</f>
        <v>19780.259340574194</v>
      </c>
      <c r="Z12" s="46">
        <f>Y$12*'Population Treasury'!AR$32*'Statistics NZ'!AR$357/('Population Treasury'!AQ$32*'Statistics NZ'!AQ$357)</f>
        <v>19800.536003029072</v>
      </c>
      <c r="AA12" s="46">
        <f>Z$12*'Population Treasury'!AS$32*'Statistics NZ'!AS$357/('Population Treasury'!AR$32*'Statistics NZ'!AR$357)</f>
        <v>19831.012682970144</v>
      </c>
      <c r="AB12" s="46">
        <f>AA$12*'Population Treasury'!AT$32*'Statistics NZ'!AT$357/('Population Treasury'!AS$32*'Statistics NZ'!AS$357)</f>
        <v>19881.724952149772</v>
      </c>
      <c r="AC12" s="46">
        <f>AB$12*'Population Treasury'!AU$32*'Statistics NZ'!AU$357/('Population Treasury'!AT$32*'Statistics NZ'!AT$357)</f>
        <v>19952.7141249618</v>
      </c>
      <c r="AD12" s="46">
        <f>AC$12*'Population Treasury'!AV$32*'Statistics NZ'!AV$357/('Population Treasury'!AU$32*'Statistics NZ'!AU$357)</f>
        <v>20044.02114854514</v>
      </c>
      <c r="AE12" s="46">
        <f>AD$12*'Population Treasury'!AW$32*'Statistics NZ'!AW$357/('Population Treasury'!AV$32*'Statistics NZ'!AV$357)</f>
        <v>20155.645741749777</v>
      </c>
      <c r="AF12" s="46">
        <f>AE$12*'Population Treasury'!AX$32*'Statistics NZ'!AX$357/('Population Treasury'!AW$32*'Statistics NZ'!AW$357)</f>
        <v>20277.469017806077</v>
      </c>
      <c r="AG12" s="46">
        <f>AF$12*'Population Treasury'!AY$32*'Statistics NZ'!AY$357/('Population Treasury'!AX$32*'Statistics NZ'!AX$357)</f>
        <v>20419.528699937182</v>
      </c>
      <c r="AH12" s="46">
        <f>AG$12*'Population Treasury'!AZ$32*'Statistics NZ'!AZ$357/('Population Treasury'!AY$32*'Statistics NZ'!AY$357)</f>
        <v>20571.707111828207</v>
      </c>
      <c r="AI12" s="46">
        <f>AH$12*'Population Treasury'!BA$32*'Statistics NZ'!BA$357/('Population Treasury'!AZ$32*'Statistics NZ'!AZ$357)</f>
        <v>20723.885822654571</v>
      </c>
      <c r="AJ12" s="46">
        <f>AI$12*'Population Treasury'!BB$32*'Statistics NZ'!BB$357/('Population Treasury'!BA$32*'Statistics NZ'!BA$357)</f>
        <v>20876.064826052327</v>
      </c>
      <c r="AK12" s="46">
        <f>AJ$12*'Population Treasury'!BC$32*'Statistics NZ'!BC$357/('Population Treasury'!BB$32*'Statistics NZ'!BB$357)</f>
        <v>21007.966466519512</v>
      </c>
      <c r="AL12" s="46">
        <f>AK$12*'Population Treasury'!BD$32*'Statistics NZ'!BD$357/('Population Treasury'!BC$32*'Statistics NZ'!BC$357)</f>
        <v>21119.590438757543</v>
      </c>
      <c r="AM12" s="46">
        <f>AL$12*'Population Treasury'!BE$32*'Statistics NZ'!BE$357/('Population Treasury'!BD$32*'Statistics NZ'!BD$357)</f>
        <v>21210.936522771568</v>
      </c>
      <c r="AN12" s="46">
        <f>AM$12*'Population Treasury'!BF$32*'Statistics NZ'!BF$357/('Population Treasury'!BE$32*'Statistics NZ'!BE$357)</f>
        <v>21292.086059920141</v>
      </c>
      <c r="AO12" s="46">
        <f>AN$12*'Population Treasury'!BG$32*'Statistics NZ'!BG$357/('Population Treasury'!BF$32*'Statistics NZ'!BF$357)</f>
        <v>21342.838030865169</v>
      </c>
      <c r="AP12" s="46">
        <f>AO$12*'Population Treasury'!BH$32*'Statistics NZ'!BH$357/('Population Treasury'!BG$32*'Statistics NZ'!BG$357)</f>
        <v>21383.393793191139</v>
      </c>
      <c r="AQ12" s="46">
        <f>AP$12*'Population Treasury'!BI$32*'Statistics NZ'!BI$357/('Population Treasury'!BH$32*'Statistics NZ'!BH$357)</f>
        <v>21403.671712642692</v>
      </c>
    </row>
    <row r="13" spans="1:43" x14ac:dyDescent="0.25">
      <c r="A13" s="11">
        <v>18</v>
      </c>
      <c r="B13" s="45">
        <f>'Population Treasury'!T$33*'Statistics NZ'!T$358*'Economic Forecasts'!V$8/B$7</f>
        <v>22007.762690892516</v>
      </c>
      <c r="C13" s="45">
        <f>'Population Treasury'!U$33*'Statistics NZ'!U$358*'Economic Forecasts'!W$8/C$7</f>
        <v>23252.449877463874</v>
      </c>
      <c r="D13" s="45">
        <f>'Population Treasury'!V$33*'Statistics NZ'!V$358*'Economic Forecasts'!X$8/D$7</f>
        <v>24044.025802425975</v>
      </c>
      <c r="E13" s="45">
        <f>'Population Treasury'!W$33*'Statistics NZ'!W$358*'Economic Forecasts'!Y$8/E$7</f>
        <v>23761.642117368378</v>
      </c>
      <c r="F13" s="45">
        <f>'Population Treasury'!X$33*'Statistics NZ'!X$358*'Economic Forecasts'!Z$8/F$7</f>
        <v>24543.13833150766</v>
      </c>
      <c r="G13" s="45">
        <f>'Population Treasury'!Y$33*'Statistics NZ'!Y$358*'Economic Forecasts'!AA$8/G$7</f>
        <v>24632.905881835894</v>
      </c>
      <c r="H13" s="46">
        <f>G$13*'Population Treasury'!Z$33*'Statistics NZ'!Z$358/('Population Treasury'!Y$33*'Statistics NZ'!Y$358)</f>
        <v>24733.209162181705</v>
      </c>
      <c r="I13" s="46">
        <f>H$13*'Population Treasury'!AA$33*'Statistics NZ'!AA$358/('Population Treasury'!Z$33*'Statistics NZ'!Z$358)</f>
        <v>24764.975574952379</v>
      </c>
      <c r="J13" s="46">
        <f>I$13*'Population Treasury'!AB$33*'Statistics NZ'!AB$358/('Population Treasury'!AA$33*'Statistics NZ'!AA$358)</f>
        <v>24202.133299479814</v>
      </c>
      <c r="K13" s="46">
        <f>J$13*'Population Treasury'!AC$33*'Statistics NZ'!AC$358/('Population Treasury'!AB$33*'Statistics NZ'!AB$358)</f>
        <v>24273.191503268827</v>
      </c>
      <c r="L13" s="46">
        <f>K$13*'Population Treasury'!AD$33*'Statistics NZ'!AD$358/('Population Treasury'!AC$33*'Statistics NZ'!AC$358)</f>
        <v>23999.174043184983</v>
      </c>
      <c r="M13" s="46">
        <f>L$13*'Population Treasury'!AE$33*'Statistics NZ'!AE$358/('Population Treasury'!AD$33*'Statistics NZ'!AD$358)</f>
        <v>24354.329944411886</v>
      </c>
      <c r="N13" s="46">
        <f>M$13*'Population Treasury'!AF$33*'Statistics NZ'!AF$358/('Population Treasury'!AE$33*'Statistics NZ'!AE$358)</f>
        <v>23958.582136669527</v>
      </c>
      <c r="O13" s="46">
        <f>N$13*'Population Treasury'!AG$33*'Statistics NZ'!AG$358/('Population Treasury'!AF$33*'Statistics NZ'!AF$358)</f>
        <v>24009.299182695217</v>
      </c>
      <c r="P13" s="46">
        <f>O$13*'Population Treasury'!AH$33*'Statistics NZ'!AH$358/('Population Treasury'!AG$33*'Statistics NZ'!AG$358)</f>
        <v>23806.385349241198</v>
      </c>
      <c r="Q13" s="46">
        <f>P$13*'Population Treasury'!AI$33*'Statistics NZ'!AI$358/('Population Treasury'!AH$33*'Statistics NZ'!AH$358)</f>
        <v>23938.286176427606</v>
      </c>
      <c r="R13" s="46">
        <f>Q$13*'Population Treasury'!AJ$33*'Statistics NZ'!AJ$358/('Population Treasury'!AI$33*'Statistics NZ'!AI$358)</f>
        <v>24171.666764379439</v>
      </c>
      <c r="S13" s="46">
        <f>R$13*'Population Treasury'!AK$33*'Statistics NZ'!AK$358/('Population Treasury'!AJ$33*'Statistics NZ'!AJ$358)</f>
        <v>22406.147165622646</v>
      </c>
      <c r="T13" s="46">
        <f>S$13*'Population Treasury'!AL$33*'Statistics NZ'!AL$358/('Population Treasury'!AK$33*'Statistics NZ'!AK$358)</f>
        <v>22538.047693835637</v>
      </c>
      <c r="U13" s="46">
        <f>T$13*'Population Treasury'!AM$33*'Statistics NZ'!AM$358/('Population Treasury'!AL$33*'Statistics NZ'!AL$358)</f>
        <v>22923.625516986471</v>
      </c>
      <c r="V13" s="46">
        <f>U$13*'Population Treasury'!AN$33*'Statistics NZ'!AN$358/('Population Treasury'!AM$33*'Statistics NZ'!AM$358)</f>
        <v>22974.38955197153</v>
      </c>
      <c r="W13" s="46">
        <f>V$13*'Population Treasury'!AO$33*'Statistics NZ'!AO$358/('Population Treasury'!AN$33*'Statistics NZ'!AN$358)</f>
        <v>23014.93401619852</v>
      </c>
      <c r="X13" s="46">
        <f>W$13*'Population Treasury'!AP$33*'Statistics NZ'!AP$358/('Population Treasury'!AO$33*'Statistics NZ'!AO$358)</f>
        <v>23035.277668300161</v>
      </c>
      <c r="Y13" s="46">
        <f>X$13*'Population Treasury'!AQ$33*'Statistics NZ'!AQ$358/('Population Treasury'!AP$33*'Statistics NZ'!AP$358)</f>
        <v>23055.526165378087</v>
      </c>
      <c r="Z13" s="46">
        <f>Y$13*'Population Treasury'!AR$33*'Statistics NZ'!AR$358/('Population Treasury'!AQ$33*'Statistics NZ'!AQ$358)</f>
        <v>23065.745454132637</v>
      </c>
      <c r="AA13" s="46">
        <f>Z$13*'Population Treasury'!AS$33*'Statistics NZ'!AS$358/('Population Treasury'!AR$33*'Statistics NZ'!AR$358)</f>
        <v>23096.11829439479</v>
      </c>
      <c r="AB13" s="46">
        <f>AA$13*'Population Treasury'!AT$33*'Statistics NZ'!AT$358/('Population Treasury'!AS$33*'Statistics NZ'!AS$358)</f>
        <v>23136.710403356134</v>
      </c>
      <c r="AC13" s="46">
        <f>AB$13*'Population Treasury'!AU$33*'Statistics NZ'!AU$358/('Population Treasury'!AT$33*'Statistics NZ'!AT$358)</f>
        <v>23187.474141246516</v>
      </c>
      <c r="AD13" s="46">
        <f>AC$13*'Population Treasury'!AV$33*'Statistics NZ'!AV$358/('Population Treasury'!AU$33*'Statistics NZ'!AU$358)</f>
        <v>23268.658164850378</v>
      </c>
      <c r="AE13" s="46">
        <f>AD$13*'Population Treasury'!AW$33*'Statistics NZ'!AW$358/('Population Treasury'!AV$33*'Statistics NZ'!AV$358)</f>
        <v>23380.215764229626</v>
      </c>
      <c r="AF13" s="46">
        <f>AE$13*'Population Treasury'!AX$33*'Statistics NZ'!AX$358/('Population Treasury'!AW$33*'Statistics NZ'!AW$358)</f>
        <v>23512.116559988597</v>
      </c>
      <c r="AG13" s="46">
        <f>AF$13*'Population Treasury'!AY$33*'Statistics NZ'!AY$358/('Population Treasury'!AX$33*'Statistics NZ'!AX$358)</f>
        <v>23654.234924566241</v>
      </c>
      <c r="AH13" s="46">
        <f>AG$13*'Population Treasury'!AZ$33*'Statistics NZ'!AZ$358/('Population Treasury'!AY$33*'Statistics NZ'!AY$358)</f>
        <v>23826.681319798365</v>
      </c>
      <c r="AI13" s="46">
        <f>AH$13*'Population Treasury'!BA$33*'Statistics NZ'!BA$358/('Population Treasury'!AZ$33*'Statistics NZ'!AZ$358)</f>
        <v>23999.174043184987</v>
      </c>
      <c r="AJ13" s="46">
        <f>AI$13*'Population Treasury'!BB$33*'Statistics NZ'!BB$358/('Population Treasury'!BA$33*'Statistics NZ'!BA$358)</f>
        <v>24181.792056115981</v>
      </c>
      <c r="AK13" s="46">
        <f>AJ$13*'Population Treasury'!BC$33*'Statistics NZ'!BC$358/('Population Treasury'!BB$33*'Statistics NZ'!BB$358)</f>
        <v>24344.204509302774</v>
      </c>
      <c r="AL13" s="46">
        <f>AK$13*'Population Treasury'!BD$33*'Statistics NZ'!BD$358/('Population Treasury'!BC$33*'Statistics NZ'!BC$358)</f>
        <v>24496.401056069084</v>
      </c>
      <c r="AM13" s="46">
        <f>AL$13*'Population Treasury'!BE$33*'Statistics NZ'!BE$358/('Population Treasury'!BD$33*'Statistics NZ'!BD$358)</f>
        <v>24638.382962149451</v>
      </c>
      <c r="AN13" s="46">
        <f>AM$13*'Population Treasury'!BF$33*'Statistics NZ'!BF$358/('Population Treasury'!BE$33*'Statistics NZ'!BE$358)</f>
        <v>24750.032514574894</v>
      </c>
      <c r="AO13" s="46">
        <f>AN$13*'Population Treasury'!BG$33*'Statistics NZ'!BG$358/('Population Treasury'!BF$33*'Statistics NZ'!BF$358)</f>
        <v>24831.215919486916</v>
      </c>
      <c r="AP13" s="46">
        <f>AO$13*'Population Treasury'!BH$33*'Statistics NZ'!BH$358/('Population Treasury'!BG$33*'Statistics NZ'!BG$358)</f>
        <v>24902.229328999721</v>
      </c>
      <c r="AQ13" s="46">
        <f>AP$13*'Population Treasury'!BI$33*'Statistics NZ'!BI$358/('Population Treasury'!BH$33*'Statistics NZ'!BH$358)</f>
        <v>24942.821012658314</v>
      </c>
    </row>
    <row r="14" spans="1:43" x14ac:dyDescent="0.25">
      <c r="A14" s="11">
        <v>19</v>
      </c>
      <c r="B14" s="45">
        <f>'Population Treasury'!T$34*'Statistics NZ'!T$359*'Economic Forecasts'!V$8/B$7</f>
        <v>23316.440363387715</v>
      </c>
      <c r="C14" s="45">
        <f>'Population Treasury'!U$34*'Statistics NZ'!U$359*'Economic Forecasts'!W$8/C$7</f>
        <v>23593.276187071588</v>
      </c>
      <c r="D14" s="45">
        <f>'Population Treasury'!V$34*'Statistics NZ'!V$359*'Economic Forecasts'!X$8/D$7</f>
        <v>25180.241922219957</v>
      </c>
      <c r="E14" s="45">
        <f>'Population Treasury'!W$34*'Statistics NZ'!W$359*'Economic Forecasts'!Y$8/E$7</f>
        <v>26111.546012813389</v>
      </c>
      <c r="F14" s="45">
        <f>'Population Treasury'!X$34*'Statistics NZ'!X$359*'Economic Forecasts'!Z$8/F$7</f>
        <v>25779.342031498411</v>
      </c>
      <c r="G14" s="45">
        <f>'Population Treasury'!Y$34*'Statistics NZ'!Y$359*'Economic Forecasts'!AA$8/G$7</f>
        <v>26585.685363317516</v>
      </c>
      <c r="H14" s="46">
        <f>G$14*'Population Treasury'!Z$34*'Statistics NZ'!Z$359/('Population Treasury'!Y$34*'Statistics NZ'!Y$359)</f>
        <v>26646.795703016178</v>
      </c>
      <c r="I14" s="46">
        <f>H$14*'Population Treasury'!AA$34*'Statistics NZ'!AA$359/('Population Treasury'!Z$34*'Statistics NZ'!Z$359)</f>
        <v>26740.351588329133</v>
      </c>
      <c r="J14" s="46">
        <f>I$14*'Population Treasury'!AB$34*'Statistics NZ'!AB$359/('Population Treasury'!AA$34*'Statistics NZ'!AA$359)</f>
        <v>26776.491613258298</v>
      </c>
      <c r="K14" s="46">
        <f>J$14*'Population Treasury'!AC$34*'Statistics NZ'!AC$359/('Population Treasury'!AB$34*'Statistics NZ'!AB$359)</f>
        <v>26167.697758806429</v>
      </c>
      <c r="L14" s="46">
        <f>K$14*'Population Treasury'!AD$34*'Statistics NZ'!AD$359/('Population Treasury'!AC$34*'Statistics NZ'!AC$359)</f>
        <v>26248.873500183454</v>
      </c>
      <c r="M14" s="46">
        <f>L$14*'Population Treasury'!AE$34*'Statistics NZ'!AE$359/('Population Treasury'!AD$34*'Statistics NZ'!AD$359)</f>
        <v>25954.605217606113</v>
      </c>
      <c r="N14" s="46">
        <f>M$14*'Population Treasury'!AF$34*'Statistics NZ'!AF$359/('Population Treasury'!AE$34*'Statistics NZ'!AE$359)</f>
        <v>26330.097609140354</v>
      </c>
      <c r="O14" s="46">
        <f>N$14*'Population Treasury'!AG$34*'Statistics NZ'!AG$359/('Population Treasury'!AF$34*'Statistics NZ'!AF$359)</f>
        <v>25903.913369902395</v>
      </c>
      <c r="P14" s="46">
        <f>O$14*'Population Treasury'!AH$34*'Statistics NZ'!AH$359/('Population Treasury'!AG$34*'Statistics NZ'!AG$359)</f>
        <v>25964.733785454067</v>
      </c>
      <c r="Q14" s="46">
        <f>P$14*'Population Treasury'!AI$34*'Statistics NZ'!AI$359/('Population Treasury'!AH$34*'Statistics NZ'!AH$359)</f>
        <v>25751.6408744076</v>
      </c>
      <c r="R14" s="46">
        <f>Q$14*'Population Treasury'!AJ$34*'Statistics NZ'!AJ$359/('Population Treasury'!AI$34*'Statistics NZ'!AI$359)</f>
        <v>25883.607142038916</v>
      </c>
      <c r="S14" s="46">
        <f>R$14*'Population Treasury'!AK$34*'Statistics NZ'!AK$359/('Population Treasury'!AJ$34*'Statistics NZ'!AJ$359)</f>
        <v>26137.262945711325</v>
      </c>
      <c r="T14" s="46">
        <f>S$14*'Population Treasury'!AL$34*'Statistics NZ'!AL$359/('Population Treasury'!AK$34*'Statistics NZ'!AK$359)</f>
        <v>24249.961470343143</v>
      </c>
      <c r="U14" s="46">
        <f>T$14*'Population Treasury'!AM$34*'Statistics NZ'!AM$359/('Population Treasury'!AL$34*'Statistics NZ'!AL$359)</f>
        <v>24381.931291573925</v>
      </c>
      <c r="V14" s="46">
        <f>U$14*'Population Treasury'!AN$34*'Statistics NZ'!AN$359/('Population Treasury'!AM$34*'Statistics NZ'!AM$359)</f>
        <v>24808.014245961378</v>
      </c>
      <c r="W14" s="46">
        <f>V$14*'Population Treasury'!AO$34*'Statistics NZ'!AO$359/('Population Treasury'!AN$34*'Statistics NZ'!AN$359)</f>
        <v>24858.806910044928</v>
      </c>
      <c r="X14" s="46">
        <f>W$14*'Population Treasury'!AP$34*'Statistics NZ'!AP$359/('Population Treasury'!AO$34*'Statistics NZ'!AO$359)</f>
        <v>24899.420387497426</v>
      </c>
      <c r="Y14" s="46">
        <f>X$14*'Population Treasury'!AQ$34*'Statistics NZ'!AQ$359/('Population Treasury'!AP$34*'Statistics NZ'!AP$359)</f>
        <v>24929.803809737532</v>
      </c>
      <c r="Z14" s="46">
        <f>Y$14*'Population Treasury'!AR$34*'Statistics NZ'!AR$359/('Population Treasury'!AQ$34*'Statistics NZ'!AQ$359)</f>
        <v>24950.110550644018</v>
      </c>
      <c r="AA14" s="46">
        <f>Z$14*'Population Treasury'!AS$34*'Statistics NZ'!AS$359/('Population Treasury'!AR$34*'Statistics NZ'!AR$359)</f>
        <v>24970.366246330428</v>
      </c>
      <c r="AB14" s="46">
        <f>AA$14*'Population Treasury'!AT$34*'Statistics NZ'!AT$359/('Population Treasury'!AS$34*'Statistics NZ'!AS$359)</f>
        <v>24990.723960852112</v>
      </c>
      <c r="AC14" s="46">
        <f>AB$14*'Population Treasury'!AU$34*'Statistics NZ'!AU$359/('Population Treasury'!AT$34*'Statistics NZ'!AT$359)</f>
        <v>25041.414303897258</v>
      </c>
      <c r="AD14" s="46">
        <f>AC$14*'Population Treasury'!AV$34*'Statistics NZ'!AV$359/('Population Treasury'!AU$34*'Statistics NZ'!AU$359)</f>
        <v>25102.334283294105</v>
      </c>
      <c r="AE14" s="46">
        <f>AD$14*'Population Treasury'!AW$34*'Statistics NZ'!AW$359/('Population Treasury'!AV$34*'Statistics NZ'!AV$359)</f>
        <v>25193.587473106843</v>
      </c>
      <c r="AF14" s="46">
        <f>AE$14*'Population Treasury'!AX$34*'Statistics NZ'!AX$359/('Population Treasury'!AW$34*'Statistics NZ'!AW$359)</f>
        <v>25305.248470519095</v>
      </c>
      <c r="AG14" s="46">
        <f>AF$14*'Population Treasury'!AY$34*'Statistics NZ'!AY$359/('Population Treasury'!AX$34*'Statistics NZ'!AX$359)</f>
        <v>25447.293578010413</v>
      </c>
      <c r="AH14" s="46">
        <f>AG$14*'Population Treasury'!AZ$34*'Statistics NZ'!AZ$359/('Population Treasury'!AY$34*'Statistics NZ'!AY$359)</f>
        <v>25609.64516000438</v>
      </c>
      <c r="AI14" s="46">
        <f>AH$14*'Population Treasury'!BA$34*'Statistics NZ'!BA$359/('Population Treasury'!AZ$34*'Statistics NZ'!AZ$359)</f>
        <v>25782.174515857852</v>
      </c>
      <c r="AJ14" s="46">
        <f>AI$14*'Population Treasury'!BB$34*'Statistics NZ'!BB$359/('Population Treasury'!BA$34*'Statistics NZ'!BA$359)</f>
        <v>25974.911436382685</v>
      </c>
      <c r="AK14" s="46">
        <f>AJ$14*'Population Treasury'!BC$34*'Statistics NZ'!BC$359/('Population Treasury'!BB$34*'Statistics NZ'!BB$359)</f>
        <v>26167.69775880644</v>
      </c>
      <c r="AL14" s="46">
        <f>AK$14*'Population Treasury'!BD$34*'Statistics NZ'!BD$359/('Population Treasury'!BC$34*'Statistics NZ'!BC$359)</f>
        <v>26350.355242299891</v>
      </c>
      <c r="AM14" s="46">
        <f>AL$14*'Population Treasury'!BE$34*'Statistics NZ'!BE$359/('Population Treasury'!BD$34*'Statistics NZ'!BD$359)</f>
        <v>26522.835496583008</v>
      </c>
      <c r="AN14" s="46">
        <f>AM$14*'Population Treasury'!BF$34*'Statistics NZ'!BF$359/('Population Treasury'!BE$34*'Statistics NZ'!BE$359)</f>
        <v>26664.880988194574</v>
      </c>
      <c r="AO14" s="46">
        <f>AN$14*'Population Treasury'!BG$34*'Statistics NZ'!BG$359/('Population Treasury'!BF$34*'Statistics NZ'!BF$359)</f>
        <v>26786.668309743884</v>
      </c>
      <c r="AP14" s="46">
        <f>AO$14*'Population Treasury'!BH$34*'Statistics NZ'!BH$359/('Population Treasury'!BG$34*'Statistics NZ'!BG$359)</f>
        <v>26877.973076987666</v>
      </c>
      <c r="AQ14" s="46">
        <f>AP$14*'Population Treasury'!BI$34*'Statistics NZ'!BI$359/('Population Treasury'!BH$34*'Statistics NZ'!BH$359)</f>
        <v>26949.019488507063</v>
      </c>
    </row>
    <row r="15" spans="1:43" x14ac:dyDescent="0.25">
      <c r="A15" s="11">
        <v>20</v>
      </c>
      <c r="B15" s="45">
        <f>'Population Treasury'!T$35*'Statistics NZ'!T$360*'Economic Forecasts'!V$8/B$7</f>
        <v>23905.8448113054</v>
      </c>
      <c r="C15" s="45">
        <f>'Population Treasury'!U$35*'Statistics NZ'!U$360*'Economic Forecasts'!W$8/C$7</f>
        <v>23670.161951169957</v>
      </c>
      <c r="D15" s="45">
        <f>'Population Treasury'!V$35*'Statistics NZ'!V$360*'Economic Forecasts'!X$8/D$7</f>
        <v>24232.224774196409</v>
      </c>
      <c r="E15" s="45">
        <f>'Population Treasury'!W$35*'Statistics NZ'!W$360*'Economic Forecasts'!Y$8/E$7</f>
        <v>25957.738455091701</v>
      </c>
      <c r="F15" s="45">
        <f>'Population Treasury'!X$35*'Statistics NZ'!X$360*'Economic Forecasts'!Z$8/F$7</f>
        <v>26902.766674889182</v>
      </c>
      <c r="G15" s="45">
        <f>'Population Treasury'!Y$35*'Statistics NZ'!Y$360*'Economic Forecasts'!AA$8/G$7</f>
        <v>26568.982268070693</v>
      </c>
      <c r="H15" s="46">
        <f>G$15*'Population Treasury'!Z$35*'Statistics NZ'!Z$360/('Population Treasury'!Y$35*'Statistics NZ'!Y$360)</f>
        <v>27357.600272549942</v>
      </c>
      <c r="I15" s="46">
        <f>H$15*'Population Treasury'!AA$35*'Statistics NZ'!AA$360/('Population Treasury'!Z$35*'Statistics NZ'!Z$360)</f>
        <v>27406.683736266627</v>
      </c>
      <c r="J15" s="46">
        <f>I$15*'Population Treasury'!AB$35*'Statistics NZ'!AB$360/('Population Treasury'!AA$35*'Statistics NZ'!AA$360)</f>
        <v>27517.362322265635</v>
      </c>
      <c r="K15" s="46">
        <f>J$15*'Population Treasury'!AC$35*'Statistics NZ'!AC$360/('Population Treasury'!AB$35*'Statistics NZ'!AB$360)</f>
        <v>27547.732677907621</v>
      </c>
      <c r="L15" s="46">
        <f>K$15*'Population Treasury'!AD$35*'Statistics NZ'!AD$360/('Population Treasury'!AC$35*'Statistics NZ'!AC$360)</f>
        <v>26938.79099591538</v>
      </c>
      <c r="M15" s="46">
        <f>L$15*'Population Treasury'!AE$35*'Statistics NZ'!AE$360/('Population Treasury'!AD$35*'Statistics NZ'!AD$360)</f>
        <v>27030.040412404203</v>
      </c>
      <c r="N15" s="46">
        <f>M$15*'Population Treasury'!AF$35*'Statistics NZ'!AF$360/('Population Treasury'!AE$35*'Statistics NZ'!AE$360)</f>
        <v>26735.761104164627</v>
      </c>
      <c r="O15" s="46">
        <f>N$15*'Population Treasury'!AG$35*'Statistics NZ'!AG$360/('Population Treasury'!AF$35*'Statistics NZ'!AF$360)</f>
        <v>27141.46582335524</v>
      </c>
      <c r="P15" s="46">
        <f>O$15*'Population Treasury'!AH$35*'Statistics NZ'!AH$360/('Population Treasury'!AG$35*'Statistics NZ'!AG$360)</f>
        <v>26715.227928428143</v>
      </c>
      <c r="Q15" s="46">
        <f>P$15*'Population Treasury'!AI$35*'Statistics NZ'!AI$360/('Population Treasury'!AH$35*'Statistics NZ'!AH$360)</f>
        <v>26776.037126067207</v>
      </c>
      <c r="R15" s="46">
        <f>Q$15*'Population Treasury'!AJ$35*'Statistics NZ'!AJ$360/('Population Treasury'!AI$35*'Statistics NZ'!AI$360)</f>
        <v>26562.95293245529</v>
      </c>
      <c r="S15" s="46">
        <f>R$15*'Population Treasury'!AK$35*'Statistics NZ'!AK$360/('Population Treasury'!AJ$35*'Statistics NZ'!AJ$360)</f>
        <v>26715.083903225139</v>
      </c>
      <c r="T15" s="46">
        <f>S$15*'Population Treasury'!AL$35*'Statistics NZ'!AL$360/('Population Treasury'!AK$35*'Statistics NZ'!AK$360)</f>
        <v>26988.907204904757</v>
      </c>
      <c r="U15" s="46">
        <f>T$15*'Population Treasury'!AM$35*'Statistics NZ'!AM$360/('Population Treasury'!AL$35*'Statistics NZ'!AL$360)</f>
        <v>25040.766751861247</v>
      </c>
      <c r="V15" s="46">
        <f>U$15*'Population Treasury'!AN$35*'Statistics NZ'!AN$360/('Population Treasury'!AM$35*'Statistics NZ'!AM$360)</f>
        <v>25192.894678803725</v>
      </c>
      <c r="W15" s="46">
        <f>V$15*'Population Treasury'!AO$35*'Statistics NZ'!AO$360/('Population Treasury'!AN$35*'Statistics NZ'!AN$360)</f>
        <v>25629.189817504252</v>
      </c>
      <c r="X15" s="46">
        <f>W$15*'Population Treasury'!AP$35*'Statistics NZ'!AP$360/('Population Treasury'!AO$35*'Statistics NZ'!AO$360)</f>
        <v>25690.071723857684</v>
      </c>
      <c r="Y15" s="46">
        <f>X$15*'Population Treasury'!AQ$35*'Statistics NZ'!AQ$360/('Population Treasury'!AP$35*'Statistics NZ'!AP$360)</f>
        <v>25740.756713792132</v>
      </c>
      <c r="Z15" s="46">
        <f>Y$15*'Population Treasury'!AR$35*'Statistics NZ'!AR$360/('Population Treasury'!AQ$35*'Statistics NZ'!AQ$360)</f>
        <v>25771.122883031909</v>
      </c>
      <c r="AA15" s="46">
        <f>Z$15*'Population Treasury'!AS$35*'Statistics NZ'!AS$360/('Population Treasury'!AR$35*'Statistics NZ'!AR$360)</f>
        <v>25791.441873108339</v>
      </c>
      <c r="AB15" s="46">
        <f>AA$15*'Population Treasury'!AT$35*'Statistics NZ'!AT$360/('Population Treasury'!AS$35*'Statistics NZ'!AS$360)</f>
        <v>25821.808214101493</v>
      </c>
      <c r="AC15" s="46">
        <f>AB$15*'Population Treasury'!AU$35*'Statistics NZ'!AU$360/('Population Treasury'!AT$35*'Statistics NZ'!AT$360)</f>
        <v>25852.249357263139</v>
      </c>
      <c r="AD15" s="46">
        <f>AC$15*'Population Treasury'!AV$35*'Statistics NZ'!AV$360/('Population Treasury'!AU$35*'Statistics NZ'!AU$360)</f>
        <v>25902.934909481144</v>
      </c>
      <c r="AE15" s="46">
        <f>AD$15*'Population Treasury'!AW$35*'Statistics NZ'!AW$360/('Population Treasury'!AV$35*'Statistics NZ'!AV$360)</f>
        <v>25973.865210217737</v>
      </c>
      <c r="AF15" s="46">
        <f>AE$15*'Population Treasury'!AX$35*'Statistics NZ'!AX$360/('Population Treasury'!AW$35*'Statistics NZ'!AW$360)</f>
        <v>26065.189106948834</v>
      </c>
      <c r="AG15" s="46">
        <f>AF$15*'Population Treasury'!AY$35*'Statistics NZ'!AY$360/('Population Treasury'!AX$35*'Statistics NZ'!AX$360)</f>
        <v>26186.954256150497</v>
      </c>
      <c r="AH15" s="46">
        <f>AG$15*'Population Treasury'!AZ$35*'Statistics NZ'!AZ$360/('Population Treasury'!AY$35*'Statistics NZ'!AY$360)</f>
        <v>26329.037990039888</v>
      </c>
      <c r="AI15" s="46">
        <f>AH$15*'Population Treasury'!BA$35*'Statistics NZ'!BA$360/('Population Treasury'!AZ$35*'Statistics NZ'!AZ$360)</f>
        <v>26501.489679342827</v>
      </c>
      <c r="AJ15" s="46">
        <f>AI$15*'Population Treasury'!BB$35*'Statistics NZ'!BB$360/('Population Treasury'!BA$35*'Statistics NZ'!BA$360)</f>
        <v>26694.260225454269</v>
      </c>
      <c r="AK15" s="46">
        <f>AJ$15*'Population Treasury'!BC$35*'Statistics NZ'!BC$360/('Population Treasury'!BB$35*'Statistics NZ'!BB$360)</f>
        <v>26887.102868907379</v>
      </c>
      <c r="AL15" s="46">
        <f>AK$15*'Population Treasury'!BD$35*'Statistics NZ'!BD$360/('Population Treasury'!BC$35*'Statistics NZ'!BC$360)</f>
        <v>27089.996632757495</v>
      </c>
      <c r="AM15" s="46">
        <f>AL$15*'Population Treasury'!BE$35*'Statistics NZ'!BE$360/('Population Treasury'!BD$35*'Statistics NZ'!BD$360)</f>
        <v>27282.767485202763</v>
      </c>
      <c r="AN15" s="46">
        <f>AM$15*'Population Treasury'!BF$35*'Statistics NZ'!BF$360/('Population Treasury'!BE$35*'Statistics NZ'!BE$360)</f>
        <v>27455.220895131206</v>
      </c>
      <c r="AO15" s="46">
        <f>AN$15*'Population Treasury'!BG$35*'Statistics NZ'!BG$360/('Population Treasury'!BF$35*'Statistics NZ'!BF$360)</f>
        <v>27607.427274571746</v>
      </c>
      <c r="AP15" s="46">
        <f>AO$15*'Population Treasury'!BH$35*'Statistics NZ'!BH$360/('Population Treasury'!BG$35*'Statistics NZ'!BG$360)</f>
        <v>27729.262046729975</v>
      </c>
      <c r="AQ15" s="46">
        <f>AP$15*'Population Treasury'!BI$35*'Statistics NZ'!BI$360/('Population Treasury'!BH$35*'Statistics NZ'!BH$360)</f>
        <v>27830.709476161755</v>
      </c>
    </row>
    <row r="16" spans="1:43" x14ac:dyDescent="0.25">
      <c r="A16" s="11">
        <v>21</v>
      </c>
      <c r="B16" s="45">
        <f>'Population Treasury'!T$36*'Statistics NZ'!T$361*'Economic Forecasts'!V$8/B$7</f>
        <v>24105.642929243593</v>
      </c>
      <c r="C16" s="45">
        <f>'Population Treasury'!U$36*'Statistics NZ'!U$361*'Economic Forecasts'!W$8/C$7</f>
        <v>24471.358804427418</v>
      </c>
      <c r="D16" s="45">
        <f>'Population Treasury'!V$36*'Statistics NZ'!V$361*'Economic Forecasts'!X$8/D$7</f>
        <v>24589.277576511999</v>
      </c>
      <c r="E16" s="45">
        <f>'Population Treasury'!W$36*'Statistics NZ'!W$361*'Economic Forecasts'!Y$8/E$7</f>
        <v>25258.680785598906</v>
      </c>
      <c r="F16" s="45">
        <f>'Population Treasury'!X$36*'Statistics NZ'!X$361*'Economic Forecasts'!Z$8/F$7</f>
        <v>27052.939639026325</v>
      </c>
      <c r="G16" s="45">
        <f>'Population Treasury'!Y$36*'Statistics NZ'!Y$361*'Economic Forecasts'!AA$8/G$7</f>
        <v>28016.629134989234</v>
      </c>
      <c r="H16" s="46">
        <f>G$16*'Population Treasury'!Z$36*'Statistics NZ'!Z$361/('Population Treasury'!Y$36*'Statistics NZ'!Y$361)</f>
        <v>27597.534362558104</v>
      </c>
      <c r="I16" s="46">
        <f>H$16*'Population Treasury'!AA$36*'Statistics NZ'!AA$361/('Population Treasury'!Z$36*'Statistics NZ'!Z$361)</f>
        <v>28427.713030541516</v>
      </c>
      <c r="J16" s="46">
        <f>I$16*'Population Treasury'!AB$36*'Statistics NZ'!AB$361/('Population Treasury'!AA$36*'Statistics NZ'!AA$361)</f>
        <v>28497.742408856426</v>
      </c>
      <c r="K16" s="46">
        <f>J$16*'Population Treasury'!AC$36*'Statistics NZ'!AC$361/('Population Treasury'!AB$36*'Statistics NZ'!AB$361)</f>
        <v>28609.199217495658</v>
      </c>
      <c r="L16" s="46">
        <f>K$16*'Population Treasury'!AD$36*'Statistics NZ'!AD$361/('Population Treasury'!AC$36*'Statistics NZ'!AC$361)</f>
        <v>28659.755084212011</v>
      </c>
      <c r="M16" s="46">
        <f>L$16*'Population Treasury'!AE$36*'Statistics NZ'!AE$361/('Population Treasury'!AD$36*'Statistics NZ'!AD$361)</f>
        <v>28030.479034888056</v>
      </c>
      <c r="N16" s="46">
        <f>M$16*'Population Treasury'!AF$36*'Statistics NZ'!AF$361/('Population Treasury'!AE$36*'Statistics NZ'!AE$361)</f>
        <v>28141.934708130899</v>
      </c>
      <c r="O16" s="46">
        <f>N$16*'Population Treasury'!AG$36*'Statistics NZ'!AG$361/('Population Treasury'!AF$36*'Statistics NZ'!AF$361)</f>
        <v>27837.417327153216</v>
      </c>
      <c r="P16" s="46">
        <f>O$16*'Population Treasury'!AH$36*'Statistics NZ'!AH$361/('Population Treasury'!AG$36*'Statistics NZ'!AG$361)</f>
        <v>28263.442440259249</v>
      </c>
      <c r="Q16" s="46">
        <f>P$16*'Population Treasury'!AI$36*'Statistics NZ'!AI$361/('Population Treasury'!AH$36*'Statistics NZ'!AH$361)</f>
        <v>27826.988514520086</v>
      </c>
      <c r="R16" s="46">
        <f>Q$16*'Population Treasury'!AJ$36*'Statistics NZ'!AJ$361/('Population Treasury'!AI$36*'Statistics NZ'!AI$361)</f>
        <v>27897.942565258541</v>
      </c>
      <c r="S16" s="46">
        <f>R$16*'Population Treasury'!AK$36*'Statistics NZ'!AK$361/('Population Treasury'!AJ$36*'Statistics NZ'!AJ$361)</f>
        <v>27684.699600400945</v>
      </c>
      <c r="T16" s="46">
        <f>S$16*'Population Treasury'!AL$36*'Statistics NZ'!AL$361/('Population Treasury'!AK$36*'Statistics NZ'!AK$361)</f>
        <v>27847.011434838401</v>
      </c>
      <c r="U16" s="46">
        <f>T$16*'Population Treasury'!AM$36*'Statistics NZ'!AM$361/('Population Treasury'!AL$36*'Statistics NZ'!AL$361)</f>
        <v>28130.982724507587</v>
      </c>
      <c r="V16" s="46">
        <f>U$16*'Population Treasury'!AN$36*'Statistics NZ'!AN$361/('Population Treasury'!AM$36*'Statistics NZ'!AM$361)</f>
        <v>26111.737746494884</v>
      </c>
      <c r="W16" s="46">
        <f>V$16*'Population Treasury'!AO$36*'Statistics NZ'!AO$361/('Population Treasury'!AN$36*'Statistics NZ'!AN$361)</f>
        <v>26273.968221367173</v>
      </c>
      <c r="X16" s="46">
        <f>W$16*'Population Treasury'!AP$36*'Statistics NZ'!AP$361/('Population Treasury'!AO$36*'Statistics NZ'!AO$361)</f>
        <v>26730.53151182643</v>
      </c>
      <c r="Y16" s="46">
        <f>X$16*'Population Treasury'!AQ$36*'Statistics NZ'!AQ$361/('Population Treasury'!AP$36*'Statistics NZ'!AP$361)</f>
        <v>26811.608694248407</v>
      </c>
      <c r="Z16" s="46">
        <f>Y$16*'Population Treasury'!AR$36*'Statistics NZ'!AR$361/('Population Treasury'!AQ$36*'Statistics NZ'!AQ$361)</f>
        <v>26862.31184964129</v>
      </c>
      <c r="AA16" s="46">
        <f>Z$16*'Population Treasury'!AS$36*'Statistics NZ'!AS$361/('Population Treasury'!AR$36*'Statistics NZ'!AR$361)</f>
        <v>26892.686381720268</v>
      </c>
      <c r="AB16" s="46">
        <f>AA$16*'Population Treasury'!AT$36*'Statistics NZ'!AT$361/('Population Treasury'!AS$36*'Statistics NZ'!AS$361)</f>
        <v>26923.061028519183</v>
      </c>
      <c r="AC16" s="46">
        <f>AB$16*'Population Treasury'!AU$36*'Statistics NZ'!AU$361/('Population Treasury'!AT$36*'Statistics NZ'!AT$361)</f>
        <v>26953.435789736137</v>
      </c>
      <c r="AD16" s="46">
        <f>AC$16*'Population Treasury'!AV$36*'Statistics NZ'!AV$361/('Population Treasury'!AU$36*'Statistics NZ'!AU$361)</f>
        <v>26994.014491696253</v>
      </c>
      <c r="AE16" s="46">
        <f>AD$16*'Population Treasury'!AW$36*'Statistics NZ'!AW$361/('Population Treasury'!AV$36*'Statistics NZ'!AV$361)</f>
        <v>27044.718229840448</v>
      </c>
      <c r="AF16" s="46">
        <f>AE$16*'Population Treasury'!AX$36*'Statistics NZ'!AX$361/('Population Treasury'!AW$36*'Statistics NZ'!AW$361)</f>
        <v>27115.750733358243</v>
      </c>
      <c r="AG16" s="46">
        <f>AF$16*'Population Treasury'!AY$36*'Statistics NZ'!AY$361/('Population Treasury'!AX$36*'Statistics NZ'!AX$361)</f>
        <v>27217.158647705051</v>
      </c>
      <c r="AH16" s="46">
        <f>AG$16*'Population Treasury'!AZ$36*'Statistics NZ'!AZ$361/('Population Treasury'!AY$36*'Statistics NZ'!AY$361)</f>
        <v>27349.020694724593</v>
      </c>
      <c r="AI16" s="46">
        <f>AH$16*'Population Treasury'!BA$36*'Statistics NZ'!BA$361/('Population Treasury'!AZ$36*'Statistics NZ'!AZ$361)</f>
        <v>27501.211426731901</v>
      </c>
      <c r="AJ16" s="46">
        <f>AI$16*'Population Treasury'!BB$36*'Statistics NZ'!BB$361/('Population Treasury'!BA$36*'Statistics NZ'!BA$361)</f>
        <v>27683.855818399115</v>
      </c>
      <c r="AK16" s="46">
        <f>AJ$16*'Population Treasury'!BC$36*'Statistics NZ'!BC$361/('Population Treasury'!BB$36*'Statistics NZ'!BB$361)</f>
        <v>27876.625818454049</v>
      </c>
      <c r="AL16" s="46">
        <f>AK$16*'Population Treasury'!BD$36*'Statistics NZ'!BD$361/('Population Treasury'!BC$36*'Statistics NZ'!BC$361)</f>
        <v>28089.647710518493</v>
      </c>
      <c r="AM16" s="46">
        <f>AL$16*'Population Treasury'!BE$36*'Statistics NZ'!BE$361/('Population Treasury'!BD$36*'Statistics NZ'!BD$361)</f>
        <v>28302.745763605923</v>
      </c>
      <c r="AN16" s="46">
        <f>AM$16*'Population Treasury'!BF$36*'Statistics NZ'!BF$361/('Population Treasury'!BE$36*'Statistics NZ'!BE$361)</f>
        <v>28505.642608563547</v>
      </c>
      <c r="AO16" s="46">
        <f>AN$16*'Population Treasury'!BG$36*'Statistics NZ'!BG$361/('Population Treasury'!BF$36*'Statistics NZ'!BF$361)</f>
        <v>28688.287355187389</v>
      </c>
      <c r="AP16" s="46">
        <f>AO$16*'Population Treasury'!BH$36*'Statistics NZ'!BH$361/('Population Treasury'!BG$36*'Statistics NZ'!BG$361)</f>
        <v>28840.552854721202</v>
      </c>
      <c r="AQ16" s="46">
        <f>AP$16*'Population Treasury'!BI$36*'Statistics NZ'!BI$361/('Population Treasury'!BH$36*'Statistics NZ'!BH$361)</f>
        <v>28982.470507311562</v>
      </c>
    </row>
    <row r="17" spans="1:43" x14ac:dyDescent="0.25">
      <c r="A17" s="11">
        <v>22</v>
      </c>
      <c r="B17" s="45">
        <f>'Population Treasury'!T$37*'Statistics NZ'!T$362*'Economic Forecasts'!V$8/B$7</f>
        <v>25084.653707140769</v>
      </c>
      <c r="C17" s="45">
        <f>'Population Treasury'!U$37*'Statistics NZ'!U$362*'Economic Forecasts'!W$8/C$7</f>
        <v>24698.627269948047</v>
      </c>
      <c r="D17" s="45">
        <f>'Population Treasury'!V$37*'Statistics NZ'!V$362*'Economic Forecasts'!X$8/D$7</f>
        <v>25452.567161159724</v>
      </c>
      <c r="E17" s="45">
        <f>'Population Treasury'!W$37*'Statistics NZ'!W$362*'Economic Forecasts'!Y$8/E$7</f>
        <v>25657.710189296056</v>
      </c>
      <c r="F17" s="45">
        <f>'Population Treasury'!X$37*'Statistics NZ'!X$362*'Economic Forecasts'!Z$8/F$7</f>
        <v>26350.935829965718</v>
      </c>
      <c r="G17" s="45">
        <f>'Population Treasury'!Y$37*'Statistics NZ'!Y$362*'Economic Forecasts'!AA$8/G$7</f>
        <v>28187.386535799149</v>
      </c>
      <c r="H17" s="46">
        <f>G$17*'Population Treasury'!Z$37*'Statistics NZ'!Z$362/('Population Treasury'!Y$37*'Statistics NZ'!Y$362)</f>
        <v>29127.894448161831</v>
      </c>
      <c r="I17" s="46">
        <f>H$17*'Population Treasury'!AA$37*'Statistics NZ'!AA$362/('Population Treasury'!Z$37*'Statistics NZ'!Z$362)</f>
        <v>28689.662391815284</v>
      </c>
      <c r="J17" s="46">
        <f>I$17*'Population Treasury'!AB$37*'Statistics NZ'!AB$362/('Population Treasury'!AA$37*'Statistics NZ'!AA$362)</f>
        <v>29561.201200118208</v>
      </c>
      <c r="K17" s="46">
        <f>J$17*'Population Treasury'!AC$37*'Statistics NZ'!AC$362/('Population Treasury'!AB$37*'Statistics NZ'!AB$362)</f>
        <v>29632.030172871055</v>
      </c>
      <c r="L17" s="46">
        <f>K$17*'Population Treasury'!AD$37*'Statistics NZ'!AD$362/('Population Treasury'!AC$37*'Statistics NZ'!AC$362)</f>
        <v>29753.579496832259</v>
      </c>
      <c r="M17" s="46">
        <f>L$17*'Population Treasury'!AE$37*'Statistics NZ'!AE$362/('Population Treasury'!AD$37*'Statistics NZ'!AD$362)</f>
        <v>29804.151625985207</v>
      </c>
      <c r="N17" s="46">
        <f>M$17*'Population Treasury'!AF$37*'Statistics NZ'!AF$362/('Population Treasury'!AE$37*'Statistics NZ'!AE$362)</f>
        <v>29154.622200248607</v>
      </c>
      <c r="O17" s="46">
        <f>N$17*'Population Treasury'!AG$37*'Statistics NZ'!AG$362/('Population Treasury'!AF$37*'Statistics NZ'!AF$362)</f>
        <v>29276.169448555054</v>
      </c>
      <c r="P17" s="46">
        <f>O$17*'Population Treasury'!AH$37*'Statistics NZ'!AH$362/('Population Treasury'!AG$37*'Statistics NZ'!AG$362)</f>
        <v>28961.490773117483</v>
      </c>
      <c r="Q17" s="46">
        <f>P$17*'Population Treasury'!AI$37*'Statistics NZ'!AI$362/('Population Treasury'!AH$37*'Statistics NZ'!AH$362)</f>
        <v>29407.847228066425</v>
      </c>
      <c r="R17" s="46">
        <f>Q$17*'Population Treasury'!AJ$37*'Statistics NZ'!AJ$362/('Population Treasury'!AI$37*'Statistics NZ'!AI$362)</f>
        <v>28961.185418001402</v>
      </c>
      <c r="S17" s="46">
        <f>R$17*'Population Treasury'!AK$37*'Statistics NZ'!AK$362/('Population Treasury'!AJ$37*'Statistics NZ'!AJ$362)</f>
        <v>29032.164260654881</v>
      </c>
      <c r="T17" s="46">
        <f>S$17*'Population Treasury'!AL$37*'Statistics NZ'!AL$362/('Population Treasury'!AK$37*'Statistics NZ'!AK$362)</f>
        <v>28818.921054821934</v>
      </c>
      <c r="U17" s="46">
        <f>T$17*'Population Treasury'!AM$37*'Statistics NZ'!AM$362/('Population Treasury'!AL$37*'Statistics NZ'!AL$362)</f>
        <v>28991.266322185551</v>
      </c>
      <c r="V17" s="46">
        <f>U$17*'Population Treasury'!AN$37*'Statistics NZ'!AN$362/('Population Treasury'!AM$37*'Statistics NZ'!AM$362)</f>
        <v>29285.467047149406</v>
      </c>
      <c r="W17" s="46">
        <f>V$17*'Population Treasury'!AO$37*'Statistics NZ'!AO$362/('Population Treasury'!AN$37*'Statistics NZ'!AN$362)</f>
        <v>27195.212444759072</v>
      </c>
      <c r="X17" s="46">
        <f>W$17*'Population Treasury'!AP$37*'Statistics NZ'!AP$362/('Population Treasury'!AO$37*'Statistics NZ'!AO$362)</f>
        <v>27357.503501982952</v>
      </c>
      <c r="Y17" s="46">
        <f>X$17*'Population Treasury'!AQ$37*'Statistics NZ'!AQ$362/('Population Treasury'!AP$37*'Statistics NZ'!AP$362)</f>
        <v>27834.331853845997</v>
      </c>
      <c r="Z17" s="46">
        <f>Y$17*'Population Treasury'!AR$37*'Statistics NZ'!AR$362/('Population Treasury'!AQ$37*'Statistics NZ'!AQ$362)</f>
        <v>27915.438432529514</v>
      </c>
      <c r="AA17" s="46">
        <f>Z$17*'Population Treasury'!AS$37*'Statistics NZ'!AS$362/('Population Treasury'!AR$37*'Statistics NZ'!AR$362)</f>
        <v>27976.208962877703</v>
      </c>
      <c r="AB17" s="46">
        <f>AA$17*'Population Treasury'!AT$37*'Statistics NZ'!AT$362/('Population Treasury'!AS$37*'Statistics NZ'!AS$362)</f>
        <v>28016.722862392962</v>
      </c>
      <c r="AC17" s="46">
        <f>AB$17*'Population Treasury'!AU$37*'Statistics NZ'!AU$362/('Population Treasury'!AT$37*'Statistics NZ'!AT$362)</f>
        <v>28047.108398229615</v>
      </c>
      <c r="AD17" s="46">
        <f>AC$17*'Population Treasury'!AV$37*'Statistics NZ'!AV$362/('Population Treasury'!AU$37*'Statistics NZ'!AU$362)</f>
        <v>28077.573354950531</v>
      </c>
      <c r="AE17" s="46">
        <f>AD$17*'Population Treasury'!AW$37*'Statistics NZ'!AW$362/('Population Treasury'!AV$37*'Statistics NZ'!AV$362)</f>
        <v>28118.087605487424</v>
      </c>
      <c r="AF17" s="46">
        <f>AE$17*'Population Treasury'!AX$37*'Statistics NZ'!AX$362/('Population Treasury'!AW$37*'Statistics NZ'!AW$362)</f>
        <v>28178.938397850499</v>
      </c>
      <c r="AG17" s="46">
        <f>AF$17*'Population Treasury'!AY$37*'Statistics NZ'!AY$362/('Population Treasury'!AX$37*'Statistics NZ'!AX$362)</f>
        <v>28249.996872510321</v>
      </c>
      <c r="AH17" s="46">
        <f>AG$17*'Population Treasury'!AZ$37*'Statistics NZ'!AZ$362/('Population Treasury'!AY$37*'Statistics NZ'!AY$362)</f>
        <v>28361.49147686729</v>
      </c>
      <c r="AI17" s="46">
        <f>AH$17*'Population Treasury'!BA$37*'Statistics NZ'!BA$362/('Population Treasury'!AZ$37*'Statistics NZ'!AZ$362)</f>
        <v>28493.479486236814</v>
      </c>
      <c r="AJ17" s="46">
        <f>AI$17*'Population Treasury'!BB$37*'Statistics NZ'!BB$362/('Population Treasury'!BA$37*'Statistics NZ'!BA$362)</f>
        <v>28665.826761615052</v>
      </c>
      <c r="AK17" s="46">
        <f>AJ$17*'Population Treasury'!BC$37*'Statistics NZ'!BC$362/('Population Treasury'!BB$37*'Statistics NZ'!BB$362)</f>
        <v>28848.536824227343</v>
      </c>
      <c r="AL17" s="46">
        <f>AK$17*'Population Treasury'!BD$37*'Statistics NZ'!BD$362/('Population Treasury'!BC$37*'Statistics NZ'!BC$362)</f>
        <v>29051.504294861486</v>
      </c>
      <c r="AM17" s="46">
        <f>AL$17*'Population Treasury'!BE$37*'Statistics NZ'!BE$362/('Population Treasury'!BD$37*'Statistics NZ'!BD$362)</f>
        <v>29274.653675122023</v>
      </c>
      <c r="AN17" s="46">
        <f>AM$17*'Population Treasury'!BF$37*'Statistics NZ'!BF$362/('Population Treasury'!BE$37*'Statistics NZ'!BE$362)</f>
        <v>29497.879819948779</v>
      </c>
      <c r="AO17" s="46">
        <f>AN$17*'Population Treasury'!BG$37*'Statistics NZ'!BG$362/('Population Treasury'!BF$37*'Statistics NZ'!BF$362)</f>
        <v>29710.901268531274</v>
      </c>
      <c r="AP17" s="46">
        <f>AO$17*'Population Treasury'!BH$37*'Statistics NZ'!BH$362/('Population Treasury'!BG$37*'Statistics NZ'!BG$362)</f>
        <v>29903.664088451063</v>
      </c>
      <c r="AQ17" s="46">
        <f>AP$17*'Population Treasury'!BI$37*'Statistics NZ'!BI$362/('Population Treasury'!BH$37*'Statistics NZ'!BH$362)</f>
        <v>30066.037802221319</v>
      </c>
    </row>
    <row r="18" spans="1:43" x14ac:dyDescent="0.25">
      <c r="A18" s="11">
        <v>23</v>
      </c>
      <c r="B18" s="45">
        <f>'Population Treasury'!T$38*'Statistics NZ'!T$363*'Economic Forecasts'!V$8/B$7</f>
        <v>26213.51307349158</v>
      </c>
      <c r="C18" s="45">
        <f>'Population Treasury'!U$38*'Statistics NZ'!U$363*'Economic Forecasts'!W$8/C$7</f>
        <v>25311.93815711018</v>
      </c>
      <c r="D18" s="45">
        <f>'Population Treasury'!V$38*'Statistics NZ'!V$363*'Economic Forecasts'!X$8/D$7</f>
        <v>25323.336139288531</v>
      </c>
      <c r="E18" s="45">
        <f>'Population Treasury'!W$38*'Statistics NZ'!W$363*'Economic Forecasts'!Y$8/E$7</f>
        <v>26206.594101138802</v>
      </c>
      <c r="F18" s="45">
        <f>'Population Treasury'!X$38*'Statistics NZ'!X$363*'Economic Forecasts'!Z$8/F$7</f>
        <v>26420.981275727467</v>
      </c>
      <c r="G18" s="45">
        <f>'Population Treasury'!Y$38*'Statistics NZ'!Y$363*'Economic Forecasts'!AA$8/G$7</f>
        <v>27111.48827848669</v>
      </c>
      <c r="H18" s="46">
        <f>G$18*'Population Treasury'!Z$38*'Statistics NZ'!Z$363/('Population Treasury'!Y$38*'Statistics NZ'!Y$363)</f>
        <v>28954.791731118075</v>
      </c>
      <c r="I18" s="46">
        <f>H$18*'Population Treasury'!AA$38*'Statistics NZ'!AA$363/('Population Treasury'!Z$38*'Statistics NZ'!Z$363)</f>
        <v>29936.917940195814</v>
      </c>
      <c r="J18" s="46">
        <f>I$18*'Population Treasury'!AB$38*'Statistics NZ'!AB$363/('Population Treasury'!AA$38*'Statistics NZ'!AA$363)</f>
        <v>29509.558766545237</v>
      </c>
      <c r="K18" s="46">
        <f>J$18*'Population Treasury'!AC$38*'Statistics NZ'!AC$363/('Population Treasury'!AB$38*'Statistics NZ'!AB$363)</f>
        <v>30422.40970948794</v>
      </c>
      <c r="L18" s="46">
        <f>K$18*'Population Treasury'!AD$38*'Statistics NZ'!AD$363/('Population Treasury'!AC$38*'Statistics NZ'!AC$363)</f>
        <v>30513.381930140098</v>
      </c>
      <c r="M18" s="46">
        <f>L$18*'Population Treasury'!AE$38*'Statistics NZ'!AE$363/('Population Treasury'!AD$38*'Statistics NZ'!AD$363)</f>
        <v>30655.158083318314</v>
      </c>
      <c r="N18" s="46">
        <f>M$18*'Population Treasury'!AF$38*'Statistics NZ'!AF$363/('Population Treasury'!AE$38*'Statistics NZ'!AE$363)</f>
        <v>30715.807980790512</v>
      </c>
      <c r="O18" s="46">
        <f>N$18*'Population Treasury'!AG$38*'Statistics NZ'!AG$363/('Population Treasury'!AF$38*'Statistics NZ'!AF$363)</f>
        <v>30066.135626261774</v>
      </c>
      <c r="P18" s="46">
        <f>O$18*'Population Treasury'!AH$38*'Statistics NZ'!AH$363/('Population Treasury'!AG$38*'Statistics NZ'!AG$363)</f>
        <v>30197.777751555132</v>
      </c>
      <c r="Q18" s="46">
        <f>P$18*'Population Treasury'!AI$38*'Statistics NZ'!AI$363/('Population Treasury'!AH$38*'Statistics NZ'!AH$363)</f>
        <v>29893.161073740066</v>
      </c>
      <c r="R18" s="46">
        <f>Q$18*'Population Treasury'!AJ$38*'Statistics NZ'!AJ$363/('Population Treasury'!AI$38*'Statistics NZ'!AI$363)</f>
        <v>30359.745407680435</v>
      </c>
      <c r="S18" s="46">
        <f>R$18*'Population Treasury'!AK$38*'Statistics NZ'!AK$363/('Population Treasury'!AJ$38*'Statistics NZ'!AJ$363)</f>
        <v>29902.924432527387</v>
      </c>
      <c r="T18" s="46">
        <f>S$18*'Population Treasury'!AL$38*'Statistics NZ'!AL$363/('Population Treasury'!AK$38*'Statistics NZ'!AK$363)</f>
        <v>29994.03885076012</v>
      </c>
      <c r="U18" s="46">
        <f>T$18*'Population Treasury'!AM$38*'Statistics NZ'!AM$363/('Population Treasury'!AL$38*'Statistics NZ'!AL$363)</f>
        <v>29780.822252285754</v>
      </c>
      <c r="V18" s="46">
        <f>U$18*'Population Treasury'!AN$38*'Statistics NZ'!AN$363/('Population Treasury'!AM$38*'Statistics NZ'!AM$363)</f>
        <v>29963.273422300394</v>
      </c>
      <c r="W18" s="46">
        <f>V$18*'Population Treasury'!AO$38*'Statistics NZ'!AO$363/('Population Treasury'!AN$38*'Statistics NZ'!AN$363)</f>
        <v>30277.666562997572</v>
      </c>
      <c r="X18" s="46">
        <f>W$18*'Population Treasury'!AP$38*'Statistics NZ'!AP$363/('Population Treasury'!AO$38*'Statistics NZ'!AO$363)</f>
        <v>28136.588927729568</v>
      </c>
      <c r="Y18" s="46">
        <f>X$18*'Population Treasury'!AQ$38*'Statistics NZ'!AQ$363/('Population Treasury'!AP$38*'Statistics NZ'!AP$363)</f>
        <v>28309.057177610095</v>
      </c>
      <c r="Z18" s="46">
        <f>Y$18*'Population Treasury'!AR$38*'Statistics NZ'!AR$363/('Population Treasury'!AQ$38*'Statistics NZ'!AQ$363)</f>
        <v>28806.12322107609</v>
      </c>
      <c r="AA18" s="46">
        <f>Z$18*'Population Treasury'!AS$38*'Statistics NZ'!AS$363/('Population Treasury'!AR$38*'Statistics NZ'!AR$363)</f>
        <v>28897.385380384287</v>
      </c>
      <c r="AB18" s="46">
        <f>AA$18*'Population Treasury'!AT$38*'Statistics NZ'!AT$363/('Population Treasury'!AS$38*'Statistics NZ'!AS$363)</f>
        <v>28958.175789684963</v>
      </c>
      <c r="AC18" s="46">
        <f>AB$18*'Population Treasury'!AU$38*'Statistics NZ'!AU$363/('Population Treasury'!AT$38*'Statistics NZ'!AT$363)</f>
        <v>29008.757931016473</v>
      </c>
      <c r="AD18" s="46">
        <f>AC$18*'Population Treasury'!AV$38*'Statistics NZ'!AV$363/('Population Treasury'!AU$38*'Statistics NZ'!AU$363)</f>
        <v>29049.285287830353</v>
      </c>
      <c r="AE18" s="46">
        <f>AD$18*'Population Treasury'!AW$38*'Statistics NZ'!AW$363/('Population Treasury'!AV$38*'Statistics NZ'!AV$363)</f>
        <v>29079.757540600331</v>
      </c>
      <c r="AF18" s="46">
        <f>AE$18*'Population Treasury'!AX$38*'Statistics NZ'!AX$363/('Population Treasury'!AW$38*'Statistics NZ'!AW$363)</f>
        <v>29130.3404124396</v>
      </c>
      <c r="AG18" s="46">
        <f>AF$18*'Population Treasury'!AY$38*'Statistics NZ'!AY$363/('Population Treasury'!AX$38*'Statistics NZ'!AX$363)</f>
        <v>29191.208561802632</v>
      </c>
      <c r="AH18" s="46">
        <f>AG$18*'Population Treasury'!AZ$38*'Statistics NZ'!AZ$363/('Population Treasury'!AY$38*'Statistics NZ'!AY$363)</f>
        <v>29282.472768038169</v>
      </c>
      <c r="AI18" s="46">
        <f>AH$18*'Population Treasury'!BA$38*'Statistics NZ'!BA$363/('Population Treasury'!AZ$38*'Statistics NZ'!AZ$363)</f>
        <v>29394.077418376379</v>
      </c>
      <c r="AJ18" s="46">
        <f>AI$18*'Population Treasury'!BB$38*'Statistics NZ'!BB$363/('Population Treasury'!BA$38*'Statistics NZ'!BA$363)</f>
        <v>29536.078554783118</v>
      </c>
      <c r="AK18" s="46">
        <f>AJ$18*'Population Treasury'!BC$38*'Statistics NZ'!BC$363/('Population Treasury'!BB$38*'Statistics NZ'!BB$363)</f>
        <v>29708.552105250605</v>
      </c>
      <c r="AL18" s="46">
        <f>AK$18*'Population Treasury'!BD$38*'Statistics NZ'!BD$363/('Population Treasury'!BC$38*'Statistics NZ'!BC$363)</f>
        <v>29901.365251520496</v>
      </c>
      <c r="AM18" s="46">
        <f>AL$18*'Population Treasury'!BE$38*'Statistics NZ'!BE$363/('Population Treasury'!BD$38*'Statistics NZ'!BD$363)</f>
        <v>30124.501149344374</v>
      </c>
      <c r="AN18" s="46">
        <f>AM$18*'Population Treasury'!BF$38*'Statistics NZ'!BF$363/('Population Treasury'!BE$38*'Statistics NZ'!BE$363)</f>
        <v>30347.785608709182</v>
      </c>
      <c r="AO18" s="46">
        <f>AN$18*'Population Treasury'!BG$38*'Statistics NZ'!BG$363/('Population Treasury'!BF$38*'Statistics NZ'!BF$363)</f>
        <v>30581.128773289402</v>
      </c>
      <c r="AP18" s="46">
        <f>AO$18*'Population Treasury'!BH$38*'Statistics NZ'!BH$363/('Population Treasury'!BG$38*'Statistics NZ'!BG$363)</f>
        <v>30804.267028729479</v>
      </c>
      <c r="AQ18" s="46">
        <f>AP$18*'Population Treasury'!BI$38*'Statistics NZ'!BI$363/('Population Treasury'!BH$38*'Statistics NZ'!BH$363)</f>
        <v>31007.212841256413</v>
      </c>
    </row>
    <row r="19" spans="1:43" x14ac:dyDescent="0.25">
      <c r="A19" s="11">
        <v>24</v>
      </c>
      <c r="B19" s="45">
        <f>'Population Treasury'!T$39*'Statistics NZ'!T$364*'Economic Forecasts'!V$8/B$7</f>
        <v>26862.85695679074</v>
      </c>
      <c r="C19" s="45">
        <f>'Population Treasury'!U$39*'Statistics NZ'!U$364*'Economic Forecasts'!W$8/C$7</f>
        <v>26261.789488973875</v>
      </c>
      <c r="D19" s="45">
        <f>'Population Treasury'!V$39*'Statistics NZ'!V$364*'Economic Forecasts'!X$8/D$7</f>
        <v>25779.891208833429</v>
      </c>
      <c r="E19" s="45">
        <f>'Population Treasury'!W$39*'Statistics NZ'!W$364*'Economic Forecasts'!Y$8/E$7</f>
        <v>25917.023823657804</v>
      </c>
      <c r="F19" s="45">
        <f>'Population Treasury'!X$39*'Statistics NZ'!X$364*'Economic Forecasts'!Z$8/F$7</f>
        <v>26821.9420925171</v>
      </c>
      <c r="G19" s="45">
        <f>'Population Treasury'!Y$39*'Statistics NZ'!Y$364*'Economic Forecasts'!AA$8/G$7</f>
        <v>27051.111761464104</v>
      </c>
      <c r="H19" s="46">
        <f>G$19*'Population Treasury'!Z$39*'Statistics NZ'!Z$364/('Population Treasury'!Y$39*'Statistics NZ'!Y$364)</f>
        <v>27717.177896635571</v>
      </c>
      <c r="I19" s="46">
        <f>H$19*'Population Treasury'!AA$39*'Statistics NZ'!AA$364/('Population Treasury'!Z$39*'Statistics NZ'!Z$364)</f>
        <v>29612.215566637304</v>
      </c>
      <c r="J19" s="46">
        <f>I$19*'Population Treasury'!AB$39*'Statistics NZ'!AB$364/('Population Treasury'!AA$39*'Statistics NZ'!AA$364)</f>
        <v>30635.56170116692</v>
      </c>
      <c r="K19" s="46">
        <f>J$19*'Population Treasury'!AC$39*'Statistics NZ'!AC$364/('Population Treasury'!AB$39*'Statistics NZ'!AB$364)</f>
        <v>30229.165184111065</v>
      </c>
      <c r="L19" s="46">
        <f>K$19*'Population Treasury'!AD$39*'Statistics NZ'!AD$364/('Population Treasury'!AC$39*'Statistics NZ'!AC$364)</f>
        <v>31172.324975111394</v>
      </c>
      <c r="M19" s="46">
        <f>L$19*'Population Treasury'!AE$39*'Statistics NZ'!AE$364/('Population Treasury'!AD$39*'Statistics NZ'!AD$364)</f>
        <v>31283.435587354841</v>
      </c>
      <c r="N19" s="46">
        <f>M$19*'Population Treasury'!AF$39*'Statistics NZ'!AF$364/('Population Treasury'!AE$39*'Statistics NZ'!AE$364)</f>
        <v>31455.491359331572</v>
      </c>
      <c r="O19" s="46">
        <f>N$19*'Population Treasury'!AG$39*'Statistics NZ'!AG$364/('Population Treasury'!AF$39*'Statistics NZ'!AF$364)</f>
        <v>31536.276159929959</v>
      </c>
      <c r="P19" s="46">
        <f>O$19*'Population Treasury'!AH$39*'Statistics NZ'!AH$364/('Population Treasury'!AG$39*'Statistics NZ'!AG$364)</f>
        <v>30896.63802471598</v>
      </c>
      <c r="Q19" s="46">
        <f>P$19*'Population Treasury'!AI$39*'Statistics NZ'!AI$364/('Population Treasury'!AH$39*'Statistics NZ'!AH$364)</f>
        <v>31038.362681576662</v>
      </c>
      <c r="R19" s="46">
        <f>Q$19*'Population Treasury'!AJ$39*'Statistics NZ'!AJ$364/('Population Treasury'!AI$39*'Statistics NZ'!AI$364)</f>
        <v>30743.831136728048</v>
      </c>
      <c r="S19" s="46">
        <f>R$19*'Population Treasury'!AK$39*'Statistics NZ'!AK$364/('Population Treasury'!AJ$39*'Statistics NZ'!AJ$364)</f>
        <v>31240.67505689137</v>
      </c>
      <c r="T19" s="46">
        <f>S$19*'Population Treasury'!AL$39*'Statistics NZ'!AL$364/('Population Treasury'!AK$39*'Statistics NZ'!AK$364)</f>
        <v>30793.911097975295</v>
      </c>
      <c r="U19" s="46">
        <f>T$19*'Population Treasury'!AM$39*'Statistics NZ'!AM$364/('Population Treasury'!AL$39*'Statistics NZ'!AL$364)</f>
        <v>30895.101847930109</v>
      </c>
      <c r="V19" s="46">
        <f>U$19*'Population Treasury'!AN$39*'Statistics NZ'!AN$364/('Population Treasury'!AM$39*'Statistics NZ'!AM$364)</f>
        <v>30681.848190195931</v>
      </c>
      <c r="W19" s="46">
        <f>V$19*'Population Treasury'!AO$39*'Statistics NZ'!AO$364/('Population Treasury'!AN$39*'Statistics NZ'!AN$364)</f>
        <v>30884.525696909073</v>
      </c>
      <c r="X19" s="46">
        <f>W$19*'Population Treasury'!AP$39*'Statistics NZ'!AP$364/('Population Treasury'!AO$39*'Statistics NZ'!AO$364)</f>
        <v>31219.096209760588</v>
      </c>
      <c r="Y19" s="46">
        <f>X$19*'Population Treasury'!AQ$39*'Statistics NZ'!AQ$364/('Population Treasury'!AP$39*'Statistics NZ'!AP$364)</f>
        <v>29037.466577962572</v>
      </c>
      <c r="Z19" s="46">
        <f>Y$19*'Population Treasury'!AR$39*'Statistics NZ'!AR$364/('Population Treasury'!AQ$39*'Statistics NZ'!AQ$364)</f>
        <v>29230.077868690838</v>
      </c>
      <c r="AA19" s="46">
        <f>Z$19*'Population Treasury'!AS$39*'Statistics NZ'!AS$364/('Population Treasury'!AR$39*'Statistics NZ'!AR$364)</f>
        <v>29747.352913498467</v>
      </c>
      <c r="AB19" s="46">
        <f>AA$19*'Population Treasury'!AT$39*'Statistics NZ'!AT$364/('Population Treasury'!AS$39*'Statistics NZ'!AS$364)</f>
        <v>29838.632915820694</v>
      </c>
      <c r="AC19" s="46">
        <f>AB$19*'Population Treasury'!AU$39*'Statistics NZ'!AU$364/('Population Treasury'!AT$39*'Statistics NZ'!AT$364)</f>
        <v>29919.625982241432</v>
      </c>
      <c r="AD19" s="46">
        <f>AC$19*'Population Treasury'!AV$39*'Statistics NZ'!AV$364/('Population Treasury'!AU$39*'Statistics NZ'!AU$364)</f>
        <v>29970.294940237</v>
      </c>
      <c r="AE19" s="46">
        <f>AD$19*'Population Treasury'!AW$39*'Statistics NZ'!AW$364/('Population Treasury'!AV$39*'Statistics NZ'!AV$364)</f>
        <v>30010.753626557529</v>
      </c>
      <c r="AF19" s="46">
        <f>AE$19*'Population Treasury'!AX$39*'Statistics NZ'!AX$364/('Population Treasury'!AW$39*'Statistics NZ'!AW$364)</f>
        <v>30061.346442028043</v>
      </c>
      <c r="AG19" s="46">
        <f>AF$19*'Population Treasury'!AY$39*'Statistics NZ'!AY$364/('Population Treasury'!AX$39*'Statistics NZ'!AX$364)</f>
        <v>30112.092570168708</v>
      </c>
      <c r="AH19" s="46">
        <f>AG$19*'Population Treasury'!AZ$39*'Statistics NZ'!AZ$364/('Population Treasury'!AY$39*'Statistics NZ'!AY$364)</f>
        <v>30183.030263673259</v>
      </c>
      <c r="AI19" s="46">
        <f>AH$19*'Population Treasury'!BA$39*'Statistics NZ'!BA$364/('Population Treasury'!AZ$39*'Statistics NZ'!AZ$364)</f>
        <v>30274.312528461072</v>
      </c>
      <c r="AJ19" s="46">
        <f>AI$19*'Population Treasury'!BB$39*'Statistics NZ'!BB$364/('Population Treasury'!BA$39*'Statistics NZ'!BA$364)</f>
        <v>30395.997261293007</v>
      </c>
      <c r="AK19" s="46">
        <f>AJ$19*'Population Treasury'!BC$39*'Statistics NZ'!BC$364/('Population Treasury'!BB$39*'Statistics NZ'!BB$364)</f>
        <v>30548.16058897907</v>
      </c>
      <c r="AL19" s="46">
        <f>AK$19*'Population Treasury'!BD$39*'Statistics NZ'!BD$364/('Population Treasury'!BC$39*'Statistics NZ'!BC$364)</f>
        <v>30730.726999993458</v>
      </c>
      <c r="AM19" s="46">
        <f>AL$19*'Population Treasury'!BE$39*'Statistics NZ'!BE$364/('Population Treasury'!BD$39*'Statistics NZ'!BD$364)</f>
        <v>30933.637573995788</v>
      </c>
      <c r="AN19" s="46">
        <f>AM$19*'Population Treasury'!BF$39*'Statistics NZ'!BF$364/('Population Treasury'!BE$39*'Statistics NZ'!BE$364)</f>
        <v>31156.891391464698</v>
      </c>
      <c r="AO19" s="46">
        <f>AN$19*'Population Treasury'!BG$39*'Statistics NZ'!BG$364/('Population Treasury'!BF$39*'Statistics NZ'!BF$364)</f>
        <v>31400.340299132182</v>
      </c>
      <c r="AP19" s="46">
        <f>AO$19*'Population Treasury'!BH$39*'Statistics NZ'!BH$364/('Population Treasury'!BG$39*'Statistics NZ'!BG$364)</f>
        <v>31633.728620977836</v>
      </c>
      <c r="AQ19" s="46">
        <f>AP$19*'Population Treasury'!BI$39*'Statistics NZ'!BI$364/('Population Treasury'!BH$39*'Statistics NZ'!BH$364)</f>
        <v>31867.044228096769</v>
      </c>
    </row>
    <row r="20" spans="1:43" x14ac:dyDescent="0.25">
      <c r="A20" s="11">
        <v>25</v>
      </c>
      <c r="B20" s="45">
        <f>'Population Treasury'!T$40*'Statistics NZ'!T$365*'Economic Forecasts'!V$8/B$7</f>
        <v>26153.573638110127</v>
      </c>
      <c r="C20" s="45">
        <f>'Population Treasury'!U$40*'Statistics NZ'!U$365*'Economic Forecasts'!W$8/C$7</f>
        <v>27270.833918068442</v>
      </c>
      <c r="D20" s="45">
        <f>'Population Treasury'!V$40*'Statistics NZ'!V$365*'Economic Forecasts'!X$8/D$7</f>
        <v>27095.826644728626</v>
      </c>
      <c r="E20" s="45">
        <f>'Population Treasury'!W$40*'Statistics NZ'!W$365*'Economic Forecasts'!Y$8/E$7</f>
        <v>26690.466571860299</v>
      </c>
      <c r="F20" s="45">
        <f>'Population Treasury'!X$40*'Statistics NZ'!X$365*'Economic Forecasts'!Z$8/F$7</f>
        <v>26798.480721943513</v>
      </c>
      <c r="G20" s="45">
        <f>'Population Treasury'!Y$40*'Statistics NZ'!Y$365*'Economic Forecasts'!AA$8/G$7</f>
        <v>27696.386879042358</v>
      </c>
      <c r="H20" s="46">
        <f>G$20*'Population Treasury'!Z$40*'Statistics NZ'!Z$365/('Population Treasury'!Y$40*'Statistics NZ'!Y$365)</f>
        <v>27910.994789907938</v>
      </c>
      <c r="I20" s="46">
        <f>H$20*'Population Treasury'!AA$40*'Statistics NZ'!AA$365/('Population Treasury'!Z$40*'Statistics NZ'!Z$365)</f>
        <v>28626.277549596922</v>
      </c>
      <c r="J20" s="46">
        <f>I$20*'Population Treasury'!AB$40*'Statistics NZ'!AB$365/('Population Treasury'!AA$40*'Statistics NZ'!AA$365)</f>
        <v>30575.972067889252</v>
      </c>
      <c r="K20" s="46">
        <f>J$20*'Population Treasury'!AC$40*'Statistics NZ'!AC$365/('Population Treasury'!AB$40*'Statistics NZ'!AB$365)</f>
        <v>31630.939268818682</v>
      </c>
      <c r="L20" s="46">
        <f>K$20*'Population Treasury'!AD$40*'Statistics NZ'!AD$365/('Population Treasury'!AC$40*'Statistics NZ'!AC$365)</f>
        <v>31234.94970569629</v>
      </c>
      <c r="M20" s="46">
        <f>L$20*'Population Treasury'!AE$40*'Statistics NZ'!AE$365/('Population Treasury'!AD$40*'Statistics NZ'!AD$365)</f>
        <v>32208.80457340489</v>
      </c>
      <c r="N20" s="46">
        <f>M$20*'Population Treasury'!AF$40*'Statistics NZ'!AF$365/('Population Treasury'!AE$40*'Statistics NZ'!AE$365)</f>
        <v>32330.330874162159</v>
      </c>
      <c r="O20" s="46">
        <f>N$20*'Population Treasury'!AG$40*'Statistics NZ'!AG$365/('Population Treasury'!AF$40*'Statistics NZ'!AF$365)</f>
        <v>32512.766787872544</v>
      </c>
      <c r="P20" s="46">
        <f>O$20*'Population Treasury'!AH$40*'Statistics NZ'!AH$365/('Population Treasury'!AG$40*'Statistics NZ'!AG$365)</f>
        <v>32603.927389164055</v>
      </c>
      <c r="Q20" s="46">
        <f>P$20*'Population Treasury'!AI$40*'Statistics NZ'!AI$365/('Population Treasury'!AH$40*'Statistics NZ'!AH$365)</f>
        <v>31964.493525523576</v>
      </c>
      <c r="R20" s="46">
        <f>Q$20*'Population Treasury'!AJ$40*'Statistics NZ'!AJ$365/('Population Treasury'!AI$40*'Statistics NZ'!AI$365)</f>
        <v>32126.674051037866</v>
      </c>
      <c r="S20" s="46">
        <f>R$20*'Population Treasury'!AK$40*'Statistics NZ'!AK$365/('Population Treasury'!AJ$40*'Statistics NZ'!AJ$365)</f>
        <v>31832.26211700436</v>
      </c>
      <c r="T20" s="46">
        <f>S$20*'Population Treasury'!AL$40*'Statistics NZ'!AL$365/('Population Treasury'!AK$40*'Statistics NZ'!AK$365)</f>
        <v>32339.476825908008</v>
      </c>
      <c r="U20" s="46">
        <f>T$20*'Population Treasury'!AM$40*'Statistics NZ'!AM$365/('Population Treasury'!AL$40*'Statistics NZ'!AL$365)</f>
        <v>31892.87344672608</v>
      </c>
      <c r="V20" s="46">
        <f>U$20*'Population Treasury'!AN$40*'Statistics NZ'!AN$365/('Population Treasury'!AM$40*'Statistics NZ'!AM$365)</f>
        <v>32004.374887803911</v>
      </c>
      <c r="W20" s="46">
        <f>V$20*'Population Treasury'!AO$40*'Statistics NZ'!AO$365/('Population Treasury'!AN$40*'Statistics NZ'!AN$365)</f>
        <v>31801.324438121141</v>
      </c>
      <c r="X20" s="46">
        <f>W$20*'Population Treasury'!AP$40*'Statistics NZ'!AP$365/('Population Treasury'!AO$40*'Statistics NZ'!AO$365)</f>
        <v>32004.194537944066</v>
      </c>
      <c r="Y20" s="46">
        <f>X$20*'Population Treasury'!AQ$40*'Statistics NZ'!AQ$365/('Population Treasury'!AP$40*'Statistics NZ'!AP$365)</f>
        <v>32349.054443260797</v>
      </c>
      <c r="Z20" s="46">
        <f>Y$20*'Population Treasury'!AR$40*'Statistics NZ'!AR$365/('Population Treasury'!AQ$40*'Statistics NZ'!AQ$365)</f>
        <v>30137.028432977026</v>
      </c>
      <c r="AA20" s="46">
        <f>Z$20*'Population Treasury'!AS$40*'Statistics NZ'!AS$365/('Population Treasury'!AR$40*'Statistics NZ'!AR$365)</f>
        <v>30339.896496642963</v>
      </c>
      <c r="AB20" s="46">
        <f>AA$20*'Population Treasury'!AT$40*'Statistics NZ'!AT$365/('Population Treasury'!AS$40*'Statistics NZ'!AS$365)</f>
        <v>30867.463893326305</v>
      </c>
      <c r="AC20" s="46">
        <f>AB$20*'Population Treasury'!AU$40*'Statistics NZ'!AU$365/('Population Treasury'!AT$40*'Statistics NZ'!AT$365)</f>
        <v>30968.851938191972</v>
      </c>
      <c r="AD20" s="46">
        <f>AC$20*'Population Treasury'!AV$40*'Statistics NZ'!AV$365/('Population Treasury'!AU$40*'Statistics NZ'!AU$365)</f>
        <v>31049.987682672021</v>
      </c>
      <c r="AE20" s="46">
        <f>AD$20*'Population Treasury'!AW$40*'Statistics NZ'!AW$365/('Population Treasury'!AV$40*'Statistics NZ'!AV$365)</f>
        <v>31110.808368564452</v>
      </c>
      <c r="AF20" s="46">
        <f>AE$20*'Population Treasury'!AX$40*'Statistics NZ'!AX$365/('Population Treasury'!AW$40*'Statistics NZ'!AW$365)</f>
        <v>31161.487197607959</v>
      </c>
      <c r="AG20" s="46">
        <f>AF$20*'Population Treasury'!AY$40*'Statistics NZ'!AY$365/('Population Treasury'!AX$40*'Statistics NZ'!AX$365)</f>
        <v>31212.166149316832</v>
      </c>
      <c r="AH20" s="46">
        <f>AG$20*'Population Treasury'!AZ$40*'Statistics NZ'!AZ$365/('Population Treasury'!AY$40*'Statistics NZ'!AY$365)</f>
        <v>31273.018453664292</v>
      </c>
      <c r="AI20" s="46">
        <f>AH$20*'Population Treasury'!BA$40*'Statistics NZ'!BA$365/('Population Treasury'!AZ$40*'Statistics NZ'!AZ$365)</f>
        <v>31344.012925808714</v>
      </c>
      <c r="AJ20" s="46">
        <f>AI$20*'Population Treasury'!BB$40*'Statistics NZ'!BB$365/('Population Treasury'!BA$40*'Statistics NZ'!BA$365)</f>
        <v>31445.464838821801</v>
      </c>
      <c r="AK20" s="46">
        <f>AJ$20*'Population Treasury'!BC$40*'Statistics NZ'!BC$365/('Population Treasury'!BB$40*'Statistics NZ'!BB$365)</f>
        <v>31567.201069642218</v>
      </c>
      <c r="AL20" s="46">
        <f>AK$20*'Population Treasury'!BD$40*'Statistics NZ'!BD$365/('Population Treasury'!BC$40*'Statistics NZ'!BC$365)</f>
        <v>31729.506049233813</v>
      </c>
      <c r="AM20" s="46">
        <f>AL$20*'Population Treasury'!BE$40*'Statistics NZ'!BE$365/('Population Treasury'!BD$40*'Statistics NZ'!BD$365)</f>
        <v>31912.156997169142</v>
      </c>
      <c r="AN20" s="46">
        <f>AM$20*'Population Treasury'!BF$40*'Statistics NZ'!BF$365/('Population Treasury'!BE$40*'Statistics NZ'!BE$365)</f>
        <v>32125.234406253843</v>
      </c>
      <c r="AO20" s="46">
        <f>AN$20*'Population Treasury'!BG$40*'Statistics NZ'!BG$365/('Population Treasury'!BF$40*'Statistics NZ'!BF$365)</f>
        <v>32358.566122055865</v>
      </c>
      <c r="AP20" s="46">
        <f>AO$20*'Population Treasury'!BH$40*'Statistics NZ'!BH$365/('Population Treasury'!BG$40*'Statistics NZ'!BG$365)</f>
        <v>32602.100623453436</v>
      </c>
      <c r="AQ20" s="46">
        <f>AP$20*'Population Treasury'!BI$40*'Statistics NZ'!BI$365/('Population Treasury'!BH$40*'Statistics NZ'!BH$365)</f>
        <v>32845.605153176257</v>
      </c>
    </row>
    <row r="21" spans="1:43" x14ac:dyDescent="0.25">
      <c r="A21" s="11">
        <v>26</v>
      </c>
      <c r="B21" s="45">
        <f>'Population Treasury'!T$41*'Statistics NZ'!T$366*'Economic Forecasts'!V$8/B$7</f>
        <v>27392.321969326957</v>
      </c>
      <c r="C21" s="45">
        <f>'Population Treasury'!U$41*'Statistics NZ'!U$366*'Economic Forecasts'!W$8/C$7</f>
        <v>26359.903893363236</v>
      </c>
      <c r="D21" s="45">
        <f>'Population Treasury'!V$41*'Statistics NZ'!V$366*'Economic Forecasts'!X$8/D$7</f>
        <v>27760.366790225155</v>
      </c>
      <c r="E21" s="45">
        <f>'Population Treasury'!W$41*'Statistics NZ'!W$366*'Economic Forecasts'!Y$8/E$7</f>
        <v>27668.40081651873</v>
      </c>
      <c r="F21" s="45">
        <f>'Population Treasury'!X$41*'Statistics NZ'!X$366*'Economic Forecasts'!Z$8/F$7</f>
        <v>27249.368832763677</v>
      </c>
      <c r="G21" s="45">
        <f>'Population Treasury'!Y$41*'Statistics NZ'!Y$366*'Economic Forecasts'!AA$8/G$7</f>
        <v>27354.36866031888</v>
      </c>
      <c r="H21" s="46">
        <f>G$21*'Population Treasury'!Z$41*'Statistics NZ'!Z$366/('Population Treasury'!Y$41*'Statistics NZ'!Y$366)</f>
        <v>28268.941759309866</v>
      </c>
      <c r="I21" s="46">
        <f>H$21*'Population Treasury'!AA$41*'Statistics NZ'!AA$366/('Population Treasury'!Z$41*'Statistics NZ'!Z$366)</f>
        <v>28476.745187440119</v>
      </c>
      <c r="J21" s="46">
        <f>I$21*'Population Treasury'!AB$41*'Statistics NZ'!AB$366/('Population Treasury'!AA$41*'Statistics NZ'!AA$366)</f>
        <v>29198.643740211603</v>
      </c>
      <c r="K21" s="46">
        <f>J$21*'Population Treasury'!AC$41*'Statistics NZ'!AC$366/('Population Treasury'!AB$41*'Statistics NZ'!AB$366)</f>
        <v>31146.516570589956</v>
      </c>
      <c r="L21" s="46">
        <f>K$21*'Population Treasury'!AD$41*'Statistics NZ'!AD$366/('Population Treasury'!AC$41*'Statistics NZ'!AC$366)</f>
        <v>32211.613570211182</v>
      </c>
      <c r="M21" s="46">
        <f>L$21*'Population Treasury'!AE$41*'Statistics NZ'!AE$366/('Population Treasury'!AD$41*'Statistics NZ'!AD$366)</f>
        <v>31825.773421100766</v>
      </c>
      <c r="N21" s="46">
        <f>M$21*'Population Treasury'!AF$41*'Statistics NZ'!AF$366/('Population Treasury'!AE$41*'Statistics NZ'!AE$366)</f>
        <v>32809.756483203302</v>
      </c>
      <c r="O21" s="46">
        <f>N$21*'Population Treasury'!AG$41*'Statistics NZ'!AG$366/('Population Treasury'!AF$41*'Statistics NZ'!AF$366)</f>
        <v>32941.434231075626</v>
      </c>
      <c r="P21" s="46">
        <f>O$21*'Population Treasury'!AH$41*'Statistics NZ'!AH$366/('Population Treasury'!AG$41*'Statistics NZ'!AG$366)</f>
        <v>33133.99311264656</v>
      </c>
      <c r="Q21" s="46">
        <f>P$21*'Population Treasury'!AI$41*'Statistics NZ'!AI$366/('Population Treasury'!AH$41*'Statistics NZ'!AH$366)</f>
        <v>33235.274486881521</v>
      </c>
      <c r="R21" s="46">
        <f>Q$21*'Population Treasury'!AJ$41*'Statistics NZ'!AJ$366/('Population Treasury'!AI$41*'Statistics NZ'!AI$366)</f>
        <v>32595.842328352068</v>
      </c>
      <c r="S21" s="46">
        <f>R$21*'Population Treasury'!AK$41*'Statistics NZ'!AK$366/('Population Treasury'!AJ$41*'Statistics NZ'!AJ$366)</f>
        <v>32768.144007381074</v>
      </c>
      <c r="T21" s="46">
        <f>S$21*'Population Treasury'!AL$41*'Statistics NZ'!AL$366/('Population Treasury'!AK$41*'Statistics NZ'!AK$366)</f>
        <v>32483.90607859712</v>
      </c>
      <c r="U21" s="46">
        <f>T$21*'Population Treasury'!AM$41*'Statistics NZ'!AM$366/('Population Treasury'!AL$41*'Statistics NZ'!AL$366)</f>
        <v>32991.101168817142</v>
      </c>
      <c r="V21" s="46">
        <f>U$21*'Population Treasury'!AN$41*'Statistics NZ'!AN$366/('Population Treasury'!AM$41*'Statistics NZ'!AM$366)</f>
        <v>32554.64131835692</v>
      </c>
      <c r="W21" s="46">
        <f>V$21*'Population Treasury'!AO$41*'Statistics NZ'!AO$366/('Population Treasury'!AN$41*'Statistics NZ'!AN$366)</f>
        <v>32666.14801069571</v>
      </c>
      <c r="X21" s="46">
        <f>W$21*'Population Treasury'!AP$41*'Statistics NZ'!AP$366/('Population Treasury'!AO$41*'Statistics NZ'!AO$366)</f>
        <v>32463.129108773264</v>
      </c>
      <c r="Y21" s="46">
        <f>X$21*'Population Treasury'!AQ$41*'Statistics NZ'!AQ$366/('Population Treasury'!AP$41*'Statistics NZ'!AP$366)</f>
        <v>32686.229996191891</v>
      </c>
      <c r="Z21" s="46">
        <f>Y$21*'Population Treasury'!AR$41*'Statistics NZ'!AR$366/('Population Treasury'!AQ$41*'Statistics NZ'!AQ$366)</f>
        <v>33031.126987602962</v>
      </c>
      <c r="AA21" s="46">
        <f>Z$21*'Population Treasury'!AS$41*'Statistics NZ'!AS$366/('Population Treasury'!AR$41*'Statistics NZ'!AR$366)</f>
        <v>30819.080464303286</v>
      </c>
      <c r="AB21" s="46">
        <f>AA$21*'Population Treasury'!AT$41*'Statistics NZ'!AT$366/('Population Treasury'!AS$41*'Statistics NZ'!AS$366)</f>
        <v>31021.953249672893</v>
      </c>
      <c r="AC21" s="46">
        <f>AB$21*'Population Treasury'!AU$41*'Statistics NZ'!AU$366/('Population Treasury'!AT$41*'Statistics NZ'!AT$366)</f>
        <v>31559.640518588618</v>
      </c>
      <c r="AD21" s="46">
        <f>AC$21*'Population Treasury'!AV$41*'Statistics NZ'!AV$366/('Population Treasury'!AU$41*'Statistics NZ'!AU$366)</f>
        <v>31671.174967534989</v>
      </c>
      <c r="AE21" s="46">
        <f>AD$21*'Population Treasury'!AW$41*'Statistics NZ'!AW$366/('Population Treasury'!AV$41*'Statistics NZ'!AV$366)</f>
        <v>31752.313079480169</v>
      </c>
      <c r="AF21" s="46">
        <f>AE$21*'Population Treasury'!AX$41*'Statistics NZ'!AX$366/('Population Treasury'!AW$41*'Statistics NZ'!AW$366)</f>
        <v>31813.13672758509</v>
      </c>
      <c r="AG21" s="46">
        <f>AF$21*'Population Treasury'!AY$41*'Statistics NZ'!AY$366/('Population Treasury'!AX$41*'Statistics NZ'!AX$366)</f>
        <v>31863.848234177723</v>
      </c>
      <c r="AH21" s="46">
        <f>AG$21*'Population Treasury'!AZ$41*'Statistics NZ'!AZ$366/('Population Treasury'!AY$41*'Statistics NZ'!AY$366)</f>
        <v>31924.672145302939</v>
      </c>
      <c r="AI21" s="46">
        <f>AH$21*'Population Treasury'!BA$41*'Statistics NZ'!BA$366/('Population Treasury'!AZ$41*'Statistics NZ'!AZ$366)</f>
        <v>31985.496210880388</v>
      </c>
      <c r="AJ21" s="46">
        <f>AI$21*'Population Treasury'!BB$41*'Statistics NZ'!BB$366/('Population Treasury'!BA$41*'Statistics NZ'!BA$366)</f>
        <v>32056.522619439846</v>
      </c>
      <c r="AK21" s="46">
        <f>AJ$21*'Population Treasury'!BC$41*'Statistics NZ'!BC$366/('Population Treasury'!BB$41*'Statistics NZ'!BB$366)</f>
        <v>32157.976144969383</v>
      </c>
      <c r="AL21" s="46">
        <f>AK$21*'Population Treasury'!BD$41*'Statistics NZ'!BD$366/('Population Treasury'!BC$41*'Statistics NZ'!BC$366)</f>
        <v>32289.856934140338</v>
      </c>
      <c r="AM21" s="46">
        <f>AL$21*'Population Treasury'!BE$41*'Statistics NZ'!BE$366/('Population Treasury'!BD$41*'Statistics NZ'!BD$366)</f>
        <v>32452.165193529156</v>
      </c>
      <c r="AN21" s="46">
        <f>AM$21*'Population Treasury'!BF$41*'Statistics NZ'!BF$366/('Population Treasury'!BE$41*'Statistics NZ'!BE$366)</f>
        <v>32644.93060162483</v>
      </c>
      <c r="AO21" s="46">
        <f>AN$21*'Population Treasury'!BG$41*'Statistics NZ'!BG$366/('Population Treasury'!BF$41*'Statistics NZ'!BF$366)</f>
        <v>32858.010444629974</v>
      </c>
      <c r="AP21" s="46">
        <f>AO$21*'Population Treasury'!BH$41*'Statistics NZ'!BH$366/('Population Treasury'!BG$41*'Statistics NZ'!BG$366)</f>
        <v>33091.404312245744</v>
      </c>
      <c r="AQ21" s="46">
        <f>AP$21*'Population Treasury'!BI$41*'Statistics NZ'!BI$366/('Population Treasury'!BH$41*'Statistics NZ'!BH$366)</f>
        <v>33345.025365259542</v>
      </c>
    </row>
    <row r="22" spans="1:43" x14ac:dyDescent="0.25">
      <c r="A22" s="11">
        <v>27</v>
      </c>
      <c r="B22" s="45">
        <f>'Population Treasury'!T$42*'Statistics NZ'!T$367*'Economic Forecasts'!V$8/B$7</f>
        <v>28121.585099801374</v>
      </c>
      <c r="C22" s="45">
        <f>'Population Treasury'!U$42*'Statistics NZ'!U$367*'Economic Forecasts'!W$8/C$7</f>
        <v>27724.987384601209</v>
      </c>
      <c r="D22" s="45">
        <f>'Population Treasury'!V$42*'Statistics NZ'!V$367*'Economic Forecasts'!X$8/D$7</f>
        <v>26975.740168447584</v>
      </c>
      <c r="E22" s="45">
        <f>'Population Treasury'!W$42*'Statistics NZ'!W$367*'Economic Forecasts'!Y$8/E$7</f>
        <v>28456.694447501195</v>
      </c>
      <c r="F22" s="45">
        <f>'Population Treasury'!X$42*'Statistics NZ'!X$367*'Economic Forecasts'!Z$8/F$7</f>
        <v>28351.95155430667</v>
      </c>
      <c r="G22" s="45">
        <f>'Population Treasury'!Y$42*'Statistics NZ'!Y$367*'Economic Forecasts'!AA$8/G$7</f>
        <v>27917.2561107857</v>
      </c>
      <c r="H22" s="46">
        <f>G$22*'Population Treasury'!Z$42*'Statistics NZ'!Z$367/('Population Treasury'!Y$42*'Statistics NZ'!Y$367)</f>
        <v>28019.956707323719</v>
      </c>
      <c r="I22" s="46">
        <f>H$22*'Population Treasury'!AA$42*'Statistics NZ'!AA$367/('Population Treasury'!Z$42*'Statistics NZ'!Z$367)</f>
        <v>28927.772379638118</v>
      </c>
      <c r="J22" s="46">
        <f>I$22*'Population Treasury'!AB$42*'Statistics NZ'!AB$367/('Population Treasury'!AA$42*'Statistics NZ'!AA$367)</f>
        <v>29132.134185989205</v>
      </c>
      <c r="K22" s="46">
        <f>J$22*'Population Treasury'!AC$42*'Statistics NZ'!AC$367/('Population Treasury'!AB$42*'Statistics NZ'!AB$367)</f>
        <v>29842.088261912537</v>
      </c>
      <c r="L22" s="46">
        <f>K$22*'Population Treasury'!AD$42*'Statistics NZ'!AD$367/('Population Treasury'!AC$42*'Statistics NZ'!AC$367)</f>
        <v>31800.041078622009</v>
      </c>
      <c r="M22" s="46">
        <f>L$22*'Population Treasury'!AE$42*'Statistics NZ'!AE$367/('Population Treasury'!AD$42*'Statistics NZ'!AD$367)</f>
        <v>32875.274768776151</v>
      </c>
      <c r="N22" s="46">
        <f>M$22*'Population Treasury'!AF$42*'Statistics NZ'!AF$367/('Population Treasury'!AE$42*'Statistics NZ'!AE$367)</f>
        <v>32489.42240926138</v>
      </c>
      <c r="O22" s="46">
        <f>N$22*'Population Treasury'!AG$42*'Statistics NZ'!AG$367/('Population Treasury'!AF$42*'Statistics NZ'!AF$367)</f>
        <v>33473.40195718062</v>
      </c>
      <c r="P22" s="46">
        <f>O$22*'Population Treasury'!AH$42*'Statistics NZ'!AH$367/('Population Treasury'!AG$42*'Statistics NZ'!AG$367)</f>
        <v>33615.213689970093</v>
      </c>
      <c r="Q22" s="46">
        <f>P$22*'Population Treasury'!AI$42*'Statistics NZ'!AI$367/('Population Treasury'!AH$42*'Statistics NZ'!AH$367)</f>
        <v>33807.765101543358</v>
      </c>
      <c r="R22" s="46">
        <f>Q$22*'Population Treasury'!AJ$42*'Statistics NZ'!AJ$367/('Population Treasury'!AI$42*'Statistics NZ'!AI$367)</f>
        <v>33919.182090824768</v>
      </c>
      <c r="S22" s="46">
        <f>R$22*'Population Treasury'!AK$42*'Statistics NZ'!AK$367/('Population Treasury'!AJ$42*'Statistics NZ'!AJ$367)</f>
        <v>33279.739471037625</v>
      </c>
      <c r="T22" s="46">
        <f>S$22*'Population Treasury'!AL$42*'Statistics NZ'!AL$367/('Population Treasury'!AK$42*'Statistics NZ'!AK$367)</f>
        <v>33452.064583430918</v>
      </c>
      <c r="U22" s="46">
        <f>T$22*'Population Treasury'!AM$42*'Statistics NZ'!AM$367/('Population Treasury'!AL$42*'Statistics NZ'!AL$367)</f>
        <v>33167.790829206373</v>
      </c>
      <c r="V22" s="46">
        <f>U$22*'Population Treasury'!AN$42*'Statistics NZ'!AN$367/('Population Treasury'!AM$42*'Statistics NZ'!AM$367)</f>
        <v>33685.125552049016</v>
      </c>
      <c r="W22" s="46">
        <f>V$22*'Population Treasury'!AO$42*'Statistics NZ'!AO$367/('Population Treasury'!AN$42*'Statistics NZ'!AN$367)</f>
        <v>33248.687880009318</v>
      </c>
      <c r="X22" s="46">
        <f>W$22*'Population Treasury'!AP$42*'Statistics NZ'!AP$367/('Population Treasury'!AO$42*'Statistics NZ'!AO$367)</f>
        <v>33360.191238618514</v>
      </c>
      <c r="Y22" s="46">
        <f>X$22*'Population Treasury'!AQ$42*'Statistics NZ'!AQ$367/('Population Treasury'!AP$42*'Statistics NZ'!AP$367)</f>
        <v>33167.280430705803</v>
      </c>
      <c r="Z22" s="46">
        <f>Y$22*'Population Treasury'!AR$42*'Statistics NZ'!AR$367/('Population Treasury'!AQ$42*'Statistics NZ'!AQ$367)</f>
        <v>33380.265780357651</v>
      </c>
      <c r="AA22" s="46">
        <f>Z$22*'Population Treasury'!AS$42*'Statistics NZ'!AS$367/('Population Treasury'!AR$42*'Statistics NZ'!AR$367)</f>
        <v>33735.30318305338</v>
      </c>
      <c r="AB22" s="46">
        <f>AA$22*'Population Treasury'!AT$42*'Statistics NZ'!AT$367/('Population Treasury'!AS$42*'Statistics NZ'!AS$367)</f>
        <v>31523.244730727045</v>
      </c>
      <c r="AC22" s="46">
        <f>AB$22*'Population Treasury'!AU$42*'Statistics NZ'!AU$367/('Population Treasury'!AT$42*'Statistics NZ'!AT$367)</f>
        <v>31736.226649673048</v>
      </c>
      <c r="AD22" s="46">
        <f>AC$22*'Population Treasury'!AV$42*'Statistics NZ'!AV$367/('Population Treasury'!AU$42*'Statistics NZ'!AU$367)</f>
        <v>32273.945088259043</v>
      </c>
      <c r="AE22" s="46">
        <f>AD$22*'Population Treasury'!AW$42*'Statistics NZ'!AW$367/('Population Treasury'!AV$42*'Statistics NZ'!AV$367)</f>
        <v>32385.508467145559</v>
      </c>
      <c r="AF22" s="46">
        <f>AE$22*'Population Treasury'!AX$42*'Statistics NZ'!AX$367/('Population Treasury'!AW$42*'Statistics NZ'!AW$367)</f>
        <v>32466.614559227059</v>
      </c>
      <c r="AG22" s="46">
        <f>AF$22*'Population Treasury'!AY$42*'Statistics NZ'!AY$367/('Population Treasury'!AX$42*'Statistics NZ'!AX$367)</f>
        <v>32537.578714877047</v>
      </c>
      <c r="AH22" s="46">
        <f>AG$22*'Population Treasury'!AZ$42*'Statistics NZ'!AZ$367/('Population Treasury'!AY$42*'Statistics NZ'!AY$367)</f>
        <v>32588.289693995019</v>
      </c>
      <c r="AI22" s="46">
        <f>AH$22*'Population Treasury'!BA$42*'Statistics NZ'!BA$367/('Population Treasury'!AZ$42*'Statistics NZ'!AZ$367)</f>
        <v>32649.111947734265</v>
      </c>
      <c r="AJ22" s="46">
        <f>AI$22*'Population Treasury'!BB$42*'Statistics NZ'!BB$367/('Population Treasury'!BA$42*'Statistics NZ'!BA$367)</f>
        <v>32709.99628829545</v>
      </c>
      <c r="AK22" s="46">
        <f>AJ$22*'Population Treasury'!BC$42*'Statistics NZ'!BC$367/('Population Treasury'!BB$42*'Statistics NZ'!BB$367)</f>
        <v>32791.134208234354</v>
      </c>
      <c r="AL22" s="46">
        <f>AK$22*'Population Treasury'!BD$42*'Statistics NZ'!BD$367/('Population Treasury'!BC$42*'Statistics NZ'!BC$367)</f>
        <v>32892.587632253868</v>
      </c>
      <c r="AM22" s="46">
        <f>AL$22*'Population Treasury'!BE$42*'Statistics NZ'!BE$367/('Population Treasury'!BD$42*'Statistics NZ'!BD$367)</f>
        <v>33024.467988751188</v>
      </c>
      <c r="AN22" s="46">
        <f>AM$22*'Population Treasury'!BF$42*'Statistics NZ'!BF$367/('Population Treasury'!BE$42*'Statistics NZ'!BE$367)</f>
        <v>33186.806041897311</v>
      </c>
      <c r="AO22" s="46">
        <f>AN$22*'Population Treasury'!BG$42*'Statistics NZ'!BG$367/('Population Treasury'!BF$42*'Statistics NZ'!BF$367)</f>
        <v>33389.68314239649</v>
      </c>
      <c r="AP22" s="46">
        <f>AO$22*'Population Treasury'!BH$42*'Statistics NZ'!BH$367/('Population Treasury'!BG$42*'Statistics NZ'!BG$367)</f>
        <v>33602.793872278111</v>
      </c>
      <c r="AQ22" s="46">
        <f>AP$22*'Population Treasury'!BI$42*'Statistics NZ'!BI$367/('Population Treasury'!BH$42*'Statistics NZ'!BH$367)</f>
        <v>33846.271419501209</v>
      </c>
    </row>
    <row r="23" spans="1:43" x14ac:dyDescent="0.25">
      <c r="A23" s="11">
        <v>28</v>
      </c>
      <c r="B23" s="45">
        <f>'Population Treasury'!T$43*'Statistics NZ'!T$368*'Economic Forecasts'!V$8/B$7</f>
        <v>28780.918888997428</v>
      </c>
      <c r="C23" s="45">
        <f>'Population Treasury'!U$43*'Statistics NZ'!U$368*'Economic Forecasts'!W$8/C$7</f>
        <v>28526.232172317283</v>
      </c>
      <c r="D23" s="45">
        <f>'Population Treasury'!V$43*'Statistics NZ'!V$368*'Economic Forecasts'!X$8/D$7</f>
        <v>28414.846424991509</v>
      </c>
      <c r="E23" s="45">
        <f>'Population Treasury'!W$43*'Statistics NZ'!W$368*'Economic Forecasts'!Y$8/E$7</f>
        <v>27737.77280277052</v>
      </c>
      <c r="F23" s="45">
        <f>'Population Treasury'!X$43*'Statistics NZ'!X$368*'Economic Forecasts'!Z$8/F$7</f>
        <v>29203.989997749661</v>
      </c>
      <c r="G23" s="45">
        <f>'Population Treasury'!Y$43*'Statistics NZ'!Y$368*'Economic Forecasts'!AA$8/G$7</f>
        <v>29073.398442317422</v>
      </c>
      <c r="H23" s="46">
        <f>G$23*'Population Treasury'!Z$43*'Statistics NZ'!Z$368/('Population Treasury'!Y$43*'Statistics NZ'!Y$368)</f>
        <v>28628.080308993307</v>
      </c>
      <c r="I23" s="46">
        <f>H$23*'Population Treasury'!AA$43*'Statistics NZ'!AA$368/('Population Treasury'!Z$43*'Statistics NZ'!Z$368)</f>
        <v>28724.099604519484</v>
      </c>
      <c r="J23" s="46">
        <f>I$23*'Population Treasury'!AB$43*'Statistics NZ'!AB$368/('Population Treasury'!AA$43*'Statistics NZ'!AA$368)</f>
        <v>29618.358202887768</v>
      </c>
      <c r="K23" s="46">
        <f>J$23*'Population Treasury'!AC$43*'Statistics NZ'!AC$368/('Population Treasury'!AB$43*'Statistics NZ'!AB$368)</f>
        <v>29810.743304406591</v>
      </c>
      <c r="L23" s="46">
        <f>K$23*'Population Treasury'!AD$43*'Statistics NZ'!AD$368/('Population Treasury'!AC$43*'Statistics NZ'!AC$368)</f>
        <v>30530.784749921691</v>
      </c>
      <c r="M23" s="46">
        <f>L$23*'Population Treasury'!AE$43*'Statistics NZ'!AE$368/('Population Treasury'!AD$43*'Statistics NZ'!AD$368)</f>
        <v>32488.75911420714</v>
      </c>
      <c r="N23" s="46">
        <f>M$23*'Population Treasury'!AF$43*'Statistics NZ'!AF$368/('Population Treasury'!AE$43*'Statistics NZ'!AE$368)</f>
        <v>33563.975024954707</v>
      </c>
      <c r="O23" s="46">
        <f>N$23*'Population Treasury'!AG$43*'Statistics NZ'!AG$368/('Population Treasury'!AF$43*'Statistics NZ'!AF$368)</f>
        <v>33178.129490095365</v>
      </c>
      <c r="P23" s="46">
        <f>O$23*'Population Treasury'!AH$43*'Statistics NZ'!AH$368/('Population Treasury'!AG$43*'Statistics NZ'!AG$368)</f>
        <v>34172.204685323835</v>
      </c>
      <c r="Q23" s="46">
        <f>P$23*'Population Treasury'!AI$43*'Statistics NZ'!AI$368/('Population Treasury'!AH$43*'Statistics NZ'!AH$368)</f>
        <v>34303.88746120804</v>
      </c>
      <c r="R23" s="46">
        <f>Q$23*'Population Treasury'!AJ$43*'Statistics NZ'!AJ$368/('Population Treasury'!AI$43*'Statistics NZ'!AI$368)</f>
        <v>34496.42078130725</v>
      </c>
      <c r="S23" s="46">
        <f>R$23*'Population Treasury'!AK$43*'Statistics NZ'!AK$368/('Population Treasury'!AJ$43*'Statistics NZ'!AJ$368)</f>
        <v>34607.822400356934</v>
      </c>
      <c r="T23" s="46">
        <f>S$23*'Population Treasury'!AL$43*'Statistics NZ'!AL$368/('Population Treasury'!AK$43*'Statistics NZ'!AK$368)</f>
        <v>33978.501898696297</v>
      </c>
      <c r="U23" s="46">
        <f>T$23*'Population Treasury'!AM$43*'Statistics NZ'!AM$368/('Population Treasury'!AL$43*'Statistics NZ'!AL$368)</f>
        <v>34150.81434211407</v>
      </c>
      <c r="V23" s="46">
        <f>U$23*'Population Treasury'!AN$43*'Statistics NZ'!AN$368/('Population Treasury'!AM$43*'Statistics NZ'!AM$368)</f>
        <v>33866.558049169878</v>
      </c>
      <c r="W23" s="46">
        <f>V$23*'Population Treasury'!AO$43*'Statistics NZ'!AO$368/('Population Treasury'!AN$43*'Statistics NZ'!AN$368)</f>
        <v>34383.883169094486</v>
      </c>
      <c r="X23" s="46">
        <f>W$23*'Population Treasury'!AP$43*'Statistics NZ'!AP$368/('Population Treasury'!AO$43*'Statistics NZ'!AO$368)</f>
        <v>33947.433411675353</v>
      </c>
      <c r="Y23" s="46">
        <f>X$23*'Population Treasury'!AQ$43*'Statistics NZ'!AQ$368/('Population Treasury'!AP$43*'Statistics NZ'!AP$368)</f>
        <v>34069.070238110988</v>
      </c>
      <c r="Z23" s="46">
        <f>Y$23*'Population Treasury'!AR$43*'Statistics NZ'!AR$368/('Population Treasury'!AQ$43*'Statistics NZ'!AQ$368)</f>
        <v>33876.148855540407</v>
      </c>
      <c r="AA23" s="46">
        <f>Z$23*'Population Treasury'!AS$43*'Statistics NZ'!AS$368/('Population Treasury'!AR$43*'Statistics NZ'!AR$368)</f>
        <v>34089.127492925021</v>
      </c>
      <c r="AB23" s="46">
        <f>AA$23*'Population Treasury'!AT$43*'Statistics NZ'!AT$368/('Population Treasury'!AS$43*'Statistics NZ'!AS$368)</f>
        <v>34444.158555781323</v>
      </c>
      <c r="AC23" s="46">
        <f>AB$23*'Population Treasury'!AU$43*'Statistics NZ'!AU$368/('Population Treasury'!AT$43*'Statistics NZ'!AT$368)</f>
        <v>32232.119529735966</v>
      </c>
      <c r="AD23" s="46">
        <f>AC$23*'Population Treasury'!AV$43*'Statistics NZ'!AV$368/('Population Treasury'!AU$43*'Statistics NZ'!AU$368)</f>
        <v>32445.128620354557</v>
      </c>
      <c r="AE23" s="46">
        <f>AD$23*'Population Treasury'!AW$43*'Statistics NZ'!AW$368/('Population Treasury'!AV$43*'Statistics NZ'!AV$368)</f>
        <v>32982.843714834387</v>
      </c>
      <c r="AF23" s="46">
        <f>AE$23*'Population Treasury'!AX$43*'Statistics NZ'!AX$368/('Population Treasury'!AW$43*'Statistics NZ'!AW$368)</f>
        <v>33094.369842183602</v>
      </c>
      <c r="AG23" s="46">
        <f>AF$23*'Population Treasury'!AY$43*'Statistics NZ'!AY$368/('Population Treasury'!AX$43*'Statistics NZ'!AX$368)</f>
        <v>33185.646255301639</v>
      </c>
      <c r="AH23" s="46">
        <f>AG$23*'Population Treasury'!AZ$43*'Statistics NZ'!AZ$368/('Population Treasury'!AY$43*'Statistics NZ'!AY$368)</f>
        <v>33256.605703078734</v>
      </c>
      <c r="AI23" s="46">
        <f>AH$23*'Population Treasury'!BA$43*'Statistics NZ'!BA$368/('Population Treasury'!AZ$43*'Statistics NZ'!AZ$368)</f>
        <v>33307.315037879918</v>
      </c>
      <c r="AJ23" s="46">
        <f>AI$23*'Population Treasury'!BB$43*'Statistics NZ'!BB$368/('Population Treasury'!BA$43*'Statistics NZ'!BA$368)</f>
        <v>33368.166322902805</v>
      </c>
      <c r="AK23" s="46">
        <f>AJ$23*'Population Treasury'!BC$43*'Statistics NZ'!BC$368/('Population Treasury'!BB$43*'Statistics NZ'!BB$368)</f>
        <v>33439.126261304191</v>
      </c>
      <c r="AL23" s="46">
        <f>AK$23*'Population Treasury'!BD$43*'Statistics NZ'!BD$368/('Population Treasury'!BC$43*'Statistics NZ'!BC$368)</f>
        <v>33520.294930113785</v>
      </c>
      <c r="AM23" s="46">
        <f>AL$23*'Population Treasury'!BE$43*'Statistics NZ'!BE$368/('Population Treasury'!BD$43*'Statistics NZ'!BD$368)</f>
        <v>33621.747500504411</v>
      </c>
      <c r="AN23" s="46">
        <f>AM$23*'Population Treasury'!BF$43*'Statistics NZ'!BF$368/('Population Treasury'!BE$43*'Statistics NZ'!BE$368)</f>
        <v>33753.6590972958</v>
      </c>
      <c r="AO23" s="46">
        <f>AN$23*'Population Treasury'!BG$43*'Statistics NZ'!BG$368/('Population Treasury'!BF$43*'Statistics NZ'!BF$368)</f>
        <v>33926.105682246867</v>
      </c>
      <c r="AP23" s="46">
        <f>AO$23*'Population Treasury'!BH$43*'Statistics NZ'!BH$368/('Population Treasury'!BG$43*'Statistics NZ'!BG$368)</f>
        <v>34118.902217800744</v>
      </c>
      <c r="AQ23" s="46">
        <f>AP$23*'Population Treasury'!BI$43*'Statistics NZ'!BI$368/('Population Treasury'!BH$43*'Statistics NZ'!BH$368)</f>
        <v>34342.092253832685</v>
      </c>
    </row>
    <row r="24" spans="1:43" x14ac:dyDescent="0.25">
      <c r="A24" s="11">
        <v>29</v>
      </c>
      <c r="B24" s="45">
        <f>'Population Treasury'!T$44*'Statistics NZ'!T$369*'Economic Forecasts'!V$8/B$7</f>
        <v>30189.495620461727</v>
      </c>
      <c r="C24" s="45">
        <f>'Population Treasury'!U$44*'Statistics NZ'!U$369*'Economic Forecasts'!W$8/C$7</f>
        <v>29228.677552912555</v>
      </c>
      <c r="D24" s="45">
        <f>'Population Treasury'!V$44*'Statistics NZ'!V$369*'Economic Forecasts'!X$8/D$7</f>
        <v>29258.535916140827</v>
      </c>
      <c r="E24" s="45">
        <f>'Population Treasury'!W$44*'Statistics NZ'!W$369*'Economic Forecasts'!Y$8/E$7</f>
        <v>29215.138120052459</v>
      </c>
      <c r="F24" s="45">
        <f>'Population Treasury'!X$44*'Statistics NZ'!X$369*'Economic Forecasts'!Z$8/F$7</f>
        <v>28512.206255413006</v>
      </c>
      <c r="G24" s="45">
        <f>'Population Treasury'!Y$44*'Statistics NZ'!Y$369*'Economic Forecasts'!AA$8/G$7</f>
        <v>29958.134732348106</v>
      </c>
      <c r="H24" s="46">
        <f>G$24*'Population Treasury'!Z$44*'Statistics NZ'!Z$369/('Population Treasury'!Y$44*'Statistics NZ'!Y$369)</f>
        <v>29817.100596331711</v>
      </c>
      <c r="I24" s="46">
        <f>H$24*'Population Treasury'!AA$44*'Statistics NZ'!AA$369/('Population Treasury'!Z$44*'Statistics NZ'!Z$369)</f>
        <v>29355.016721642853</v>
      </c>
      <c r="J24" s="46">
        <f>I$24*'Population Treasury'!AB$44*'Statistics NZ'!AB$369/('Population Treasury'!AA$44*'Statistics NZ'!AA$369)</f>
        <v>29437.551122561061</v>
      </c>
      <c r="K24" s="46">
        <f>J$24*'Population Treasury'!AC$44*'Statistics NZ'!AC$369/('Population Treasury'!AB$44*'Statistics NZ'!AB$369)</f>
        <v>30329.970812047915</v>
      </c>
      <c r="L24" s="46">
        <f>K$24*'Population Treasury'!AD$44*'Statistics NZ'!AD$369/('Population Treasury'!AC$44*'Statistics NZ'!AC$369)</f>
        <v>30512.271733187845</v>
      </c>
      <c r="M24" s="46">
        <f>L$24*'Population Treasury'!AE$44*'Statistics NZ'!AE$369/('Population Treasury'!AD$44*'Statistics NZ'!AD$369)</f>
        <v>31232.302794514122</v>
      </c>
      <c r="N24" s="46">
        <f>M$24*'Population Treasury'!AF$44*'Statistics NZ'!AF$369/('Population Treasury'!AE$44*'Statistics NZ'!AE$369)</f>
        <v>33200.387078198524</v>
      </c>
      <c r="O24" s="46">
        <f>N$24*'Population Treasury'!AG$44*'Statistics NZ'!AG$369/('Population Treasury'!AF$44*'Statistics NZ'!AF$369)</f>
        <v>34275.630315302704</v>
      </c>
      <c r="P24" s="46">
        <f>O$24*'Population Treasury'!AH$44*'Statistics NZ'!AH$369/('Population Treasury'!AG$44*'Statistics NZ'!AG$369)</f>
        <v>33889.73361897494</v>
      </c>
      <c r="Q24" s="46">
        <f>P$24*'Population Treasury'!AI$44*'Statistics NZ'!AI$369/('Population Treasury'!AH$44*'Statistics NZ'!AH$369)</f>
        <v>34883.835991732703</v>
      </c>
      <c r="R24" s="46">
        <f>Q$24*'Population Treasury'!AJ$44*'Statistics NZ'!AJ$369/('Population Treasury'!AI$44*'Statistics NZ'!AI$369)</f>
        <v>35015.508358986212</v>
      </c>
      <c r="S24" s="46">
        <f>R$24*'Population Treasury'!AK$44*'Statistics NZ'!AK$369/('Population Treasury'!AJ$44*'Statistics NZ'!AJ$369)</f>
        <v>35208.063115971592</v>
      </c>
      <c r="T24" s="46">
        <f>S$24*'Population Treasury'!AL$44*'Statistics NZ'!AL$369/('Population Treasury'!AK$44*'Statistics NZ'!AK$369)</f>
        <v>35329.563347287345</v>
      </c>
      <c r="U24" s="46">
        <f>T$24*'Population Treasury'!AM$44*'Statistics NZ'!AM$369/('Population Treasury'!AL$44*'Statistics NZ'!AL$369)</f>
        <v>34690.151938002433</v>
      </c>
      <c r="V24" s="46">
        <f>U$24*'Population Treasury'!AN$44*'Statistics NZ'!AN$369/('Population Treasury'!AM$44*'Statistics NZ'!AM$369)</f>
        <v>34862.456379287549</v>
      </c>
      <c r="W24" s="46">
        <f>V$24*'Population Treasury'!AO$44*'Statistics NZ'!AO$369/('Population Treasury'!AN$44*'Statistics NZ'!AN$369)</f>
        <v>34578.190940329958</v>
      </c>
      <c r="X24" s="46">
        <f>W$24*'Population Treasury'!AP$44*'Statistics NZ'!AP$369/('Population Treasury'!AO$44*'Statistics NZ'!AO$369)</f>
        <v>35105.652950402931</v>
      </c>
      <c r="Y24" s="46">
        <f>X$24*'Population Treasury'!AQ$44*'Statistics NZ'!AQ$369/('Population Treasury'!AP$44*'Statistics NZ'!AP$369)</f>
        <v>34659.085900066217</v>
      </c>
      <c r="Z24" s="46">
        <f>Y$24*'Population Treasury'!AR$44*'Statistics NZ'!AR$369/('Population Treasury'!AQ$44*'Statistics NZ'!AQ$369)</f>
        <v>34780.717239715159</v>
      </c>
      <c r="AA24" s="46">
        <f>Z$24*'Population Treasury'!AS$44*'Statistics NZ'!AS$369/('Population Treasury'!AR$44*'Statistics NZ'!AR$369)</f>
        <v>34587.788341937412</v>
      </c>
      <c r="AB24" s="46">
        <f>AA$24*'Population Treasury'!AT$44*'Statistics NZ'!AT$369/('Population Treasury'!AS$44*'Statistics NZ'!AS$369)</f>
        <v>34810.904653873185</v>
      </c>
      <c r="AC24" s="46">
        <f>AB$24*'Population Treasury'!AU$44*'Statistics NZ'!AU$369/('Population Treasury'!AT$44*'Statistics NZ'!AT$369)</f>
        <v>35155.824276465086</v>
      </c>
      <c r="AD24" s="46">
        <f>AC$24*'Population Treasury'!AV$44*'Statistics NZ'!AV$369/('Population Treasury'!AU$44*'Statistics NZ'!AU$369)</f>
        <v>32953.879559384113</v>
      </c>
      <c r="AE24" s="46">
        <f>AD$24*'Population Treasury'!AW$44*'Statistics NZ'!AW$369/('Population Treasury'!AV$44*'Statistics NZ'!AV$369)</f>
        <v>33156.780633326853</v>
      </c>
      <c r="AF24" s="46">
        <f>AE$24*'Population Treasury'!AX$44*'Statistics NZ'!AX$369/('Population Treasury'!AW$44*'Statistics NZ'!AW$369)</f>
        <v>33704.636490520963</v>
      </c>
      <c r="AG24" s="46">
        <f>AF$24*'Population Treasury'!AY$44*'Statistics NZ'!AY$369/('Population Treasury'!AX$44*'Statistics NZ'!AX$369)</f>
        <v>33816.194040190021</v>
      </c>
      <c r="AH24" s="46">
        <f>AG$24*'Population Treasury'!AZ$44*'Statistics NZ'!AZ$369/('Population Treasury'!AY$44*'Statistics NZ'!AY$369)</f>
        <v>33907.433540577578</v>
      </c>
      <c r="AI24" s="46">
        <f>AH$24*'Population Treasury'!BA$44*'Statistics NZ'!BA$369/('Population Treasury'!AZ$44*'Statistics NZ'!AZ$369)</f>
        <v>33978.425092979494</v>
      </c>
      <c r="AJ24" s="46">
        <f>AI$24*'Population Treasury'!BB$44*'Statistics NZ'!BB$369/('Population Treasury'!BA$44*'Statistics NZ'!BA$369)</f>
        <v>34039.240085044963</v>
      </c>
      <c r="AK24" s="46">
        <f>AJ$24*'Population Treasury'!BC$44*'Statistics NZ'!BC$369/('Population Treasury'!BB$44*'Statistics NZ'!BB$369)</f>
        <v>34100.090227512803</v>
      </c>
      <c r="AL24" s="46">
        <f>AK$24*'Population Treasury'!BD$44*'Statistics NZ'!BD$369/('Population Treasury'!BC$44*'Statistics NZ'!BC$369)</f>
        <v>34160.975379318676</v>
      </c>
      <c r="AM24" s="46">
        <f>AL$24*'Population Treasury'!BE$44*'Statistics NZ'!BE$369/('Population Treasury'!BD$44*'Statistics NZ'!BD$369)</f>
        <v>34252.250833020225</v>
      </c>
      <c r="AN24" s="46">
        <f>AM$24*'Population Treasury'!BF$44*'Statistics NZ'!BF$369/('Population Treasury'!BE$44*'Statistics NZ'!BE$369)</f>
        <v>34353.702996320484</v>
      </c>
      <c r="AO24" s="46">
        <f>AN$24*'Population Treasury'!BG$44*'Statistics NZ'!BG$369/('Population Treasury'!BF$44*'Statistics NZ'!BF$369)</f>
        <v>34495.722312757869</v>
      </c>
      <c r="AP24" s="46">
        <f>AO$24*'Population Treasury'!BH$44*'Statistics NZ'!BH$369/('Population Treasury'!BG$44*'Statistics NZ'!BG$369)</f>
        <v>34658.09441240591</v>
      </c>
      <c r="AQ24" s="46">
        <f>AP$24*'Population Treasury'!BI$44*'Statistics NZ'!BI$369/('Population Treasury'!BH$44*'Statistics NZ'!BH$369)</f>
        <v>34860.999258424396</v>
      </c>
    </row>
    <row r="25" spans="1:43" x14ac:dyDescent="0.25">
      <c r="A25" s="11">
        <v>30</v>
      </c>
      <c r="B25" s="45">
        <f>'Population Treasury'!T$45*'Statistics NZ'!T$370*'Economic Forecasts'!V$8/B$7</f>
        <v>31018.657809905246</v>
      </c>
      <c r="C25" s="45">
        <f>'Population Treasury'!U$45*'Statistics NZ'!U$370*'Economic Forecasts'!W$8/C$7</f>
        <v>30676.948706141906</v>
      </c>
      <c r="D25" s="45">
        <f>'Population Treasury'!V$45*'Statistics NZ'!V$370*'Economic Forecasts'!X$8/D$7</f>
        <v>29996.89230508481</v>
      </c>
      <c r="E25" s="45">
        <f>'Population Treasury'!W$45*'Statistics NZ'!W$370*'Economic Forecasts'!Y$8/E$7</f>
        <v>30096.869148864847</v>
      </c>
      <c r="F25" s="45">
        <f>'Population Treasury'!X$45*'Statistics NZ'!X$370*'Economic Forecasts'!Z$8/F$7</f>
        <v>30028.594437389227</v>
      </c>
      <c r="G25" s="45">
        <f>'Population Treasury'!Y$45*'Statistics NZ'!Y$370*'Economic Forecasts'!AA$8/G$7</f>
        <v>29276.346421404149</v>
      </c>
      <c r="H25" s="46">
        <f>G$25*'Population Treasury'!Z$45*'Statistics NZ'!Z$370/('Population Treasury'!Y$45*'Statistics NZ'!Y$370)</f>
        <v>30739.732787328106</v>
      </c>
      <c r="I25" s="46">
        <f>H$25*'Population Treasury'!AA$45*'Statistics NZ'!AA$370/('Population Treasury'!Z$45*'Statistics NZ'!Z$370)</f>
        <v>30582.792583507577</v>
      </c>
      <c r="J25" s="46">
        <f>I$25*'Population Treasury'!AB$45*'Statistics NZ'!AB$370/('Population Treasury'!AA$45*'Statistics NZ'!AA$370)</f>
        <v>30107.583973222714</v>
      </c>
      <c r="K25" s="46">
        <f>J$25*'Population Treasury'!AC$45*'Statistics NZ'!AC$370/('Population Treasury'!AB$45*'Statistics NZ'!AB$370)</f>
        <v>30168.121792483384</v>
      </c>
      <c r="L25" s="46">
        <f>K$25*'Population Treasury'!AD$45*'Statistics NZ'!AD$370/('Population Treasury'!AC$45*'Statistics NZ'!AC$370)</f>
        <v>31060.635753124508</v>
      </c>
      <c r="M25" s="46">
        <f>L$25*'Population Treasury'!AE$45*'Statistics NZ'!AE$370/('Population Treasury'!AD$45*'Statistics NZ'!AD$370)</f>
        <v>31242.972006164164</v>
      </c>
      <c r="N25" s="46">
        <f>M$25*'Population Treasury'!AF$45*'Statistics NZ'!AF$370/('Population Treasury'!AE$45*'Statistics NZ'!AE$370)</f>
        <v>31963.049676846844</v>
      </c>
      <c r="O25" s="46">
        <f>N$25*'Population Treasury'!AG$45*'Statistics NZ'!AG$370/('Population Treasury'!AF$45*'Statistics NZ'!AF$370)</f>
        <v>33931.193471890925</v>
      </c>
      <c r="P25" s="46">
        <f>O$25*'Population Treasury'!AH$45*'Statistics NZ'!AH$370/('Population Treasury'!AG$45*'Statistics NZ'!AG$370)</f>
        <v>35006.47752067788</v>
      </c>
      <c r="Q25" s="46">
        <f>P$25*'Population Treasury'!AI$45*'Statistics NZ'!AI$370/('Population Treasury'!AH$45*'Statistics NZ'!AH$370)</f>
        <v>34620.638125184378</v>
      </c>
      <c r="R25" s="46">
        <f>Q$25*'Population Treasury'!AJ$45*'Statistics NZ'!AJ$370/('Population Treasury'!AI$45*'Statistics NZ'!AI$370)</f>
        <v>35614.775909403892</v>
      </c>
      <c r="S25" s="46">
        <f>R$25*'Population Treasury'!AK$45*'Statistics NZ'!AK$370/('Population Treasury'!AJ$45*'Statistics NZ'!AJ$370)</f>
        <v>35746.471895859169</v>
      </c>
      <c r="T25" s="46">
        <f>S$25*'Population Treasury'!AL$45*'Statistics NZ'!AL$370/('Population Treasury'!AK$45*'Statistics NZ'!AK$370)</f>
        <v>35939.080292214363</v>
      </c>
      <c r="U25" s="46">
        <f>T$25*'Population Treasury'!AM$45*'Statistics NZ'!AM$370/('Population Treasury'!AL$45*'Statistics NZ'!AL$370)</f>
        <v>36050.494116579524</v>
      </c>
      <c r="V25" s="46">
        <f>U$25*'Population Treasury'!AN$45*'Statistics NZ'!AN$370/('Population Treasury'!AM$45*'Statistics NZ'!AM$370)</f>
        <v>35411.09479239842</v>
      </c>
      <c r="W25" s="46">
        <f>V$25*'Population Treasury'!AO$45*'Statistics NZ'!AO$370/('Population Treasury'!AN$45*'Statistics NZ'!AN$370)</f>
        <v>35583.418701965958</v>
      </c>
      <c r="X25" s="46">
        <f>W$25*'Population Treasury'!AP$45*'Statistics NZ'!AP$370/('Population Treasury'!AO$45*'Statistics NZ'!AO$370)</f>
        <v>35309.308720270426</v>
      </c>
      <c r="Y25" s="46">
        <f>X$25*'Population Treasury'!AQ$45*'Statistics NZ'!AQ$370/('Population Treasury'!AP$45*'Statistics NZ'!AP$370)</f>
        <v>35826.678400901837</v>
      </c>
      <c r="Z25" s="46">
        <f>Y$25*'Population Treasury'!AR$45*'Statistics NZ'!AR$370/('Population Treasury'!AQ$45*'Statistics NZ'!AQ$370)</f>
        <v>35390.231259247608</v>
      </c>
      <c r="AA25" s="46">
        <f>Z$25*'Population Treasury'!AS$45*'Statistics NZ'!AS$370/('Population Treasury'!AR$45*'Statistics NZ'!AR$370)</f>
        <v>35511.875923471111</v>
      </c>
      <c r="AB25" s="46">
        <f>AA$25*'Population Treasury'!AT$45*'Statistics NZ'!AT$370/('Population Treasury'!AS$45*'Statistics NZ'!AS$370)</f>
        <v>35308.878968135563</v>
      </c>
      <c r="AC25" s="46">
        <f>AB$25*'Population Treasury'!AU$45*'Statistics NZ'!AU$370/('Population Treasury'!AT$45*'Statistics NZ'!AT$370)</f>
        <v>35532.007176853462</v>
      </c>
      <c r="AD25" s="46">
        <f>AC$25*'Population Treasury'!AV$45*'Statistics NZ'!AV$370/('Population Treasury'!AU$45*'Statistics NZ'!AU$370)</f>
        <v>35887.077283480459</v>
      </c>
      <c r="AE25" s="46">
        <f>AD$25*'Population Treasury'!AW$45*'Statistics NZ'!AW$370/('Population Treasury'!AV$45*'Statistics NZ'!AV$370)</f>
        <v>33675.023172182438</v>
      </c>
      <c r="AF25" s="46">
        <f>AE$25*'Population Treasury'!AX$45*'Statistics NZ'!AX$370/('Population Treasury'!AW$45*'Statistics NZ'!AW$370)</f>
        <v>33888.038129791457</v>
      </c>
      <c r="AG25" s="46">
        <f>AF$25*'Population Treasury'!AY$45*'Statistics NZ'!AY$370/('Population Treasury'!AX$45*'Statistics NZ'!AX$370)</f>
        <v>34435.903234704216</v>
      </c>
      <c r="AH25" s="46">
        <f>AG$25*'Population Treasury'!AZ$45*'Statistics NZ'!AZ$370/('Population Treasury'!AY$45*'Statistics NZ'!AY$370)</f>
        <v>34547.466859868291</v>
      </c>
      <c r="AI25" s="46">
        <f>AH$25*'Population Treasury'!BA$45*'Statistics NZ'!BA$370/('Population Treasury'!AZ$45*'Statistics NZ'!AZ$370)</f>
        <v>34638.746395668102</v>
      </c>
      <c r="AJ25" s="46">
        <f>AI$25*'Population Treasury'!BB$45*'Statistics NZ'!BB$370/('Population Treasury'!BA$45*'Statistics NZ'!BA$370)</f>
        <v>34709.741717546858</v>
      </c>
      <c r="AK25" s="46">
        <f>AJ$25*'Population Treasury'!BC$45*'Statistics NZ'!BC$370/('Population Treasury'!BB$45*'Statistics NZ'!BB$370)</f>
        <v>34770.594938790535</v>
      </c>
      <c r="AL25" s="46">
        <f>AK$25*'Population Treasury'!BD$45*'Statistics NZ'!BD$370/('Population Treasury'!BC$45*'Statistics NZ'!BC$370)</f>
        <v>34831.448241059952</v>
      </c>
      <c r="AM25" s="46">
        <f>AL$25*'Population Treasury'!BE$45*'Statistics NZ'!BE$370/('Population Treasury'!BD$45*'Statistics NZ'!BD$370)</f>
        <v>34902.443862287073</v>
      </c>
      <c r="AN25" s="46">
        <f>AM$25*'Population Treasury'!BF$45*'Statistics NZ'!BF$370/('Population Treasury'!BE$45*'Statistics NZ'!BE$370)</f>
        <v>34983.613236212994</v>
      </c>
      <c r="AO25" s="46">
        <f>AN$25*'Population Treasury'!BG$45*'Statistics NZ'!BG$370/('Population Treasury'!BF$45*'Statistics NZ'!BF$370)</f>
        <v>35095.209420063984</v>
      </c>
      <c r="AP25" s="46">
        <f>AO$25*'Population Treasury'!BH$45*'Statistics NZ'!BH$370/('Population Treasury'!BG$45*'Statistics NZ'!BG$370)</f>
        <v>35237.232570020096</v>
      </c>
      <c r="AQ25" s="46">
        <f>AP$25*'Population Treasury'!BI$45*'Statistics NZ'!BI$370/('Population Treasury'!BH$45*'Statistics NZ'!BH$370)</f>
        <v>35409.713938068147</v>
      </c>
    </row>
    <row r="26" spans="1:43" x14ac:dyDescent="0.25">
      <c r="A26" s="11">
        <v>31</v>
      </c>
      <c r="B26" s="45">
        <f>'Population Treasury'!T$46*'Statistics NZ'!T$371*'Economic Forecasts'!V$8/B$7</f>
        <v>32686.972094689198</v>
      </c>
      <c r="C26" s="45">
        <f>'Population Treasury'!U$46*'Statistics NZ'!U$371*'Economic Forecasts'!W$8/C$7</f>
        <v>31538.174757566994</v>
      </c>
      <c r="D26" s="45">
        <f>'Population Treasury'!V$46*'Statistics NZ'!V$371*'Economic Forecasts'!X$8/D$7</f>
        <v>31496.17162319284</v>
      </c>
      <c r="E26" s="45">
        <f>'Population Treasury'!W$46*'Statistics NZ'!W$371*'Economic Forecasts'!Y$8/E$7</f>
        <v>30885.867186524298</v>
      </c>
      <c r="F26" s="45">
        <f>'Population Treasury'!X$46*'Statistics NZ'!X$371*'Economic Forecasts'!Z$8/F$7</f>
        <v>30951.178202277581</v>
      </c>
      <c r="G26" s="45">
        <f>'Population Treasury'!Y$46*'Statistics NZ'!Y$371*'Economic Forecasts'!AA$8/G$7</f>
        <v>30844.998886571728</v>
      </c>
      <c r="H26" s="46">
        <f>G$26*'Population Treasury'!Z$46*'Statistics NZ'!Z$371/('Population Treasury'!Y$46*'Statistics NZ'!Y$371)</f>
        <v>30076.172667535346</v>
      </c>
      <c r="I26" s="46">
        <f>H$26*'Population Treasury'!AA$46*'Statistics NZ'!AA$371/('Population Treasury'!Z$46*'Statistics NZ'!Z$371)</f>
        <v>31522.452086667308</v>
      </c>
      <c r="J26" s="46">
        <f>I$26*'Population Treasury'!AB$46*'Statistics NZ'!AB$371/('Population Treasury'!AA$46*'Statistics NZ'!AA$371)</f>
        <v>31341.51565436531</v>
      </c>
      <c r="K26" s="46">
        <f>J$26*'Population Treasury'!AC$46*'Statistics NZ'!AC$371/('Population Treasury'!AB$46*'Statistics NZ'!AB$371)</f>
        <v>30854.017373971925</v>
      </c>
      <c r="L26" s="46">
        <f>K$26*'Population Treasury'!AD$46*'Statistics NZ'!AD$371/('Population Treasury'!AC$46*'Statistics NZ'!AC$371)</f>
        <v>30914.522177867846</v>
      </c>
      <c r="M26" s="46">
        <f>L$26*'Population Treasury'!AE$46*'Statistics NZ'!AE$371/('Population Treasury'!AD$46*'Statistics NZ'!AD$371)</f>
        <v>31807.019081897201</v>
      </c>
      <c r="N26" s="46">
        <f>M$26*'Population Treasury'!AF$46*'Statistics NZ'!AF$371/('Population Treasury'!AE$46*'Statistics NZ'!AE$371)</f>
        <v>31989.328999446214</v>
      </c>
      <c r="O26" s="46">
        <f>N$26*'Population Treasury'!AG$46*'Statistics NZ'!AG$371/('Population Treasury'!AF$46*'Statistics NZ'!AF$371)</f>
        <v>32709.425561642842</v>
      </c>
      <c r="P26" s="46">
        <f>O$26*'Population Treasury'!AH$46*'Statistics NZ'!AH$371/('Population Treasury'!AG$46*'Statistics NZ'!AG$371)</f>
        <v>34687.719831779417</v>
      </c>
      <c r="Q26" s="46">
        <f>P$26*'Population Treasury'!AI$46*'Statistics NZ'!AI$371/('Population Treasury'!AH$46*'Statistics NZ'!AH$371)</f>
        <v>35773.10585170702</v>
      </c>
      <c r="R26" s="46">
        <f>Q$26*'Population Treasury'!AJ$46*'Statistics NZ'!AJ$371/('Population Treasury'!AI$46*'Statistics NZ'!AI$371)</f>
        <v>35377.12399346137</v>
      </c>
      <c r="S26" s="46">
        <f>R$26*'Population Treasury'!AK$46*'Statistics NZ'!AK$371/('Population Treasury'!AJ$46*'Statistics NZ'!AJ$371)</f>
        <v>36371.25582846818</v>
      </c>
      <c r="T26" s="46">
        <f>S$26*'Population Treasury'!AL$46*'Statistics NZ'!AL$371/('Population Treasury'!AK$46*'Statistics NZ'!AK$371)</f>
        <v>36513.074299225074</v>
      </c>
      <c r="U26" s="46">
        <f>T$26*'Population Treasury'!AM$46*'Statistics NZ'!AM$371/('Population Treasury'!AL$46*'Statistics NZ'!AL$371)</f>
        <v>36705.635166826673</v>
      </c>
      <c r="V26" s="46">
        <f>U$26*'Population Treasury'!AN$46*'Statistics NZ'!AN$371/('Population Treasury'!AM$46*'Statistics NZ'!AM$371)</f>
        <v>36817.063374079349</v>
      </c>
      <c r="W26" s="46">
        <f>V$26*'Population Treasury'!AO$46*'Statistics NZ'!AO$371/('Population Treasury'!AN$46*'Statistics NZ'!AN$371)</f>
        <v>36167.528459578607</v>
      </c>
      <c r="X26" s="46">
        <f>W$26*'Population Treasury'!AP$46*'Statistics NZ'!AP$371/('Population Treasury'!AO$46*'Statistics NZ'!AO$371)</f>
        <v>36339.871414103378</v>
      </c>
      <c r="Y26" s="46">
        <f>X$26*'Population Treasury'!AQ$46*'Statistics NZ'!AQ$371/('Population Treasury'!AP$46*'Statistics NZ'!AP$371)</f>
        <v>36055.600338927892</v>
      </c>
      <c r="Z26" s="46">
        <f>Y$26*'Population Treasury'!AR$46*'Statistics NZ'!AR$371/('Population Treasury'!AQ$46*'Statistics NZ'!AQ$371)</f>
        <v>36583.108652110743</v>
      </c>
      <c r="AA26" s="46">
        <f>Z$26*'Population Treasury'!AS$46*'Statistics NZ'!AS$371/('Population Treasury'!AR$46*'Statistics NZ'!AR$371)</f>
        <v>36136.532610088892</v>
      </c>
      <c r="AB26" s="46">
        <f>AA$26*'Population Treasury'!AT$46*'Statistics NZ'!AT$371/('Population Treasury'!AS$46*'Statistics NZ'!AS$371)</f>
        <v>36258.201122658131</v>
      </c>
      <c r="AC26" s="46">
        <f>AB$26*'Population Treasury'!AU$46*'Statistics NZ'!AU$371/('Population Treasury'!AT$46*'Statistics NZ'!AT$371)</f>
        <v>36065.303119577875</v>
      </c>
      <c r="AD26" s="46">
        <f>AC$26*'Population Treasury'!AV$46*'Statistics NZ'!AV$371/('Population Treasury'!AU$46*'Statistics NZ'!AU$371)</f>
        <v>36288.424711142798</v>
      </c>
      <c r="AE26" s="46">
        <f>AD$26*'Population Treasury'!AW$46*'Statistics NZ'!AW$371/('Population Treasury'!AV$46*'Statistics NZ'!AV$371)</f>
        <v>36643.493513826339</v>
      </c>
      <c r="AF26" s="46">
        <f>AE$26*'Population Treasury'!AX$46*'Statistics NZ'!AX$371/('Population Treasury'!AW$46*'Statistics NZ'!AW$371)</f>
        <v>34421.328149996531</v>
      </c>
      <c r="AG26" s="46">
        <f>AF$26*'Population Treasury'!AY$46*'Statistics NZ'!AY$371/('Population Treasury'!AX$46*'Statistics NZ'!AX$371)</f>
        <v>34634.339583339017</v>
      </c>
      <c r="AH26" s="46">
        <f>AG$26*'Population Treasury'!AZ$46*'Statistics NZ'!AZ$371/('Population Treasury'!AY$46*'Statistics NZ'!AY$371)</f>
        <v>35182.206465378418</v>
      </c>
      <c r="AI26" s="46">
        <f>AH$26*'Population Treasury'!BA$46*'Statistics NZ'!BA$371/('Population Treasury'!AZ$46*'Statistics NZ'!AZ$371)</f>
        <v>35303.908479655838</v>
      </c>
      <c r="AJ26" s="46">
        <f>AI$26*'Population Treasury'!BB$46*'Statistics NZ'!BB$371/('Population Treasury'!BA$46*'Statistics NZ'!BA$371)</f>
        <v>35395.185217637263</v>
      </c>
      <c r="AK26" s="46">
        <f>AJ$26*'Population Treasury'!BC$46*'Statistics NZ'!BC$371/('Population Treasury'!BB$46*'Statistics NZ'!BB$371)</f>
        <v>35466.178369802168</v>
      </c>
      <c r="AL26" s="46">
        <f>AK$26*'Population Treasury'!BD$46*'Statistics NZ'!BD$371/('Population Treasury'!BC$46*'Statistics NZ'!BC$371)</f>
        <v>35527.029735710174</v>
      </c>
      <c r="AM26" s="46">
        <f>AL$26*'Population Treasury'!BE$46*'Statistics NZ'!BE$371/('Population Treasury'!BD$46*'Statistics NZ'!BD$371)</f>
        <v>35587.88118671094</v>
      </c>
      <c r="AN26" s="46">
        <f>AM$26*'Population Treasury'!BF$46*'Statistics NZ'!BF$371/('Population Treasury'!BE$46*'Statistics NZ'!BE$371)</f>
        <v>35658.909185855082</v>
      </c>
      <c r="AO26" s="46">
        <f>AN$26*'Population Treasury'!BG$46*'Statistics NZ'!BG$371/('Population Treasury'!BF$46*'Statistics NZ'!BF$371)</f>
        <v>35750.186601541071</v>
      </c>
      <c r="AP26" s="46">
        <f>AO$26*'Population Treasury'!BH$46*'Statistics NZ'!BH$371/('Population Treasury'!BG$46*'Statistics NZ'!BG$371)</f>
        <v>35861.816860784056</v>
      </c>
      <c r="AQ26" s="46">
        <f>AP$26*'Population Treasury'!BI$46*'Statistics NZ'!BI$371/('Population Treasury'!BH$46*'Statistics NZ'!BH$371)</f>
        <v>36003.838706038587</v>
      </c>
    </row>
    <row r="27" spans="1:43" x14ac:dyDescent="0.25">
      <c r="A27" s="11">
        <v>32</v>
      </c>
      <c r="B27" s="45">
        <f>'Population Treasury'!T$47*'Statistics NZ'!T$372*'Economic Forecasts'!V$8/B$7</f>
        <v>33685.962684380196</v>
      </c>
      <c r="C27" s="45">
        <f>'Population Treasury'!U$47*'Statistics NZ'!U$372*'Economic Forecasts'!W$8/C$7</f>
        <v>33230.639841994198</v>
      </c>
      <c r="D27" s="45">
        <f>'Population Treasury'!V$47*'Statistics NZ'!V$372*'Economic Forecasts'!X$8/D$7</f>
        <v>32390.123936652046</v>
      </c>
      <c r="E27" s="45">
        <f>'Population Treasury'!W$47*'Statistics NZ'!W$372*'Economic Forecasts'!Y$8/E$7</f>
        <v>32423.644825640229</v>
      </c>
      <c r="F27" s="45">
        <f>'Population Treasury'!X$47*'Statistics NZ'!X$372*'Economic Forecasts'!Z$8/F$7</f>
        <v>31763.588496693908</v>
      </c>
      <c r="G27" s="45">
        <f>'Population Treasury'!Y$47*'Statistics NZ'!Y$372*'Economic Forecasts'!AA$8/G$7</f>
        <v>31800.409945205043</v>
      </c>
      <c r="H27" s="46">
        <f>G$27*'Population Treasury'!Z$47*'Statistics NZ'!Z$372/('Population Treasury'!Y$47*'Statistics NZ'!Y$372)</f>
        <v>31671.025710393998</v>
      </c>
      <c r="I27" s="46">
        <f>H$27*'Population Treasury'!AA$47*'Statistics NZ'!AA$372/('Population Treasury'!Z$47*'Statistics NZ'!Z$372)</f>
        <v>30874.910663679642</v>
      </c>
      <c r="J27" s="46">
        <f>I$27*'Population Treasury'!AB$47*'Statistics NZ'!AB$372/('Population Treasury'!AA$47*'Statistics NZ'!AA$372)</f>
        <v>32317.475460826987</v>
      </c>
      <c r="K27" s="46">
        <f>J$27*'Population Treasury'!AC$47*'Statistics NZ'!AC$372/('Population Treasury'!AB$47*'Statistics NZ'!AB$372)</f>
        <v>32124.207849809649</v>
      </c>
      <c r="L27" s="46">
        <f>K$27*'Population Treasury'!AD$47*'Statistics NZ'!AD$372/('Population Treasury'!AC$47*'Statistics NZ'!AC$372)</f>
        <v>31626.571876148933</v>
      </c>
      <c r="M27" s="46">
        <f>L$27*'Population Treasury'!AE$47*'Statistics NZ'!AE$372/('Population Treasury'!AD$47*'Statistics NZ'!AD$372)</f>
        <v>31687.061245375771</v>
      </c>
      <c r="N27" s="46">
        <f>M$27*'Population Treasury'!AF$47*'Statistics NZ'!AF$372/('Population Treasury'!AE$47*'Statistics NZ'!AE$372)</f>
        <v>32579.603505707943</v>
      </c>
      <c r="O27" s="46">
        <f>N$27*'Population Treasury'!AG$47*'Statistics NZ'!AG$372/('Population Treasury'!AF$47*'Statistics NZ'!AF$372)</f>
        <v>32772.005602033278</v>
      </c>
      <c r="P27" s="46">
        <f>O$27*'Population Treasury'!AH$47*'Statistics NZ'!AH$372/('Population Treasury'!AG$47*'Statistics NZ'!AG$372)</f>
        <v>33492.107258290009</v>
      </c>
      <c r="Q27" s="46">
        <f>P$27*'Population Treasury'!AI$47*'Statistics NZ'!AI$372/('Population Treasury'!AH$47*'Statistics NZ'!AH$372)</f>
        <v>35480.542626056238</v>
      </c>
      <c r="R27" s="46">
        <f>Q$27*'Population Treasury'!AJ$47*'Statistics NZ'!AJ$372/('Population Treasury'!AI$47*'Statistics NZ'!AI$372)</f>
        <v>36565.940302919633</v>
      </c>
      <c r="S27" s="46">
        <f>R$27*'Population Treasury'!AK$47*'Statistics NZ'!AK$372/('Population Treasury'!AJ$47*'Statistics NZ'!AJ$372)</f>
        <v>36159.865817319893</v>
      </c>
      <c r="T27" s="46">
        <f>S$27*'Population Treasury'!AL$47*'Statistics NZ'!AL$372/('Population Treasury'!AK$47*'Statistics NZ'!AK$372)</f>
        <v>37164.114544874807</v>
      </c>
      <c r="U27" s="46">
        <f>T$27*'Population Treasury'!AM$47*'Statistics NZ'!AM$372/('Population Treasury'!AL$47*'Statistics NZ'!AL$372)</f>
        <v>37295.817783045117</v>
      </c>
      <c r="V27" s="46">
        <f>U$27*'Population Treasury'!AN$47*'Statistics NZ'!AN$372/('Population Treasury'!AM$47*'Statistics NZ'!AM$372)</f>
        <v>37488.406287265403</v>
      </c>
      <c r="W27" s="46">
        <f>V$27*'Population Treasury'!AO$47*'Statistics NZ'!AO$372/('Population Treasury'!AN$47*'Statistics NZ'!AN$372)</f>
        <v>37599.828079308558</v>
      </c>
      <c r="X27" s="46">
        <f>W$27*'Population Treasury'!AP$47*'Statistics NZ'!AP$372/('Population Treasury'!AO$47*'Statistics NZ'!AO$372)</f>
        <v>36950.273916730366</v>
      </c>
      <c r="Y27" s="46">
        <f>X$27*'Population Treasury'!AQ$47*'Statistics NZ'!AQ$372/('Population Treasury'!AP$47*'Statistics NZ'!AP$372)</f>
        <v>37122.613317555915</v>
      </c>
      <c r="Z27" s="46">
        <f>Y$27*'Population Treasury'!AR$47*'Statistics NZ'!AR$372/('Population Treasury'!AQ$47*'Statistics NZ'!AQ$372)</f>
        <v>36838.364419007936</v>
      </c>
      <c r="AA27" s="46">
        <f>Z$27*'Population Treasury'!AS$47*'Statistics NZ'!AS$372/('Population Treasury'!AR$47*'Statistics NZ'!AR$372)</f>
        <v>37365.8769918295</v>
      </c>
      <c r="AB27" s="46">
        <f>AA$27*'Population Treasury'!AT$47*'Statistics NZ'!AT$372/('Population Treasury'!AS$47*'Statistics NZ'!AS$372)</f>
        <v>36919.322520154848</v>
      </c>
      <c r="AC27" s="46">
        <f>AB$27*'Population Treasury'!AU$47*'Statistics NZ'!AU$372/('Population Treasury'!AT$47*'Statistics NZ'!AT$372)</f>
        <v>37040.989053567413</v>
      </c>
      <c r="AD27" s="46">
        <f>AC$27*'Population Treasury'!AV$47*'Statistics NZ'!AV$372/('Population Treasury'!AU$47*'Statistics NZ'!AU$372)</f>
        <v>36848.082746602646</v>
      </c>
      <c r="AE27" s="46">
        <f>AD$27*'Population Treasury'!AW$47*'Statistics NZ'!AW$372/('Population Treasury'!AV$47*'Statistics NZ'!AV$372)</f>
        <v>37071.238717590248</v>
      </c>
      <c r="AF27" s="46">
        <f>AE$27*'Population Treasury'!AX$47*'Statistics NZ'!AX$372/('Population Treasury'!AW$47*'Statistics NZ'!AW$372)</f>
        <v>37426.275441023747</v>
      </c>
      <c r="AG27" s="46">
        <f>AF$27*'Population Treasury'!AY$47*'Statistics NZ'!AY$372/('Population Treasury'!AX$47*'Statistics NZ'!AX$372)</f>
        <v>35204.105628914978</v>
      </c>
      <c r="AH27" s="46">
        <f>AG$27*'Population Treasury'!AZ$47*'Statistics NZ'!AZ$372/('Population Treasury'!AY$47*'Statistics NZ'!AY$372)</f>
        <v>35417.117866524677</v>
      </c>
      <c r="AI27" s="46">
        <f>AH$27*'Population Treasury'!BA$47*'Statistics NZ'!BA$372/('Population Treasury'!AZ$47*'Statistics NZ'!AZ$372)</f>
        <v>35965.028345407802</v>
      </c>
      <c r="AJ27" s="46">
        <f>AI$27*'Population Treasury'!BB$47*'Statistics NZ'!BB$372/('Population Treasury'!BA$47*'Statistics NZ'!BA$372)</f>
        <v>36086.729804932642</v>
      </c>
      <c r="AK27" s="46">
        <f>AJ$27*'Population Treasury'!BC$47*'Statistics NZ'!BC$372/('Population Treasury'!BB$47*'Statistics NZ'!BB$372)</f>
        <v>36178.00612491239</v>
      </c>
      <c r="AL27" s="46">
        <f>AK$27*'Population Treasury'!BD$47*'Statistics NZ'!BD$372/('Population Treasury'!BC$47*'Statistics NZ'!BC$372)</f>
        <v>36248.998950841793</v>
      </c>
      <c r="AM27" s="46">
        <f>AL$27*'Population Treasury'!BE$47*'Statistics NZ'!BE$372/('Population Treasury'!BD$47*'Statistics NZ'!BD$372)</f>
        <v>36319.991892150494</v>
      </c>
      <c r="AN27" s="46">
        <f>AM$27*'Population Treasury'!BF$47*'Statistics NZ'!BF$372/('Population Treasury'!BE$47*'Statistics NZ'!BE$372)</f>
        <v>36380.843076082492</v>
      </c>
      <c r="AO27" s="46">
        <f>AN$27*'Population Treasury'!BG$47*'Statistics NZ'!BG$372/('Population Treasury'!BF$47*'Statistics NZ'!BF$372)</f>
        <v>36451.872248764725</v>
      </c>
      <c r="AP27" s="46">
        <f>AO$27*'Population Treasury'!BH$47*'Statistics NZ'!BH$372/('Population Treasury'!BG$47*'Statistics NZ'!BG$372)</f>
        <v>36543.185191446115</v>
      </c>
      <c r="AQ27" s="46">
        <f>AP$27*'Population Treasury'!BI$47*'Statistics NZ'!BI$372/('Population Treasury'!BH$47*'Statistics NZ'!BH$372)</f>
        <v>36664.888071325084</v>
      </c>
    </row>
    <row r="28" spans="1:43" x14ac:dyDescent="0.25">
      <c r="A28" s="11">
        <v>33</v>
      </c>
      <c r="B28" s="45">
        <f>'Population Treasury'!T$48*'Statistics NZ'!T$373*'Economic Forecasts'!V$8/B$7</f>
        <v>34764.872521246456</v>
      </c>
      <c r="C28" s="45">
        <f>'Population Treasury'!U$48*'Statistics NZ'!U$373*'Economic Forecasts'!W$8/C$7</f>
        <v>34300.07132348312</v>
      </c>
      <c r="D28" s="45">
        <f>'Population Treasury'!V$48*'Statistics NZ'!V$373*'Economic Forecasts'!X$8/D$7</f>
        <v>34167.747320474227</v>
      </c>
      <c r="E28" s="45">
        <f>'Population Treasury'!W$48*'Statistics NZ'!W$373*'Economic Forecasts'!Y$8/E$7</f>
        <v>33382.650624226044</v>
      </c>
      <c r="F28" s="45">
        <f>'Population Treasury'!X$48*'Statistics NZ'!X$373*'Economic Forecasts'!Z$8/F$7</f>
        <v>33378.216736781404</v>
      </c>
      <c r="G28" s="45">
        <f>'Population Treasury'!Y$48*'Statistics NZ'!Y$373*'Economic Forecasts'!AA$8/G$7</f>
        <v>32675.492660876731</v>
      </c>
      <c r="H28" s="46">
        <f>G$28*'Population Treasury'!Z$48*'Statistics NZ'!Z$373/('Population Treasury'!Y$48*'Statistics NZ'!Y$373)</f>
        <v>32688.303204641976</v>
      </c>
      <c r="I28" s="46">
        <f>H$28*'Population Treasury'!AA$48*'Statistics NZ'!AA$373/('Population Treasury'!Z$48*'Statistics NZ'!Z$373)</f>
        <v>32531.630147948923</v>
      </c>
      <c r="J28" s="46">
        <f>I$28*'Population Treasury'!AB$48*'Statistics NZ'!AB$373/('Population Treasury'!AA$48*'Statistics NZ'!AA$373)</f>
        <v>31711.501807525619</v>
      </c>
      <c r="K28" s="46">
        <f>J$28*'Population Treasury'!AC$48*'Statistics NZ'!AC$373/('Population Treasury'!AB$48*'Statistics NZ'!AB$373)</f>
        <v>33151.817031202423</v>
      </c>
      <c r="L28" s="46">
        <f>K$28*'Population Treasury'!AD$48*'Statistics NZ'!AD$373/('Population Treasury'!AC$48*'Statistics NZ'!AC$373)</f>
        <v>32948.462582825327</v>
      </c>
      <c r="M28" s="46">
        <f>L$28*'Population Treasury'!AE$48*'Statistics NZ'!AE$373/('Population Treasury'!AD$48*'Statistics NZ'!AD$373)</f>
        <v>32440.732006575588</v>
      </c>
      <c r="N28" s="46">
        <f>M$28*'Population Treasury'!AF$48*'Statistics NZ'!AF$373/('Population Treasury'!AE$48*'Statistics NZ'!AE$373)</f>
        <v>32501.209698144863</v>
      </c>
      <c r="O28" s="46">
        <f>N$28*'Population Treasury'!AG$48*'Statistics NZ'!AG$373/('Population Treasury'!AF$48*'Statistics NZ'!AF$373)</f>
        <v>33393.76962808294</v>
      </c>
      <c r="P28" s="46">
        <f>O$28*'Population Treasury'!AH$48*'Statistics NZ'!AH$373/('Population Treasury'!AG$48*'Statistics NZ'!AG$373)</f>
        <v>33576.102886402055</v>
      </c>
      <c r="Q28" s="46">
        <f>P$28*'Population Treasury'!AI$48*'Statistics NZ'!AI$373/('Population Treasury'!AH$48*'Statistics NZ'!AH$373)</f>
        <v>34296.214996701223</v>
      </c>
      <c r="R28" s="46">
        <f>Q$28*'Population Treasury'!AJ$48*'Statistics NZ'!AJ$373/('Population Treasury'!AI$48*'Statistics NZ'!AI$373)</f>
        <v>36294.79798382186</v>
      </c>
      <c r="S28" s="46">
        <f>R$28*'Population Treasury'!AK$48*'Statistics NZ'!AK$373/('Population Treasury'!AJ$48*'Statistics NZ'!AJ$373)</f>
        <v>37380.213383568611</v>
      </c>
      <c r="T28" s="46">
        <f>S$28*'Population Treasury'!AL$48*'Statistics NZ'!AL$373/('Population Treasury'!AK$48*'Statistics NZ'!AK$373)</f>
        <v>36984.226064534334</v>
      </c>
      <c r="U28" s="46">
        <f>T$28*'Population Treasury'!AM$48*'Statistics NZ'!AM$373/('Population Treasury'!AL$48*'Statistics NZ'!AL$373)</f>
        <v>37978.420864060354</v>
      </c>
      <c r="V28" s="46">
        <f>U$28*'Population Treasury'!AN$48*'Statistics NZ'!AN$373/('Population Treasury'!AM$48*'Statistics NZ'!AM$373)</f>
        <v>38120.226059148954</v>
      </c>
      <c r="W28" s="46">
        <f>V$28*'Population Treasury'!AO$48*'Statistics NZ'!AO$373/('Population Treasury'!AN$48*'Statistics NZ'!AN$373)</f>
        <v>38302.705868730744</v>
      </c>
      <c r="X28" s="46">
        <f>W$28*'Population Treasury'!AP$48*'Statistics NZ'!AP$373/('Population Treasury'!AO$48*'Statistics NZ'!AO$373)</f>
        <v>38414.123407732157</v>
      </c>
      <c r="Y28" s="46">
        <f>X$28*'Population Treasury'!AQ$48*'Statistics NZ'!AQ$373/('Population Treasury'!AP$48*'Statistics NZ'!AP$373)</f>
        <v>37764.58448599212</v>
      </c>
      <c r="Z28" s="46">
        <f>Y$28*'Population Treasury'!AR$48*'Statistics NZ'!AR$373/('Population Treasury'!AQ$48*'Statistics NZ'!AQ$373)</f>
        <v>37936.922389990657</v>
      </c>
      <c r="AA28" s="46">
        <f>Z$28*'Population Treasury'!AS$48*'Statistics NZ'!AS$373/('Population Treasury'!AR$48*'Statistics NZ'!AR$373)</f>
        <v>37652.698588981824</v>
      </c>
      <c r="AB28" s="46">
        <f>AA$28*'Population Treasury'!AT$48*'Statistics NZ'!AT$373/('Population Treasury'!AS$48*'Statistics NZ'!AS$373)</f>
        <v>38180.182515856002</v>
      </c>
      <c r="AC28" s="46">
        <f>AB$28*'Population Treasury'!AU$48*'Statistics NZ'!AU$373/('Population Treasury'!AT$48*'Statistics NZ'!AT$373)</f>
        <v>37733.651077139519</v>
      </c>
      <c r="AD28" s="46">
        <f>AC$28*'Population Treasury'!AV$48*'Statistics NZ'!AV$373/('Population Treasury'!AU$48*'Statistics NZ'!AU$373)</f>
        <v>37855.317012049556</v>
      </c>
      <c r="AE28" s="46">
        <f>AD$28*'Population Treasury'!AW$48*'Statistics NZ'!AW$373/('Population Treasury'!AV$48*'Statistics NZ'!AV$373)</f>
        <v>37652.297222648427</v>
      </c>
      <c r="AF28" s="46">
        <f>AE$28*'Population Treasury'!AX$48*'Statistics NZ'!AX$373/('Population Treasury'!AW$48*'Statistics NZ'!AW$373)</f>
        <v>37875.455306544609</v>
      </c>
      <c r="AG28" s="46">
        <f>AF$28*'Population Treasury'!AY$48*'Statistics NZ'!AY$373/('Population Treasury'!AX$48*'Statistics NZ'!AX$373)</f>
        <v>38240.637778660894</v>
      </c>
      <c r="AH28" s="46">
        <f>AG$28*'Population Treasury'!AZ$48*'Statistics NZ'!AZ$373/('Population Treasury'!AY$48*'Statistics NZ'!AY$373)</f>
        <v>35998.213013775217</v>
      </c>
      <c r="AI28" s="46">
        <f>AH$28*'Population Treasury'!BA$48*'Statistics NZ'!BA$373/('Population Treasury'!AZ$48*'Statistics NZ'!AZ$373)</f>
        <v>36221.368990086718</v>
      </c>
      <c r="AJ28" s="46">
        <f>AI$28*'Population Treasury'!BB$48*'Statistics NZ'!BB$373/('Population Treasury'!BA$48*'Statistics NZ'!BA$373)</f>
        <v>36769.289800746759</v>
      </c>
      <c r="AK28" s="46">
        <f>AJ$28*'Population Treasury'!BC$48*'Statistics NZ'!BC$373/('Population Treasury'!BB$48*'Statistics NZ'!BB$373)</f>
        <v>36890.991680498744</v>
      </c>
      <c r="AL28" s="46">
        <f>AK$28*'Population Treasury'!BD$48*'Statistics NZ'!BD$373/('Population Treasury'!BC$48*'Statistics NZ'!BC$373)</f>
        <v>36982.268310112544</v>
      </c>
      <c r="AM28" s="46">
        <f>AL$28*'Population Treasury'!BE$48*'Statistics NZ'!BE$373/('Population Treasury'!BD$48*'Statistics NZ'!BD$373)</f>
        <v>37063.403249044801</v>
      </c>
      <c r="AN28" s="46">
        <f>AM$28*'Population Treasury'!BF$48*'Statistics NZ'!BF$373/('Population Treasury'!BE$48*'Statistics NZ'!BE$373)</f>
        <v>37124.291843491104</v>
      </c>
      <c r="AO28" s="46">
        <f>AN$28*'Population Treasury'!BG$48*'Statistics NZ'!BG$373/('Population Treasury'!BF$48*'Statistics NZ'!BF$373)</f>
        <v>37195.285076608518</v>
      </c>
      <c r="AP28" s="46">
        <f>AO$28*'Population Treasury'!BH$48*'Statistics NZ'!BH$373/('Population Treasury'!BG$48*'Statistics NZ'!BG$373)</f>
        <v>37266.315587435114</v>
      </c>
      <c r="AQ28" s="46">
        <f>AP$28*'Population Treasury'!BI$48*'Statistics NZ'!BI$373/('Population Treasury'!BH$48*'Statistics NZ'!BH$373)</f>
        <v>37367.734765825771</v>
      </c>
    </row>
    <row r="29" spans="1:43" x14ac:dyDescent="0.25">
      <c r="A29" s="11">
        <v>34</v>
      </c>
      <c r="B29" s="45">
        <f>'Population Treasury'!T$49*'Statistics NZ'!T$374*'Economic Forecasts'!V$8/B$7</f>
        <v>34844.791768421739</v>
      </c>
      <c r="C29" s="45">
        <f>'Population Treasury'!U$49*'Statistics NZ'!U$374*'Economic Forecasts'!W$8/C$7</f>
        <v>35369.557952192044</v>
      </c>
      <c r="D29" s="45">
        <f>'Population Treasury'!V$49*'Statistics NZ'!V$374*'Economic Forecasts'!X$8/D$7</f>
        <v>35250.659097706659</v>
      </c>
      <c r="E29" s="45">
        <f>'Population Treasury'!W$49*'Statistics NZ'!W$374*'Economic Forecasts'!Y$8/E$7</f>
        <v>35190.267709171494</v>
      </c>
      <c r="F29" s="45">
        <f>'Population Treasury'!X$49*'Statistics NZ'!X$374*'Economic Forecasts'!Z$8/F$7</f>
        <v>34351.249930991034</v>
      </c>
      <c r="G29" s="45">
        <f>'Population Treasury'!Y$49*'Statistics NZ'!Y$374*'Economic Forecasts'!AA$8/G$7</f>
        <v>34304.696964435192</v>
      </c>
      <c r="H29" s="46">
        <f>G$29*'Population Treasury'!Z$49*'Statistics NZ'!Z$374/('Population Treasury'!Y$49*'Statistics NZ'!Y$374)</f>
        <v>33556.793071724918</v>
      </c>
      <c r="I29" s="46">
        <f>H$29*'Population Treasury'!AA$49*'Statistics NZ'!AA$374/('Population Treasury'!Z$49*'Statistics NZ'!Z$374)</f>
        <v>33552.3632873159</v>
      </c>
      <c r="J29" s="46">
        <f>I$29*'Population Treasury'!AB$49*'Statistics NZ'!AB$374/('Population Treasury'!AA$49*'Statistics NZ'!AA$374)</f>
        <v>33381.662170532632</v>
      </c>
      <c r="K29" s="46">
        <f>J$29*'Population Treasury'!AC$49*'Statistics NZ'!AC$374/('Population Treasury'!AB$49*'Statistics NZ'!AB$374)</f>
        <v>32528.847541574039</v>
      </c>
      <c r="L29" s="46">
        <f>K$29*'Population Treasury'!AD$49*'Statistics NZ'!AD$374/('Population Treasury'!AC$49*'Statistics NZ'!AC$374)</f>
        <v>33969.226841163516</v>
      </c>
      <c r="M29" s="46">
        <f>L$29*'Population Treasury'!AE$49*'Statistics NZ'!AE$374/('Population Treasury'!AD$49*'Statistics NZ'!AD$374)</f>
        <v>33765.830459337107</v>
      </c>
      <c r="N29" s="46">
        <f>M$29*'Population Treasury'!AF$49*'Statistics NZ'!AF$374/('Population Treasury'!AE$49*'Statistics NZ'!AE$374)</f>
        <v>33247.950595458555</v>
      </c>
      <c r="O29" s="46">
        <f>N$29*'Population Treasury'!AG$49*'Statistics NZ'!AG$374/('Population Treasury'!AF$49*'Statistics NZ'!AF$374)</f>
        <v>33308.442568321414</v>
      </c>
      <c r="P29" s="46">
        <f>O$29*'Population Treasury'!AH$49*'Statistics NZ'!AH$374/('Population Treasury'!AG$49*'Statistics NZ'!AG$374)</f>
        <v>34201.009041782054</v>
      </c>
      <c r="Q29" s="46">
        <f>P$29*'Population Treasury'!AI$49*'Statistics NZ'!AI$374/('Population Treasury'!AH$49*'Statistics NZ'!AH$374)</f>
        <v>34383.324810404498</v>
      </c>
      <c r="R29" s="46">
        <f>Q$29*'Population Treasury'!AJ$49*'Statistics NZ'!AJ$374/('Population Treasury'!AI$49*'Statistics NZ'!AI$374)</f>
        <v>35113.537616359099</v>
      </c>
      <c r="S29" s="46">
        <f>R$29*'Population Treasury'!AK$49*'Statistics NZ'!AK$374/('Population Treasury'!AJ$49*'Statistics NZ'!AJ$374)</f>
        <v>37122.265668585016</v>
      </c>
      <c r="T29" s="46">
        <f>S$29*'Population Treasury'!AL$49*'Statistics NZ'!AL$374/('Population Treasury'!AK$49*'Statistics NZ'!AK$374)</f>
        <v>38217.835572149575</v>
      </c>
      <c r="U29" s="46">
        <f>T$29*'Population Treasury'!AM$49*'Statistics NZ'!AM$374/('Population Treasury'!AL$49*'Statistics NZ'!AL$374)</f>
        <v>37801.610227911748</v>
      </c>
      <c r="V29" s="46">
        <f>U$29*'Population Treasury'!AN$49*'Statistics NZ'!AN$374/('Population Treasury'!AM$49*'Statistics NZ'!AM$374)</f>
        <v>38816.026094913534</v>
      </c>
      <c r="W29" s="46">
        <f>V$29*'Population Treasury'!AO$49*'Statistics NZ'!AO$374/('Population Treasury'!AN$49*'Statistics NZ'!AN$374)</f>
        <v>38947.75102323926</v>
      </c>
      <c r="X29" s="46">
        <f>W$29*'Population Treasury'!AP$49*'Statistics NZ'!AP$374/('Population Treasury'!AO$49*'Statistics NZ'!AO$374)</f>
        <v>39130.2232873467</v>
      </c>
      <c r="Y29" s="46">
        <f>X$29*'Population Treasury'!AQ$49*'Statistics NZ'!AQ$374/('Population Treasury'!AP$49*'Statistics NZ'!AP$374)</f>
        <v>39241.666707677869</v>
      </c>
      <c r="Z29" s="46">
        <f>Y$29*'Population Treasury'!AR$49*'Statistics NZ'!AR$374/('Population Treasury'!AQ$49*'Statistics NZ'!AQ$374)</f>
        <v>38592.098100462164</v>
      </c>
      <c r="AA29" s="46">
        <f>Z$29*'Population Treasury'!AS$49*'Statistics NZ'!AS$374/('Population Treasury'!AR$49*'Statistics NZ'!AR$374)</f>
        <v>38754.325755023347</v>
      </c>
      <c r="AB29" s="46">
        <f>AA$29*'Population Treasury'!AT$49*'Statistics NZ'!AT$374/('Population Treasury'!AS$49*'Statistics NZ'!AS$374)</f>
        <v>38470.085273124008</v>
      </c>
      <c r="AC29" s="46">
        <f>AB$29*'Population Treasury'!AU$49*'Statistics NZ'!AU$374/('Population Treasury'!AT$49*'Statistics NZ'!AT$374)</f>
        <v>38997.610656571269</v>
      </c>
      <c r="AD29" s="46">
        <f>AC$29*'Population Treasury'!AV$49*'Statistics NZ'!AV$374/('Population Treasury'!AU$49*'Statistics NZ'!AU$374)</f>
        <v>38551.061912902063</v>
      </c>
      <c r="AE29" s="46">
        <f>AD$29*'Population Treasury'!AW$49*'Statistics NZ'!AW$374/('Population Treasury'!AV$49*'Statistics NZ'!AV$374)</f>
        <v>38672.723630613109</v>
      </c>
      <c r="AF29" s="46">
        <f>AE$29*'Population Treasury'!AX$49*'Statistics NZ'!AX$374/('Population Treasury'!AW$49*'Statistics NZ'!AW$374)</f>
        <v>38469.731393425012</v>
      </c>
      <c r="AG29" s="46">
        <f>AF$29*'Population Treasury'!AY$49*'Statistics NZ'!AY$374/('Population Treasury'!AX$49*'Statistics NZ'!AX$374)</f>
        <v>38702.992198942949</v>
      </c>
      <c r="AH29" s="46">
        <f>AG$29*'Population Treasury'!AZ$49*'Statistics NZ'!AZ$374/('Population Treasury'!AY$49*'Statistics NZ'!AY$374)</f>
        <v>39058.112179853524</v>
      </c>
      <c r="AI29" s="46">
        <f>AH$29*'Population Treasury'!BA$49*'Statistics NZ'!BA$374/('Population Treasury'!AZ$49*'Statistics NZ'!AZ$374)</f>
        <v>36815.632624742815</v>
      </c>
      <c r="AJ29" s="46">
        <f>AI$29*'Population Treasury'!BB$49*'Statistics NZ'!BB$374/('Population Treasury'!BA$49*'Statistics NZ'!BA$374)</f>
        <v>37038.788880594242</v>
      </c>
      <c r="AK29" s="46">
        <f>AJ$29*'Population Treasury'!BC$49*'Statistics NZ'!BC$374/('Population Treasury'!BB$49*'Statistics NZ'!BB$374)</f>
        <v>37596.824582149442</v>
      </c>
      <c r="AL29" s="46">
        <f>AK$29*'Population Treasury'!BD$49*'Statistics NZ'!BD$374/('Population Treasury'!BC$49*'Statistics NZ'!BC$374)</f>
        <v>37708.423753916177</v>
      </c>
      <c r="AM29" s="46">
        <f>AL$29*'Population Treasury'!BE$49*'Statistics NZ'!BE$374/('Population Treasury'!BD$49*'Statistics NZ'!BD$374)</f>
        <v>37809.841023729452</v>
      </c>
      <c r="AN29" s="46">
        <f>AM$29*'Population Treasury'!BF$49*'Statistics NZ'!BF$374/('Population Treasury'!BE$49*'Statistics NZ'!BE$374)</f>
        <v>37890.975007199238</v>
      </c>
      <c r="AO29" s="46">
        <f>AN$29*'Population Treasury'!BG$49*'Statistics NZ'!BG$374/('Population Treasury'!BF$49*'Statistics NZ'!BF$374)</f>
        <v>37951.86572310279</v>
      </c>
      <c r="AP29" s="46">
        <f>AO$29*'Population Treasury'!BH$49*'Statistics NZ'!BH$374/('Population Treasury'!BG$49*'Statistics NZ'!BG$374)</f>
        <v>38022.858118311502</v>
      </c>
      <c r="AQ29" s="46">
        <f>AP$29*'Population Treasury'!BI$49*'Statistics NZ'!BI$374/('Population Treasury'!BH$49*'Statistics NZ'!BH$374)</f>
        <v>38103.992421977564</v>
      </c>
    </row>
    <row r="30" spans="1:43" x14ac:dyDescent="0.25">
      <c r="A30" s="11">
        <v>35</v>
      </c>
      <c r="B30" s="45">
        <f>'Population Treasury'!T$50*'Statistics NZ'!T$375*'Economic Forecasts'!V$8/B$7</f>
        <v>34055.589202565861</v>
      </c>
      <c r="C30" s="45">
        <f>'Population Treasury'!U$50*'Statistics NZ'!U$375*'Economic Forecasts'!W$8/C$7</f>
        <v>35310.953295174768</v>
      </c>
      <c r="D30" s="45">
        <f>'Population Treasury'!V$50*'Statistics NZ'!V$375*'Economic Forecasts'!X$8/D$7</f>
        <v>36202.268460006177</v>
      </c>
      <c r="E30" s="45">
        <f>'Population Treasury'!W$50*'Statistics NZ'!W$375*'Economic Forecasts'!Y$8/E$7</f>
        <v>36164.546030006211</v>
      </c>
      <c r="F30" s="45">
        <f>'Population Treasury'!X$50*'Statistics NZ'!X$375*'Economic Forecasts'!Z$8/F$7</f>
        <v>36071.507025305837</v>
      </c>
      <c r="G30" s="45">
        <f>'Population Treasury'!Y$50*'Statistics NZ'!Y$375*'Economic Forecasts'!AA$8/G$7</f>
        <v>35194.11099408233</v>
      </c>
      <c r="H30" s="46">
        <f>G$30*'Population Treasury'!Z$50*'Statistics NZ'!Z$375/('Population Treasury'!Y$50*'Statistics NZ'!Y$375)</f>
        <v>35099.606421706201</v>
      </c>
      <c r="I30" s="46">
        <f>H$30*'Population Treasury'!AA$50*'Statistics NZ'!AA$375/('Population Treasury'!Z$50*'Statistics NZ'!Z$375)</f>
        <v>34324.300822953228</v>
      </c>
      <c r="J30" s="46">
        <f>I$30*'Population Treasury'!AB$50*'Statistics NZ'!AB$375/('Population Treasury'!AA$50*'Statistics NZ'!AA$375)</f>
        <v>34290.890664612605</v>
      </c>
      <c r="K30" s="46">
        <f>J$30*'Population Treasury'!AC$50*'Statistics NZ'!AC$375/('Population Treasury'!AB$50*'Statistics NZ'!AB$375)</f>
        <v>34097.402394434263</v>
      </c>
      <c r="L30" s="46">
        <f>K$30*'Population Treasury'!AD$50*'Statistics NZ'!AD$375/('Population Treasury'!AC$50*'Statistics NZ'!AC$375)</f>
        <v>33244.414839169214</v>
      </c>
      <c r="M30" s="46">
        <f>L$30*'Population Treasury'!AE$50*'Statistics NZ'!AE$375/('Population Treasury'!AD$50*'Statistics NZ'!AD$375)</f>
        <v>34694.77681770354</v>
      </c>
      <c r="N30" s="46">
        <f>M$30*'Population Treasury'!AF$50*'Statistics NZ'!AF$375/('Population Treasury'!AE$50*'Statistics NZ'!AE$375)</f>
        <v>34481.115008287459</v>
      </c>
      <c r="O30" s="46">
        <f>N$30*'Population Treasury'!AG$50*'Statistics NZ'!AG$375/('Population Treasury'!AF$50*'Statistics NZ'!AF$375)</f>
        <v>33963.118019552705</v>
      </c>
      <c r="P30" s="46">
        <f>O$30*'Population Treasury'!AH$50*'Statistics NZ'!AH$375/('Population Treasury'!AG$50*'Statistics NZ'!AG$375)</f>
        <v>34013.388038263736</v>
      </c>
      <c r="Q30" s="46">
        <f>P$30*'Population Treasury'!AI$50*'Statistics NZ'!AI$375/('Population Treasury'!AH$50*'Statistics NZ'!AH$375)</f>
        <v>34915.945423320001</v>
      </c>
      <c r="R30" s="46">
        <f>Q$30*'Population Treasury'!AJ$50*'Statistics NZ'!AJ$375/('Population Treasury'!AI$50*'Statistics NZ'!AI$375)</f>
        <v>35098.146673389012</v>
      </c>
      <c r="S30" s="46">
        <f>R$30*'Population Treasury'!AK$50*'Statistics NZ'!AK$375/('Population Treasury'!AJ$50*'Statistics NZ'!AJ$375)</f>
        <v>35828.317916276217</v>
      </c>
      <c r="T30" s="46">
        <f>S$30*'Population Treasury'!AL$50*'Statistics NZ'!AL$375/('Population Treasury'!AK$50*'Statistics NZ'!AK$375)</f>
        <v>37847.091152474502</v>
      </c>
      <c r="U30" s="46">
        <f>T$30*'Population Treasury'!AM$50*'Statistics NZ'!AM$375/('Population Treasury'!AL$50*'Statistics NZ'!AL$375)</f>
        <v>38942.599943914887</v>
      </c>
      <c r="V30" s="46">
        <f>U$30*'Population Treasury'!AN$50*'Statistics NZ'!AN$375/('Population Treasury'!AM$50*'Statistics NZ'!AM$375)</f>
        <v>38536.4184920427</v>
      </c>
      <c r="W30" s="46">
        <f>V$30*'Population Treasury'!AO$50*'Statistics NZ'!AO$375/('Population Treasury'!AN$50*'Statistics NZ'!AN$375)</f>
        <v>39540.689470877347</v>
      </c>
      <c r="X30" s="46">
        <f>W$30*'Population Treasury'!AP$50*'Statistics NZ'!AP$375/('Population Treasury'!AO$50*'Statistics NZ'!AO$375)</f>
        <v>39672.350028890432</v>
      </c>
      <c r="Y30" s="46">
        <f>X$30*'Population Treasury'!AQ$50*'Statistics NZ'!AQ$375/('Population Treasury'!AP$50*'Statistics NZ'!AP$375)</f>
        <v>39864.904966632988</v>
      </c>
      <c r="Z30" s="46">
        <f>Y$30*'Population Treasury'!AR$50*'Statistics NZ'!AR$375/('Population Treasury'!AQ$50*'Statistics NZ'!AQ$375)</f>
        <v>39976.287801099148</v>
      </c>
      <c r="AA30" s="46">
        <f>Z$30*'Population Treasury'!AS$50*'Statistics NZ'!AS$375/('Population Treasury'!AR$50*'Statistics NZ'!AR$375)</f>
        <v>39316.541978534719</v>
      </c>
      <c r="AB30" s="46">
        <f>AA$30*'Population Treasury'!AT$50*'Statistics NZ'!AT$375/('Population Treasury'!AS$50*'Statistics NZ'!AS$375)</f>
        <v>39488.870093568636</v>
      </c>
      <c r="AC30" s="46">
        <f>AB$30*'Population Treasury'!AU$50*'Statistics NZ'!AU$375/('Population Treasury'!AT$50*'Statistics NZ'!AT$375)</f>
        <v>39194.483642818988</v>
      </c>
      <c r="AD30" s="46">
        <f>AC$30*'Population Treasury'!AV$50*'Statistics NZ'!AV$375/('Population Treasury'!AU$50*'Statistics NZ'!AU$375)</f>
        <v>39732.074102859195</v>
      </c>
      <c r="AE30" s="46">
        <f>AD$30*'Population Treasury'!AW$50*'Statistics NZ'!AW$375/('Population Treasury'!AV$50*'Statistics NZ'!AV$375)</f>
        <v>39275.388639424302</v>
      </c>
      <c r="AF30" s="46">
        <f>AE$30*'Population Treasury'!AX$50*'Statistics NZ'!AX$375/('Population Treasury'!AW$50*'Statistics NZ'!AW$375)</f>
        <v>39407.15731993768</v>
      </c>
      <c r="AG30" s="46">
        <f>AF$30*'Population Treasury'!AY$50*'Statistics NZ'!AY$375/('Population Treasury'!AX$50*'Statistics NZ'!AX$375)</f>
        <v>39204.136493080434</v>
      </c>
      <c r="AH30" s="46">
        <f>AG$30*'Population Treasury'!AZ$50*'Statistics NZ'!AZ$375/('Population Treasury'!AY$50*'Statistics NZ'!AY$375)</f>
        <v>39437.362218814167</v>
      </c>
      <c r="AI30" s="46">
        <f>AH$30*'Population Treasury'!BA$50*'Statistics NZ'!BA$375/('Population Treasury'!AZ$50*'Statistics NZ'!AZ$375)</f>
        <v>39792.488160399247</v>
      </c>
      <c r="AJ30" s="46">
        <f>AI$30*'Population Treasury'!BB$50*'Statistics NZ'!BB$375/('Population Treasury'!BA$50*'Statistics NZ'!BA$375)</f>
        <v>37539.884521787157</v>
      </c>
      <c r="AK30" s="46">
        <f>AJ$30*'Population Treasury'!BC$50*'Statistics NZ'!BC$375/('Population Treasury'!BB$50*'Statistics NZ'!BB$375)</f>
        <v>37763.021242682269</v>
      </c>
      <c r="AL30" s="46">
        <f>AK$30*'Population Treasury'!BD$50*'Statistics NZ'!BD$375/('Population Treasury'!BC$50*'Statistics NZ'!BC$375)</f>
        <v>38331.146674808311</v>
      </c>
      <c r="AM30" s="46">
        <f>AL$30*'Population Treasury'!BE$50*'Statistics NZ'!BE$375/('Population Treasury'!BD$50*'Statistics NZ'!BD$375)</f>
        <v>38452.884193436927</v>
      </c>
      <c r="AN30" s="46">
        <f>AM$30*'Population Treasury'!BF$50*'Statistics NZ'!BF$375/('Population Treasury'!BE$50*'Statistics NZ'!BE$375)</f>
        <v>38544.201262219816</v>
      </c>
      <c r="AO30" s="46">
        <f>AN$30*'Population Treasury'!BG$50*'Statistics NZ'!BG$375/('Population Treasury'!BF$50*'Statistics NZ'!BF$375)</f>
        <v>38625.32287831774</v>
      </c>
      <c r="AP30" s="46">
        <f>AO$30*'Population Treasury'!BH$50*'Statistics NZ'!BH$375/('Population Treasury'!BG$50*'Statistics NZ'!BG$375)</f>
        <v>38696.359630379447</v>
      </c>
      <c r="AQ30" s="46">
        <f>AP$30*'Population Treasury'!BI$50*'Statistics NZ'!BI$375/('Population Treasury'!BH$50*'Statistics NZ'!BH$375)</f>
        <v>38767.341268472424</v>
      </c>
    </row>
    <row r="31" spans="1:43" x14ac:dyDescent="0.25">
      <c r="A31" s="11">
        <v>36</v>
      </c>
      <c r="B31" s="45">
        <f>'Population Treasury'!T$51*'Statistics NZ'!T$376*'Economic Forecasts'!V$8/B$7</f>
        <v>33815.831461040019</v>
      </c>
      <c r="C31" s="45">
        <f>'Population Treasury'!U$51*'Statistics NZ'!U$376*'Economic Forecasts'!W$8/C$7</f>
        <v>34480.117726881814</v>
      </c>
      <c r="D31" s="45">
        <f>'Population Treasury'!V$51*'Statistics NZ'!V$376*'Economic Forecasts'!X$8/D$7</f>
        <v>36143.039938628863</v>
      </c>
      <c r="E31" s="45">
        <f>'Population Treasury'!W$51*'Statistics NZ'!W$376*'Economic Forecasts'!Y$8/E$7</f>
        <v>37133.159824625414</v>
      </c>
      <c r="F31" s="45">
        <f>'Population Treasury'!X$51*'Statistics NZ'!X$376*'Economic Forecasts'!Z$8/F$7</f>
        <v>37054.243379751511</v>
      </c>
      <c r="G31" s="45">
        <f>'Population Treasury'!Y$51*'Statistics NZ'!Y$376*'Economic Forecasts'!AA$8/G$7</f>
        <v>36913.532801126741</v>
      </c>
      <c r="H31" s="46">
        <f>G$31*'Population Treasury'!Z$51*'Statistics NZ'!Z$376/('Population Treasury'!Y$51*'Statistics NZ'!Y$376)</f>
        <v>35966.696969754608</v>
      </c>
      <c r="I31" s="46">
        <f>H$31*'Population Treasury'!AA$51*'Statistics NZ'!AA$376/('Population Treasury'!Z$51*'Statistics NZ'!Z$376)</f>
        <v>35850.978213353999</v>
      </c>
      <c r="J31" s="46">
        <f>I$31*'Population Treasury'!AB$51*'Statistics NZ'!AB$376/('Population Treasury'!AA$51*'Statistics NZ'!AA$376)</f>
        <v>35056.545130118306</v>
      </c>
      <c r="K31" s="46">
        <f>J$31*'Population Treasury'!AC$51*'Statistics NZ'!AC$376/('Population Treasury'!AB$51*'Statistics NZ'!AB$376)</f>
        <v>35005.126633640575</v>
      </c>
      <c r="L31" s="46">
        <f>K$31*'Population Treasury'!AD$51*'Statistics NZ'!AD$376/('Population Treasury'!AC$51*'Statistics NZ'!AC$376)</f>
        <v>34811.590559705575</v>
      </c>
      <c r="M31" s="46">
        <f>L$31*'Population Treasury'!AE$51*'Statistics NZ'!AE$376/('Population Treasury'!AD$51*'Statistics NZ'!AD$376)</f>
        <v>33948.453343315596</v>
      </c>
      <c r="N31" s="46">
        <f>M$31*'Population Treasury'!AF$51*'Statistics NZ'!AF$376/('Population Treasury'!AE$51*'Statistics NZ'!AE$376)</f>
        <v>35398.904491608911</v>
      </c>
      <c r="O31" s="46">
        <f>N$31*'Population Treasury'!AG$51*'Statistics NZ'!AG$376/('Population Treasury'!AF$51*'Statistics NZ'!AF$376)</f>
        <v>35185.202372254622</v>
      </c>
      <c r="P31" s="46">
        <f>O$31*'Population Treasury'!AH$51*'Statistics NZ'!AH$376/('Population Treasury'!AG$51*'Statistics NZ'!AG$376)</f>
        <v>34657.081773793689</v>
      </c>
      <c r="Q31" s="46">
        <f>P$31*'Population Treasury'!AI$51*'Statistics NZ'!AI$376/('Population Treasury'!AH$51*'Statistics NZ'!AH$376)</f>
        <v>34707.328533553555</v>
      </c>
      <c r="R31" s="46">
        <f>Q$31*'Population Treasury'!AJ$51*'Statistics NZ'!AJ$376/('Population Treasury'!AI$51*'Statistics NZ'!AI$376)</f>
        <v>35609.954319269396</v>
      </c>
      <c r="S31" s="46">
        <f>R$31*'Population Treasury'!AK$51*'Statistics NZ'!AK$376/('Population Treasury'!AJ$51*'Statistics NZ'!AJ$376)</f>
        <v>35792.138057539589</v>
      </c>
      <c r="T31" s="46">
        <f>S$31*'Population Treasury'!AL$51*'Statistics NZ'!AL$376/('Population Treasury'!AK$51*'Statistics NZ'!AK$376)</f>
        <v>36522.312312885879</v>
      </c>
      <c r="U31" s="46">
        <f>T$31*'Population Treasury'!AM$51*'Statistics NZ'!AM$376/('Population Treasury'!AL$51*'Statistics NZ'!AL$376)</f>
        <v>38541.182526077049</v>
      </c>
      <c r="V31" s="46">
        <f>U$31*'Population Treasury'!AN$51*'Statistics NZ'!AN$376/('Population Treasury'!AM$51*'Statistics NZ'!AM$376)</f>
        <v>39646.785517989694</v>
      </c>
      <c r="W31" s="46">
        <f>V$31*'Population Treasury'!AO$51*'Statistics NZ'!AO$376/('Population Treasury'!AN$51*'Statistics NZ'!AN$376)</f>
        <v>39230.493288654587</v>
      </c>
      <c r="X31" s="46">
        <f>W$31*'Population Treasury'!AP$51*'Statistics NZ'!AP$376/('Population Treasury'!AO$51*'Statistics NZ'!AO$376)</f>
        <v>40244.916181700399</v>
      </c>
      <c r="Y31" s="46">
        <f>X$31*'Population Treasury'!AQ$51*'Statistics NZ'!AQ$376/('Population Treasury'!AP$51*'Statistics NZ'!AP$376)</f>
        <v>40376.566655114366</v>
      </c>
      <c r="Z31" s="46">
        <f>Y$31*'Population Treasury'!AR$51*'Statistics NZ'!AR$376/('Population Treasury'!AQ$51*'Statistics NZ'!AQ$376)</f>
        <v>40559.02946043753</v>
      </c>
      <c r="AA31" s="46">
        <f>Z$31*'Population Treasury'!AS$51*'Statistics NZ'!AS$376/('Population Treasury'!AR$51*'Statistics NZ'!AR$376)</f>
        <v>40670.402380687985</v>
      </c>
      <c r="AB31" s="46">
        <f>AA$31*'Population Treasury'!AT$51*'Statistics NZ'!AT$376/('Population Treasury'!AS$51*'Statistics NZ'!AS$376)</f>
        <v>40010.686440334888</v>
      </c>
      <c r="AC31" s="46">
        <f>AB$31*'Population Treasury'!AU$51*'Statistics NZ'!AU$376/('Population Treasury'!AT$51*'Statistics NZ'!AT$376)</f>
        <v>40183.009514298159</v>
      </c>
      <c r="AD31" s="46">
        <f>AC$31*'Population Treasury'!AV$51*'Statistics NZ'!AV$376/('Population Treasury'!AU$51*'Statistics NZ'!AU$376)</f>
        <v>39888.609488580973</v>
      </c>
      <c r="AE31" s="46">
        <f>AD$31*'Population Treasury'!AW$51*'Statistics NZ'!AW$376/('Population Treasury'!AV$51*'Statistics NZ'!AV$376)</f>
        <v>40426.258142842315</v>
      </c>
      <c r="AF31" s="46">
        <f>AE$31*'Population Treasury'!AX$51*'Statistics NZ'!AX$376/('Population Treasury'!AW$51*'Statistics NZ'!AW$376)</f>
        <v>39969.558882115802</v>
      </c>
      <c r="AG31" s="46">
        <f>AF$31*'Population Treasury'!AY$51*'Statistics NZ'!AY$376/('Population Treasury'!AX$51*'Statistics NZ'!AX$376)</f>
        <v>40101.322963312065</v>
      </c>
      <c r="AH31" s="46">
        <f>AG$31*'Population Treasury'!AZ$51*'Statistics NZ'!AZ$376/('Population Treasury'!AY$51*'Statistics NZ'!AY$376)</f>
        <v>39898.293365017184</v>
      </c>
      <c r="AI31" s="46">
        <f>AH$31*'Population Treasury'!BA$51*'Statistics NZ'!BA$376/('Population Treasury'!AZ$51*'Statistics NZ'!AZ$376)</f>
        <v>40131.572892628123</v>
      </c>
      <c r="AJ31" s="46">
        <f>AI$31*'Population Treasury'!BB$51*'Statistics NZ'!BB$376/('Population Treasury'!BA$51*'Statistics NZ'!BA$376)</f>
        <v>40496.788938326041</v>
      </c>
      <c r="AK31" s="46">
        <f>AJ$31*'Population Treasury'!BC$51*'Statistics NZ'!BC$376/('Population Treasury'!BB$51*'Statistics NZ'!BB$376)</f>
        <v>38234.055081486506</v>
      </c>
      <c r="AL31" s="46">
        <f>AK$31*'Population Treasury'!BD$51*'Statistics NZ'!BD$376/('Population Treasury'!BC$51*'Statistics NZ'!BC$376)</f>
        <v>38457.251096021486</v>
      </c>
      <c r="AM31" s="46">
        <f>AL$31*'Population Treasury'!BE$51*'Statistics NZ'!BE$376/('Population Treasury'!BD$51*'Statistics NZ'!BD$376)</f>
        <v>39025.382576270094</v>
      </c>
      <c r="AN31" s="46">
        <f>AM$31*'Population Treasury'!BF$51*'Statistics NZ'!BF$376/('Population Treasury'!BE$51*'Statistics NZ'!BE$376)</f>
        <v>39147.121159518341</v>
      </c>
      <c r="AO31" s="46">
        <f>AN$31*'Population Treasury'!BG$51*'Statistics NZ'!BG$376/('Population Treasury'!BF$51*'Statistics NZ'!BF$376)</f>
        <v>39248.579776419647</v>
      </c>
      <c r="AP31" s="46">
        <f>AO$31*'Population Treasury'!BH$51*'Statistics NZ'!BH$376/('Population Treasury'!BG$51*'Statistics NZ'!BG$376)</f>
        <v>39329.700215376884</v>
      </c>
      <c r="AQ31" s="46">
        <f>AP$31*'Population Treasury'!BI$51*'Statistics NZ'!BI$376/('Population Treasury'!BH$51*'Statistics NZ'!BH$376)</f>
        <v>39400.738775251186</v>
      </c>
    </row>
    <row r="32" spans="1:43" x14ac:dyDescent="0.25">
      <c r="A32" s="11">
        <v>37</v>
      </c>
      <c r="B32" s="45">
        <f>'Population Treasury'!T$52*'Statistics NZ'!T$377*'Economic Forecasts'!V$8/B$7</f>
        <v>32447.214353163363</v>
      </c>
      <c r="C32" s="45">
        <f>'Population Treasury'!U$52*'Statistics NZ'!U$377*'Economic Forecasts'!W$8/C$7</f>
        <v>34203.394304230198</v>
      </c>
      <c r="D32" s="45">
        <f>'Population Treasury'!V$52*'Statistics NZ'!V$377*'Economic Forecasts'!X$8/D$7</f>
        <v>35259.872844554098</v>
      </c>
      <c r="E32" s="45">
        <f>'Population Treasury'!W$52*'Statistics NZ'!W$377*'Economic Forecasts'!Y$8/E$7</f>
        <v>37023.600828304676</v>
      </c>
      <c r="F32" s="45">
        <f>'Population Treasury'!X$52*'Statistics NZ'!X$377*'Economic Forecasts'!Z$8/F$7</f>
        <v>37976.761580284074</v>
      </c>
      <c r="G32" s="45">
        <f>'Population Treasury'!Y$52*'Statistics NZ'!Y$377*'Economic Forecasts'!AA$8/G$7</f>
        <v>37848.709137802543</v>
      </c>
      <c r="H32" s="46">
        <f>G$32*'Population Treasury'!Z$52*'Statistics NZ'!Z$377/('Population Treasury'!Y$52*'Statistics NZ'!Y$377)</f>
        <v>37632.657657669086</v>
      </c>
      <c r="I32" s="46">
        <f>H$32*'Population Treasury'!AA$52*'Statistics NZ'!AA$377/('Population Treasury'!Z$52*'Statistics NZ'!Z$377)</f>
        <v>36654.467575376177</v>
      </c>
      <c r="J32" s="46">
        <f>I$32*'Population Treasury'!AB$52*'Statistics NZ'!AB$377/('Population Treasury'!AA$52*'Statistics NZ'!AA$377)</f>
        <v>36529.774045604616</v>
      </c>
      <c r="K32" s="46">
        <f>J$32*'Population Treasury'!AC$52*'Statistics NZ'!AC$377/('Population Treasury'!AB$52*'Statistics NZ'!AB$377)</f>
        <v>35707.164029577376</v>
      </c>
      <c r="L32" s="46">
        <f>K$32*'Population Treasury'!AD$52*'Statistics NZ'!AD$377/('Population Treasury'!AC$52*'Statistics NZ'!AC$377)</f>
        <v>35655.72809349918</v>
      </c>
      <c r="M32" s="46">
        <f>L$32*'Population Treasury'!AE$52*'Statistics NZ'!AE$377/('Population Treasury'!AD$52*'Statistics NZ'!AD$377)</f>
        <v>35452.156807409861</v>
      </c>
      <c r="N32" s="46">
        <f>M$32*'Population Treasury'!AF$52*'Statistics NZ'!AF$377/('Population Treasury'!AE$52*'Statistics NZ'!AE$377)</f>
        <v>34578.969000832883</v>
      </c>
      <c r="O32" s="46">
        <f>N$32*'Population Treasury'!AG$52*'Statistics NZ'!AG$377/('Population Treasury'!AF$52*'Statistics NZ'!AF$377)</f>
        <v>36039.463490863091</v>
      </c>
      <c r="P32" s="46">
        <f>O$32*'Population Treasury'!AH$52*'Statistics NZ'!AH$377/('Population Treasury'!AG$52*'Statistics NZ'!AG$377)</f>
        <v>35815.729885226414</v>
      </c>
      <c r="Q32" s="46">
        <f>P$32*'Population Treasury'!AI$52*'Statistics NZ'!AI$377/('Population Treasury'!AH$52*'Statistics NZ'!AH$377)</f>
        <v>35277.510728705674</v>
      </c>
      <c r="R32" s="46">
        <f>Q$32*'Population Treasury'!AJ$52*'Statistics NZ'!AJ$377/('Population Treasury'!AI$52*'Statistics NZ'!AI$377)</f>
        <v>35327.813662827648</v>
      </c>
      <c r="S32" s="46">
        <f>R$32*'Population Treasury'!AK$52*'Statistics NZ'!AK$377/('Population Treasury'!AJ$52*'Statistics NZ'!AJ$377)</f>
        <v>36230.388794791223</v>
      </c>
      <c r="T32" s="46">
        <f>S$32*'Population Treasury'!AL$52*'Statistics NZ'!AL$377/('Population Treasury'!AK$52*'Statistics NZ'!AK$377)</f>
        <v>36412.630877910437</v>
      </c>
      <c r="U32" s="46">
        <f>T$32*'Population Treasury'!AM$52*'Statistics NZ'!AM$377/('Population Treasury'!AL$52*'Statistics NZ'!AL$377)</f>
        <v>37132.73670630921</v>
      </c>
      <c r="V32" s="46">
        <f>U$32*'Population Treasury'!AN$52*'Statistics NZ'!AN$377/('Population Treasury'!AM$52*'Statistics NZ'!AM$377)</f>
        <v>39161.718299987122</v>
      </c>
      <c r="W32" s="46">
        <f>V$32*'Population Treasury'!AO$52*'Statistics NZ'!AO$377/('Population Treasury'!AN$52*'Statistics NZ'!AN$377)</f>
        <v>40257.309679213788</v>
      </c>
      <c r="X32" s="46">
        <f>W$32*'Population Treasury'!AP$52*'Statistics NZ'!AP$377/('Population Treasury'!AO$52*'Statistics NZ'!AO$377)</f>
        <v>39841.005457491498</v>
      </c>
      <c r="Y32" s="46">
        <f>X$32*'Population Treasury'!AQ$52*'Statistics NZ'!AQ$377/('Population Treasury'!AP$52*'Statistics NZ'!AP$377)</f>
        <v>40855.438576382076</v>
      </c>
      <c r="Z32" s="46">
        <f>Y$32*'Population Treasury'!AR$52*'Statistics NZ'!AR$377/('Population Treasury'!AQ$52*'Statistics NZ'!AQ$377)</f>
        <v>40987.085723779717</v>
      </c>
      <c r="AA32" s="46">
        <f>Z$32*'Population Treasury'!AS$52*'Statistics NZ'!AS$377/('Population Treasury'!AR$52*'Statistics NZ'!AR$377)</f>
        <v>41169.547518334293</v>
      </c>
      <c r="AB32" s="46">
        <f>AA$32*'Population Treasury'!AT$52*'Statistics NZ'!AT$377/('Population Treasury'!AS$52*'Statistics NZ'!AS$377)</f>
        <v>41280.9738352817</v>
      </c>
      <c r="AC32" s="46">
        <f>AB$32*'Population Treasury'!AU$52*'Statistics NZ'!AU$377/('Population Treasury'!AT$52*'Statistics NZ'!AT$377)</f>
        <v>40621.245753729607</v>
      </c>
      <c r="AD32" s="46">
        <f>AC$32*'Population Treasury'!AV$52*'Statistics NZ'!AV$377/('Population Treasury'!AU$52*'Statistics NZ'!AU$377)</f>
        <v>40783.485246940363</v>
      </c>
      <c r="AE32" s="46">
        <f>AD$32*'Population Treasury'!AW$52*'Statistics NZ'!AW$377/('Population Treasury'!AV$52*'Statistics NZ'!AV$377)</f>
        <v>40499.21897194317</v>
      </c>
      <c r="AF32" s="46">
        <f>AE$32*'Population Treasury'!AX$52*'Statistics NZ'!AX$377/('Population Treasury'!AW$52*'Statistics NZ'!AW$377)</f>
        <v>41026.788604102789</v>
      </c>
      <c r="AG32" s="46">
        <f>AF$32*'Population Treasury'!AY$52*'Statistics NZ'!AY$377/('Population Treasury'!AX$52*'Statistics NZ'!AX$377)</f>
        <v>40580.164982242008</v>
      </c>
      <c r="AH32" s="46">
        <f>AG$32*'Population Treasury'!AZ$52*'Statistics NZ'!AZ$377/('Population Treasury'!AY$52*'Statistics NZ'!AY$377)</f>
        <v>40701.903476745218</v>
      </c>
      <c r="AI32" s="46">
        <f>AH$32*'Population Treasury'!BA$52*'Statistics NZ'!BA$377/('Population Treasury'!AZ$52*'Statistics NZ'!AZ$377)</f>
        <v>40509.010426317065</v>
      </c>
      <c r="AJ32" s="46">
        <f>AI$32*'Population Treasury'!BB$52*'Statistics NZ'!BB$377/('Population Treasury'!BA$52*'Statistics NZ'!BA$377)</f>
        <v>40732.207996879653</v>
      </c>
      <c r="AK32" s="46">
        <f>AJ$32*'Population Treasury'!BC$52*'Statistics NZ'!BC$377/('Population Treasury'!BB$52*'Statistics NZ'!BB$377)</f>
        <v>41107.508162860271</v>
      </c>
      <c r="AL32" s="46">
        <f>AK$32*'Population Treasury'!BD$52*'Statistics NZ'!BD$377/('Population Treasury'!BC$52*'Statistics NZ'!BC$377)</f>
        <v>38844.753912847431</v>
      </c>
      <c r="AM32" s="46">
        <f>AL$32*'Population Treasury'!BE$52*'Statistics NZ'!BE$377/('Population Treasury'!BD$52*'Statistics NZ'!BD$377)</f>
        <v>39067.951442920465</v>
      </c>
      <c r="AN32" s="46">
        <f>AM$32*'Population Treasury'!BF$52*'Statistics NZ'!BF$377/('Population Treasury'!BE$52*'Statistics NZ'!BE$377)</f>
        <v>39636.146156433693</v>
      </c>
      <c r="AO32" s="46">
        <f>AN$32*'Population Treasury'!BG$52*'Statistics NZ'!BG$377/('Population Treasury'!BF$52*'Statistics NZ'!BF$377)</f>
        <v>39757.885260484727</v>
      </c>
      <c r="AP32" s="46">
        <f>AO$32*'Population Treasury'!BH$52*'Statistics NZ'!BH$377/('Population Treasury'!BG$52*'Statistics NZ'!BG$377)</f>
        <v>39869.425243648395</v>
      </c>
      <c r="AQ32" s="46">
        <f>AP$32*'Population Treasury'!BI$52*'Statistics NZ'!BI$377/('Population Treasury'!BH$52*'Statistics NZ'!BH$377)</f>
        <v>39950.604601045387</v>
      </c>
    </row>
    <row r="33" spans="1:43" x14ac:dyDescent="0.25">
      <c r="A33" s="11">
        <v>38</v>
      </c>
      <c r="B33" s="45">
        <f>'Population Treasury'!T$53*'Statistics NZ'!T$378*'Economic Forecasts'!V$8/B$7</f>
        <v>31508.163198853836</v>
      </c>
      <c r="C33" s="45">
        <f>'Population Treasury'!U$53*'Statistics NZ'!U$378*'Economic Forecasts'!W$8/C$7</f>
        <v>32749.015005252924</v>
      </c>
      <c r="D33" s="45">
        <f>'Population Treasury'!V$53*'Statistics NZ'!V$378*'Economic Forecasts'!X$8/D$7</f>
        <v>34882.865436823893</v>
      </c>
      <c r="E33" s="45">
        <f>'Population Treasury'!W$53*'Statistics NZ'!W$378*'Economic Forecasts'!Y$8/E$7</f>
        <v>36035.477919285819</v>
      </c>
      <c r="F33" s="45">
        <f>'Population Treasury'!X$53*'Statistics NZ'!X$378*'Economic Forecasts'!Z$8/F$7</f>
        <v>37776.384765678558</v>
      </c>
      <c r="G33" s="45">
        <f>'Population Treasury'!Y$53*'Statistics NZ'!Y$378*'Economic Forecasts'!AA$8/G$7</f>
        <v>38693.347202185338</v>
      </c>
      <c r="H33" s="46">
        <f>G$33*'Population Treasury'!Z$53*'Statistics NZ'!Z$378/('Population Treasury'!Y$53*'Statistics NZ'!Y$378)</f>
        <v>38497.485664882544</v>
      </c>
      <c r="I33" s="46">
        <f>H$33*'Population Treasury'!AA$53*'Statistics NZ'!AA$378/('Population Treasury'!Z$53*'Statistics NZ'!Z$378)</f>
        <v>38270.273697608645</v>
      </c>
      <c r="J33" s="46">
        <f>I$33*'Population Treasury'!AB$53*'Statistics NZ'!AB$378/('Population Treasury'!AA$53*'Statistics NZ'!AA$378)</f>
        <v>37272.976631937097</v>
      </c>
      <c r="K33" s="46">
        <f>J$33*'Population Treasury'!AC$53*'Statistics NZ'!AC$378/('Population Treasury'!AB$53*'Statistics NZ'!AB$378)</f>
        <v>37140.26637119356</v>
      </c>
      <c r="L33" s="46">
        <f>K$33*'Population Treasury'!AD$53*'Statistics NZ'!AD$378/('Population Treasury'!AC$53*'Statistics NZ'!AC$378)</f>
        <v>36307.537117173932</v>
      </c>
      <c r="M33" s="46">
        <f>L$33*'Population Treasury'!AE$53*'Statistics NZ'!AE$378/('Population Treasury'!AD$53*'Statistics NZ'!AD$378)</f>
        <v>36246.010734607953</v>
      </c>
      <c r="N33" s="46">
        <f>M$33*'Population Treasury'!AF$53*'Statistics NZ'!AF$378/('Population Treasury'!AE$53*'Statistics NZ'!AE$378)</f>
        <v>36042.484198986196</v>
      </c>
      <c r="O33" s="46">
        <f>N$33*'Population Treasury'!AG$53*'Statistics NZ'!AG$378/('Population Treasury'!AF$53*'Statistics NZ'!AF$378)</f>
        <v>35159.119651879417</v>
      </c>
      <c r="P33" s="46">
        <f>O$33*'Population Treasury'!AH$53*'Statistics NZ'!AH$378/('Population Treasury'!AG$53*'Statistics NZ'!AG$378)</f>
        <v>36619.710338707468</v>
      </c>
      <c r="Q33" s="46">
        <f>P$33*'Population Treasury'!AI$53*'Statistics NZ'!AI$378/('Population Treasury'!AH$53*'Statistics NZ'!AH$378)</f>
        <v>36395.960523255111</v>
      </c>
      <c r="R33" s="46">
        <f>Q$33*'Population Treasury'!AJ$53*'Statistics NZ'!AJ$378/('Population Treasury'!AI$53*'Statistics NZ'!AI$378)</f>
        <v>35857.783325692879</v>
      </c>
      <c r="S33" s="46">
        <f>R$33*'Population Treasury'!AK$53*'Statistics NZ'!AK$378/('Population Treasury'!AJ$53*'Statistics NZ'!AJ$378)</f>
        <v>35898.007029528308</v>
      </c>
      <c r="T33" s="46">
        <f>S$33*'Population Treasury'!AL$53*'Statistics NZ'!AL$378/('Population Treasury'!AK$53*'Statistics NZ'!AK$378)</f>
        <v>36800.659211726452</v>
      </c>
      <c r="U33" s="46">
        <f>T$33*'Population Treasury'!AM$53*'Statistics NZ'!AM$378/('Population Treasury'!AL$53*'Statistics NZ'!AL$378)</f>
        <v>36982.897844214902</v>
      </c>
      <c r="V33" s="46">
        <f>U$33*'Population Treasury'!AN$53*'Statistics NZ'!AN$378/('Population Treasury'!AM$53*'Statistics NZ'!AM$378)</f>
        <v>37713.088486741239</v>
      </c>
      <c r="W33" s="46">
        <f>V$33*'Population Treasury'!AO$53*'Statistics NZ'!AO$378/('Population Treasury'!AN$53*'Statistics NZ'!AN$378)</f>
        <v>39742.105844542115</v>
      </c>
      <c r="X33" s="46">
        <f>W$33*'Population Treasury'!AP$53*'Statistics NZ'!AP$378/('Population Treasury'!AO$53*'Statistics NZ'!AO$378)</f>
        <v>40837.713519967132</v>
      </c>
      <c r="Y33" s="46">
        <f>X$33*'Population Treasury'!AQ$53*'Statistics NZ'!AQ$378/('Population Treasury'!AP$53*'Statistics NZ'!AP$378)</f>
        <v>40421.455269295046</v>
      </c>
      <c r="Z33" s="46">
        <f>Y$33*'Population Treasury'!AR$53*'Statistics NZ'!AR$378/('Population Treasury'!AQ$53*'Statistics NZ'!AQ$378)</f>
        <v>41435.843173287642</v>
      </c>
      <c r="AA33" s="46">
        <f>Z$33*'Population Treasury'!AS$53*'Statistics NZ'!AS$378/('Population Treasury'!AR$53*'Statistics NZ'!AR$378)</f>
        <v>41567.545680133604</v>
      </c>
      <c r="AB33" s="46">
        <f>AA$33*'Population Treasury'!AT$53*'Statistics NZ'!AT$378/('Population Treasury'!AS$53*'Statistics NZ'!AS$378)</f>
        <v>41750.064932155699</v>
      </c>
      <c r="AC33" s="46">
        <f>AB$33*'Population Treasury'!AU$53*'Statistics NZ'!AU$378/('Population Treasury'!AT$53*'Statistics NZ'!AT$378)</f>
        <v>41861.489402189087</v>
      </c>
      <c r="AD33" s="46">
        <f>AC$33*'Population Treasury'!AV$53*'Statistics NZ'!AV$378/('Population Treasury'!AU$53*'Statistics NZ'!AU$378)</f>
        <v>41191.666582653837</v>
      </c>
      <c r="AE33" s="46">
        <f>AD$33*'Population Treasury'!AW$53*'Statistics NZ'!AW$378/('Population Treasury'!AV$53*'Statistics NZ'!AV$378)</f>
        <v>41364.046326482305</v>
      </c>
      <c r="AF33" s="46">
        <f>AE$33*'Population Treasury'!AX$53*'Statistics NZ'!AX$378/('Population Treasury'!AW$53*'Statistics NZ'!AW$378)</f>
        <v>41069.692315005072</v>
      </c>
      <c r="AG33" s="46">
        <f>AF$33*'Population Treasury'!AY$53*'Statistics NZ'!AY$378/('Population Treasury'!AX$53*'Statistics NZ'!AX$378)</f>
        <v>41607.349052387537</v>
      </c>
      <c r="AH33" s="46">
        <f>AG$33*'Population Treasury'!AZ$53*'Statistics NZ'!AZ$378/('Population Treasury'!AY$53*'Statistics NZ'!AY$378)</f>
        <v>41160.716257676359</v>
      </c>
      <c r="AI33" s="46">
        <f>AH$33*'Population Treasury'!BA$53*'Statistics NZ'!BA$378/('Population Treasury'!AZ$53*'Statistics NZ'!AZ$378)</f>
        <v>41282.456030998503</v>
      </c>
      <c r="AJ33" s="46">
        <f>AI$33*'Population Treasury'!BB$53*'Statistics NZ'!BB$378/('Population Treasury'!BA$53*'Statistics NZ'!BA$378)</f>
        <v>41089.558412697639</v>
      </c>
      <c r="AK33" s="46">
        <f>AJ$33*'Population Treasury'!BC$53*'Statistics NZ'!BC$378/('Population Treasury'!BB$53*'Statistics NZ'!BB$378)</f>
        <v>41322.898622154869</v>
      </c>
      <c r="AL33" s="46">
        <f>AK$33*'Population Treasury'!BD$53*'Statistics NZ'!BD$378/('Population Treasury'!BC$53*'Statistics NZ'!BC$378)</f>
        <v>41688.119859181577</v>
      </c>
      <c r="AM33" s="46">
        <f>AL$33*'Population Treasury'!BE$53*'Statistics NZ'!BE$378/('Population Treasury'!BD$53*'Statistics NZ'!BD$378)</f>
        <v>39425.398030480268</v>
      </c>
      <c r="AN33" s="46">
        <f>AM$33*'Population Treasury'!BF$53*'Statistics NZ'!BF$378/('Population Treasury'!BE$53*'Statistics NZ'!BE$378)</f>
        <v>39658.676123614532</v>
      </c>
      <c r="AO33" s="46">
        <f>AN$33*'Population Treasury'!BG$53*'Statistics NZ'!BG$378/('Population Treasury'!BF$53*'Statistics NZ'!BF$378)</f>
        <v>40226.87797943224</v>
      </c>
      <c r="AP33" s="46">
        <f>AO$33*'Population Treasury'!BH$53*'Statistics NZ'!BH$378/('Population Treasury'!BG$53*'Statistics NZ'!BG$378)</f>
        <v>40348.67868472886</v>
      </c>
      <c r="AQ33" s="46">
        <f>AP$33*'Population Treasury'!BI$53*'Statistics NZ'!BI$378/('Population Treasury'!BH$53*'Statistics NZ'!BH$378)</f>
        <v>40460.21870414797</v>
      </c>
    </row>
    <row r="34" spans="1:43" x14ac:dyDescent="0.25">
      <c r="A34" s="11">
        <v>39</v>
      </c>
      <c r="B34" s="45">
        <f>'Population Treasury'!T$54*'Statistics NZ'!T$379*'Economic Forecasts'!V$8/B$7</f>
        <v>31338.334798606364</v>
      </c>
      <c r="C34" s="45">
        <f>'Population Treasury'!U$54*'Statistics NZ'!U$379*'Economic Forecasts'!W$8/C$7</f>
        <v>31769.592035955182</v>
      </c>
      <c r="D34" s="45">
        <f>'Population Treasury'!V$54*'Statistics NZ'!V$379*'Economic Forecasts'!X$8/D$7</f>
        <v>33374.174124454177</v>
      </c>
      <c r="E34" s="45">
        <f>'Population Treasury'!W$54*'Statistics NZ'!W$379*'Economic Forecasts'!Y$8/E$7</f>
        <v>35606.347069722251</v>
      </c>
      <c r="F34" s="45">
        <f>'Population Treasury'!X$54*'Statistics NZ'!X$379*'Economic Forecasts'!Z$8/F$7</f>
        <v>36733.83154664543</v>
      </c>
      <c r="G34" s="45">
        <f>'Population Treasury'!Y$54*'Statistics NZ'!Y$379*'Economic Forecasts'!AA$8/G$7</f>
        <v>38442.064090785185</v>
      </c>
      <c r="H34" s="46">
        <f>G$34*'Population Treasury'!Z$54*'Statistics NZ'!Z$379/('Population Treasury'!Y$54*'Statistics NZ'!Y$379)</f>
        <v>39301.561973907759</v>
      </c>
      <c r="I34" s="46">
        <f>H$34*'Population Treasury'!AA$54*'Statistics NZ'!AA$379/('Population Treasury'!Z$54*'Statistics NZ'!Z$379)</f>
        <v>39094.551382209735</v>
      </c>
      <c r="J34" s="46">
        <f>I$34*'Population Treasury'!AB$54*'Statistics NZ'!AB$379/('Population Treasury'!AA$54*'Statistics NZ'!AA$379)</f>
        <v>38848.200085172582</v>
      </c>
      <c r="K34" s="46">
        <f>J$34*'Population Treasury'!AC$54*'Statistics NZ'!AC$379/('Population Treasury'!AB$54*'Statistics NZ'!AB$379)</f>
        <v>37842.873905721783</v>
      </c>
      <c r="L34" s="46">
        <f>K$34*'Population Treasury'!AD$54*'Statistics NZ'!AD$379/('Population Treasury'!AC$54*'Statistics NZ'!AC$379)</f>
        <v>37700.095331718985</v>
      </c>
      <c r="M34" s="46">
        <f>L$34*'Population Treasury'!AE$54*'Statistics NZ'!AE$379/('Population Treasury'!AD$54*'Statistics NZ'!AD$379)</f>
        <v>36857.338993394282</v>
      </c>
      <c r="N34" s="46">
        <f>M$34*'Population Treasury'!AF$54*'Statistics NZ'!AF$379/('Population Treasury'!AE$54*'Statistics NZ'!AE$379)</f>
        <v>36795.885236703631</v>
      </c>
      <c r="O34" s="46">
        <f>N$34*'Population Treasury'!AG$54*'Statistics NZ'!AG$379/('Population Treasury'!AF$54*'Statistics NZ'!AF$379)</f>
        <v>36592.301077793607</v>
      </c>
      <c r="P34" s="46">
        <f>O$34*'Population Treasury'!AH$54*'Statistics NZ'!AH$379/('Population Treasury'!AG$54*'Statistics NZ'!AG$379)</f>
        <v>35698.914407249758</v>
      </c>
      <c r="Q34" s="46">
        <f>P$34*'Population Treasury'!AI$54*'Statistics NZ'!AI$379/('Population Treasury'!AH$54*'Statistics NZ'!AH$379)</f>
        <v>37159.550690449607</v>
      </c>
      <c r="R34" s="46">
        <f>Q$34*'Population Treasury'!AJ$54*'Statistics NZ'!AJ$379/('Population Treasury'!AI$54*'Statistics NZ'!AI$379)</f>
        <v>36935.868973491561</v>
      </c>
      <c r="S34" s="46">
        <f>R$34*'Population Treasury'!AK$54*'Statistics NZ'!AK$379/('Population Treasury'!AJ$54*'Statistics NZ'!AJ$379)</f>
        <v>36397.687785423048</v>
      </c>
      <c r="T34" s="46">
        <f>S$34*'Population Treasury'!AL$54*'Statistics NZ'!AL$379/('Population Treasury'!AK$54*'Statistics NZ'!AK$379)</f>
        <v>36437.919496887938</v>
      </c>
      <c r="U34" s="46">
        <f>T$34*'Population Treasury'!AM$54*'Statistics NZ'!AM$379/('Population Treasury'!AL$54*'Statistics NZ'!AL$379)</f>
        <v>37340.599021412752</v>
      </c>
      <c r="V34" s="46">
        <f>U$34*'Population Treasury'!AN$54*'Statistics NZ'!AN$379/('Population Treasury'!AM$54*'Statistics NZ'!AM$379)</f>
        <v>37522.849262187847</v>
      </c>
      <c r="W34" s="46">
        <f>V$34*'Population Treasury'!AO$54*'Statistics NZ'!AO$379/('Population Treasury'!AN$54*'Statistics NZ'!AN$379)</f>
        <v>38243.046796866824</v>
      </c>
      <c r="X34" s="46">
        <f>W$34*'Population Treasury'!AP$54*'Statistics NZ'!AP$379/('Population Treasury'!AO$54*'Statistics NZ'!AO$379)</f>
        <v>40282.182693011266</v>
      </c>
      <c r="Y34" s="46">
        <f>X$34*'Population Treasury'!AQ$54*'Statistics NZ'!AQ$379/('Population Treasury'!AP$54*'Statistics NZ'!AP$379)</f>
        <v>41387.894637672413</v>
      </c>
      <c r="Z34" s="46">
        <f>Y$34*'Population Treasury'!AR$54*'Statistics NZ'!AR$379/('Population Treasury'!AQ$54*'Statistics NZ'!AQ$379)</f>
        <v>40961.552263786965</v>
      </c>
      <c r="AA34" s="46">
        <f>Z$34*'Population Treasury'!AS$54*'Statistics NZ'!AS$379/('Population Treasury'!AR$54*'Statistics NZ'!AR$379)</f>
        <v>41976.01814237026</v>
      </c>
      <c r="AB34" s="46">
        <f>AA$34*'Population Treasury'!AT$54*'Statistics NZ'!AT$379/('Population Treasury'!AS$54*'Statistics NZ'!AS$379)</f>
        <v>42107.726414353048</v>
      </c>
      <c r="AC34" s="46">
        <f>AB$34*'Population Treasury'!AU$54*'Statistics NZ'!AU$379/('Population Treasury'!AT$54*'Statistics NZ'!AT$379)</f>
        <v>42300.333980104537</v>
      </c>
      <c r="AD34" s="46">
        <f>AC$34*'Population Treasury'!AV$54*'Statistics NZ'!AV$379/('Population Treasury'!AU$54*'Statistics NZ'!AU$379)</f>
        <v>42401.680094708638</v>
      </c>
      <c r="AE34" s="46">
        <f>AD$34*'Population Treasury'!AW$54*'Statistics NZ'!AW$379/('Population Treasury'!AV$54*'Statistics NZ'!AV$379)</f>
        <v>41731.908683784444</v>
      </c>
      <c r="AF34" s="46">
        <f>AE$34*'Population Treasury'!AX$54*'Statistics NZ'!AX$379/('Population Treasury'!AW$54*'Statistics NZ'!AW$379)</f>
        <v>41904.292804117918</v>
      </c>
      <c r="AG34" s="46">
        <f>AF$34*'Population Treasury'!AY$54*'Statistics NZ'!AY$379/('Population Treasury'!AX$54*'Statistics NZ'!AX$379)</f>
        <v>41620.019582685185</v>
      </c>
      <c r="AH34" s="46">
        <f>AG$34*'Population Treasury'!AZ$54*'Statistics NZ'!AZ$379/('Population Treasury'!AY$54*'Statistics NZ'!AY$379)</f>
        <v>42157.685960955147</v>
      </c>
      <c r="AI34" s="46">
        <f>AH$34*'Population Treasury'!BA$54*'Statistics NZ'!BA$379/('Population Treasury'!AZ$54*'Statistics NZ'!AZ$379)</f>
        <v>41701.026070835891</v>
      </c>
      <c r="AJ34" s="46">
        <f>AI$34*'Population Treasury'!BB$54*'Statistics NZ'!BB$379/('Population Treasury'!BA$54*'Statistics NZ'!BA$379)</f>
        <v>41832.850202282192</v>
      </c>
      <c r="AK34" s="46">
        <f>AJ$34*'Population Treasury'!BC$54*'Statistics NZ'!BC$379/('Population Treasury'!BB$54*'Statistics NZ'!BB$379)</f>
        <v>41629.928137167415</v>
      </c>
      <c r="AL34" s="46">
        <f>AK$34*'Population Treasury'!BD$54*'Statistics NZ'!BD$379/('Population Treasury'!BC$54*'Statistics NZ'!BC$379)</f>
        <v>41863.271221415445</v>
      </c>
      <c r="AM34" s="46">
        <f>AL$34*'Population Treasury'!BE$54*'Statistics NZ'!BE$379/('Population Treasury'!BD$54*'Statistics NZ'!BD$379)</f>
        <v>42238.580259884293</v>
      </c>
      <c r="AN34" s="46">
        <f>AM$34*'Population Treasury'!BF$54*'Statistics NZ'!BF$379/('Population Treasury'!BE$54*'Statistics NZ'!BE$379)</f>
        <v>39975.833371506284</v>
      </c>
      <c r="AO34" s="46">
        <f>AN$34*'Population Treasury'!BG$54*'Statistics NZ'!BG$379/('Population Treasury'!BF$54*'Statistics NZ'!BF$379)</f>
        <v>40199.096330822154</v>
      </c>
      <c r="AP34" s="46">
        <f>AO$34*'Population Treasury'!BH$54*'Statistics NZ'!BH$379/('Population Treasury'!BG$54*'Statistics NZ'!BG$379)</f>
        <v>40777.384157852881</v>
      </c>
      <c r="AQ34" s="46">
        <f>AP$34*'Population Treasury'!BI$54*'Statistics NZ'!BI$379/('Population Treasury'!BH$54*'Statistics NZ'!BH$379)</f>
        <v>40909.266338051049</v>
      </c>
    </row>
    <row r="35" spans="1:43" x14ac:dyDescent="0.25">
      <c r="A35" s="11">
        <v>40</v>
      </c>
      <c r="B35" s="45">
        <f>'Population Treasury'!T$55*'Statistics NZ'!T$380*'Economic Forecasts'!V$8/B$7</f>
        <v>30579.101950441211</v>
      </c>
      <c r="C35" s="45">
        <f>'Population Treasury'!U$55*'Statistics NZ'!U$380*'Economic Forecasts'!W$8/C$7</f>
        <v>31563.967436801759</v>
      </c>
      <c r="D35" s="45">
        <f>'Population Treasury'!V$55*'Statistics NZ'!V$380*'Economic Forecasts'!X$8/D$7</f>
        <v>32332.447958334014</v>
      </c>
      <c r="E35" s="45">
        <f>'Population Treasury'!W$55*'Statistics NZ'!W$380*'Economic Forecasts'!Y$8/E$7</f>
        <v>34035.269553292361</v>
      </c>
      <c r="F35" s="45">
        <f>'Population Treasury'!X$55*'Statistics NZ'!X$380*'Economic Forecasts'!Z$8/F$7</f>
        <v>36266.463995475926</v>
      </c>
      <c r="G35" s="45">
        <f>'Population Treasury'!Y$55*'Statistics NZ'!Y$380*'Economic Forecasts'!AA$8/G$7</f>
        <v>37356.748202764502</v>
      </c>
      <c r="H35" s="46">
        <f>G$35*'Population Treasury'!Z$55*'Statistics NZ'!Z$380/('Population Treasury'!Y$55*'Statistics NZ'!Y$380)</f>
        <v>39005.464836217179</v>
      </c>
      <c r="I35" s="46">
        <f>H$35*'Population Treasury'!AA$55*'Statistics NZ'!AA$380/('Population Treasury'!Z$55*'Statistics NZ'!Z$380)</f>
        <v>39846.26394481794</v>
      </c>
      <c r="J35" s="46">
        <f>I$35*'Population Treasury'!AB$55*'Statistics NZ'!AB$380/('Population Treasury'!AA$55*'Statistics NZ'!AA$380)</f>
        <v>39616.493931881239</v>
      </c>
      <c r="K35" s="46">
        <f>J$35*'Population Treasury'!AC$55*'Statistics NZ'!AC$380/('Population Treasury'!AB$55*'Statistics NZ'!AB$380)</f>
        <v>39362.019943372376</v>
      </c>
      <c r="L35" s="46">
        <f>K$35*'Population Treasury'!AD$55*'Statistics NZ'!AD$380/('Population Treasury'!AC$55*'Statistics NZ'!AC$380)</f>
        <v>38336.482884538913</v>
      </c>
      <c r="M35" s="46">
        <f>L$35*'Population Treasury'!AE$55*'Statistics NZ'!AE$380/('Population Treasury'!AD$55*'Statistics NZ'!AD$380)</f>
        <v>38183.541796021957</v>
      </c>
      <c r="N35" s="46">
        <f>M$35*'Population Treasury'!AF$55*'Statistics NZ'!AF$380/('Population Treasury'!AE$55*'Statistics NZ'!AE$380)</f>
        <v>37340.686913134188</v>
      </c>
      <c r="O35" s="46">
        <f>N$35*'Population Treasury'!AG$55*'Statistics NZ'!AG$380/('Population Treasury'!AF$55*'Statistics NZ'!AF$380)</f>
        <v>37279.161691095644</v>
      </c>
      <c r="P35" s="46">
        <f>O$35*'Population Treasury'!AH$55*'Statistics NZ'!AH$380/('Population Treasury'!AG$55*'Statistics NZ'!AG$380)</f>
        <v>37065.496242864494</v>
      </c>
      <c r="Q35" s="46">
        <f>P$35*'Population Treasury'!AI$55*'Statistics NZ'!AI$380/('Population Treasury'!AH$55*'Statistics NZ'!AH$380)</f>
        <v>36162.032903718384</v>
      </c>
      <c r="R35" s="46">
        <f>Q$35*'Population Treasury'!AJ$55*'Statistics NZ'!AJ$380/('Population Treasury'!AI$55*'Statistics NZ'!AI$380)</f>
        <v>37632.717344769866</v>
      </c>
      <c r="S35" s="46">
        <f>R$35*'Population Treasury'!AK$55*'Statistics NZ'!AK$380/('Population Treasury'!AJ$55*'Statistics NZ'!AJ$380)</f>
        <v>37398.908183592699</v>
      </c>
      <c r="T35" s="46">
        <f>S$35*'Population Treasury'!AL$55*'Statistics NZ'!AL$380/('Population Treasury'!AK$55*'Statistics NZ'!AK$380)</f>
        <v>36850.526733363753</v>
      </c>
      <c r="U35" s="46">
        <f>T$35*'Population Treasury'!AM$55*'Statistics NZ'!AM$380/('Population Treasury'!AL$55*'Statistics NZ'!AL$380)</f>
        <v>36890.789532307608</v>
      </c>
      <c r="V35" s="46">
        <f>U$35*'Population Treasury'!AN$55*'Statistics NZ'!AN$380/('Population Treasury'!AM$55*'Statistics NZ'!AM$380)</f>
        <v>37793.44544419126</v>
      </c>
      <c r="W35" s="46">
        <f>V$35*'Population Treasury'!AO$55*'Statistics NZ'!AO$380/('Population Treasury'!AN$55*'Statistics NZ'!AN$380)</f>
        <v>37975.724108527866</v>
      </c>
      <c r="X35" s="46">
        <f>W$35*'Population Treasury'!AP$55*'Statistics NZ'!AP$380/('Population Treasury'!AO$55*'Statistics NZ'!AO$380)</f>
        <v>38695.910426158232</v>
      </c>
      <c r="Y35" s="46">
        <f>X$35*'Population Treasury'!AQ$55*'Statistics NZ'!AQ$380/('Population Treasury'!AP$55*'Statistics NZ'!AP$380)</f>
        <v>40735.109399495246</v>
      </c>
      <c r="Z35" s="46">
        <f>Y$35*'Population Treasury'!AR$55*'Statistics NZ'!AR$380/('Population Treasury'!AQ$55*'Statistics NZ'!AQ$380)</f>
        <v>41840.805992869718</v>
      </c>
      <c r="AA35" s="46">
        <f>Z$35*'Population Treasury'!AS$55*'Statistics NZ'!AS$380/('Population Treasury'!AR$55*'Statistics NZ'!AR$380)</f>
        <v>41414.435516477221</v>
      </c>
      <c r="AB35" s="46">
        <f>AA$35*'Population Treasury'!AT$55*'Statistics NZ'!AT$380/('Population Treasury'!AS$55*'Statistics NZ'!AS$380)</f>
        <v>42428.892821348236</v>
      </c>
      <c r="AC35" s="46">
        <f>AB$35*'Population Treasury'!AU$55*'Statistics NZ'!AU$380/('Population Treasury'!AT$55*'Statistics NZ'!AT$380)</f>
        <v>42560.579483647183</v>
      </c>
      <c r="AD35" s="46">
        <f>AC$35*'Population Treasury'!AV$55*'Statistics NZ'!AV$380/('Population Treasury'!AU$55*'Statistics NZ'!AU$380)</f>
        <v>42743.092420032728</v>
      </c>
      <c r="AE35" s="46">
        <f>AD$35*'Population Treasury'!AW$55*'Statistics NZ'!AW$380/('Population Treasury'!AV$55*'Statistics NZ'!AV$380)</f>
        <v>42854.565226401879</v>
      </c>
      <c r="AF35" s="46">
        <f>AE$35*'Population Treasury'!AX$55*'Statistics NZ'!AX$380/('Population Treasury'!AW$55*'Statistics NZ'!AW$380)</f>
        <v>42184.774331344131</v>
      </c>
      <c r="AG35" s="46">
        <f>AF$35*'Population Treasury'!AY$55*'Statistics NZ'!AY$380/('Population Treasury'!AX$55*'Statistics NZ'!AX$380)</f>
        <v>42357.147818707599</v>
      </c>
      <c r="AH35" s="46">
        <f>AG$35*'Population Treasury'!AZ$55*'Statistics NZ'!AZ$380/('Population Treasury'!AY$55*'Statistics NZ'!AY$380)</f>
        <v>42062.776301408601</v>
      </c>
      <c r="AI35" s="46">
        <f>AH$35*'Population Treasury'!BA$55*'Statistics NZ'!BA$380/('Population Treasury'!AZ$55*'Statistics NZ'!AZ$380)</f>
        <v>42600.500095627387</v>
      </c>
      <c r="AJ35" s="46">
        <f>AI$35*'Population Treasury'!BB$55*'Statistics NZ'!BB$380/('Population Treasury'!BA$55*'Statistics NZ'!BA$380)</f>
        <v>42153.903744008749</v>
      </c>
      <c r="AK35" s="46">
        <f>AJ$35*'Population Treasury'!BC$55*'Statistics NZ'!BC$380/('Population Treasury'!BB$55*'Statistics NZ'!BB$380)</f>
        <v>42285.784163284537</v>
      </c>
      <c r="AL35" s="46">
        <f>AK$35*'Population Treasury'!BD$55*'Statistics NZ'!BD$380/('Population Treasury'!BC$55*'Statistics NZ'!BC$380)</f>
        <v>42082.796615370302</v>
      </c>
      <c r="AM35" s="46">
        <f>AL$35*'Population Treasury'!BE$55*'Statistics NZ'!BE$380/('Population Treasury'!BD$55*'Statistics NZ'!BD$380)</f>
        <v>42316.13883139602</v>
      </c>
      <c r="AN35" s="46">
        <f>AM$35*'Population Treasury'!BF$55*'Statistics NZ'!BF$380/('Population Treasury'!BE$55*'Statistics NZ'!BE$380)</f>
        <v>42691.502220058122</v>
      </c>
      <c r="AO35" s="46">
        <f>AN$35*'Population Treasury'!BG$55*'Statistics NZ'!BG$380/('Population Treasury'!BF$55*'Statistics NZ'!BF$380)</f>
        <v>40428.794930436277</v>
      </c>
      <c r="AP35" s="46">
        <f>AO$35*'Population Treasury'!BH$55*'Statistics NZ'!BH$380/('Population Treasury'!BG$55*'Statistics NZ'!BG$380)</f>
        <v>40662.069384876151</v>
      </c>
      <c r="AQ35" s="46">
        <f>AP$35*'Population Treasury'!BI$55*'Statistics NZ'!BI$380/('Population Treasury'!BH$55*'Statistics NZ'!BH$380)</f>
        <v>41230.348718325273</v>
      </c>
    </row>
    <row r="36" spans="1:43" x14ac:dyDescent="0.25">
      <c r="A36" s="11">
        <v>41</v>
      </c>
      <c r="B36" s="45">
        <f>'Population Treasury'!T$56*'Statistics NZ'!T$381*'Economic Forecasts'!V$8/B$7</f>
        <v>30359.324020709191</v>
      </c>
      <c r="C36" s="45">
        <f>'Population Treasury'!U$56*'Statistics NZ'!U$381*'Economic Forecasts'!W$8/C$7</f>
        <v>30802.261326665346</v>
      </c>
      <c r="D36" s="45">
        <f>'Population Treasury'!V$56*'Statistics NZ'!V$381*'Economic Forecasts'!X$8/D$7</f>
        <v>32153.958755436193</v>
      </c>
      <c r="E36" s="45">
        <f>'Population Treasury'!W$56*'Statistics NZ'!W$381*'Economic Forecasts'!Y$8/E$7</f>
        <v>33017.184516561421</v>
      </c>
      <c r="F36" s="45">
        <f>'Population Treasury'!X$56*'Statistics NZ'!X$381*'Economic Forecasts'!Z$8/F$7</f>
        <v>34692.563316543441</v>
      </c>
      <c r="G36" s="45">
        <f>'Population Treasury'!Y$56*'Statistics NZ'!Y$381*'Economic Forecasts'!AA$8/G$7</f>
        <v>36894.339719275697</v>
      </c>
      <c r="H36" s="46">
        <f>G$36*'Population Treasury'!Z$56*'Statistics NZ'!Z$381/('Population Treasury'!Y$56*'Statistics NZ'!Y$381)</f>
        <v>37914.067820249373</v>
      </c>
      <c r="I36" s="46">
        <f>H$36*'Population Treasury'!AA$56*'Statistics NZ'!AA$381/('Population Treasury'!Z$56*'Statistics NZ'!Z$381)</f>
        <v>39566.666316957511</v>
      </c>
      <c r="J36" s="46">
        <f>I$36*'Population Treasury'!AB$56*'Statistics NZ'!AB$381/('Population Treasury'!AA$56*'Statistics NZ'!AA$381)</f>
        <v>40392.312541123225</v>
      </c>
      <c r="K36" s="46">
        <f>J$36*'Population Treasury'!AC$56*'Statistics NZ'!AC$381/('Population Treasury'!AB$56*'Statistics NZ'!AB$381)</f>
        <v>40147.934833897612</v>
      </c>
      <c r="L36" s="46">
        <f>K$36*'Population Treasury'!AD$56*'Statistics NZ'!AD$381/('Population Treasury'!AC$56*'Statistics NZ'!AC$381)</f>
        <v>39883.393226993481</v>
      </c>
      <c r="M36" s="46">
        <f>L$36*'Population Treasury'!AE$56*'Statistics NZ'!AE$381/('Population Treasury'!AD$56*'Statistics NZ'!AD$381)</f>
        <v>38837.686955333738</v>
      </c>
      <c r="N36" s="46">
        <f>M$36*'Population Treasury'!AF$56*'Statistics NZ'!AF$381/('Population Treasury'!AE$56*'Statistics NZ'!AE$381)</f>
        <v>38684.822717119518</v>
      </c>
      <c r="O36" s="46">
        <f>N$36*'Population Treasury'!AG$56*'Statistics NZ'!AG$381/('Population Treasury'!AF$56*'Statistics NZ'!AF$381)</f>
        <v>37831.951257031084</v>
      </c>
      <c r="P36" s="46">
        <f>O$36*'Population Treasury'!AH$56*'Statistics NZ'!AH$381/('Population Treasury'!AG$56*'Statistics NZ'!AG$381)</f>
        <v>37760.369334996554</v>
      </c>
      <c r="Q36" s="46">
        <f>P$36*'Population Treasury'!AI$56*'Statistics NZ'!AI$381/('Population Treasury'!AH$56*'Statistics NZ'!AH$381)</f>
        <v>37536.642015770427</v>
      </c>
      <c r="R36" s="46">
        <f>Q$36*'Population Treasury'!AJ$56*'Statistics NZ'!AJ$381/('Population Treasury'!AI$56*'Statistics NZ'!AI$381)</f>
        <v>36633.161578202875</v>
      </c>
      <c r="S36" s="46">
        <f>R$36*'Population Treasury'!AK$56*'Statistics NZ'!AK$381/('Population Treasury'!AJ$56*'Statistics NZ'!AJ$381)</f>
        <v>38093.832759360092</v>
      </c>
      <c r="T36" s="46">
        <f>S$36*'Population Treasury'!AL$56*'Statistics NZ'!AL$381/('Population Treasury'!AK$56*'Statistics NZ'!AK$381)</f>
        <v>37860.027843389187</v>
      </c>
      <c r="U36" s="46">
        <f>T$36*'Population Treasury'!AM$56*'Statistics NZ'!AM$381/('Population Treasury'!AL$56*'Statistics NZ'!AL$381)</f>
        <v>37311.713339232818</v>
      </c>
      <c r="V36" s="46">
        <f>U$36*'Population Treasury'!AN$56*'Statistics NZ'!AN$381/('Population Treasury'!AM$56*'Statistics NZ'!AM$381)</f>
        <v>37351.985021196364</v>
      </c>
      <c r="W36" s="46">
        <f>V$36*'Population Treasury'!AO$56*'Statistics NZ'!AO$381/('Population Treasury'!AN$56*'Statistics NZ'!AN$381)</f>
        <v>38244.671897037508</v>
      </c>
      <c r="X36" s="46">
        <f>W$36*'Population Treasury'!AP$56*'Statistics NZ'!AP$381/('Population Treasury'!AO$56*'Statistics NZ'!AO$381)</f>
        <v>38426.963170328978</v>
      </c>
      <c r="Y36" s="46">
        <f>X$36*'Population Treasury'!AQ$56*'Statistics NZ'!AQ$381/('Population Treasury'!AP$56*'Statistics NZ'!AP$381)</f>
        <v>39147.169000613889</v>
      </c>
      <c r="Z36" s="46">
        <f>Y$36*'Population Treasury'!AR$56*'Statistics NZ'!AR$381/('Population Treasury'!AQ$56*'Statistics NZ'!AQ$381)</f>
        <v>41186.411462925935</v>
      </c>
      <c r="AA36" s="46">
        <f>Z$36*'Population Treasury'!AS$56*'Statistics NZ'!AS$381/('Population Treasury'!AR$56*'Statistics NZ'!AR$381)</f>
        <v>42292.133454796181</v>
      </c>
      <c r="AB36" s="46">
        <f>AA$36*'Population Treasury'!AT$56*'Statistics NZ'!AT$381/('Population Treasury'!AS$56*'Statistics NZ'!AS$381)</f>
        <v>41865.761191618622</v>
      </c>
      <c r="AC36" s="46">
        <f>AB$36*'Population Treasury'!AU$56*'Statistics NZ'!AU$381/('Population Treasury'!AT$56*'Statistics NZ'!AT$381)</f>
        <v>42880.302058707057</v>
      </c>
      <c r="AD36" s="46">
        <f>AC$36*'Population Treasury'!AV$56*'Statistics NZ'!AV$381/('Population Treasury'!AU$56*'Statistics NZ'!AU$381)</f>
        <v>43001.918234300218</v>
      </c>
      <c r="AE36" s="46">
        <f>AD$36*'Population Treasury'!AW$56*'Statistics NZ'!AW$381/('Population Treasury'!AV$56*'Statistics NZ'!AV$381)</f>
        <v>43194.576538265515</v>
      </c>
      <c r="AF36" s="46">
        <f>AE$36*'Population Treasury'!AX$56*'Statistics NZ'!AX$381/('Population Treasury'!AW$56*'Statistics NZ'!AW$381)</f>
        <v>43295.914282653728</v>
      </c>
      <c r="AG36" s="46">
        <f>AF$36*'Population Treasury'!AY$56*'Statistics NZ'!AY$381/('Population Treasury'!AX$56*'Statistics NZ'!AX$381)</f>
        <v>42636.257736975414</v>
      </c>
      <c r="AH36" s="46">
        <f>AG$36*'Population Treasury'!AZ$56*'Statistics NZ'!AZ$381/('Population Treasury'!AY$56*'Statistics NZ'!AY$381)</f>
        <v>42808.636436410809</v>
      </c>
      <c r="AI36" s="46">
        <f>AH$36*'Population Treasury'!BA$56*'Statistics NZ'!BA$381/('Population Treasury'!AZ$56*'Statistics NZ'!AZ$381)</f>
        <v>42514.327210695432</v>
      </c>
      <c r="AJ36" s="46">
        <f>AI$36*'Population Treasury'!BB$56*'Statistics NZ'!BB$381/('Population Treasury'!BA$56*'Statistics NZ'!BA$381)</f>
        <v>43051.995995245823</v>
      </c>
      <c r="AK36" s="46">
        <f>AJ$36*'Population Treasury'!BC$56*'Statistics NZ'!BC$381/('Population Treasury'!BB$56*'Statistics NZ'!BB$381)</f>
        <v>42595.383647988463</v>
      </c>
      <c r="AL36" s="46">
        <f>AK$36*'Population Treasury'!BD$56*'Statistics NZ'!BD$381/('Population Treasury'!BC$56*'Statistics NZ'!BC$381)</f>
        <v>42727.203209504194</v>
      </c>
      <c r="AM36" s="46">
        <f>AL$36*'Population Treasury'!BE$56*'Statistics NZ'!BE$381/('Population Treasury'!BD$56*'Statistics NZ'!BD$381)</f>
        <v>42534.354763302093</v>
      </c>
      <c r="AN36" s="46">
        <f>AM$36*'Population Treasury'!BF$56*'Statistics NZ'!BF$381/('Population Treasury'!BE$56*'Statistics NZ'!BE$381)</f>
        <v>42767.763171041355</v>
      </c>
      <c r="AO36" s="46">
        <f>AN$36*'Population Treasury'!BG$56*'Statistics NZ'!BG$381/('Population Treasury'!BF$56*'Statistics NZ'!BF$381)</f>
        <v>43143.131803777607</v>
      </c>
      <c r="AP36" s="46">
        <f>AO$36*'Population Treasury'!BH$56*'Statistics NZ'!BH$381/('Population Treasury'!BG$56*'Statistics NZ'!BG$381)</f>
        <v>40880.401860284648</v>
      </c>
      <c r="AQ36" s="46">
        <f>AP$36*'Population Treasury'!BI$56*'Statistics NZ'!BI$381/('Population Treasury'!BH$56*'Statistics NZ'!BH$381)</f>
        <v>41113.746714934161</v>
      </c>
    </row>
    <row r="37" spans="1:43" x14ac:dyDescent="0.25">
      <c r="A37" s="11">
        <v>42</v>
      </c>
      <c r="B37" s="45">
        <f>'Population Treasury'!T$57*'Statistics NZ'!T$382*'Economic Forecasts'!V$8/B$7</f>
        <v>29759.929666894601</v>
      </c>
      <c r="C37" s="45">
        <f>'Population Treasury'!U$57*'Statistics NZ'!U$382*'Economic Forecasts'!W$8/C$7</f>
        <v>30545.195234277911</v>
      </c>
      <c r="D37" s="45">
        <f>'Population Treasury'!V$57*'Statistics NZ'!V$382*'Economic Forecasts'!X$8/D$7</f>
        <v>31369.981963439826</v>
      </c>
      <c r="E37" s="45">
        <f>'Population Treasury'!W$57*'Statistics NZ'!W$382*'Economic Forecasts'!Y$8/E$7</f>
        <v>32807.718158582138</v>
      </c>
      <c r="F37" s="45">
        <f>'Population Treasury'!X$57*'Statistics NZ'!X$382*'Economic Forecasts'!Z$8/F$7</f>
        <v>33640.025242601798</v>
      </c>
      <c r="G37" s="45">
        <f>'Population Treasury'!Y$57*'Statistics NZ'!Y$382*'Economic Forecasts'!AA$8/G$7</f>
        <v>35285.764679402375</v>
      </c>
      <c r="H37" s="46">
        <f>G$37*'Population Treasury'!Z$57*'Statistics NZ'!Z$382/('Population Treasury'!Y$57*'Statistics NZ'!Y$382)</f>
        <v>37431.937035443567</v>
      </c>
      <c r="I37" s="46">
        <f>H$37*'Population Treasury'!AA$57*'Statistics NZ'!AA$382/('Population Treasury'!Z$57*'Statistics NZ'!Z$382)</f>
        <v>38445.392614194803</v>
      </c>
      <c r="J37" s="46">
        <f>I$37*'Population Treasury'!AB$57*'Statistics NZ'!AB$382/('Population Treasury'!AA$57*'Statistics NZ'!AA$382)</f>
        <v>40082.885819866577</v>
      </c>
      <c r="K37" s="46">
        <f>J$37*'Population Treasury'!AC$57*'Statistics NZ'!AC$382/('Population Treasury'!AB$57*'Statistics NZ'!AB$382)</f>
        <v>40904.052704482907</v>
      </c>
      <c r="L37" s="46">
        <f>K$37*'Population Treasury'!AD$57*'Statistics NZ'!AD$382/('Population Treasury'!AC$57*'Statistics NZ'!AC$382)</f>
        <v>40649.694831992027</v>
      </c>
      <c r="M37" s="46">
        <f>L$37*'Population Treasury'!AE$57*'Statistics NZ'!AE$382/('Population Treasury'!AD$57*'Statistics NZ'!AD$382)</f>
        <v>40375.16736092166</v>
      </c>
      <c r="N37" s="46">
        <f>M$37*'Population Treasury'!AF$57*'Statistics NZ'!AF$382/('Population Treasury'!AE$57*'Statistics NZ'!AE$382)</f>
        <v>39319.384212486962</v>
      </c>
      <c r="O37" s="46">
        <f>N$37*'Population Treasury'!AG$57*'Statistics NZ'!AG$382/('Population Treasury'!AF$57*'Statistics NZ'!AF$382)</f>
        <v>39156.47765836255</v>
      </c>
      <c r="P37" s="46">
        <f>O$37*'Population Treasury'!AH$57*'Statistics NZ'!AH$382/('Population Treasury'!AG$57*'Statistics NZ'!AG$382)</f>
        <v>38293.5369803754</v>
      </c>
      <c r="Q37" s="46">
        <f>P$37*'Population Treasury'!AI$57*'Statistics NZ'!AI$382/('Population Treasury'!AH$57*'Statistics NZ'!AH$382)</f>
        <v>38211.911473314052</v>
      </c>
      <c r="R37" s="46">
        <f>Q$37*'Population Treasury'!AJ$57*'Statistics NZ'!AJ$382/('Population Treasury'!AI$57*'Statistics NZ'!AI$382)</f>
        <v>37988.272630457817</v>
      </c>
      <c r="S37" s="46">
        <f>R$37*'Population Treasury'!AK$57*'Statistics NZ'!AK$382/('Population Treasury'!AJ$57*'Statistics NZ'!AJ$382)</f>
        <v>37084.792489852189</v>
      </c>
      <c r="T37" s="46">
        <f>S$37*'Population Treasury'!AL$57*'Statistics NZ'!AL$382/('Population Treasury'!AK$57*'Statistics NZ'!AK$382)</f>
        <v>38545.531029116333</v>
      </c>
      <c r="U37" s="46">
        <f>T$37*'Population Treasury'!AM$57*'Statistics NZ'!AM$382/('Population Treasury'!AL$57*'Statistics NZ'!AL$382)</f>
        <v>38301.736816764591</v>
      </c>
      <c r="V37" s="46">
        <f>U$37*'Population Treasury'!AN$57*'Statistics NZ'!AN$382/('Population Treasury'!AM$57*'Statistics NZ'!AM$382)</f>
        <v>37743.360424861516</v>
      </c>
      <c r="W37" s="46">
        <f>V$37*'Population Treasury'!AO$57*'Statistics NZ'!AO$382/('Population Treasury'!AN$57*'Statistics NZ'!AN$382)</f>
        <v>37783.652242769029</v>
      </c>
      <c r="X37" s="46">
        <f>W$37*'Population Treasury'!AP$57*'Statistics NZ'!AP$382/('Population Treasury'!AO$57*'Statistics NZ'!AO$382)</f>
        <v>38686.446199589984</v>
      </c>
      <c r="Y37" s="46">
        <f>X$37*'Population Treasury'!AQ$57*'Statistics NZ'!AQ$382/('Population Treasury'!AP$57*'Statistics NZ'!AP$382)</f>
        <v>38858.68793837566</v>
      </c>
      <c r="Z37" s="46">
        <f>Y$37*'Population Treasury'!AR$57*'Statistics NZ'!AR$382/('Population Treasury'!AQ$57*'Statistics NZ'!AQ$382)</f>
        <v>39578.920983621319</v>
      </c>
      <c r="AA37" s="46">
        <f>Z$37*'Population Treasury'!AS$57*'Statistics NZ'!AS$382/('Population Treasury'!AR$57*'Statistics NZ'!AR$382)</f>
        <v>41618.216318051593</v>
      </c>
      <c r="AB37" s="46">
        <f>AA$37*'Population Treasury'!AT$57*'Statistics NZ'!AT$382/('Population Treasury'!AS$57*'Statistics NZ'!AS$382)</f>
        <v>42724.032728875762</v>
      </c>
      <c r="AC37" s="46">
        <f>AB$37*'Population Treasury'!AU$57*'Statistics NZ'!AU$382/('Population Treasury'!AT$57*'Statistics NZ'!AT$382)</f>
        <v>42297.666731409234</v>
      </c>
      <c r="AD37" s="46">
        <f>AC$37*'Population Treasury'!AV$57*'Statistics NZ'!AV$382/('Population Treasury'!AU$57*'Statistics NZ'!AU$382)</f>
        <v>43312.230979726017</v>
      </c>
      <c r="AE37" s="46">
        <f>AD$37*'Population Treasury'!AW$57*'Statistics NZ'!AW$382/('Population Treasury'!AV$57*'Statistics NZ'!AV$382)</f>
        <v>43433.916056477152</v>
      </c>
      <c r="AF37" s="46">
        <f>AE$37*'Population Treasury'!AX$57*'Statistics NZ'!AX$382/('Population Treasury'!AW$57*'Statistics NZ'!AW$382)</f>
        <v>43626.526767260919</v>
      </c>
      <c r="AG37" s="46">
        <f>AF$37*'Population Treasury'!AY$57*'Statistics NZ'!AY$382/('Population Treasury'!AX$57*'Statistics NZ'!AX$382)</f>
        <v>43727.931880521224</v>
      </c>
      <c r="AH37" s="46">
        <f>AG$37*'Population Treasury'!AZ$57*'Statistics NZ'!AZ$382/('Population Treasury'!AY$57*'Statistics NZ'!AY$382)</f>
        <v>43058.192373085723</v>
      </c>
      <c r="AI37" s="46">
        <f>AH$37*'Population Treasury'!BA$57*'Statistics NZ'!BA$382/('Population Treasury'!AZ$57*'Statistics NZ'!AZ$382)</f>
        <v>43230.580259019727</v>
      </c>
      <c r="AJ37" s="46">
        <f>AI$37*'Population Treasury'!BB$57*'Statistics NZ'!BB$382/('Population Treasury'!BA$57*'Statistics NZ'!BA$382)</f>
        <v>42946.352158979033</v>
      </c>
      <c r="AK37" s="46">
        <f>AJ$37*'Population Treasury'!BC$57*'Statistics NZ'!BC$382/('Population Treasury'!BB$57*'Statistics NZ'!BB$382)</f>
        <v>43484.093214037814</v>
      </c>
      <c r="AL37" s="46">
        <f>AK$37*'Population Treasury'!BD$57*'Statistics NZ'!BD$382/('Population Treasury'!BC$57*'Statistics NZ'!BC$382)</f>
        <v>43027.475994702341</v>
      </c>
      <c r="AM37" s="46">
        <f>AL$37*'Population Treasury'!BE$57*'Statistics NZ'!BE$382/('Population Treasury'!BD$57*'Statistics NZ'!BD$382)</f>
        <v>43159.36150014888</v>
      </c>
      <c r="AN37" s="46">
        <f>AM$37*'Population Treasury'!BF$57*'Statistics NZ'!BF$382/('Population Treasury'!BE$57*'Statistics NZ'!BE$382)</f>
        <v>42966.514765626438</v>
      </c>
      <c r="AO37" s="46">
        <f>AN$37*'Population Treasury'!BG$57*'Statistics NZ'!BG$382/('Population Treasury'!BF$57*'Statistics NZ'!BF$382)</f>
        <v>43199.923570494801</v>
      </c>
      <c r="AP37" s="46">
        <f>AO$37*'Population Treasury'!BH$57*'Statistics NZ'!BH$382/('Population Treasury'!BG$57*'Statistics NZ'!BG$382)</f>
        <v>43585.382112096646</v>
      </c>
      <c r="AQ37" s="46">
        <f>AP$37*'Population Treasury'!BI$57*'Statistics NZ'!BI$382/('Population Treasury'!BH$57*'Statistics NZ'!BH$382)</f>
        <v>41312.54561890287</v>
      </c>
    </row>
    <row r="38" spans="1:43" x14ac:dyDescent="0.25">
      <c r="A38" s="11">
        <v>43</v>
      </c>
      <c r="B38" s="45">
        <f>'Population Treasury'!T$58*'Statistics NZ'!T$383*'Economic Forecasts'!V$8/B$7</f>
        <v>28990.706912832538</v>
      </c>
      <c r="C38" s="45">
        <f>'Population Treasury'!U$58*'Statistics NZ'!U$383*'Economic Forecasts'!W$8/C$7</f>
        <v>29941.863102771567</v>
      </c>
      <c r="D38" s="45">
        <f>'Population Treasury'!V$58*'Statistics NZ'!V$383*'Economic Forecasts'!X$8/D$7</f>
        <v>31092.273421531372</v>
      </c>
      <c r="E38" s="45">
        <f>'Population Treasury'!W$58*'Statistics NZ'!W$383*'Economic Forecasts'!Y$8/E$7</f>
        <v>31989.343072395717</v>
      </c>
      <c r="F38" s="45">
        <f>'Population Treasury'!X$58*'Statistics NZ'!X$383*'Economic Forecasts'!Z$8/F$7</f>
        <v>33409.588356653199</v>
      </c>
      <c r="G38" s="45">
        <f>'Population Treasury'!Y$58*'Statistics NZ'!Y$383*'Economic Forecasts'!AA$8/G$7</f>
        <v>34200.026404638491</v>
      </c>
      <c r="H38" s="46">
        <f>G$38*'Population Treasury'!Z$58*'Statistics NZ'!Z$383/('Population Treasury'!Y$58*'Statistics NZ'!Y$383)</f>
        <v>35788.319916925422</v>
      </c>
      <c r="I38" s="46">
        <f>H$38*'Population Treasury'!AA$58*'Statistics NZ'!AA$383/('Population Treasury'!Z$58*'Statistics NZ'!Z$383)</f>
        <v>37938.313695058197</v>
      </c>
      <c r="J38" s="46">
        <f>I$38*'Population Treasury'!AB$58*'Statistics NZ'!AB$383/('Population Treasury'!AA$58*'Statistics NZ'!AA$383)</f>
        <v>38946.745042319439</v>
      </c>
      <c r="K38" s="46">
        <f>J$38*'Population Treasury'!AC$58*'Statistics NZ'!AC$383/('Population Treasury'!AB$58*'Statistics NZ'!AB$383)</f>
        <v>40579.705823022116</v>
      </c>
      <c r="L38" s="46">
        <f>K$38*'Population Treasury'!AD$58*'Statistics NZ'!AD$383/('Population Treasury'!AC$58*'Statistics NZ'!AC$383)</f>
        <v>41400.992011925722</v>
      </c>
      <c r="M38" s="46">
        <f>L$38*'Population Treasury'!AE$58*'Statistics NZ'!AE$383/('Population Treasury'!AD$58*'Statistics NZ'!AD$383)</f>
        <v>41126.488387534184</v>
      </c>
      <c r="N38" s="46">
        <f>M$38*'Population Treasury'!AF$58*'Statistics NZ'!AF$383/('Population Treasury'!AE$58*'Statistics NZ'!AE$383)</f>
        <v>40841.893248520522</v>
      </c>
      <c r="O38" s="46">
        <f>N$38*'Population Treasury'!AG$58*'Statistics NZ'!AG$383/('Population Treasury'!AF$58*'Statistics NZ'!AF$383)</f>
        <v>39786.154684272704</v>
      </c>
      <c r="P38" s="46">
        <f>O$38*'Population Treasury'!AH$58*'Statistics NZ'!AH$383/('Population Treasury'!AG$58*'Statistics NZ'!AG$383)</f>
        <v>39613.186928059979</v>
      </c>
      <c r="Q38" s="46">
        <f>P$38*'Population Treasury'!AI$58*'Statistics NZ'!AI$383/('Population Treasury'!AH$58*'Statistics NZ'!AH$383)</f>
        <v>38740.159225591713</v>
      </c>
      <c r="R38" s="46">
        <f>Q$38*'Population Treasury'!AJ$58*'Statistics NZ'!AJ$383/('Population Treasury'!AI$58*'Statistics NZ'!AI$383)</f>
        <v>38658.612497797636</v>
      </c>
      <c r="S38" s="46">
        <f>R$38*'Population Treasury'!AK$58*'Statistics NZ'!AK$383/('Population Treasury'!AJ$58*'Statistics NZ'!AJ$383)</f>
        <v>38424.907409835505</v>
      </c>
      <c r="T38" s="46">
        <f>S$38*'Population Treasury'!AL$58*'Statistics NZ'!AL$383/('Population Treasury'!AK$58*'Statistics NZ'!AK$383)</f>
        <v>37511.34267183012</v>
      </c>
      <c r="U38" s="46">
        <f>T$38*'Population Treasury'!AM$58*'Statistics NZ'!AM$383/('Population Treasury'!AL$58*'Statistics NZ'!AL$383)</f>
        <v>38972.140304037173</v>
      </c>
      <c r="V38" s="46">
        <f>U$38*'Population Treasury'!AN$58*'Statistics NZ'!AN$383/('Population Treasury'!AM$58*'Statistics NZ'!AM$383)</f>
        <v>38728.351588681282</v>
      </c>
      <c r="W38" s="46">
        <f>V$38*'Population Treasury'!AO$58*'Statistics NZ'!AO$383/('Population Treasury'!AN$58*'Statistics NZ'!AN$383)</f>
        <v>38159.959870833889</v>
      </c>
      <c r="X38" s="46">
        <f>W$38*'Population Treasury'!AP$58*'Statistics NZ'!AP$383/('Population Treasury'!AO$58*'Statistics NZ'!AO$383)</f>
        <v>38200.266139511827</v>
      </c>
      <c r="Y38" s="46">
        <f>X$38*'Population Treasury'!AQ$58*'Statistics NZ'!AQ$383/('Population Treasury'!AP$58*'Statistics NZ'!AP$383)</f>
        <v>39103.094147559896</v>
      </c>
      <c r="Z38" s="46">
        <f>Y$38*'Population Treasury'!AR$58*'Statistics NZ'!AR$383/('Population Treasury'!AQ$58*'Statistics NZ'!AQ$383)</f>
        <v>39275.413181848999</v>
      </c>
      <c r="AA38" s="46">
        <f>Z$38*'Population Treasury'!AS$58*'Statistics NZ'!AS$383/('Population Treasury'!AR$58*'Statistics NZ'!AR$383)</f>
        <v>39995.670233462595</v>
      </c>
      <c r="AB38" s="46">
        <f>AA$38*'Population Treasury'!AT$58*'Statistics NZ'!AT$383/('Population Treasury'!AS$58*'Statistics NZ'!AS$383)</f>
        <v>42045.098348621083</v>
      </c>
      <c r="AC38" s="46">
        <f>AB$38*'Population Treasury'!AU$58*'Statistics NZ'!AU$383/('Population Treasury'!AT$58*'Statistics NZ'!AT$383)</f>
        <v>43140.860650564253</v>
      </c>
      <c r="AD38" s="46">
        <f>AC$38*'Population Treasury'!AV$58*'Statistics NZ'!AV$383/('Population Treasury'!AU$58*'Statistics NZ'!AU$383)</f>
        <v>42714.496148329708</v>
      </c>
      <c r="AE38" s="46">
        <f>AD$38*'Population Treasury'!AW$58*'Statistics NZ'!AW$383/('Population Treasury'!AV$58*'Statistics NZ'!AV$383)</f>
        <v>43729.083632370632</v>
      </c>
      <c r="AF38" s="46">
        <f>AE$38*'Population Treasury'!AX$58*'Statistics NZ'!AX$383/('Population Treasury'!AW$58*'Statistics NZ'!AW$383)</f>
        <v>43860.859568418164</v>
      </c>
      <c r="AG38" s="46">
        <f>AF$38*'Population Treasury'!AY$58*'Statistics NZ'!AY$383/('Population Treasury'!AX$58*'Statistics NZ'!AX$383)</f>
        <v>44043.451875716739</v>
      </c>
      <c r="AH38" s="46">
        <f>AG$38*'Population Treasury'!AZ$58*'Statistics NZ'!AZ$383/('Population Treasury'!AY$58*'Statistics NZ'!AY$383)</f>
        <v>44154.947115299561</v>
      </c>
      <c r="AI38" s="46">
        <f>AH$38*'Population Treasury'!BA$58*'Statistics NZ'!BA$383/('Population Treasury'!AZ$58*'Statistics NZ'!AZ$383)</f>
        <v>43485.198347443053</v>
      </c>
      <c r="AJ38" s="46">
        <f>AI$38*'Population Treasury'!BB$58*'Statistics NZ'!BB$383/('Population Treasury'!BA$58*'Statistics NZ'!BA$383)</f>
        <v>43657.650210915359</v>
      </c>
      <c r="AK38" s="46">
        <f>AJ$38*'Population Treasury'!BC$58*'Statistics NZ'!BC$383/('Population Treasury'!BB$58*'Statistics NZ'!BB$383)</f>
        <v>43363.33844180117</v>
      </c>
      <c r="AL38" s="46">
        <f>AK$38*'Population Treasury'!BD$58*'Statistics NZ'!BD$383/('Population Treasury'!BC$58*'Statistics NZ'!BC$383)</f>
        <v>43901.089236468884</v>
      </c>
      <c r="AM38" s="46">
        <f>AL$38*'Population Treasury'!BE$58*'Statistics NZ'!BE$383/('Population Treasury'!BD$58*'Statistics NZ'!BD$383)</f>
        <v>43454.550435992052</v>
      </c>
      <c r="AN38" s="46">
        <f>AM$38*'Population Treasury'!BF$58*'Statistics NZ'!BF$383/('Population Treasury'!BE$58*'Statistics NZ'!BE$383)</f>
        <v>43586.43913896539</v>
      </c>
      <c r="AO38" s="46">
        <f>AN$38*'Population Treasury'!BG$58*'Statistics NZ'!BG$383/('Population Treasury'!BF$58*'Statistics NZ'!BF$383)</f>
        <v>43393.648378250553</v>
      </c>
      <c r="AP38" s="46">
        <f>AO$38*'Population Treasury'!BH$58*'Statistics NZ'!BH$383/('Population Treasury'!BG$58*'Statistics NZ'!BG$383)</f>
        <v>43627.003026180901</v>
      </c>
      <c r="AQ38" s="46">
        <f>AP$38*'Population Treasury'!BI$58*'Statistics NZ'!BI$383/('Population Treasury'!BH$58*'Statistics NZ'!BH$383)</f>
        <v>44002.443584496876</v>
      </c>
    </row>
    <row r="39" spans="1:43" x14ac:dyDescent="0.25">
      <c r="A39" s="11">
        <v>44</v>
      </c>
      <c r="B39" s="45">
        <f>'Population Treasury'!T$59*'Statistics NZ'!T$384*'Economic Forecasts'!V$8/B$7</f>
        <v>28651.050112337594</v>
      </c>
      <c r="C39" s="45">
        <f>'Population Treasury'!U$59*'Statistics NZ'!U$384*'Economic Forecasts'!W$8/C$7</f>
        <v>29150.587973480164</v>
      </c>
      <c r="D39" s="45">
        <f>'Population Treasury'!V$59*'Statistics NZ'!V$384*'Economic Forecasts'!X$8/D$7</f>
        <v>30457.267791548344</v>
      </c>
      <c r="E39" s="45">
        <f>'Population Treasury'!W$59*'Statistics NZ'!W$384*'Economic Forecasts'!Y$8/E$7</f>
        <v>31700.110608750834</v>
      </c>
      <c r="F39" s="45">
        <f>'Population Treasury'!X$59*'Statistics NZ'!X$384*'Economic Forecasts'!Z$8/F$7</f>
        <v>32557.604522596572</v>
      </c>
      <c r="G39" s="45">
        <f>'Population Treasury'!Y$59*'Statistics NZ'!Y$384*'Economic Forecasts'!AA$8/G$7</f>
        <v>33948.80300826428</v>
      </c>
      <c r="H39" s="46">
        <f>G$39*'Population Treasury'!Z$59*'Statistics NZ'!Z$384/('Population Treasury'!Y$59*'Statistics NZ'!Y$384)</f>
        <v>34674.656800332916</v>
      </c>
      <c r="I39" s="46">
        <f>H$39*'Population Treasury'!AA$59*'Statistics NZ'!AA$384/('Population Treasury'!Z$59*'Statistics NZ'!Z$384)</f>
        <v>36266.70734953435</v>
      </c>
      <c r="J39" s="46">
        <f>I$39*'Population Treasury'!AB$59*'Statistics NZ'!AB$384/('Population Treasury'!AA$59*'Statistics NZ'!AA$384)</f>
        <v>38411.641883333476</v>
      </c>
      <c r="K39" s="46">
        <f>J$39*'Population Treasury'!AC$59*'Statistics NZ'!AC$384/('Population Treasury'!AB$59*'Statistics NZ'!AB$384)</f>
        <v>39405.459662646019</v>
      </c>
      <c r="L39" s="46">
        <f>K$39*'Population Treasury'!AD$59*'Statistics NZ'!AD$384/('Population Treasury'!AC$59*'Statistics NZ'!AC$384)</f>
        <v>41048.640177856258</v>
      </c>
      <c r="M39" s="46">
        <f>L$39*'Population Treasury'!AE$59*'Statistics NZ'!AE$384/('Population Treasury'!AD$59*'Statistics NZ'!AD$384)</f>
        <v>41859.828224943652</v>
      </c>
      <c r="N39" s="46">
        <f>M$39*'Population Treasury'!AF$59*'Statistics NZ'!AF$384/('Population Treasury'!AE$59*'Statistics NZ'!AE$384)</f>
        <v>41585.376678164925</v>
      </c>
      <c r="O39" s="46">
        <f>N$39*'Population Treasury'!AG$59*'Statistics NZ'!AG$384/('Population Treasury'!AF$59*'Statistics NZ'!AF$384)</f>
        <v>41290.693452100466</v>
      </c>
      <c r="P39" s="46">
        <f>O$39*'Population Treasury'!AH$59*'Statistics NZ'!AH$384/('Population Treasury'!AG$59*'Statistics NZ'!AG$384)</f>
        <v>40214.756603363334</v>
      </c>
      <c r="Q39" s="46">
        <f>P$39*'Population Treasury'!AI$59*'Statistics NZ'!AI$384/('Population Treasury'!AH$59*'Statistics NZ'!AH$384)</f>
        <v>40041.847965837922</v>
      </c>
      <c r="R39" s="46">
        <f>Q$39*'Population Treasury'!AJ$59*'Statistics NZ'!AJ$384/('Population Treasury'!AI$59*'Statistics NZ'!AI$384)</f>
        <v>39158.714242669535</v>
      </c>
      <c r="S39" s="46">
        <f>R$39*'Population Treasury'!AK$59*'Statistics NZ'!AK$384/('Population Treasury'!AJ$59*'Statistics NZ'!AJ$384)</f>
        <v>39067.090817000877</v>
      </c>
      <c r="T39" s="46">
        <f>S$39*'Population Treasury'!AL$59*'Statistics NZ'!AL$384/('Population Treasury'!AK$59*'Statistics NZ'!AK$384)</f>
        <v>38833.382516765887</v>
      </c>
      <c r="U39" s="46">
        <f>T$39*'Population Treasury'!AM$59*'Statistics NZ'!AM$384/('Population Treasury'!AL$59*'Statistics NZ'!AL$384)</f>
        <v>37909.713252485344</v>
      </c>
      <c r="V39" s="46">
        <f>U$39*'Population Treasury'!AN$59*'Statistics NZ'!AN$384/('Population Treasury'!AM$59*'Statistics NZ'!AM$384)</f>
        <v>39370.625970962094</v>
      </c>
      <c r="W39" s="46">
        <f>V$39*'Population Treasury'!AO$59*'Statistics NZ'!AO$384/('Population Treasury'!AN$59*'Statistics NZ'!AN$384)</f>
        <v>39126.833875645236</v>
      </c>
      <c r="X39" s="46">
        <f>W$39*'Population Treasury'!AP$59*'Statistics NZ'!AP$384/('Population Treasury'!AO$59*'Statistics NZ'!AO$384)</f>
        <v>38558.426847025636</v>
      </c>
      <c r="Y39" s="46">
        <f>X$39*'Population Treasury'!AQ$59*'Statistics NZ'!AQ$384/('Population Treasury'!AP$59*'Statistics NZ'!AP$384)</f>
        <v>38588.66084612158</v>
      </c>
      <c r="Z39" s="46">
        <f>Y$39*'Population Treasury'!AR$59*'Statistics NZ'!AR$384/('Population Treasury'!AQ$59*'Statistics NZ'!AQ$384)</f>
        <v>39491.580275020351</v>
      </c>
      <c r="AA39" s="46">
        <f>Z$39*'Population Treasury'!AS$59*'Statistics NZ'!AS$384/('Population Treasury'!AR$59*'Statistics NZ'!AR$384)</f>
        <v>39663.846205859649</v>
      </c>
      <c r="AB39" s="46">
        <f>AA$39*'Population Treasury'!AT$59*'Statistics NZ'!AT$384/('Population Treasury'!AS$59*'Statistics NZ'!AS$384)</f>
        <v>40394.266798581841</v>
      </c>
      <c r="AC39" s="46">
        <f>AB$39*'Population Treasury'!AU$59*'Statistics NZ'!AU$384/('Population Treasury'!AT$59*'Statistics NZ'!AT$384)</f>
        <v>42443.752703718041</v>
      </c>
      <c r="AD39" s="46">
        <f>AC$39*'Population Treasury'!AV$59*'Statistics NZ'!AV$384/('Population Treasury'!AU$59*'Statistics NZ'!AU$384)</f>
        <v>43549.628929110135</v>
      </c>
      <c r="AE39" s="46">
        <f>AD$39*'Population Treasury'!AW$59*'Statistics NZ'!AW$384/('Population Treasury'!AV$59*'Statistics NZ'!AV$384)</f>
        <v>43113.227868342954</v>
      </c>
      <c r="AF39" s="46">
        <f>AE$39*'Population Treasury'!AX$59*'Statistics NZ'!AX$384/('Population Treasury'!AW$59*'Statistics NZ'!AW$384)</f>
        <v>44137.92606825738</v>
      </c>
      <c r="AG39" s="46">
        <f>AF$39*'Population Treasury'!AY$59*'Statistics NZ'!AY$384/('Population Treasury'!AX$59*'Statistics NZ'!AX$384)</f>
        <v>44259.620719621096</v>
      </c>
      <c r="AH39" s="46">
        <f>AG$39*'Population Treasury'!AZ$59*'Statistics NZ'!AZ$384/('Population Treasury'!AY$59*'Statistics NZ'!AY$384)</f>
        <v>44452.304574989124</v>
      </c>
      <c r="AI39" s="46">
        <f>AH$39*'Population Treasury'!BA$59*'Statistics NZ'!BA$384/('Population Treasury'!AZ$59*'Statistics NZ'!AZ$384)</f>
        <v>44553.717451374614</v>
      </c>
      <c r="AJ39" s="46">
        <f>AI$39*'Population Treasury'!BB$59*'Statistics NZ'!BB$384/('Population Treasury'!BA$59*'Statistics NZ'!BA$384)</f>
        <v>43884.010307475466</v>
      </c>
      <c r="AK39" s="46">
        <f>AJ$39*'Population Treasury'!BC$59*'Statistics NZ'!BC$384/('Population Treasury'!BB$59*'Statistics NZ'!BB$384)</f>
        <v>44056.46650939501</v>
      </c>
      <c r="AL39" s="46">
        <f>AK$39*'Population Treasury'!BD$59*'Statistics NZ'!BD$384/('Population Treasury'!BC$59*'Statistics NZ'!BC$384)</f>
        <v>43762.149514347555</v>
      </c>
      <c r="AM39" s="46">
        <f>AL$39*'Population Treasury'!BE$59*'Statistics NZ'!BE$384/('Population Treasury'!BD$59*'Statistics NZ'!BD$384)</f>
        <v>44310.053286530412</v>
      </c>
      <c r="AN39" s="46">
        <f>AM$39*'Population Treasury'!BF$59*'Statistics NZ'!BF$384/('Population Treasury'!BE$59*'Statistics NZ'!BE$384)</f>
        <v>43853.420656670147</v>
      </c>
      <c r="AO39" s="46">
        <f>AN$39*'Population Treasury'!BG$59*'Statistics NZ'!BG$384/('Population Treasury'!BF$59*'Statistics NZ'!BF$384)</f>
        <v>43985.31229047176</v>
      </c>
      <c r="AP39" s="46">
        <f>AO$39*'Population Treasury'!BH$59*'Statistics NZ'!BH$384/('Population Treasury'!BG$59*'Statistics NZ'!BG$384)</f>
        <v>43792.517768645732</v>
      </c>
      <c r="AQ39" s="46">
        <f>AP$39*'Population Treasury'!BI$59*'Statistics NZ'!BI$384/('Population Treasury'!BH$59*'Statistics NZ'!BH$384)</f>
        <v>44035.963487776855</v>
      </c>
    </row>
    <row r="40" spans="1:43" x14ac:dyDescent="0.25">
      <c r="A40" s="11">
        <v>45</v>
      </c>
      <c r="B40" s="45">
        <f>'Population Treasury'!T$60*'Statistics NZ'!T$385*'Economic Forecasts'!V$8/B$7</f>
        <v>28351.352935430299</v>
      </c>
      <c r="C40" s="45">
        <f>'Population Treasury'!U$60*'Statistics NZ'!U$385*'Economic Forecasts'!W$8/C$7</f>
        <v>28747.802740997075</v>
      </c>
      <c r="D40" s="45">
        <f>'Population Treasury'!V$60*'Statistics NZ'!V$385*'Economic Forecasts'!X$8/D$7</f>
        <v>29595.048415562818</v>
      </c>
      <c r="E40" s="45">
        <f>'Population Treasury'!W$60*'Statistics NZ'!W$385*'Economic Forecasts'!Y$8/E$7</f>
        <v>30998.248323353699</v>
      </c>
      <c r="F40" s="45">
        <f>'Population Treasury'!X$60*'Statistics NZ'!X$385*'Economic Forecasts'!Z$8/F$7</f>
        <v>32211.136069481869</v>
      </c>
      <c r="G40" s="45">
        <f>'Population Treasury'!Y$60*'Statistics NZ'!Y$385*'Economic Forecasts'!AA$8/G$7</f>
        <v>33044.916580812132</v>
      </c>
      <c r="H40" s="46">
        <f>G$40*'Population Treasury'!Z$60*'Statistics NZ'!Z$385/('Population Treasury'!Y$60*'Statistics NZ'!Y$385)</f>
        <v>34377.624202816332</v>
      </c>
      <c r="I40" s="46">
        <f>H$40*'Population Treasury'!AA$60*'Statistics NZ'!AA$385/('Population Treasury'!Z$60*'Statistics NZ'!Z$385)</f>
        <v>35079.626476286707</v>
      </c>
      <c r="J40" s="46">
        <f>I$40*'Population Treasury'!AB$60*'Statistics NZ'!AB$385/('Population Treasury'!AA$60*'Statistics NZ'!AA$385)</f>
        <v>36663.066090036307</v>
      </c>
      <c r="K40" s="46">
        <f>J$40*'Population Treasury'!AC$60*'Statistics NZ'!AC$385/('Population Treasury'!AB$60*'Statistics NZ'!AB$385)</f>
        <v>38813.508608273951</v>
      </c>
      <c r="L40" s="46">
        <f>K$40*'Population Treasury'!AD$60*'Statistics NZ'!AD$385/('Population Treasury'!AC$60*'Statistics NZ'!AC$385)</f>
        <v>39817.385187444146</v>
      </c>
      <c r="M40" s="46">
        <f>L$40*'Population Treasury'!AE$60*'Statistics NZ'!AE$385/('Population Treasury'!AD$60*'Statistics NZ'!AD$385)</f>
        <v>41460.583743213065</v>
      </c>
      <c r="N40" s="46">
        <f>M$40*'Population Treasury'!AF$60*'Statistics NZ'!AF$385/('Population Treasury'!AE$60*'Statistics NZ'!AE$385)</f>
        <v>42271.807355399462</v>
      </c>
      <c r="O40" s="46">
        <f>N$40*'Population Treasury'!AG$60*'Statistics NZ'!AG$385/('Population Treasury'!AF$60*'Statistics NZ'!AF$385)</f>
        <v>41987.201874513725</v>
      </c>
      <c r="P40" s="46">
        <f>O$40*'Population Treasury'!AH$60*'Statistics NZ'!AH$385/('Population Treasury'!AG$60*'Statistics NZ'!AG$385)</f>
        <v>41682.372659363798</v>
      </c>
      <c r="Q40" s="46">
        <f>P$40*'Population Treasury'!AI$60*'Statistics NZ'!AI$385/('Population Treasury'!AH$60*'Statistics NZ'!AH$385)</f>
        <v>40596.323588947736</v>
      </c>
      <c r="R40" s="46">
        <f>Q$40*'Population Treasury'!AJ$60*'Statistics NZ'!AJ$385/('Population Treasury'!AI$60*'Statistics NZ'!AI$385)</f>
        <v>40413.280140347568</v>
      </c>
      <c r="S40" s="46">
        <f>R$40*'Population Treasury'!AK$60*'Statistics NZ'!AK$385/('Population Treasury'!AJ$60*'Statistics NZ'!AJ$385)</f>
        <v>39519.984662962786</v>
      </c>
      <c r="T40" s="46">
        <f>S$40*'Population Treasury'!AL$60*'Statistics NZ'!AL$385/('Population Treasury'!AK$60*'Statistics NZ'!AK$385)</f>
        <v>39428.318111246852</v>
      </c>
      <c r="U40" s="46">
        <f>T$40*'Population Treasury'!AM$60*'Statistics NZ'!AM$385/('Population Treasury'!AL$60*'Statistics NZ'!AL$385)</f>
        <v>39194.62491358546</v>
      </c>
      <c r="V40" s="46">
        <f>U$40*'Population Treasury'!AN$60*'Statistics NZ'!AN$385/('Population Treasury'!AM$60*'Statistics NZ'!AM$385)</f>
        <v>38260.872963963986</v>
      </c>
      <c r="W40" s="46">
        <f>V$40*'Population Treasury'!AO$60*'Statistics NZ'!AO$385/('Population Treasury'!AN$60*'Statistics NZ'!AN$385)</f>
        <v>39731.825542639497</v>
      </c>
      <c r="X40" s="46">
        <f>W$40*'Population Treasury'!AP$60*'Statistics NZ'!AP$385/('Population Treasury'!AO$60*'Statistics NZ'!AO$385)</f>
        <v>39477.985795720793</v>
      </c>
      <c r="Y40" s="46">
        <f>X$40*'Population Treasury'!AQ$60*'Statistics NZ'!AQ$385/('Population Treasury'!AP$60*'Statistics NZ'!AP$385)</f>
        <v>38909.53000460488</v>
      </c>
      <c r="Z40" s="46">
        <f>Y$40*'Population Treasury'!AR$60*'Statistics NZ'!AR$385/('Population Treasury'!AQ$60*'Statistics NZ'!AQ$385)</f>
        <v>38939.80935588319</v>
      </c>
      <c r="AA40" s="46">
        <f>Z$40*'Population Treasury'!AS$60*'Statistics NZ'!AS$385/('Population Treasury'!AR$60*'Statistics NZ'!AR$385)</f>
        <v>39842.679962088296</v>
      </c>
      <c r="AB40" s="46">
        <f>AA$40*'Population Treasury'!AT$60*'Statistics NZ'!AT$385/('Population Treasury'!AS$60*'Statistics NZ'!AS$385)</f>
        <v>40014.992630653695</v>
      </c>
      <c r="AC40" s="46">
        <f>AB$40*'Population Treasury'!AU$60*'Statistics NZ'!AU$385/('Population Treasury'!AT$60*'Statistics NZ'!AT$385)</f>
        <v>40745.356655717478</v>
      </c>
      <c r="AD40" s="46">
        <f>AC$40*'Population Treasury'!AV$60*'Statistics NZ'!AV$385/('Population Treasury'!AU$60*'Statistics NZ'!AU$385)</f>
        <v>42794.902090764663</v>
      </c>
      <c r="AE40" s="46">
        <f>AD$40*'Population Treasury'!AW$60*'Statistics NZ'!AW$385/('Population Treasury'!AV$60*'Statistics NZ'!AV$385)</f>
        <v>43910.88137982817</v>
      </c>
      <c r="AF40" s="46">
        <f>AE$40*'Population Treasury'!AX$60*'Statistics NZ'!AX$385/('Population Treasury'!AW$60*'Statistics NZ'!AW$385)</f>
        <v>43474.515799967165</v>
      </c>
      <c r="AG40" s="46">
        <f>AF$40*'Population Treasury'!AY$60*'Statistics NZ'!AY$385/('Population Treasury'!AX$60*'Statistics NZ'!AX$385)</f>
        <v>44499.234545464817</v>
      </c>
      <c r="AH40" s="46">
        <f>AG$40*'Population Treasury'!AZ$60*'Statistics NZ'!AZ$385/('Population Treasury'!AY$60*'Statistics NZ'!AY$385)</f>
        <v>44620.925020825685</v>
      </c>
      <c r="AI40" s="46">
        <f>AH$40*'Population Treasury'!BA$60*'Statistics NZ'!BA$385/('Population Treasury'!AZ$60*'Statistics NZ'!AZ$385)</f>
        <v>44813.663690463844</v>
      </c>
      <c r="AJ40" s="46">
        <f>AI$40*'Population Treasury'!BB$60*'Statistics NZ'!BB$385/('Population Treasury'!BA$60*'Statistics NZ'!BA$385)</f>
        <v>44925.152696888843</v>
      </c>
      <c r="AK40" s="46">
        <f>AJ$40*'Population Treasury'!BC$60*'Statistics NZ'!BC$385/('Population Treasury'!BB$60*'Statistics NZ'!BB$385)</f>
        <v>44245.341074279015</v>
      </c>
      <c r="AL40" s="46">
        <f>AK$40*'Population Treasury'!BD$60*'Statistics NZ'!BD$385/('Population Treasury'!BC$60*'Statistics NZ'!BC$385)</f>
        <v>44417.798182702274</v>
      </c>
      <c r="AM40" s="46">
        <f>AL$40*'Population Treasury'!BE$60*'Statistics NZ'!BE$385/('Population Treasury'!BD$60*'Statistics NZ'!BD$385)</f>
        <v>44123.463667627046</v>
      </c>
      <c r="AN40" s="46">
        <f>AM$40*'Population Treasury'!BF$60*'Statistics NZ'!BF$385/('Population Treasury'!BE$60*'Statistics NZ'!BE$385)</f>
        <v>44671.383041922592</v>
      </c>
      <c r="AO40" s="46">
        <f>AN$40*'Population Treasury'!BG$60*'Statistics NZ'!BG$385/('Population Treasury'!BF$60*'Statistics NZ'!BF$385)</f>
        <v>44214.793948594714</v>
      </c>
      <c r="AP40" s="46">
        <f>AO$40*'Population Treasury'!BH$60*'Statistics NZ'!BH$385/('Population Treasury'!BG$60*'Statistics NZ'!BG$385)</f>
        <v>44356.76657697677</v>
      </c>
      <c r="AQ40" s="46">
        <f>AP$40*'Population Treasury'!BI$60*'Statistics NZ'!BI$385/('Population Treasury'!BH$60*'Statistics NZ'!BH$385)</f>
        <v>44163.964800021968</v>
      </c>
    </row>
    <row r="41" spans="1:43" x14ac:dyDescent="0.25">
      <c r="A41" s="11">
        <v>46</v>
      </c>
      <c r="B41" s="45">
        <f>'Population Treasury'!T$61*'Statistics NZ'!T$386*'Economic Forecasts'!V$8/B$7</f>
        <v>27412.301781120772</v>
      </c>
      <c r="C41" s="45">
        <f>'Population Treasury'!U$61*'Statistics NZ'!U$386*'Economic Forecasts'!W$8/C$7</f>
        <v>28292.677739206334</v>
      </c>
      <c r="D41" s="45">
        <f>'Population Treasury'!V$61*'Statistics NZ'!V$386*'Economic Forecasts'!X$8/D$7</f>
        <v>29059.050782240691</v>
      </c>
      <c r="E41" s="45">
        <f>'Population Treasury'!W$61*'Statistics NZ'!W$386*'Economic Forecasts'!Y$8/E$7</f>
        <v>29990.024963975422</v>
      </c>
      <c r="F41" s="45">
        <f>'Population Treasury'!X$61*'Statistics NZ'!X$386*'Economic Forecasts'!Z$8/F$7</f>
        <v>31369.01931104367</v>
      </c>
      <c r="G41" s="45">
        <f>'Population Treasury'!Y$61*'Statistics NZ'!Y$386*'Economic Forecasts'!AA$8/G$7</f>
        <v>32542.223370296964</v>
      </c>
      <c r="H41" s="46">
        <f>G$41*'Population Treasury'!Z$61*'Statistics NZ'!Z$386/('Population Treasury'!Y$61*'Statistics NZ'!Y$386)</f>
        <v>33306.747012195578</v>
      </c>
      <c r="I41" s="46">
        <f>H$41*'Population Treasury'!AA$61*'Statistics NZ'!AA$386/('Population Treasury'!Z$61*'Statistics NZ'!Z$386)</f>
        <v>34627.676281335072</v>
      </c>
      <c r="J41" s="46">
        <f>I$41*'Population Treasury'!AB$61*'Statistics NZ'!AB$386/('Population Treasury'!AA$61*'Statistics NZ'!AA$386)</f>
        <v>35338.476123859356</v>
      </c>
      <c r="K41" s="46">
        <f>J$41*'Population Treasury'!AC$61*'Statistics NZ'!AC$386/('Population Treasury'!AB$61*'Statistics NZ'!AB$386)</f>
        <v>36920.767527519187</v>
      </c>
      <c r="L41" s="46">
        <f>K$41*'Population Treasury'!AD$61*'Statistics NZ'!AD$386/('Population Treasury'!AC$61*'Statistics NZ'!AC$386)</f>
        <v>39081.365801748965</v>
      </c>
      <c r="M41" s="46">
        <f>L$41*'Population Treasury'!AE$61*'Statistics NZ'!AE$386/('Population Treasury'!AD$61*'Statistics NZ'!AD$386)</f>
        <v>40075.211633524501</v>
      </c>
      <c r="N41" s="46">
        <f>M$41*'Population Treasury'!AF$61*'Statistics NZ'!AF$386/('Population Treasury'!AE$61*'Statistics NZ'!AE$386)</f>
        <v>41718.467412262566</v>
      </c>
      <c r="O41" s="46">
        <f>N$41*'Population Treasury'!AG$61*'Statistics NZ'!AG$386/('Population Treasury'!AF$61*'Statistics NZ'!AF$386)</f>
        <v>42529.721756473773</v>
      </c>
      <c r="P41" s="46">
        <f>O$41*'Population Treasury'!AH$61*'Statistics NZ'!AH$386/('Population Treasury'!AG$61*'Statistics NZ'!AG$386)</f>
        <v>42235.039145352872</v>
      </c>
      <c r="Q41" s="46">
        <f>P$41*'Population Treasury'!AI$61*'Statistics NZ'!AI$386/('Population Treasury'!AH$61*'Statistics NZ'!AH$386)</f>
        <v>41930.20913766617</v>
      </c>
      <c r="R41" s="46">
        <f>Q$41*'Population Treasury'!AJ$61*'Statistics NZ'!AJ$386/('Population Treasury'!AI$61*'Statistics NZ'!AI$386)</f>
        <v>40844.136731546525</v>
      </c>
      <c r="S41" s="46">
        <f>R$41*'Population Treasury'!AK$61*'Statistics NZ'!AK$386/('Population Treasury'!AJ$61*'Statistics NZ'!AJ$386)</f>
        <v>40661.094890115288</v>
      </c>
      <c r="T41" s="46">
        <f>S$41*'Population Treasury'!AL$61*'Statistics NZ'!AL$386/('Population Treasury'!AK$61*'Statistics NZ'!AK$386)</f>
        <v>39757.774507581038</v>
      </c>
      <c r="U41" s="46">
        <f>T$41*'Population Treasury'!AM$61*'Statistics NZ'!AM$386/('Population Treasury'!AL$61*'Statistics NZ'!AL$386)</f>
        <v>39666.178909748451</v>
      </c>
      <c r="V41" s="46">
        <f>U$41*'Population Treasury'!AN$61*'Statistics NZ'!AN$386/('Population Treasury'!AM$61*'Statistics NZ'!AM$386)</f>
        <v>39422.413556072846</v>
      </c>
      <c r="W41" s="46">
        <f>V$41*'Population Treasury'!AO$61*'Statistics NZ'!AO$386/('Population Treasury'!AN$61*'Statistics NZ'!AN$386)</f>
        <v>38488.644722612895</v>
      </c>
      <c r="X41" s="46">
        <f>W$41*'Population Treasury'!AP$61*'Statistics NZ'!AP$386/('Population Treasury'!AO$61*'Statistics NZ'!AO$386)</f>
        <v>39959.63640420969</v>
      </c>
      <c r="Y41" s="46">
        <f>X$41*'Population Treasury'!AQ$61*'Statistics NZ'!AQ$386/('Population Treasury'!AP$61*'Statistics NZ'!AP$386)</f>
        <v>39705.79416998021</v>
      </c>
      <c r="Z41" s="46">
        <f>Y$41*'Population Treasury'!AR$61*'Statistics NZ'!AR$386/('Population Treasury'!AQ$61*'Statistics NZ'!AQ$386)</f>
        <v>39137.329935282753</v>
      </c>
      <c r="AA41" s="46">
        <f>Z$41*'Population Treasury'!AS$61*'Statistics NZ'!AS$386/('Population Treasury'!AR$61*'Statistics NZ'!AR$386)</f>
        <v>39167.612865168761</v>
      </c>
      <c r="AB41" s="46">
        <f>AA$41*'Population Treasury'!AT$61*'Statistics NZ'!AT$386/('Population Treasury'!AS$61*'Statistics NZ'!AS$386)</f>
        <v>40070.57422264346</v>
      </c>
      <c r="AC41" s="46">
        <f>AB$41*'Population Treasury'!AU$61*'Statistics NZ'!AU$386/('Population Treasury'!AT$61*'Statistics NZ'!AT$386)</f>
        <v>40242.893674489977</v>
      </c>
      <c r="AD41" s="46">
        <f>AC$41*'Population Treasury'!AV$61*'Statistics NZ'!AV$386/('Population Treasury'!AU$61*'Statistics NZ'!AU$386)</f>
        <v>40973.341607211798</v>
      </c>
      <c r="AE41" s="46">
        <f>AD$41*'Population Treasury'!AW$61*'Statistics NZ'!AW$386/('Population Treasury'!AV$61*'Statistics NZ'!AV$386)</f>
        <v>43033.000980002151</v>
      </c>
      <c r="AF41" s="46">
        <f>AE$41*'Population Treasury'!AX$61*'Statistics NZ'!AX$386/('Population Treasury'!AW$61*'Statistics NZ'!AW$386)</f>
        <v>44138.922582631749</v>
      </c>
      <c r="AG41" s="46">
        <f>AF$41*'Population Treasury'!AY$61*'Statistics NZ'!AY$386/('Population Treasury'!AX$61*'Statistics NZ'!AX$386)</f>
        <v>43702.489430997717</v>
      </c>
      <c r="AH41" s="46">
        <f>AG$41*'Population Treasury'!AZ$61*'Statistics NZ'!AZ$386/('Population Treasury'!AY$61*'Statistics NZ'!AY$386)</f>
        <v>44737.367986630888</v>
      </c>
      <c r="AI41" s="46">
        <f>AH$41*'Population Treasury'!BA$61*'Statistics NZ'!BA$386/('Population Treasury'!AZ$61*'Statistics NZ'!AZ$386)</f>
        <v>44859.061731254784</v>
      </c>
      <c r="AJ41" s="46">
        <f>AI$41*'Population Treasury'!BB$61*'Statistics NZ'!BB$386/('Population Treasury'!BA$61*'Statistics NZ'!BA$386)</f>
        <v>45051.804399651846</v>
      </c>
      <c r="AK41" s="46">
        <f>AJ$41*'Population Treasury'!BC$61*'Statistics NZ'!BC$386/('Population Treasury'!BB$61*'Statistics NZ'!BB$386)</f>
        <v>45163.297506200164</v>
      </c>
      <c r="AL41" s="46">
        <f>AK$41*'Population Treasury'!BD$61*'Statistics NZ'!BD$386/('Population Treasury'!BC$61*'Statistics NZ'!BC$386)</f>
        <v>44483.474588531069</v>
      </c>
      <c r="AM41" s="46">
        <f>AL$41*'Population Treasury'!BE$61*'Statistics NZ'!BE$386/('Population Treasury'!BD$61*'Statistics NZ'!BD$386)</f>
        <v>44655.935198068531</v>
      </c>
      <c r="AN41" s="46">
        <f>AM$41*'Population Treasury'!BF$61*'Statistics NZ'!BF$386/('Population Treasury'!BE$61*'Statistics NZ'!BE$386)</f>
        <v>44361.658607751488</v>
      </c>
      <c r="AO41" s="46">
        <f>AN$41*'Population Treasury'!BG$61*'Statistics NZ'!BG$386/('Population Treasury'!BF$61*'Statistics NZ'!BF$386)</f>
        <v>44919.666914400084</v>
      </c>
      <c r="AP41" s="46">
        <f>AO$41*'Population Treasury'!BH$61*'Statistics NZ'!BH$386/('Population Treasury'!BG$61*'Statistics NZ'!BG$386)</f>
        <v>44463.070117774783</v>
      </c>
      <c r="AQ41" s="46">
        <f>AP$41*'Population Treasury'!BI$61*'Statistics NZ'!BI$386/('Population Treasury'!BH$61*'Statistics NZ'!BH$386)</f>
        <v>44594.966376723183</v>
      </c>
    </row>
    <row r="42" spans="1:43" x14ac:dyDescent="0.25">
      <c r="A42" s="11">
        <v>47</v>
      </c>
      <c r="B42" s="45">
        <f>'Population Treasury'!T$62*'Statistics NZ'!T$387*'Economic Forecasts'!V$8/B$7</f>
        <v>27452.261404708413</v>
      </c>
      <c r="C42" s="45">
        <f>'Population Treasury'!U$62*'Statistics NZ'!U$387*'Economic Forecasts'!W$8/C$7</f>
        <v>27273.523446010717</v>
      </c>
      <c r="D42" s="45">
        <f>'Population Treasury'!V$62*'Statistics NZ'!V$387*'Economic Forecasts'!X$8/D$7</f>
        <v>28503.175030342936</v>
      </c>
      <c r="E42" s="45">
        <f>'Population Treasury'!W$62*'Statistics NZ'!W$387*'Economic Forecasts'!Y$8/E$7</f>
        <v>29361.125994489474</v>
      </c>
      <c r="F42" s="45">
        <f>'Population Treasury'!X$62*'Statistics NZ'!X$387*'Economic Forecasts'!Z$8/F$7</f>
        <v>30256.198053962336</v>
      </c>
      <c r="G42" s="45">
        <f>'Population Treasury'!Y$62*'Statistics NZ'!Y$387*'Economic Forecasts'!AA$8/G$7</f>
        <v>31607.196226175984</v>
      </c>
      <c r="H42" s="46">
        <f>G$42*'Population Treasury'!Z$62*'Statistics NZ'!Z$387/('Population Treasury'!Y$62*'Statistics NZ'!Y$387)</f>
        <v>32716.792731518166</v>
      </c>
      <c r="I42" s="46">
        <f>H$42*'Population Treasury'!AA$62*'Statistics NZ'!AA$387/('Population Treasury'!Z$62*'Statistics NZ'!Z$387)</f>
        <v>33469.587606850379</v>
      </c>
      <c r="J42" s="46">
        <f>I$42*'Population Treasury'!AB$62*'Statistics NZ'!AB$387/('Population Treasury'!AA$62*'Statistics NZ'!AA$387)</f>
        <v>34799.334375797422</v>
      </c>
      <c r="K42" s="46">
        <f>J$42*'Population Treasury'!AC$62*'Statistics NZ'!AC$387/('Population Treasury'!AB$62*'Statistics NZ'!AB$387)</f>
        <v>35498.886881754646</v>
      </c>
      <c r="L42" s="46">
        <f>K$42*'Population Treasury'!AD$62*'Statistics NZ'!AD$387/('Population Treasury'!AC$62*'Statistics NZ'!AC$387)</f>
        <v>37091.307703548307</v>
      </c>
      <c r="M42" s="46">
        <f>L$42*'Population Treasury'!AE$62*'Statistics NZ'!AE$387/('Population Treasury'!AD$62*'Statistics NZ'!AD$387)</f>
        <v>39241.904889602622</v>
      </c>
      <c r="N42" s="46">
        <f>M$42*'Population Treasury'!AF$62*'Statistics NZ'!AF$387/('Population Treasury'!AE$62*'Statistics NZ'!AE$387)</f>
        <v>40235.787989446071</v>
      </c>
      <c r="O42" s="46">
        <f>N$42*'Population Treasury'!AG$62*'Statistics NZ'!AG$387/('Population Treasury'!AF$62*'Statistics NZ'!AF$387)</f>
        <v>41889.171482716811</v>
      </c>
      <c r="P42" s="46">
        <f>O$42*'Population Treasury'!AH$62*'Statistics NZ'!AH$387/('Population Treasury'!AG$62*'Statistics NZ'!AG$387)</f>
        <v>42690.376529063964</v>
      </c>
      <c r="Q42" s="46">
        <f>P$42*'Population Treasury'!AI$62*'Statistics NZ'!AI$387/('Population Treasury'!AH$62*'Statistics NZ'!AH$387)</f>
        <v>42395.70114677761</v>
      </c>
      <c r="R42" s="46">
        <f>Q$42*'Population Treasury'!AJ$62*'Statistics NZ'!AJ$387/('Population Treasury'!AI$62*'Statistics NZ'!AI$387)</f>
        <v>42090.939331722133</v>
      </c>
      <c r="S42" s="46">
        <f>R$42*'Population Treasury'!AK$62*'Statistics NZ'!AK$387/('Population Treasury'!AJ$62*'Statistics NZ'!AJ$387)</f>
        <v>41004.858319106417</v>
      </c>
      <c r="T42" s="46">
        <f>S$42*'Population Treasury'!AL$62*'Statistics NZ'!AL$387/('Population Treasury'!AK$62*'Statistics NZ'!AK$387)</f>
        <v>40811.811592425962</v>
      </c>
      <c r="U42" s="46">
        <f>T$42*'Population Treasury'!AM$62*'Statistics NZ'!AM$387/('Population Treasury'!AL$62*'Statistics NZ'!AL$387)</f>
        <v>39918.560102487267</v>
      </c>
      <c r="V42" s="46">
        <f>U$42*'Population Treasury'!AN$62*'Statistics NZ'!AN$387/('Population Treasury'!AM$62*'Statistics NZ'!AM$387)</f>
        <v>39816.896131628855</v>
      </c>
      <c r="W42" s="46">
        <f>V$42*'Population Treasury'!AO$62*'Statistics NZ'!AO$387/('Population Treasury'!AN$62*'Statistics NZ'!AN$387)</f>
        <v>39573.134247063725</v>
      </c>
      <c r="X42" s="46">
        <f>W$42*'Population Treasury'!AP$62*'Statistics NZ'!AP$387/('Population Treasury'!AO$62*'Statistics NZ'!AO$387)</f>
        <v>38639.357689525154</v>
      </c>
      <c r="Y42" s="46">
        <f>X$42*'Population Treasury'!AQ$62*'Statistics NZ'!AQ$387/('Population Treasury'!AP$62*'Statistics NZ'!AP$387)</f>
        <v>40110.448198283339</v>
      </c>
      <c r="Z42" s="46">
        <f>Y$42*'Population Treasury'!AR$62*'Statistics NZ'!AR$387/('Population Treasury'!AQ$62*'Statistics NZ'!AQ$387)</f>
        <v>39856.607658987152</v>
      </c>
      <c r="AA42" s="46">
        <f>Z$42*'Population Treasury'!AS$62*'Statistics NZ'!AS$387/('Population Treasury'!AR$62*'Statistics NZ'!AR$387)</f>
        <v>39278.068694754846</v>
      </c>
      <c r="AB42" s="46">
        <f>AA$42*'Population Treasury'!AT$62*'Statistics NZ'!AT$387/('Population Treasury'!AS$62*'Statistics NZ'!AS$387)</f>
        <v>39308.357000361146</v>
      </c>
      <c r="AC42" s="46">
        <f>AB$42*'Population Treasury'!AU$62*'Statistics NZ'!AU$387/('Population Treasury'!AT$62*'Statistics NZ'!AT$387)</f>
        <v>40221.408845191829</v>
      </c>
      <c r="AD42" s="46">
        <f>AC$42*'Population Treasury'!AV$62*'Statistics NZ'!AV$387/('Population Treasury'!AU$62*'Statistics NZ'!AU$387)</f>
        <v>40383.660531832007</v>
      </c>
      <c r="AE42" s="46">
        <f>AD$42*'Population Treasury'!AW$62*'Statistics NZ'!AW$387/('Population Treasury'!AV$62*'Statistics NZ'!AV$387)</f>
        <v>41124.198298442054</v>
      </c>
      <c r="AF42" s="46">
        <f>AE$42*'Population Treasury'!AX$62*'Statistics NZ'!AX$387/('Population Treasury'!AW$62*'Statistics NZ'!AW$387)</f>
        <v>43183.889081452864</v>
      </c>
      <c r="AG42" s="46">
        <f>AF$42*'Population Treasury'!AY$62*'Statistics NZ'!AY$387/('Population Treasury'!AX$62*'Statistics NZ'!AX$387)</f>
        <v>44299.908508761713</v>
      </c>
      <c r="AH42" s="46">
        <f>AG$42*'Population Treasury'!AZ$62*'Statistics NZ'!AZ$387/('Population Treasury'!AY$62*'Statistics NZ'!AY$387)</f>
        <v>43863.533325656499</v>
      </c>
      <c r="AI42" s="46">
        <f>AH$42*'Population Treasury'!BA$62*'Statistics NZ'!BA$387/('Population Treasury'!AZ$62*'Statistics NZ'!AZ$387)</f>
        <v>44888.344449869721</v>
      </c>
      <c r="AJ42" s="46">
        <f>AI$42*'Population Treasury'!BB$62*'Statistics NZ'!BB$387/('Population Treasury'!BA$62*'Statistics NZ'!BA$387)</f>
        <v>45020.124484552063</v>
      </c>
      <c r="AK42" s="46">
        <f>AJ$42*'Population Treasury'!BC$62*'Statistics NZ'!BC$387/('Population Treasury'!BB$62*'Statistics NZ'!BB$387)</f>
        <v>45202.787682082824</v>
      </c>
      <c r="AL42" s="46">
        <f>AK$42*'Population Treasury'!BD$62*'Statistics NZ'!BD$387/('Population Treasury'!BC$62*'Statistics NZ'!BC$387)</f>
        <v>45314.343985498082</v>
      </c>
      <c r="AM42" s="46">
        <f>AL$42*'Population Treasury'!BE$62*'Statistics NZ'!BE$387/('Population Treasury'!BD$62*'Statistics NZ'!BD$387)</f>
        <v>44644.596992026542</v>
      </c>
      <c r="AN42" s="46">
        <f>AM$42*'Population Treasury'!BF$62*'Statistics NZ'!BF$387/('Population Treasury'!BE$62*'Statistics NZ'!BE$387)</f>
        <v>44817.060510617477</v>
      </c>
      <c r="AO42" s="46">
        <f>AN$42*'Population Treasury'!BG$62*'Statistics NZ'!BG$387/('Population Treasury'!BF$62*'Statistics NZ'!BF$387)</f>
        <v>44522.840743160472</v>
      </c>
      <c r="AP42" s="46">
        <f>AO$42*'Population Treasury'!BH$62*'Statistics NZ'!BH$387/('Population Treasury'!BG$62*'Statistics NZ'!BG$387)</f>
        <v>45080.797658784424</v>
      </c>
      <c r="AQ42" s="46">
        <f>AP$42*'Population Treasury'!BI$62*'Statistics NZ'!BI$387/('Population Treasury'!BH$62*'Statistics NZ'!BH$387)</f>
        <v>44624.195858386927</v>
      </c>
    </row>
    <row r="43" spans="1:43" x14ac:dyDescent="0.25">
      <c r="A43" s="11">
        <v>48</v>
      </c>
      <c r="B43" s="45">
        <f>'Population Treasury'!T$63*'Statistics NZ'!T$388*'Economic Forecasts'!V$8/B$7</f>
        <v>27012.705545244378</v>
      </c>
      <c r="C43" s="45">
        <f>'Population Treasury'!U$63*'Statistics NZ'!U$388*'Economic Forecasts'!W$8/C$7</f>
        <v>27194.343106442207</v>
      </c>
      <c r="D43" s="45">
        <f>'Population Treasury'!V$63*'Statistics NZ'!V$388*'Economic Forecasts'!X$8/D$7</f>
        <v>27371.522379727547</v>
      </c>
      <c r="E43" s="45">
        <f>'Population Treasury'!W$63*'Statistics NZ'!W$388*'Economic Forecasts'!Y$8/E$7</f>
        <v>28682.282312338852</v>
      </c>
      <c r="F43" s="45">
        <f>'Population Treasury'!X$63*'Statistics NZ'!X$388*'Economic Forecasts'!Z$8/F$7</f>
        <v>29504.272298433494</v>
      </c>
      <c r="G43" s="45">
        <f>'Population Treasury'!Y$63*'Statistics NZ'!Y$388*'Economic Forecasts'!AA$8/G$7</f>
        <v>30360.466171340428</v>
      </c>
      <c r="H43" s="46">
        <f>G$43*'Population Treasury'!Z$63*'Statistics NZ'!Z$388/('Population Treasury'!Y$63*'Statistics NZ'!Y$388)</f>
        <v>31632.468895077178</v>
      </c>
      <c r="I43" s="46">
        <f>H$43*'Population Treasury'!AA$63*'Statistics NZ'!AA$388/('Population Treasury'!Z$63*'Statistics NZ'!Z$388)</f>
        <v>32740.372452642488</v>
      </c>
      <c r="J43" s="46">
        <f>I$43*'Population Treasury'!AB$63*'Statistics NZ'!AB$388/('Population Treasury'!AA$63*'Statistics NZ'!AA$388)</f>
        <v>33491.808274950221</v>
      </c>
      <c r="K43" s="46">
        <f>J$43*'Population Treasury'!AC$63*'Statistics NZ'!AC$388/('Population Treasury'!AB$63*'Statistics NZ'!AB$388)</f>
        <v>34810.297895948686</v>
      </c>
      <c r="L43" s="46">
        <f>K$43*'Population Treasury'!AD$63*'Statistics NZ'!AD$388/('Population Treasury'!AC$63*'Statistics NZ'!AC$388)</f>
        <v>35509.87513256901</v>
      </c>
      <c r="M43" s="46">
        <f>L$43*'Population Treasury'!AE$63*'Statistics NZ'!AE$388/('Population Treasury'!AD$63*'Statistics NZ'!AD$388)</f>
        <v>37092.251206912013</v>
      </c>
      <c r="N43" s="46">
        <f>M$43*'Population Treasury'!AF$63*'Statistics NZ'!AF$388/('Population Treasury'!AE$63*'Statistics NZ'!AE$388)</f>
        <v>39242.870712130389</v>
      </c>
      <c r="O43" s="46">
        <f>N$43*'Population Treasury'!AG$63*'Statistics NZ'!AG$388/('Population Treasury'!AF$63*'Statistics NZ'!AF$388)</f>
        <v>40236.774298286393</v>
      </c>
      <c r="P43" s="46">
        <f>O$43*'Population Treasury'!AH$63*'Statistics NZ'!AH$388/('Population Treasury'!AG$63*'Statistics NZ'!AG$388)</f>
        <v>41880.098369804211</v>
      </c>
      <c r="Q43" s="46">
        <f>P$43*'Population Treasury'!AI$63*'Statistics NZ'!AI$388/('Population Treasury'!AH$63*'Statistics NZ'!AH$388)</f>
        <v>42681.31817024052</v>
      </c>
      <c r="R43" s="46">
        <f>Q$43*'Population Treasury'!AJ$63*'Statistics NZ'!AJ$388/('Population Treasury'!AI$63*'Statistics NZ'!AI$388)</f>
        <v>42386.717856116629</v>
      </c>
      <c r="S43" s="46">
        <f>R$43*'Population Treasury'!AK$63*'Statistics NZ'!AK$388/('Population Treasury'!AJ$63*'Statistics NZ'!AJ$388)</f>
        <v>42081.971086969999</v>
      </c>
      <c r="T43" s="46">
        <f>S$43*'Population Treasury'!AL$63*'Statistics NZ'!AL$388/('Population Treasury'!AK$63*'Statistics NZ'!AK$388)</f>
        <v>40985.827513639393</v>
      </c>
      <c r="U43" s="46">
        <f>T$43*'Population Treasury'!AM$63*'Statistics NZ'!AM$388/('Population Treasury'!AL$63*'Statistics NZ'!AL$388)</f>
        <v>40802.871709666339</v>
      </c>
      <c r="V43" s="46">
        <f>U$43*'Population Treasury'!AN$63*'Statistics NZ'!AN$388/('Population Treasury'!AM$63*'Statistics NZ'!AM$388)</f>
        <v>39899.619965056649</v>
      </c>
      <c r="W43" s="46">
        <f>V$43*'Population Treasury'!AO$63*'Statistics NZ'!AO$388/('Population Treasury'!AN$63*'Statistics NZ'!AN$388)</f>
        <v>39808.042553465348</v>
      </c>
      <c r="X43" s="46">
        <f>W$43*'Population Treasury'!AP$63*'Statistics NZ'!AP$388/('Population Treasury'!AO$63*'Statistics NZ'!AO$388)</f>
        <v>39554.213838479933</v>
      </c>
      <c r="Y43" s="46">
        <f>X$43*'Population Treasury'!AQ$63*'Statistics NZ'!AQ$388/('Population Treasury'!AP$63*'Statistics NZ'!AP$388)</f>
        <v>38620.45396426037</v>
      </c>
      <c r="Z43" s="46">
        <f>Y$43*'Population Treasury'!AR$63*'Statistics NZ'!AR$388/('Population Treasury'!AQ$63*'Statistics NZ'!AQ$388)</f>
        <v>40091.543640271928</v>
      </c>
      <c r="AA43" s="46">
        <f>Z$43*'Population Treasury'!AS$63*'Statistics NZ'!AS$388/('Population Treasury'!AR$63*'Statistics NZ'!AR$388)</f>
        <v>39837.711523390819</v>
      </c>
      <c r="AB43" s="46">
        <f>AA$43*'Population Treasury'!AT$63*'Statistics NZ'!AT$388/('Population Treasury'!AS$63*'Statistics NZ'!AS$388)</f>
        <v>39259.246863714317</v>
      </c>
      <c r="AC43" s="46">
        <f>AB$43*'Population Treasury'!AU$63*'Statistics NZ'!AU$388/('Population Treasury'!AT$63*'Statistics NZ'!AT$388)</f>
        <v>39289.541201823435</v>
      </c>
      <c r="AD43" s="46">
        <f>AC$43*'Population Treasury'!AV$63*'Statistics NZ'!AV$388/('Population Treasury'!AU$63*'Statistics NZ'!AU$388)</f>
        <v>40202.592817226425</v>
      </c>
      <c r="AE43" s="46">
        <f>AD$43*'Population Treasury'!AW$63*'Statistics NZ'!AW$388/('Population Treasury'!AV$63*'Statistics NZ'!AV$388)</f>
        <v>40364.847316424013</v>
      </c>
      <c r="AF43" s="46">
        <f>AE$43*'Population Treasury'!AX$63*'Statistics NZ'!AX$388/('Population Treasury'!AW$63*'Statistics NZ'!AW$388)</f>
        <v>41095.36858391155</v>
      </c>
      <c r="AG43" s="46">
        <f>AF$43*'Population Treasury'!AY$63*'Statistics NZ'!AY$388/('Population Treasury'!AX$63*'Statistics NZ'!AX$388)</f>
        <v>43155.043962365737</v>
      </c>
      <c r="AH43" s="46">
        <f>AG$43*'Population Treasury'!AZ$63*'Statistics NZ'!AZ$388/('Population Treasury'!AY$63*'Statistics NZ'!AY$388)</f>
        <v>44271.058632975415</v>
      </c>
      <c r="AI43" s="46">
        <f>AH$43*'Population Treasury'!BA$63*'Statistics NZ'!BA$388/('Population Treasury'!AZ$63*'Statistics NZ'!AZ$388)</f>
        <v>43834.689967546765</v>
      </c>
      <c r="AJ43" s="46">
        <f>AI$43*'Population Treasury'!BB$63*'Statistics NZ'!BB$388/('Population Treasury'!BA$63*'Statistics NZ'!BA$388)</f>
        <v>44859.436445599968</v>
      </c>
      <c r="AK43" s="46">
        <f>AJ$43*'Population Treasury'!BC$63*'Statistics NZ'!BC$388/('Population Treasury'!BB$63*'Statistics NZ'!BB$388)</f>
        <v>44991.276934730122</v>
      </c>
      <c r="AL43" s="46">
        <f>AK$43*'Population Treasury'!BD$63*'Statistics NZ'!BD$388/('Population Treasury'!BC$63*'Statistics NZ'!BC$388)</f>
        <v>45173.937699700225</v>
      </c>
      <c r="AM43" s="46">
        <f>AL$43*'Population Treasury'!BE$63*'Statistics NZ'!BE$388/('Population Treasury'!BD$63*'Statistics NZ'!BD$388)</f>
        <v>45285.49548734221</v>
      </c>
      <c r="AN43" s="46">
        <f>AM$43*'Population Treasury'!BF$63*'Statistics NZ'!BF$388/('Population Treasury'!BE$63*'Statistics NZ'!BE$388)</f>
        <v>44615.75669416169</v>
      </c>
      <c r="AO43" s="46">
        <f>AN$43*'Population Treasury'!BG$63*'Statistics NZ'!BG$388/('Population Treasury'!BF$63*'Statistics NZ'!BF$388)</f>
        <v>44788.276459249668</v>
      </c>
      <c r="AP43" s="46">
        <f>AO$43*'Population Treasury'!BH$63*'Statistics NZ'!BH$388/('Population Treasury'!BG$63*'Statistics NZ'!BG$388)</f>
        <v>44504.086058848152</v>
      </c>
      <c r="AQ43" s="46">
        <f>AP$43*'Population Treasury'!BI$63*'Statistics NZ'!BI$388/('Population Treasury'!BH$63*'Statistics NZ'!BH$388)</f>
        <v>45052.014348038829</v>
      </c>
    </row>
    <row r="44" spans="1:43" x14ac:dyDescent="0.25">
      <c r="A44" s="11">
        <v>49</v>
      </c>
      <c r="B44" s="45">
        <f>'Population Treasury'!T$64*'Statistics NZ'!T$389*'Economic Forecasts'!V$8/B$7</f>
        <v>27871.837452378626</v>
      </c>
      <c r="C44" s="45">
        <f>'Population Treasury'!U$64*'Statistics NZ'!U$389*'Economic Forecasts'!W$8/C$7</f>
        <v>26719.361539053771</v>
      </c>
      <c r="D44" s="45">
        <f>'Population Treasury'!V$64*'Statistics NZ'!V$389*'Economic Forecasts'!X$8/D$7</f>
        <v>27242.442167257697</v>
      </c>
      <c r="E44" s="45">
        <f>'Population Treasury'!W$64*'Statistics NZ'!W$389*'Economic Forecasts'!Y$8/E$7</f>
        <v>27484.32442477818</v>
      </c>
      <c r="F44" s="45">
        <f>'Population Treasury'!X$64*'Statistics NZ'!X$389*'Economic Forecasts'!Z$8/F$7</f>
        <v>28762.360439441149</v>
      </c>
      <c r="G44" s="45">
        <f>'Population Treasury'!Y$64*'Statistics NZ'!Y$389*'Economic Forecasts'!AA$8/G$7</f>
        <v>29546.060060139251</v>
      </c>
      <c r="H44" s="46">
        <f>G$44*'Population Treasury'!Z$64*'Statistics NZ'!Z$389/('Population Treasury'!Y$64*'Statistics NZ'!Y$389)</f>
        <v>30330.993399173509</v>
      </c>
      <c r="I44" s="46">
        <f>H$44*'Population Treasury'!AA$64*'Statistics NZ'!AA$389/('Population Treasury'!Z$64*'Statistics NZ'!Z$389)</f>
        <v>31601.285299116371</v>
      </c>
      <c r="J44" s="46">
        <f>I$44*'Population Treasury'!AB$64*'Statistics NZ'!AB$389/('Population Treasury'!AA$64*'Statistics NZ'!AA$389)</f>
        <v>32697.751589804604</v>
      </c>
      <c r="K44" s="46">
        <f>J$44*'Population Treasury'!AC$64*'Statistics NZ'!AC$389/('Population Treasury'!AB$64*'Statistics NZ'!AB$389)</f>
        <v>33447.981458808965</v>
      </c>
      <c r="L44" s="46">
        <f>K$44*'Population Treasury'!AD$64*'Statistics NZ'!AD$389/('Population Treasury'!AC$64*'Statistics NZ'!AC$389)</f>
        <v>34756.412236802389</v>
      </c>
      <c r="M44" s="46">
        <f>L$44*'Population Treasury'!AE$64*'Statistics NZ'!AE$389/('Population Treasury'!AD$64*'Statistics NZ'!AD$389)</f>
        <v>35456.000722856079</v>
      </c>
      <c r="N44" s="46">
        <f>M$44*'Population Treasury'!AF$64*'Statistics NZ'!AF$389/('Population Treasury'!AE$64*'Statistics NZ'!AE$389)</f>
        <v>37028.308773587421</v>
      </c>
      <c r="O44" s="46">
        <f>N$44*'Population Treasury'!AG$64*'Statistics NZ'!AG$389/('Population Treasury'!AF$64*'Statistics NZ'!AF$389)</f>
        <v>39168.79038485881</v>
      </c>
      <c r="P44" s="46">
        <f>O$44*'Population Treasury'!AH$64*'Statistics NZ'!AH$389/('Population Treasury'!AG$64*'Statistics NZ'!AG$389)</f>
        <v>40162.760614540843</v>
      </c>
      <c r="Q44" s="46">
        <f>P$44*'Population Treasury'!AI$64*'Statistics NZ'!AI$389/('Population Treasury'!AH$64*'Statistics NZ'!AH$389)</f>
        <v>41796.003248080749</v>
      </c>
      <c r="R44" s="46">
        <f>Q$44*'Population Treasury'!AJ$64*'Statistics NZ'!AJ$389/('Population Treasury'!AI$64*'Statistics NZ'!AI$389)</f>
        <v>42597.227140638148</v>
      </c>
      <c r="S44" s="46">
        <f>R$44*'Population Treasury'!AK$64*'Statistics NZ'!AK$389/('Population Treasury'!AJ$64*'Statistics NZ'!AJ$389)</f>
        <v>42302.637725805725</v>
      </c>
      <c r="T44" s="46">
        <f>S$44*'Population Treasury'!AL$64*'Statistics NZ'!AL$389/('Population Treasury'!AK$64*'Statistics NZ'!AK$389)</f>
        <v>41987.818414836947</v>
      </c>
      <c r="U44" s="46">
        <f>T$44*'Population Treasury'!AM$64*'Statistics NZ'!AM$389/('Population Treasury'!AL$64*'Statistics NZ'!AL$389)</f>
        <v>40901.832696829122</v>
      </c>
      <c r="V44" s="46">
        <f>U$44*'Population Treasury'!AN$64*'Statistics NZ'!AN$389/('Population Treasury'!AM$64*'Statistics NZ'!AM$389)</f>
        <v>40708.805315381433</v>
      </c>
      <c r="W44" s="46">
        <f>V$44*'Population Treasury'!AO$64*'Statistics NZ'!AO$389/('Population Treasury'!AN$64*'Statistics NZ'!AN$389)</f>
        <v>39805.568257355706</v>
      </c>
      <c r="X44" s="46">
        <f>W$44*'Population Treasury'!AP$64*'Statistics NZ'!AP$389/('Population Treasury'!AO$64*'Statistics NZ'!AO$389)</f>
        <v>39713.998639352474</v>
      </c>
      <c r="Y44" s="46">
        <f>X$44*'Population Treasury'!AQ$64*'Statistics NZ'!AQ$389/('Population Treasury'!AP$64*'Statistics NZ'!AP$389)</f>
        <v>39460.176955689647</v>
      </c>
      <c r="Z44" s="46">
        <f>Y$44*'Population Treasury'!AR$64*'Statistics NZ'!AR$389/('Population Treasury'!AQ$64*'Statistics NZ'!AQ$389)</f>
        <v>38526.497520467994</v>
      </c>
      <c r="AA44" s="46">
        <f>Z$44*'Population Treasury'!AS$64*'Statistics NZ'!AS$389/('Population Treasury'!AR$64*'Statistics NZ'!AR$389)</f>
        <v>39997.573496830504</v>
      </c>
      <c r="AB44" s="46">
        <f>AA$44*'Population Treasury'!AT$64*'Statistics NZ'!AT$389/('Population Treasury'!AS$64*'Statistics NZ'!AS$389)</f>
        <v>39743.7489232882</v>
      </c>
      <c r="AC44" s="46">
        <f>AB$44*'Population Treasury'!AU$64*'Statistics NZ'!AU$389/('Population Treasury'!AT$64*'Statistics NZ'!AT$389)</f>
        <v>39165.356417526251</v>
      </c>
      <c r="AD44" s="46">
        <f>AC$44*'Population Treasury'!AV$64*'Statistics NZ'!AV$389/('Population Treasury'!AU$64*'Statistics NZ'!AU$389)</f>
        <v>39195.654314364867</v>
      </c>
      <c r="AE44" s="46">
        <f>AD$44*'Population Treasury'!AW$64*'Statistics NZ'!AW$389/('Population Treasury'!AV$64*'Statistics NZ'!AV$389)</f>
        <v>40098.617239893698</v>
      </c>
      <c r="AF44" s="46">
        <f>AE$44*'Population Treasury'!AX$64*'Statistics NZ'!AX$389/('Population Treasury'!AW$64*'Statistics NZ'!AW$389)</f>
        <v>40270.952163322203</v>
      </c>
      <c r="AG44" s="46">
        <f>AF$44*'Population Treasury'!AY$64*'Statistics NZ'!AY$389/('Population Treasury'!AX$64*'Statistics NZ'!AX$389)</f>
        <v>40991.383334757971</v>
      </c>
      <c r="AH44" s="46">
        <f>AG$44*'Population Treasury'!AZ$64*'Statistics NZ'!AZ$389/('Population Treasury'!AY$64*'Statistics NZ'!AY$389)</f>
        <v>43050.976056141975</v>
      </c>
      <c r="AI44" s="46">
        <f>AH$44*'Population Treasury'!BA$64*'Statistics NZ'!BA$389/('Population Treasury'!AZ$64*'Statistics NZ'!AZ$389)</f>
        <v>44156.95025892515</v>
      </c>
      <c r="AJ44" s="46">
        <f>AI$44*'Population Treasury'!BB$64*'Statistics NZ'!BB$389/('Population Treasury'!BA$64*'Statistics NZ'!BA$389)</f>
        <v>43720.589451520209</v>
      </c>
      <c r="AK44" s="46">
        <f>AJ$44*'Population Treasury'!BC$64*'Statistics NZ'!BC$389/('Population Treasury'!BB$64*'Statistics NZ'!BB$389)</f>
        <v>44745.37822618278</v>
      </c>
      <c r="AL44" s="46">
        <f>AK$44*'Population Treasury'!BD$64*'Statistics NZ'!BD$389/('Population Treasury'!BC$64*'Statistics NZ'!BC$389)</f>
        <v>44877.218623899724</v>
      </c>
      <c r="AM44" s="46">
        <f>AL$44*'Population Treasury'!BE$64*'Statistics NZ'!BE$389/('Population Treasury'!BD$64*'Statistics NZ'!BD$389)</f>
        <v>45069.963409164018</v>
      </c>
      <c r="AN44" s="46">
        <f>AM$44*'Population Treasury'!BF$64*'Statistics NZ'!BF$389/('Population Treasury'!BE$64*'Statistics NZ'!BE$389)</f>
        <v>45171.433848386325</v>
      </c>
      <c r="AO44" s="46">
        <f>AN$44*'Population Treasury'!BG$64*'Statistics NZ'!BG$389/('Population Treasury'!BF$64*'Statistics NZ'!BF$389)</f>
        <v>44501.706578618832</v>
      </c>
      <c r="AP44" s="46">
        <f>AO$44*'Population Treasury'!BH$64*'Statistics NZ'!BH$389/('Population Treasury'!BG$64*'Statistics NZ'!BG$389)</f>
        <v>44684.309782460507</v>
      </c>
      <c r="AQ44" s="46">
        <f>AP$44*'Population Treasury'!BI$64*'Statistics NZ'!BI$389/('Population Treasury'!BH$64*'Statistics NZ'!BH$389)</f>
        <v>44390.094415336971</v>
      </c>
    </row>
    <row r="45" spans="1:43" x14ac:dyDescent="0.25">
      <c r="A45" s="11">
        <v>50</v>
      </c>
      <c r="B45" s="45">
        <f>'Population Treasury'!T$65*'Statistics NZ'!T$390*'Economic Forecasts'!V$8/B$7</f>
        <v>28611.090488749964</v>
      </c>
      <c r="C45" s="45">
        <f>'Population Treasury'!U$65*'Statistics NZ'!U$390*'Economic Forecasts'!W$8/C$7</f>
        <v>27511.168218583825</v>
      </c>
      <c r="D45" s="45">
        <f>'Population Treasury'!V$65*'Statistics NZ'!V$390*'Economic Forecasts'!X$8/D$7</f>
        <v>26706.223757840664</v>
      </c>
      <c r="E45" s="45">
        <f>'Population Treasury'!W$65*'Statistics NZ'!W$390*'Economic Forecasts'!Y$8/E$7</f>
        <v>27295.929161402797</v>
      </c>
      <c r="F45" s="45">
        <f>'Population Treasury'!X$65*'Statistics NZ'!X$390*'Economic Forecasts'!Z$8/F$7</f>
        <v>27502.40687837423</v>
      </c>
      <c r="G45" s="45">
        <f>'Population Treasury'!Y$65*'Statistics NZ'!Y$390*'Economic Forecasts'!AA$8/G$7</f>
        <v>28746.738083284501</v>
      </c>
      <c r="H45" s="46">
        <f>G$45*'Population Treasury'!Z$65*'Statistics NZ'!Z$390/('Population Treasury'!Y$65*'Statistics NZ'!Y$390)</f>
        <v>29447.35849275066</v>
      </c>
      <c r="I45" s="46">
        <f>H$45*'Population Treasury'!AA$65*'Statistics NZ'!AA$390/('Population Treasury'!Z$65*'Statistics NZ'!Z$390)</f>
        <v>30228.644388280896</v>
      </c>
      <c r="J45" s="46">
        <f>I$45*'Population Treasury'!AB$65*'Statistics NZ'!AB$390/('Population Treasury'!AA$65*'Statistics NZ'!AA$390)</f>
        <v>31486.574035597878</v>
      </c>
      <c r="K45" s="46">
        <f>J$45*'Population Treasury'!AC$65*'Statistics NZ'!AC$390/('Population Treasury'!AB$65*'Statistics NZ'!AB$390)</f>
        <v>32571.7352337804</v>
      </c>
      <c r="L45" s="46">
        <f>K$45*'Population Treasury'!AD$65*'Statistics NZ'!AD$390/('Population Treasury'!AC$65*'Statistics NZ'!AC$390)</f>
        <v>33322.015766176708</v>
      </c>
      <c r="M45" s="46">
        <f>L$45*'Population Treasury'!AE$65*'Statistics NZ'!AE$390/('Population Treasury'!AD$65*'Statistics NZ'!AD$390)</f>
        <v>34620.282123689511</v>
      </c>
      <c r="N45" s="46">
        <f>M$45*'Population Treasury'!AF$65*'Statistics NZ'!AF$390/('Population Treasury'!AE$65*'Statistics NZ'!AE$390)</f>
        <v>35309.780865397144</v>
      </c>
      <c r="O45" s="46">
        <f>N$45*'Population Treasury'!AG$65*'Statistics NZ'!AG$390/('Population Treasury'!AF$65*'Statistics NZ'!AF$390)</f>
        <v>36882.05963835596</v>
      </c>
      <c r="P45" s="46">
        <f>O$45*'Population Treasury'!AH$65*'Statistics NZ'!AH$390/('Population Treasury'!AG$65*'Statistics NZ'!AG$390)</f>
        <v>39012.489708415596</v>
      </c>
      <c r="Q45" s="46">
        <f>P$45*'Population Treasury'!AI$65*'Statistics NZ'!AI$390/('Population Treasury'!AH$65*'Statistics NZ'!AH$390)</f>
        <v>39996.298371171746</v>
      </c>
      <c r="R45" s="46">
        <f>Q$45*'Population Treasury'!AJ$65*'Statistics NZ'!AJ$390/('Population Treasury'!AI$65*'Statistics NZ'!AI$390)</f>
        <v>41619.429521337246</v>
      </c>
      <c r="S45" s="46">
        <f>R$45*'Population Treasury'!AK$65*'Statistics NZ'!AK$390/('Population Treasury'!AJ$65*'Statistics NZ'!AJ$390)</f>
        <v>42410.552038499161</v>
      </c>
      <c r="T45" s="46">
        <f>S$45*'Population Treasury'!AL$65*'Statistics NZ'!AL$390/('Population Treasury'!AK$65*'Statistics NZ'!AK$390)</f>
        <v>42115.961556101087</v>
      </c>
      <c r="U45" s="46">
        <f>T$45*'Population Treasury'!AM$65*'Statistics NZ'!AM$390/('Population Treasury'!AL$65*'Statistics NZ'!AL$390)</f>
        <v>41801.200868327047</v>
      </c>
      <c r="V45" s="46">
        <f>U$45*'Population Treasury'!AN$65*'Statistics NZ'!AN$390/('Population Treasury'!AM$65*'Statistics NZ'!AM$390)</f>
        <v>40715.229993657995</v>
      </c>
      <c r="W45" s="46">
        <f>V$45*'Population Treasury'!AO$65*'Statistics NZ'!AO$390/('Population Treasury'!AN$65*'Statistics NZ'!AN$390)</f>
        <v>40522.202214856879</v>
      </c>
      <c r="X45" s="46">
        <f>W$45*'Population Treasury'!AP$65*'Statistics NZ'!AP$390/('Population Treasury'!AO$65*'Statistics NZ'!AO$390)</f>
        <v>39629.119794027843</v>
      </c>
      <c r="Y45" s="46">
        <f>X$45*'Population Treasury'!AQ$65*'Statistics NZ'!AQ$390/('Population Treasury'!AP$65*'Statistics NZ'!AP$390)</f>
        <v>39527.469470262193</v>
      </c>
      <c r="Z45" s="46">
        <f>Y$45*'Population Treasury'!AR$65*'Statistics NZ'!AR$390/('Population Treasury'!AQ$65*'Statistics NZ'!AQ$390)</f>
        <v>39283.791049215892</v>
      </c>
      <c r="AA45" s="46">
        <f>Z$45*'Population Treasury'!AS$65*'Statistics NZ'!AS$390/('Population Treasury'!AR$65*'Statistics NZ'!AR$390)</f>
        <v>38350.129185673126</v>
      </c>
      <c r="AB45" s="46">
        <f>AA$45*'Population Treasury'!AT$65*'Statistics NZ'!AT$390/('Population Treasury'!AS$65*'Statistics NZ'!AS$390)</f>
        <v>39811.091424536178</v>
      </c>
      <c r="AC45" s="46">
        <f>AB$45*'Population Treasury'!AU$65*'Statistics NZ'!AU$390/('Population Treasury'!AT$65*'Statistics NZ'!AT$390)</f>
        <v>39557.270143369897</v>
      </c>
      <c r="AD45" s="46">
        <f>AC$45*'Population Treasury'!AV$65*'Statistics NZ'!AV$390/('Population Treasury'!AU$65*'Statistics NZ'!AU$390)</f>
        <v>38988.967843707753</v>
      </c>
      <c r="AE45" s="46">
        <f>AD$45*'Population Treasury'!AW$65*'Statistics NZ'!AW$390/('Population Treasury'!AV$65*'Statistics NZ'!AV$390)</f>
        <v>39019.262812976602</v>
      </c>
      <c r="AF45" s="46">
        <f>AE$45*'Population Treasury'!AX$65*'Statistics NZ'!AX$390/('Population Treasury'!AW$65*'Statistics NZ'!AW$390)</f>
        <v>39912.126231350441</v>
      </c>
      <c r="AG45" s="46">
        <f>AF$45*'Population Treasury'!AY$65*'Statistics NZ'!AY$390/('Population Treasury'!AX$65*'Statistics NZ'!AX$390)</f>
        <v>40084.516343882664</v>
      </c>
      <c r="AH45" s="46">
        <f>AG$45*'Population Treasury'!AZ$65*'Statistics NZ'!AZ$390/('Population Treasury'!AY$65*'Statistics NZ'!AY$390)</f>
        <v>40804.870440781735</v>
      </c>
      <c r="AI45" s="46">
        <f>AH$45*'Population Treasury'!BA$65*'Statistics NZ'!BA$390/('Population Treasury'!AZ$65*'Statistics NZ'!AZ$390)</f>
        <v>42844.308915220274</v>
      </c>
      <c r="AJ45" s="46">
        <f>AI$45*'Population Treasury'!BB$65*'Statistics NZ'!BB$390/('Population Treasury'!BA$65*'Statistics NZ'!BA$390)</f>
        <v>43950.201039219937</v>
      </c>
      <c r="AK45" s="46">
        <f>AJ$45*'Population Treasury'!BC$65*'Statistics NZ'!BC$390/('Population Treasury'!BB$65*'Statistics NZ'!BB$390)</f>
        <v>43523.989945315065</v>
      </c>
      <c r="AL45" s="46">
        <f>AK$45*'Population Treasury'!BD$65*'Statistics NZ'!BD$390/('Population Treasury'!BC$65*'Statistics NZ'!BC$390)</f>
        <v>44538.615375591842</v>
      </c>
      <c r="AM45" s="46">
        <f>AL$45*'Population Treasury'!BE$65*'Statistics NZ'!BE$390/('Population Treasury'!BD$65*'Statistics NZ'!BD$390)</f>
        <v>44670.507389978018</v>
      </c>
      <c r="AN45" s="46">
        <f>AM$45*'Population Treasury'!BF$65*'Statistics NZ'!BF$390/('Population Treasury'!BE$65*'Statistics NZ'!BE$390)</f>
        <v>44863.24733425663</v>
      </c>
      <c r="AO45" s="46">
        <f>AN$45*'Population Treasury'!BG$65*'Statistics NZ'!BG$390/('Population Treasury'!BF$65*'Statistics NZ'!BF$390)</f>
        <v>44964.715629622253</v>
      </c>
      <c r="AP45" s="46">
        <f>AO$45*'Population Treasury'!BH$65*'Statistics NZ'!BH$390/('Population Treasury'!BG$65*'Statistics NZ'!BG$390)</f>
        <v>44305.143612957072</v>
      </c>
      <c r="AQ45" s="46">
        <f>AP$45*'Population Treasury'!BI$65*'Statistics NZ'!BI$390/('Population Treasury'!BH$65*'Statistics NZ'!BH$390)</f>
        <v>44477.656598837202</v>
      </c>
    </row>
    <row r="46" spans="1:43" x14ac:dyDescent="0.25">
      <c r="A46" s="11">
        <v>51</v>
      </c>
      <c r="B46" s="45">
        <f>'Population Treasury'!T$66*'Statistics NZ'!T$391*'Economic Forecasts'!V$8/B$7</f>
        <v>29140.555501286188</v>
      </c>
      <c r="C46" s="45">
        <f>'Population Treasury'!U$66*'Statistics NZ'!U$391*'Economic Forecasts'!W$8/C$7</f>
        <v>28203.790920170399</v>
      </c>
      <c r="D46" s="45">
        <f>'Population Treasury'!V$66*'Statistics NZ'!V$391*'Economic Forecasts'!X$8/D$7</f>
        <v>27470.55542706095</v>
      </c>
      <c r="E46" s="45">
        <f>'Population Treasury'!W$66*'Statistics NZ'!W$391*'Economic Forecasts'!Y$8/E$7</f>
        <v>26726.898147661475</v>
      </c>
      <c r="F46" s="45">
        <f>'Population Treasury'!X$66*'Statistics NZ'!X$391*'Economic Forecasts'!Z$8/F$7</f>
        <v>27281.833940098837</v>
      </c>
      <c r="G46" s="45">
        <f>'Population Treasury'!Y$66*'Statistics NZ'!Y$391*'Economic Forecasts'!AA$8/G$7</f>
        <v>27449.738589784676</v>
      </c>
      <c r="H46" s="46">
        <f>G$46*'Population Treasury'!Z$66*'Statistics NZ'!Z$391/('Population Treasury'!Y$66*'Statistics NZ'!Y$391)</f>
        <v>28617.052220824524</v>
      </c>
      <c r="I46" s="46">
        <f>H$46*'Population Treasury'!AA$66*'Statistics NZ'!AA$391/('Population Treasury'!Z$66*'Statistics NZ'!Z$391)</f>
        <v>29317.225568888087</v>
      </c>
      <c r="J46" s="46">
        <f>I$46*'Population Treasury'!AB$66*'Statistics NZ'!AB$391/('Population Treasury'!AA$66*'Statistics NZ'!AA$391)</f>
        <v>30088.093672375635</v>
      </c>
      <c r="K46" s="46">
        <f>J$46*'Population Treasury'!AC$66*'Statistics NZ'!AC$391/('Population Treasury'!AB$66*'Statistics NZ'!AB$391)</f>
        <v>31335.631723190261</v>
      </c>
      <c r="L46" s="46">
        <f>K$46*'Population Treasury'!AD$66*'Statistics NZ'!AD$391/('Population Treasury'!AC$66*'Statistics NZ'!AC$391)</f>
        <v>32420.790973463616</v>
      </c>
      <c r="M46" s="46">
        <f>L$46*'Population Treasury'!AE$66*'Statistics NZ'!AE$391/('Population Treasury'!AD$66*'Statistics NZ'!AD$391)</f>
        <v>33150.871098665033</v>
      </c>
      <c r="N46" s="46">
        <f>M$46*'Population Treasury'!AF$66*'Statistics NZ'!AF$391/('Population Treasury'!AE$66*'Statistics NZ'!AE$391)</f>
        <v>34449.195531934114</v>
      </c>
      <c r="O46" s="46">
        <f>N$46*'Population Treasury'!AG$66*'Statistics NZ'!AG$391/('Population Treasury'!AF$66*'Statistics NZ'!AF$391)</f>
        <v>35128.624262462079</v>
      </c>
      <c r="P46" s="46">
        <f>O$46*'Population Treasury'!AH$66*'Statistics NZ'!AH$391/('Population Treasury'!AG$66*'Statistics NZ'!AG$391)</f>
        <v>36690.808348790895</v>
      </c>
      <c r="Q46" s="46">
        <f>P$46*'Population Treasury'!AI$66*'Statistics NZ'!AI$391/('Population Treasury'!AH$66*'Statistics NZ'!AH$391)</f>
        <v>38811.065418565195</v>
      </c>
      <c r="R46" s="46">
        <f>Q$46*'Population Treasury'!AJ$66*'Statistics NZ'!AJ$391/('Population Treasury'!AI$66*'Statistics NZ'!AI$391)</f>
        <v>39784.846009040775</v>
      </c>
      <c r="S46" s="46">
        <f>R$46*'Population Treasury'!AK$66*'Statistics NZ'!AK$391/('Population Treasury'!AJ$66*'Statistics NZ'!AJ$391)</f>
        <v>41397.869443259064</v>
      </c>
      <c r="T46" s="46">
        <f>S$46*'Population Treasury'!AL$66*'Statistics NZ'!AL$391/('Population Treasury'!AK$66*'Statistics NZ'!AK$391)</f>
        <v>42188.987228120226</v>
      </c>
      <c r="U46" s="46">
        <f>T$46*'Population Treasury'!AM$66*'Statistics NZ'!AM$391/('Population Treasury'!AL$66*'Statistics NZ'!AL$391)</f>
        <v>41884.387738399302</v>
      </c>
      <c r="V46" s="46">
        <f>U$46*'Population Treasury'!AN$66*'Statistics NZ'!AN$391/('Population Treasury'!AM$66*'Statistics NZ'!AM$391)</f>
        <v>41579.673641450201</v>
      </c>
      <c r="W46" s="46">
        <f>V$46*'Population Treasury'!AO$66*'Statistics NZ'!AO$391/('Population Treasury'!AN$66*'Statistics NZ'!AN$391)</f>
        <v>40493.797993137334</v>
      </c>
      <c r="X46" s="46">
        <f>W$46*'Population Treasury'!AP$66*'Statistics NZ'!AP$391/('Population Treasury'!AO$66*'Statistics NZ'!AO$391)</f>
        <v>40300.785683856331</v>
      </c>
      <c r="Y46" s="46">
        <f>X$46*'Population Treasury'!AQ$66*'Statistics NZ'!AQ$391/('Population Treasury'!AP$66*'Statistics NZ'!AP$391)</f>
        <v>39407.734885356993</v>
      </c>
      <c r="Z46" s="46">
        <f>Y$46*'Population Treasury'!AR$66*'Statistics NZ'!AR$391/('Population Treasury'!AQ$66*'Statistics NZ'!AQ$391)</f>
        <v>39306.09531010918</v>
      </c>
      <c r="AA46" s="46">
        <f>Z$46*'Population Treasury'!AS$66*'Statistics NZ'!AS$391/('Population Treasury'!AR$66*'Statistics NZ'!AR$391)</f>
        <v>39062.430525482465</v>
      </c>
      <c r="AB46" s="46">
        <f>AA$46*'Population Treasury'!AT$66*'Statistics NZ'!AT$391/('Population Treasury'!AS$66*'Statistics NZ'!AS$391)</f>
        <v>38138.942927649136</v>
      </c>
      <c r="AC46" s="46">
        <f>AB$46*'Population Treasury'!AU$66*'Statistics NZ'!AU$391/('Population Treasury'!AT$66*'Statistics NZ'!AT$391)</f>
        <v>39589.789460895707</v>
      </c>
      <c r="AD46" s="46">
        <f>AC$46*'Population Treasury'!AV$66*'Statistics NZ'!AV$391/('Population Treasury'!AU$66*'Statistics NZ'!AU$391)</f>
        <v>39335.98228409361</v>
      </c>
      <c r="AE46" s="46">
        <f>AD$46*'Population Treasury'!AW$66*'Statistics NZ'!AW$391/('Population Treasury'!AV$66*'Statistics NZ'!AV$391)</f>
        <v>38767.700677805682</v>
      </c>
      <c r="AF46" s="46">
        <f>AE$46*'Population Treasury'!AX$66*'Statistics NZ'!AX$391/('Population Treasury'!AW$66*'Statistics NZ'!AW$391)</f>
        <v>38798.061440911952</v>
      </c>
      <c r="AG46" s="46">
        <f>AF$46*'Population Treasury'!AY$66*'Statistics NZ'!AY$391/('Population Treasury'!AX$66*'Statistics NZ'!AX$391)</f>
        <v>39690.899266823275</v>
      </c>
      <c r="AH46" s="46">
        <f>AG$46*'Population Treasury'!AZ$66*'Statistics NZ'!AZ$391/('Population Treasury'!AY$66*'Statistics NZ'!AY$391)</f>
        <v>39853.206997303438</v>
      </c>
      <c r="AI46" s="46">
        <f>AH$46*'Population Treasury'!BA$66*'Statistics NZ'!BA$391/('Population Treasury'!AZ$66*'Statistics NZ'!AZ$391)</f>
        <v>40573.541431910991</v>
      </c>
      <c r="AJ46" s="46">
        <f>AI$46*'Population Treasury'!BB$66*'Statistics NZ'!BB$391/('Population Treasury'!BA$66*'Statistics NZ'!BA$391)</f>
        <v>42602.8367572801</v>
      </c>
      <c r="AK46" s="46">
        <f>AJ$46*'Population Treasury'!BC$66*'Statistics NZ'!BC$391/('Population Treasury'!BB$66*'Statistics NZ'!BB$391)</f>
        <v>43708.701768732964</v>
      </c>
      <c r="AL46" s="46">
        <f>AK$46*'Population Treasury'!BD$66*'Statistics NZ'!BD$391/('Population Treasury'!BC$66*'Statistics NZ'!BC$391)</f>
        <v>43272.418004184961</v>
      </c>
      <c r="AM46" s="46">
        <f>AL$46*'Population Treasury'!BE$66*'Statistics NZ'!BE$391/('Population Treasury'!BD$66*'Statistics NZ'!BD$391)</f>
        <v>44287.015997643495</v>
      </c>
      <c r="AN46" s="46">
        <f>AM$46*'Population Treasury'!BF$66*'Statistics NZ'!BF$391/('Population Treasury'!BE$66*'Statistics NZ'!BE$391)</f>
        <v>44418.904954093145</v>
      </c>
      <c r="AO46" s="46">
        <f>AN$46*'Population Treasury'!BG$66*'Statistics NZ'!BG$391/('Population Treasury'!BF$66*'Statistics NZ'!BF$391)</f>
        <v>44611.641591198066</v>
      </c>
      <c r="AP46" s="46">
        <f>AO$46*'Population Treasury'!BH$66*'Statistics NZ'!BH$391/('Population Treasury'!BG$66*'Statistics NZ'!BG$391)</f>
        <v>44713.159573811696</v>
      </c>
      <c r="AQ46" s="46">
        <f>AP$46*'Population Treasury'!BI$66*'Statistics NZ'!BI$391/('Population Treasury'!BH$66*'Statistics NZ'!BH$391)</f>
        <v>44053.608591629891</v>
      </c>
    </row>
    <row r="47" spans="1:43" x14ac:dyDescent="0.25">
      <c r="A47" s="11">
        <v>52</v>
      </c>
      <c r="B47" s="45">
        <f>'Population Treasury'!T$67*'Statistics NZ'!T$392*'Economic Forecasts'!V$8/B$7</f>
        <v>29600.091172544042</v>
      </c>
      <c r="C47" s="45">
        <f>'Population Treasury'!U$67*'Statistics NZ'!U$392*'Economic Forecasts'!W$8/C$7</f>
        <v>28678.721248877511</v>
      </c>
      <c r="D47" s="45">
        <f>'Population Treasury'!V$67*'Statistics NZ'!V$392*'Economic Forecasts'!X$8/D$7</f>
        <v>28115.761319435929</v>
      </c>
      <c r="E47" s="45">
        <f>'Population Treasury'!W$67*'Statistics NZ'!W$392*'Economic Forecasts'!Y$8/E$7</f>
        <v>27455.617411904146</v>
      </c>
      <c r="F47" s="45">
        <f>'Population Treasury'!X$67*'Statistics NZ'!X$392*'Economic Forecasts'!Z$8/F$7</f>
        <v>26680.288814064566</v>
      </c>
      <c r="G47" s="45">
        <f>'Population Treasury'!Y$67*'Statistics NZ'!Y$392*'Economic Forecasts'!AA$8/G$7</f>
        <v>27198.373143526595</v>
      </c>
      <c r="H47" s="46">
        <f>G$47*'Population Treasury'!Z$67*'Statistics NZ'!Z$392/('Population Treasury'!Y$67*'Statistics NZ'!Y$392)</f>
        <v>27280.10951572741</v>
      </c>
      <c r="I47" s="46">
        <f>H$47*'Population Treasury'!AA$67*'Statistics NZ'!AA$392/('Population Treasury'!Z$67*'Statistics NZ'!Z$392)</f>
        <v>28446.932249141333</v>
      </c>
      <c r="J47" s="46">
        <f>I$47*'Population Treasury'!AB$67*'Statistics NZ'!AB$392/('Population Treasury'!AA$67*'Statistics NZ'!AA$392)</f>
        <v>29136.660134327998</v>
      </c>
      <c r="K47" s="46">
        <f>J$47*'Population Treasury'!AC$67*'Statistics NZ'!AC$392/('Population Treasury'!AB$67*'Statistics NZ'!AB$392)</f>
        <v>29897.122917733377</v>
      </c>
      <c r="L47" s="46">
        <f>K$47*'Population Treasury'!AD$67*'Statistics NZ'!AD$392/('Population Treasury'!AC$67*'Statistics NZ'!AC$392)</f>
        <v>31144.62388580068</v>
      </c>
      <c r="M47" s="46">
        <f>L$47*'Population Treasury'!AE$67*'Statistics NZ'!AE$392/('Population Treasury'!AD$67*'Statistics NZ'!AD$392)</f>
        <v>32219.685095884466</v>
      </c>
      <c r="N47" s="46">
        <f>M$47*'Population Treasury'!AF$67*'Statistics NZ'!AF$392/('Population Treasury'!AE$67*'Statistics NZ'!AE$392)</f>
        <v>32949.813339232802</v>
      </c>
      <c r="O47" s="46">
        <f>N$47*'Population Treasury'!AG$67*'Statistics NZ'!AG$392/('Population Treasury'!AF$67*'Statistics NZ'!AF$392)</f>
        <v>34237.962366290274</v>
      </c>
      <c r="P47" s="46">
        <f>O$47*'Population Treasury'!AH$67*'Statistics NZ'!AH$392/('Population Treasury'!AG$67*'Statistics NZ'!AG$392)</f>
        <v>34917.437864121166</v>
      </c>
      <c r="Q47" s="46">
        <f>P$47*'Population Treasury'!AI$67*'Statistics NZ'!AI$392/('Population Treasury'!AH$67*'Statistics NZ'!AH$392)</f>
        <v>36459.362682585786</v>
      </c>
      <c r="R47" s="46">
        <f>Q$47*'Population Treasury'!AJ$67*'Statistics NZ'!AJ$392/('Population Treasury'!AI$67*'Statistics NZ'!AI$392)</f>
        <v>38569.481202190298</v>
      </c>
      <c r="S47" s="46">
        <f>R$47*'Population Treasury'!AK$67*'Statistics NZ'!AK$392/('Population Treasury'!AJ$67*'Statistics NZ'!AJ$392)</f>
        <v>39533.154100134838</v>
      </c>
      <c r="T47" s="46">
        <f>S$47*'Population Treasury'!AL$67*'Statistics NZ'!AL$392/('Population Treasury'!AK$67*'Statistics NZ'!AK$392)</f>
        <v>41136.049994954119</v>
      </c>
      <c r="U47" s="46">
        <f>T$47*'Population Treasury'!AM$67*'Statistics NZ'!AM$392/('Population Treasury'!AL$67*'Statistics NZ'!AL$392)</f>
        <v>41917.062080294643</v>
      </c>
      <c r="V47" s="46">
        <f>U$47*'Population Treasury'!AN$67*'Statistics NZ'!AN$392/('Population Treasury'!AM$67*'Statistics NZ'!AM$392)</f>
        <v>41622.557984618688</v>
      </c>
      <c r="W47" s="46">
        <f>V$47*'Population Treasury'!AO$67*'Statistics NZ'!AO$392/('Population Treasury'!AN$67*'Statistics NZ'!AN$392)</f>
        <v>41307.824627406117</v>
      </c>
      <c r="X47" s="46">
        <f>W$47*'Population Treasury'!AP$67*'Statistics NZ'!AP$392/('Population Treasury'!AO$67*'Statistics NZ'!AO$392)</f>
        <v>40232.067556432441</v>
      </c>
      <c r="Y47" s="46">
        <f>X$47*'Population Treasury'!AQ$67*'Statistics NZ'!AQ$392/('Population Treasury'!AP$67*'Statistics NZ'!AP$392)</f>
        <v>40039.119940624179</v>
      </c>
      <c r="Z47" s="46">
        <f>Y$47*'Population Treasury'!AR$67*'Statistics NZ'!AR$392/('Population Treasury'!AQ$67*'Statistics NZ'!AQ$392)</f>
        <v>39156.122564526384</v>
      </c>
      <c r="AA47" s="46">
        <f>Z$47*'Population Treasury'!AS$67*'Statistics NZ'!AS$392/('Population Treasury'!AR$67*'Statistics NZ'!AR$392)</f>
        <v>39054.546085271388</v>
      </c>
      <c r="AB47" s="46">
        <f>AA$47*'Population Treasury'!AT$67*'Statistics NZ'!AT$392/('Population Treasury'!AS$67*'Statistics NZ'!AS$392)</f>
        <v>38810.890254513215</v>
      </c>
      <c r="AC47" s="46">
        <f>AB$47*'Population Treasury'!AU$67*'Statistics NZ'!AU$392/('Population Treasury'!AT$67*'Statistics NZ'!AT$392)</f>
        <v>37887.434724898834</v>
      </c>
      <c r="AD47" s="46">
        <f>AC$47*'Population Treasury'!AV$67*'Statistics NZ'!AV$392/('Population Treasury'!AU$67*'Statistics NZ'!AU$392)</f>
        <v>39328.152359650354</v>
      </c>
      <c r="AE47" s="46">
        <f>AD$47*'Population Treasury'!AW$67*'Statistics NZ'!AW$392/('Population Treasury'!AV$67*'Statistics NZ'!AV$392)</f>
        <v>39074.413798653099</v>
      </c>
      <c r="AF47" s="46">
        <f>AE$47*'Population Treasury'!AX$67*'Statistics NZ'!AX$392/('Population Treasury'!AW$67*'Statistics NZ'!AW$392)</f>
        <v>38516.233382981307</v>
      </c>
      <c r="AG47" s="46">
        <f>AF$47*'Population Treasury'!AY$67*'Statistics NZ'!AY$392/('Population Treasury'!AX$67*'Statistics NZ'!AX$392)</f>
        <v>38546.593670144066</v>
      </c>
      <c r="AH47" s="46">
        <f>AG$47*'Population Treasury'!AZ$67*'Statistics NZ'!AZ$392/('Population Treasury'!AY$67*'Statistics NZ'!AY$392)</f>
        <v>39429.319889184961</v>
      </c>
      <c r="AI47" s="46">
        <f>AH$47*'Population Treasury'!BA$67*'Statistics NZ'!BA$392/('Population Treasury'!AZ$67*'Statistics NZ'!AZ$392)</f>
        <v>39591.622255982387</v>
      </c>
      <c r="AJ47" s="46">
        <f>AI$47*'Population Treasury'!BB$67*'Statistics NZ'!BB$392/('Population Treasury'!BA$67*'Statistics NZ'!BA$392)</f>
        <v>40311.932714694791</v>
      </c>
      <c r="AK47" s="46">
        <f>AJ$47*'Population Treasury'!BC$67*'Statistics NZ'!BC$392/('Population Treasury'!BB$67*'Statistics NZ'!BB$392)</f>
        <v>42331.077512247575</v>
      </c>
      <c r="AL47" s="46">
        <f>AK$47*'Population Treasury'!BD$67*'Statistics NZ'!BD$392/('Population Treasury'!BC$67*'Statistics NZ'!BC$392)</f>
        <v>43426.8215805371</v>
      </c>
      <c r="AM47" s="46">
        <f>AL$47*'Population Treasury'!BE$67*'Statistics NZ'!BE$392/('Population Treasury'!BD$67*'Statistics NZ'!BD$392)</f>
        <v>43000.638509489472</v>
      </c>
      <c r="AN47" s="46">
        <f>AM$47*'Population Treasury'!BF$67*'Statistics NZ'!BF$392/('Population Treasury'!BE$67*'Statistics NZ'!BE$392)</f>
        <v>44005.170764214185</v>
      </c>
      <c r="AO47" s="46">
        <f>AN$47*'Population Treasury'!BG$67*'Statistics NZ'!BG$392/('Population Treasury'!BF$67*'Statistics NZ'!BF$392)</f>
        <v>44137.003157608342</v>
      </c>
      <c r="AP47" s="46">
        <f>AO$47*'Population Treasury'!BH$67*'Statistics NZ'!BH$392/('Population Treasury'!BG$67*'Statistics NZ'!BG$392)</f>
        <v>44319.697882782362</v>
      </c>
      <c r="AQ47" s="46">
        <f>AP$47*'Population Treasury'!BI$67*'Statistics NZ'!BI$392/('Population Treasury'!BH$67*'Statistics NZ'!BH$392)</f>
        <v>44431.248819470675</v>
      </c>
    </row>
    <row r="48" spans="1:43" x14ac:dyDescent="0.25">
      <c r="A48" s="11">
        <v>53</v>
      </c>
      <c r="B48" s="45">
        <f>'Population Treasury'!T$68*'Statistics NZ'!T$393*'Economic Forecasts'!V$8/B$7</f>
        <v>29680.010419719321</v>
      </c>
      <c r="C48" s="45">
        <f>'Population Treasury'!U$68*'Statistics NZ'!U$393*'Economic Forecasts'!W$8/C$7</f>
        <v>29143.756567829911</v>
      </c>
      <c r="D48" s="45">
        <f>'Population Treasury'!V$68*'Statistics NZ'!V$393*'Economic Forecasts'!X$8/D$7</f>
        <v>28602.142168535705</v>
      </c>
      <c r="E48" s="45">
        <f>'Population Treasury'!W$68*'Statistics NZ'!W$393*'Economic Forecasts'!Y$8/E$7</f>
        <v>28104.474897891359</v>
      </c>
      <c r="F48" s="45">
        <f>'Population Treasury'!X$68*'Statistics NZ'!X$393*'Economic Forecasts'!Z$8/F$7</f>
        <v>27402.109048222082</v>
      </c>
      <c r="G48" s="45">
        <f>'Population Treasury'!Y$68*'Statistics NZ'!Y$393*'Economic Forecasts'!AA$8/G$7</f>
        <v>26595.110317361628</v>
      </c>
      <c r="H48" s="46">
        <f>G$48*'Population Treasury'!Z$68*'Statistics NZ'!Z$393/('Population Treasury'!Y$68*'Statistics NZ'!Y$393)</f>
        <v>27031.950560902093</v>
      </c>
      <c r="I48" s="46">
        <f>H$48*'Population Treasury'!AA$68*'Statistics NZ'!AA$393/('Population Treasury'!Z$68*'Statistics NZ'!Z$393)</f>
        <v>27123.29611117714</v>
      </c>
      <c r="J48" s="46">
        <f>I$48*'Population Treasury'!AB$68*'Statistics NZ'!AB$393/('Population Treasury'!AA$68*'Statistics NZ'!AA$393)</f>
        <v>28279.670865668955</v>
      </c>
      <c r="K48" s="46">
        <f>J$48*'Population Treasury'!AC$68*'Statistics NZ'!AC$393/('Population Treasury'!AB$68*'Statistics NZ'!AB$393)</f>
        <v>28959.005175495331</v>
      </c>
      <c r="L48" s="46">
        <f>K$48*'Population Treasury'!AD$68*'Statistics NZ'!AD$393/('Population Treasury'!AC$68*'Statistics NZ'!AC$393)</f>
        <v>29719.452256243007</v>
      </c>
      <c r="M48" s="46">
        <f>L$48*'Population Treasury'!AE$68*'Statistics NZ'!AE$393/('Population Treasury'!AD$68*'Statistics NZ'!AD$393)</f>
        <v>30956.856633667649</v>
      </c>
      <c r="N48" s="46">
        <f>M$48*'Population Treasury'!AF$68*'Statistics NZ'!AF$393/('Population Treasury'!AE$68*'Statistics NZ'!AE$393)</f>
        <v>32021.82304531593</v>
      </c>
      <c r="O48" s="46">
        <f>N$48*'Population Treasury'!AG$68*'Statistics NZ'!AG$393/('Population Treasury'!AF$68*'Statistics NZ'!AF$393)</f>
        <v>32741.864445737257</v>
      </c>
      <c r="P48" s="46">
        <f>O$48*'Population Treasury'!AH$68*'Statistics NZ'!AH$393/('Population Treasury'!AG$68*'Statistics NZ'!AG$393)</f>
        <v>34029.980536946161</v>
      </c>
      <c r="Q48" s="46">
        <f>P$48*'Population Treasury'!AI$68*'Statistics NZ'!AI$393/('Population Treasury'!AH$68*'Statistics NZ'!AH$393)</f>
        <v>34699.36638249833</v>
      </c>
      <c r="R48" s="46">
        <f>Q$48*'Population Treasury'!AJ$68*'Statistics NZ'!AJ$393/('Population Treasury'!AI$68*'Statistics NZ'!AI$393)</f>
        <v>36231.172407358739</v>
      </c>
      <c r="S48" s="46">
        <f>R$48*'Population Treasury'!AK$68*'Statistics NZ'!AK$393/('Population Treasury'!AJ$68*'Statistics NZ'!AJ$393)</f>
        <v>38321.071916848967</v>
      </c>
      <c r="T48" s="46">
        <f>S$48*'Population Treasury'!AL$68*'Statistics NZ'!AL$393/('Population Treasury'!AK$68*'Statistics NZ'!AK$393)</f>
        <v>39284.663997965661</v>
      </c>
      <c r="U48" s="46">
        <f>T$48*'Population Treasury'!AM$68*'Statistics NZ'!AM$393/('Population Treasury'!AL$68*'Statistics NZ'!AL$393)</f>
        <v>40877.435367413316</v>
      </c>
      <c r="V48" s="46">
        <f>U$48*'Population Treasury'!AN$68*'Statistics NZ'!AN$393/('Population Treasury'!AM$68*'Statistics NZ'!AM$393)</f>
        <v>41648.397890503053</v>
      </c>
      <c r="W48" s="46">
        <f>V$48*'Population Treasury'!AO$68*'Statistics NZ'!AO$393/('Population Treasury'!AN$68*'Statistics NZ'!AN$393)</f>
        <v>41353.907446779362</v>
      </c>
      <c r="X48" s="46">
        <f>W$48*'Population Treasury'!AP$68*'Statistics NZ'!AP$393/('Population Treasury'!AO$68*'Statistics NZ'!AO$393)</f>
        <v>41049.273058407271</v>
      </c>
      <c r="Y48" s="46">
        <f>X$48*'Population Treasury'!AQ$68*'Statistics NZ'!AQ$393/('Population Treasury'!AP$68*'Statistics NZ'!AP$393)</f>
        <v>39973.607850264947</v>
      </c>
      <c r="Z48" s="46">
        <f>Y$48*'Population Treasury'!AR$68*'Statistics NZ'!AR$393/('Population Treasury'!AQ$68*'Statistics NZ'!AQ$393)</f>
        <v>39780.613500313004</v>
      </c>
      <c r="AA48" s="46">
        <f>Z$48*'Population Treasury'!AS$68*'Statistics NZ'!AS$393/('Population Treasury'!AR$68*'Statistics NZ'!AR$393)</f>
        <v>38907.845903103764</v>
      </c>
      <c r="AB48" s="46">
        <f>AA$48*'Population Treasury'!AT$68*'Statistics NZ'!AT$393/('Population Treasury'!AS$68*'Statistics NZ'!AS$393)</f>
        <v>38806.275050376506</v>
      </c>
      <c r="AC48" s="46">
        <f>AB$48*'Population Treasury'!AU$68*'Statistics NZ'!AU$393/('Population Treasury'!AT$68*'Statistics NZ'!AT$393)</f>
        <v>38562.63022862764</v>
      </c>
      <c r="AD48" s="46">
        <f>AC$48*'Population Treasury'!AV$68*'Statistics NZ'!AV$393/('Population Treasury'!AU$68*'Statistics NZ'!AU$393)</f>
        <v>37649.289362610092</v>
      </c>
      <c r="AE48" s="46">
        <f>AD$48*'Population Treasury'!AW$68*'Statistics NZ'!AW$393/('Population Treasury'!AV$68*'Statistics NZ'!AV$393)</f>
        <v>39079.879258862631</v>
      </c>
      <c r="AF48" s="46">
        <f>AE$48*'Population Treasury'!AX$68*'Statistics NZ'!AX$393/('Population Treasury'!AW$68*'Statistics NZ'!AW$393)</f>
        <v>38826.150651967975</v>
      </c>
      <c r="AG48" s="46">
        <f>AF$48*'Population Treasury'!AY$68*'Statistics NZ'!AY$393/('Population Treasury'!AX$68*'Statistics NZ'!AX$393)</f>
        <v>38267.991642969253</v>
      </c>
      <c r="AH48" s="46">
        <f>AG$48*'Population Treasury'!AZ$68*'Statistics NZ'!AZ$393/('Population Treasury'!AY$68*'Statistics NZ'!AY$393)</f>
        <v>38298.352482990929</v>
      </c>
      <c r="AI48" s="46">
        <f>AH$48*'Population Treasury'!BA$68*'Statistics NZ'!BA$393/('Population Treasury'!AZ$68*'Statistics NZ'!AZ$393)</f>
        <v>39181.049429778555</v>
      </c>
      <c r="AJ48" s="46">
        <f>AI$48*'Population Treasury'!BB$68*'Statistics NZ'!BB$393/('Population Treasury'!BA$68*'Statistics NZ'!BA$393)</f>
        <v>39343.347321816203</v>
      </c>
      <c r="AK48" s="46">
        <f>AJ$48*'Population Treasury'!BC$68*'Statistics NZ'!BC$393/('Population Treasury'!BB$68*'Statistics NZ'!BB$393)</f>
        <v>40053.608767061705</v>
      </c>
      <c r="AL48" s="46">
        <f>AK$48*'Population Treasury'!BD$68*'Statistics NZ'!BD$393/('Population Treasury'!BC$68*'Statistics NZ'!BC$393)</f>
        <v>42062.547188735545</v>
      </c>
      <c r="AM48" s="46">
        <f>AL$48*'Population Treasury'!BE$68*'Statistics NZ'!BE$393/('Population Treasury'!BD$68*'Statistics NZ'!BD$393)</f>
        <v>43148.223200480221</v>
      </c>
      <c r="AN48" s="46">
        <f>AM$48*'Population Treasury'!BF$68*'Statistics NZ'!BF$393/('Population Treasury'!BE$68*'Statistics NZ'!BE$393)</f>
        <v>42722.054645016862</v>
      </c>
      <c r="AO48" s="46">
        <f>AN$48*'Population Treasury'!BG$68*'Statistics NZ'!BG$393/('Population Treasury'!BF$68*'Statistics NZ'!BF$393)</f>
        <v>43726.553994315946</v>
      </c>
      <c r="AP48" s="46">
        <f>AO$48*'Population Treasury'!BH$68*'Statistics NZ'!BH$393/('Population Treasury'!BG$68*'Statistics NZ'!BG$393)</f>
        <v>43858.383751218287</v>
      </c>
      <c r="AQ48" s="46">
        <f>AP$48*'Population Treasury'!BI$68*'Statistics NZ'!BI$393/('Population Treasury'!BH$68*'Statistics NZ'!BH$393)</f>
        <v>44051.161189236562</v>
      </c>
    </row>
    <row r="49" spans="1:43" x14ac:dyDescent="0.25">
      <c r="A49" s="11">
        <v>54</v>
      </c>
      <c r="B49" s="45">
        <f>'Population Treasury'!T$69*'Statistics NZ'!T$394*'Economic Forecasts'!V$8/B$7</f>
        <v>28141.564911595196</v>
      </c>
      <c r="C49" s="45">
        <f>'Population Treasury'!U$69*'Statistics NZ'!U$394*'Economic Forecasts'!W$8/C$7</f>
        <v>29222.891013917346</v>
      </c>
      <c r="D49" s="45">
        <f>'Population Treasury'!V$69*'Statistics NZ'!V$394*'Economic Forecasts'!X$8/D$7</f>
        <v>29058.740590590325</v>
      </c>
      <c r="E49" s="45">
        <f>'Population Treasury'!W$69*'Statistics NZ'!W$394*'Economic Forecasts'!Y$8/E$7</f>
        <v>28593.608291499193</v>
      </c>
      <c r="F49" s="45">
        <f>'Population Treasury'!X$69*'Statistics NZ'!X$394*'Economic Forecasts'!Z$8/F$7</f>
        <v>28063.776558896698</v>
      </c>
      <c r="G49" s="45">
        <f>'Population Treasury'!Y$69*'Statistics NZ'!Y$394*'Economic Forecasts'!AA$8/G$7</f>
        <v>27329.054128375235</v>
      </c>
      <c r="H49" s="46">
        <f>G$49*'Population Treasury'!Z$69*'Statistics NZ'!Z$394/('Population Treasury'!Y$69*'Statistics NZ'!Y$394)</f>
        <v>26436.545930258188</v>
      </c>
      <c r="I49" s="46">
        <f>H$49*'Population Treasury'!AA$69*'Statistics NZ'!AA$394/('Population Treasury'!Z$69*'Statistics NZ'!Z$394)</f>
        <v>26882.95359389863</v>
      </c>
      <c r="J49" s="46">
        <f>I$49*'Population Treasury'!AB$69*'Statistics NZ'!AB$394/('Population Treasury'!AA$69*'Statistics NZ'!AA$394)</f>
        <v>26973.912823983606</v>
      </c>
      <c r="K49" s="46">
        <f>J$49*'Population Treasury'!AC$69*'Statistics NZ'!AC$394/('Population Treasury'!AB$69*'Statistics NZ'!AB$394)</f>
        <v>28119.93586523944</v>
      </c>
      <c r="L49" s="46">
        <f>K$49*'Population Treasury'!AD$69*'Statistics NZ'!AD$394/('Population Treasury'!AC$69*'Statistics NZ'!AC$394)</f>
        <v>28799.231995099835</v>
      </c>
      <c r="M49" s="46">
        <f>L$49*'Population Treasury'!AE$69*'Statistics NZ'!AE$394/('Population Treasury'!AD$69*'Statistics NZ'!AD$394)</f>
        <v>29549.57626741927</v>
      </c>
      <c r="N49" s="46">
        <f>M$49*'Population Treasury'!AF$69*'Statistics NZ'!AF$394/('Population Treasury'!AE$69*'Statistics NZ'!AE$394)</f>
        <v>30776.789012513636</v>
      </c>
      <c r="O49" s="46">
        <f>N$49*'Population Treasury'!AG$69*'Statistics NZ'!AG$394/('Population Treasury'!AF$69*'Statistics NZ'!AF$394)</f>
        <v>31841.709424969591</v>
      </c>
      <c r="P49" s="46">
        <f>O$49*'Population Treasury'!AH$69*'Statistics NZ'!AH$394/('Population Treasury'!AG$69*'Statistics NZ'!AG$394)</f>
        <v>32561.718261580747</v>
      </c>
      <c r="Q49" s="46">
        <f>P$49*'Population Treasury'!AI$69*'Statistics NZ'!AI$394/('Population Treasury'!AH$69*'Statistics NZ'!AH$394)</f>
        <v>33829.706887685206</v>
      </c>
      <c r="R49" s="46">
        <f>Q$49*'Population Treasury'!AJ$69*'Statistics NZ'!AJ$394/('Population Treasury'!AI$69*'Statistics NZ'!AI$394)</f>
        <v>34498.997196528238</v>
      </c>
      <c r="S49" s="46">
        <f>R$49*'Population Treasury'!AK$69*'Statistics NZ'!AK$394/('Population Treasury'!AJ$69*'Statistics NZ'!AJ$394)</f>
        <v>36030.81241162213</v>
      </c>
      <c r="T49" s="46">
        <f>S$49*'Population Treasury'!AL$69*'Statistics NZ'!AL$394/('Population Treasury'!AK$69*'Statistics NZ'!AK$394)</f>
        <v>38110.507211217657</v>
      </c>
      <c r="U49" s="46">
        <f>T$49*'Population Treasury'!AM$69*'Statistics NZ'!AM$394/('Population Treasury'!AL$69*'Statistics NZ'!AL$394)</f>
        <v>39064.041325488928</v>
      </c>
      <c r="V49" s="46">
        <f>U$49*'Population Treasury'!AN$69*'Statistics NZ'!AN$394/('Population Treasury'!AM$69*'Statistics NZ'!AM$394)</f>
        <v>40646.623228224948</v>
      </c>
      <c r="W49" s="46">
        <f>V$49*'Population Treasury'!AO$69*'Statistics NZ'!AO$394/('Population Treasury'!AN$69*'Statistics NZ'!AN$394)</f>
        <v>41417.560562016006</v>
      </c>
      <c r="X49" s="46">
        <f>W$49*'Population Treasury'!AP$69*'Statistics NZ'!AP$394/('Population Treasury'!AO$69*'Statistics NZ'!AO$394)</f>
        <v>41123.0697706438</v>
      </c>
      <c r="Y49" s="46">
        <f>X$49*'Population Treasury'!AQ$69*'Statistics NZ'!AQ$394/('Population Treasury'!AP$69*'Statistics NZ'!AP$394)</f>
        <v>40818.491481782017</v>
      </c>
      <c r="Z49" s="46">
        <f>Y$49*'Population Treasury'!AR$69*'Statistics NZ'!AR$394/('Population Treasury'!AQ$69*'Statistics NZ'!AQ$394)</f>
        <v>39752.933861251695</v>
      </c>
      <c r="AA49" s="46">
        <f>Z$49*'Population Treasury'!AS$69*'Statistics NZ'!AS$394/('Population Treasury'!AR$69*'Statistics NZ'!AR$394)</f>
        <v>39559.995937503445</v>
      </c>
      <c r="AB49" s="46">
        <f>AA$49*'Population Treasury'!AT$69*'Statistics NZ'!AT$394/('Population Treasury'!AS$69*'Statistics NZ'!AS$394)</f>
        <v>38687.189425507037</v>
      </c>
      <c r="AC49" s="46">
        <f>AB$49*'Population Treasury'!AU$69*'Statistics NZ'!AU$394/('Population Treasury'!AT$69*'Statistics NZ'!AT$394)</f>
        <v>38585.677581024698</v>
      </c>
      <c r="AD49" s="46">
        <f>AC$49*'Population Treasury'!AV$69*'Statistics NZ'!AV$394/('Population Treasury'!AU$69*'Statistics NZ'!AU$394)</f>
        <v>38342.036131362402</v>
      </c>
      <c r="AE49" s="46">
        <f>AD$49*'Population Treasury'!AW$69*'Statistics NZ'!AW$394/('Population Treasury'!AV$69*'Statistics NZ'!AV$394)</f>
        <v>37438.858130327295</v>
      </c>
      <c r="AF49" s="46">
        <f>AE$49*'Population Treasury'!AX$69*'Statistics NZ'!AX$394/('Population Treasury'!AW$69*'Statistics NZ'!AW$394)</f>
        <v>38859.262582977462</v>
      </c>
      <c r="AG49" s="46">
        <f>AF$49*'Population Treasury'!AY$69*'Statistics NZ'!AY$394/('Population Treasury'!AX$69*'Statistics NZ'!AX$394)</f>
        <v>38615.619293763855</v>
      </c>
      <c r="AH49" s="46">
        <f>AG$49*'Population Treasury'!AZ$69*'Statistics NZ'!AZ$394/('Population Treasury'!AY$69*'Statistics NZ'!AY$394)</f>
        <v>38057.533745150256</v>
      </c>
      <c r="AI49" s="46">
        <f>AH$49*'Population Treasury'!BA$69*'Statistics NZ'!BA$394/('Population Treasury'!AZ$69*'Statistics NZ'!AZ$394)</f>
        <v>38087.891206995497</v>
      </c>
      <c r="AJ49" s="46">
        <f>AI$49*'Population Treasury'!BB$69*'Statistics NZ'!BB$394/('Population Treasury'!BA$69*'Statistics NZ'!BA$394)</f>
        <v>38960.47969264428</v>
      </c>
      <c r="AK49" s="46">
        <f>AJ$49*'Population Treasury'!BC$69*'Statistics NZ'!BC$394/('Population Treasury'!BB$69*'Statistics NZ'!BB$394)</f>
        <v>39122.771121944163</v>
      </c>
      <c r="AL49" s="46">
        <f>AK$49*'Population Treasury'!BD$69*'Statistics NZ'!BD$394/('Population Treasury'!BC$69*'Statistics NZ'!BC$394)</f>
        <v>39833.011182593538</v>
      </c>
      <c r="AM49" s="46">
        <f>AL$49*'Population Treasury'!BE$69*'Statistics NZ'!BE$394/('Population Treasury'!BD$69*'Statistics NZ'!BD$394)</f>
        <v>41831.805478843009</v>
      </c>
      <c r="AN49" s="46">
        <f>AM$49*'Population Treasury'!BF$69*'Statistics NZ'!BF$394/('Population Treasury'!BE$69*'Statistics NZ'!BE$394)</f>
        <v>42907.364871089441</v>
      </c>
      <c r="AO49" s="46">
        <f>AN$49*'Population Treasury'!BG$69*'Statistics NZ'!BG$394/('Population Treasury'!BF$69*'Statistics NZ'!BF$394)</f>
        <v>42491.29389696358</v>
      </c>
      <c r="AP49" s="46">
        <f>AO$49*'Population Treasury'!BH$69*'Statistics NZ'!BH$394/('Population Treasury'!BG$69*'Statistics NZ'!BG$394)</f>
        <v>43485.678739108043</v>
      </c>
      <c r="AQ49" s="46">
        <f>AP$49*'Population Treasury'!BI$69*'Statistics NZ'!BI$394/('Population Treasury'!BH$69*'Statistics NZ'!BH$394)</f>
        <v>43617.555524785828</v>
      </c>
    </row>
    <row r="50" spans="1:43" x14ac:dyDescent="0.25">
      <c r="A50" s="11">
        <v>55</v>
      </c>
      <c r="B50" s="45">
        <f>'Population Treasury'!T$70*'Statistics NZ'!T$395*'Economic Forecasts'!V$8/B$7</f>
        <v>27781.928299306441</v>
      </c>
      <c r="C50" s="45">
        <f>'Population Treasury'!U$70*'Statistics NZ'!U$395*'Economic Forecasts'!W$8/C$7</f>
        <v>27660.046777291253</v>
      </c>
      <c r="D50" s="45">
        <f>'Population Treasury'!V$70*'Statistics NZ'!V$395*'Economic Forecasts'!X$8/D$7</f>
        <v>29089.504114157615</v>
      </c>
      <c r="E50" s="45">
        <f>'Population Treasury'!W$70*'Statistics NZ'!W$395*'Economic Forecasts'!Y$8/E$7</f>
        <v>29002.317854755438</v>
      </c>
      <c r="F50" s="45">
        <f>'Population Treasury'!X$70*'Statistics NZ'!X$395*'Economic Forecasts'!Z$8/F$7</f>
        <v>28502.183219523144</v>
      </c>
      <c r="G50" s="45">
        <f>'Population Treasury'!Y$70*'Statistics NZ'!Y$395*'Economic Forecasts'!AA$8/G$7</f>
        <v>27937.751825253323</v>
      </c>
      <c r="H50" s="46">
        <f>G$50*'Population Treasury'!Z$70*'Statistics NZ'!Z$395/('Population Treasury'!Y$70*'Statistics NZ'!Y$395)</f>
        <v>27129.773941317682</v>
      </c>
      <c r="I50" s="46">
        <f>H$50*'Population Treasury'!AA$70*'Statistics NZ'!AA$395/('Population Treasury'!Z$70*'Statistics NZ'!Z$395)</f>
        <v>26249.08332286388</v>
      </c>
      <c r="J50" s="46">
        <f>I$50*'Population Treasury'!AB$70*'Statistics NZ'!AB$395/('Population Treasury'!AA$70*'Statistics NZ'!AA$395)</f>
        <v>26686.037767619437</v>
      </c>
      <c r="K50" s="46">
        <f>J$50*'Population Treasury'!AC$70*'Statistics NZ'!AC$395/('Population Treasury'!AB$70*'Statistics NZ'!AB$395)</f>
        <v>26776.770274248895</v>
      </c>
      <c r="L50" s="46">
        <f>K$50*'Population Treasury'!AD$70*'Statistics NZ'!AD$395/('Population Treasury'!AC$70*'Statistics NZ'!AC$395)</f>
        <v>27912.606156029102</v>
      </c>
      <c r="M50" s="46">
        <f>L$50*'Population Treasury'!AE$70*'Statistics NZ'!AE$395/('Population Treasury'!AD$70*'Statistics NZ'!AD$395)</f>
        <v>28591.87758504814</v>
      </c>
      <c r="N50" s="46">
        <f>M$50*'Population Treasury'!AF$70*'Statistics NZ'!AF$395/('Population Treasury'!AE$70*'Statistics NZ'!AE$395)</f>
        <v>29332.132218518469</v>
      </c>
      <c r="O50" s="46">
        <f>N$50*'Population Treasury'!AG$70*'Statistics NZ'!AG$395/('Population Treasury'!AF$70*'Statistics NZ'!AF$395)</f>
        <v>30549.299601565355</v>
      </c>
      <c r="P50" s="46">
        <f>O$50*'Population Treasury'!AH$70*'Statistics NZ'!AH$395/('Population Treasury'!AG$70*'Statistics NZ'!AG$395)</f>
        <v>31604.107629813228</v>
      </c>
      <c r="Q50" s="46">
        <f>P$50*'Population Treasury'!AI$70*'Statistics NZ'!AI$395/('Population Treasury'!AH$70*'Statistics NZ'!AH$395)</f>
        <v>32324.021568232816</v>
      </c>
      <c r="R50" s="46">
        <f>Q$50*'Population Treasury'!AJ$70*'Statistics NZ'!AJ$395/('Population Treasury'!AI$70*'Statistics NZ'!AI$395)</f>
        <v>33581.886412652129</v>
      </c>
      <c r="S50" s="46">
        <f>R$50*'Population Treasury'!AK$70*'Statistics NZ'!AK$395/('Population Treasury'!AJ$70*'Statistics NZ'!AJ$395)</f>
        <v>34241.080670851072</v>
      </c>
      <c r="T50" s="46">
        <f>S$50*'Population Treasury'!AL$70*'Statistics NZ'!AL$395/('Population Treasury'!AK$70*'Statistics NZ'!AK$395)</f>
        <v>35762.757086413847</v>
      </c>
      <c r="U50" s="46">
        <f>T$50*'Population Treasury'!AM$70*'Statistics NZ'!AM$395/('Population Treasury'!AL$70*'Statistics NZ'!AL$395)</f>
        <v>37822.209927583055</v>
      </c>
      <c r="V50" s="46">
        <f>U$50*'Population Treasury'!AN$70*'Statistics NZ'!AN$395/('Population Treasury'!AM$70*'Statistics NZ'!AM$395)</f>
        <v>38765.626667511999</v>
      </c>
      <c r="W50" s="46">
        <f>V$50*'Population Treasury'!AO$70*'Statistics NZ'!AO$395/('Population Treasury'!AN$70*'Statistics NZ'!AN$395)</f>
        <v>40338.064444312047</v>
      </c>
      <c r="X50" s="46">
        <f>W$50*'Population Treasury'!AP$70*'Statistics NZ'!AP$395/('Population Treasury'!AO$70*'Statistics NZ'!AO$395)</f>
        <v>41098.889227106542</v>
      </c>
      <c r="Y50" s="46">
        <f>X$50*'Population Treasury'!AQ$70*'Statistics NZ'!AQ$395/('Population Treasury'!AP$70*'Statistics NZ'!AP$395)</f>
        <v>40814.501368823774</v>
      </c>
      <c r="Z50" s="46">
        <f>Y$50*'Population Treasury'!AR$70*'Statistics NZ'!AR$395/('Population Treasury'!AQ$70*'Statistics NZ'!AQ$395)</f>
        <v>40509.939668333631</v>
      </c>
      <c r="AA50" s="46">
        <f>Z$50*'Population Treasury'!AS$70*'Statistics NZ'!AS$395/('Population Treasury'!AR$70*'Statistics NZ'!AR$395)</f>
        <v>39454.570264610265</v>
      </c>
      <c r="AB50" s="46">
        <f>AA$50*'Population Treasury'!AT$70*'Statistics NZ'!AT$395/('Population Treasury'!AS$70*'Statistics NZ'!AS$395)</f>
        <v>39261.644274894432</v>
      </c>
      <c r="AC50" s="46">
        <f>AB$50*'Population Treasury'!AU$70*'Statistics NZ'!AU$395/('Population Treasury'!AT$70*'Statistics NZ'!AT$395)</f>
        <v>38399.020581720353</v>
      </c>
      <c r="AD50" s="46">
        <f>AC$50*'Population Treasury'!AV$70*'Statistics NZ'!AV$395/('Population Treasury'!AU$70*'Statistics NZ'!AU$395)</f>
        <v>38297.456384993966</v>
      </c>
      <c r="AE50" s="46">
        <f>AD$50*'Population Treasury'!AW$70*'Statistics NZ'!AW$395/('Population Treasury'!AV$70*'Statistics NZ'!AV$395)</f>
        <v>38063.967664909032</v>
      </c>
      <c r="AF50" s="46">
        <f>AE$50*'Population Treasury'!AX$70*'Statistics NZ'!AX$395/('Population Treasury'!AW$70*'Statistics NZ'!AW$395)</f>
        <v>37160.834213793569</v>
      </c>
      <c r="AG50" s="46">
        <f>AF$50*'Population Treasury'!AY$70*'Statistics NZ'!AY$395/('Population Treasury'!AX$70*'Statistics NZ'!AX$395)</f>
        <v>38571.095655802113</v>
      </c>
      <c r="AH50" s="46">
        <f>AG$50*'Population Treasury'!AZ$70*'Statistics NZ'!AZ$395/('Population Treasury'!AY$70*'Statistics NZ'!AY$395)</f>
        <v>38327.524644766025</v>
      </c>
      <c r="AI50" s="46">
        <f>AH$50*'Population Treasury'!BA$70*'Statistics NZ'!BA$395/('Population Treasury'!AZ$70*'Statistics NZ'!AZ$395)</f>
        <v>37779.546448221816</v>
      </c>
      <c r="AJ50" s="46">
        <f>AI$50*'Population Treasury'!BB$70*'Statistics NZ'!BB$395/('Population Treasury'!BA$70*'Statistics NZ'!BA$395)</f>
        <v>37809.904423394561</v>
      </c>
      <c r="AK50" s="46">
        <f>AJ$50*'Population Treasury'!BC$70*'Statistics NZ'!BC$395/('Population Treasury'!BB$70*'Statistics NZ'!BB$395)</f>
        <v>38682.453180530203</v>
      </c>
      <c r="AL50" s="46">
        <f>AK$50*'Population Treasury'!BD$70*'Statistics NZ'!BD$395/('Population Treasury'!BC$70*'Statistics NZ'!BC$395)</f>
        <v>38844.738602575802</v>
      </c>
      <c r="AM50" s="46">
        <f>AL$50*'Population Treasury'!BE$70*'Statistics NZ'!BE$395/('Population Treasury'!BD$70*'Statistics NZ'!BD$395)</f>
        <v>39544.865186866904</v>
      </c>
      <c r="AN50" s="46">
        <f>AM$50*'Population Treasury'!BF$70*'Statistics NZ'!BF$395/('Population Treasury'!BE$70*'Statistics NZ'!BE$395)</f>
        <v>41523.40473103668</v>
      </c>
      <c r="AO50" s="46">
        <f>AN$50*'Population Treasury'!BG$70*'Statistics NZ'!BG$395/('Population Treasury'!BF$70*'Statistics NZ'!BF$395)</f>
        <v>42598.918103428179</v>
      </c>
      <c r="AP50" s="46">
        <f>AO$50*'Population Treasury'!BH$70*'Statistics NZ'!BH$395/('Population Treasury'!BG$70*'Statistics NZ'!BG$395)</f>
        <v>42182.918979174407</v>
      </c>
      <c r="AQ50" s="46">
        <f>AP$50*'Population Treasury'!BI$70*'Statistics NZ'!BI$395/('Population Treasury'!BH$70*'Statistics NZ'!BH$395)</f>
        <v>43167.121266363472</v>
      </c>
    </row>
    <row r="51" spans="1:43" x14ac:dyDescent="0.25">
      <c r="A51" s="11">
        <v>56</v>
      </c>
      <c r="B51" s="45">
        <f>'Population Treasury'!T$71*'Statistics NZ'!T$396*'Economic Forecasts'!V$8/B$7</f>
        <v>26792.927615512359</v>
      </c>
      <c r="C51" s="45">
        <f>'Population Treasury'!U$71*'Statistics NZ'!U$396*'Economic Forecasts'!W$8/C$7</f>
        <v>27293.787111982063</v>
      </c>
      <c r="D51" s="45">
        <f>'Population Treasury'!V$71*'Statistics NZ'!V$396*'Economic Forecasts'!X$8/D$7</f>
        <v>27520.951819906273</v>
      </c>
      <c r="E51" s="45">
        <f>'Population Treasury'!W$71*'Statistics NZ'!W$396*'Economic Forecasts'!Y$8/E$7</f>
        <v>29012.175099209435</v>
      </c>
      <c r="F51" s="45">
        <f>'Population Treasury'!X$71*'Statistics NZ'!X$396*'Economic Forecasts'!Z$8/F$7</f>
        <v>28893.081042729347</v>
      </c>
      <c r="G51" s="45">
        <f>'Population Treasury'!Y$71*'Statistics NZ'!Y$396*'Economic Forecasts'!AA$8/G$7</f>
        <v>28359.958743974948</v>
      </c>
      <c r="H51" s="46">
        <f>G$51*'Population Treasury'!Z$71*'Statistics NZ'!Z$396/('Population Treasury'!Y$71*'Statistics NZ'!Y$396)</f>
        <v>27714.370956537819</v>
      </c>
      <c r="I51" s="46">
        <f>H$51*'Population Treasury'!AA$71*'Statistics NZ'!AA$396/('Population Treasury'!Z$71*'Statistics NZ'!Z$396)</f>
        <v>26914.727674202357</v>
      </c>
      <c r="J51" s="46">
        <f>I$51*'Population Treasury'!AB$71*'Statistics NZ'!AB$396/('Population Treasury'!AA$71*'Statistics NZ'!AA$396)</f>
        <v>26042.663682709317</v>
      </c>
      <c r="K51" s="46">
        <f>J$51*'Population Treasury'!AC$71*'Statistics NZ'!AC$396/('Population Treasury'!AB$71*'Statistics NZ'!AB$396)</f>
        <v>26478.375410994329</v>
      </c>
      <c r="L51" s="46">
        <f>K$51*'Population Treasury'!AD$71*'Statistics NZ'!AD$396/('Population Treasury'!AC$71*'Statistics NZ'!AC$396)</f>
        <v>26569.009643425499</v>
      </c>
      <c r="M51" s="46">
        <f>L$51*'Population Treasury'!AE$71*'Statistics NZ'!AE$396/('Population Treasury'!AD$71*'Statistics NZ'!AD$396)</f>
        <v>27694.7108943655</v>
      </c>
      <c r="N51" s="46">
        <f>M$51*'Population Treasury'!AF$71*'Statistics NZ'!AF$396/('Population Treasury'!AE$71*'Statistics NZ'!AE$396)</f>
        <v>28374.007818199043</v>
      </c>
      <c r="O51" s="46">
        <f>N$51*'Population Treasury'!AG$71*'Statistics NZ'!AG$396/('Population Treasury'!AF$71*'Statistics NZ'!AF$396)</f>
        <v>29114.210604808646</v>
      </c>
      <c r="P51" s="46">
        <f>O$51*'Population Treasury'!AH$71*'Statistics NZ'!AH$396/('Population Treasury'!AG$71*'Statistics NZ'!AG$396)</f>
        <v>30321.167929303305</v>
      </c>
      <c r="Q51" s="46">
        <f>P$51*'Population Treasury'!AI$71*'Statistics NZ'!AI$396/('Population Treasury'!AH$71*'Statistics NZ'!AH$396)</f>
        <v>31365.847154935891</v>
      </c>
      <c r="R51" s="46">
        <f>Q$51*'Population Treasury'!AJ$71*'Statistics NZ'!AJ$396/('Population Treasury'!AI$71*'Statistics NZ'!AI$396)</f>
        <v>32075.715223362662</v>
      </c>
      <c r="S51" s="46">
        <f>R$51*'Population Treasury'!AK$71*'Statistics NZ'!AK$396/('Population Treasury'!AJ$71*'Statistics NZ'!AJ$396)</f>
        <v>33323.371660930796</v>
      </c>
      <c r="T51" s="46">
        <f>S$51*'Population Treasury'!AL$71*'Statistics NZ'!AL$396/('Population Treasury'!AK$71*'Statistics NZ'!AK$396)</f>
        <v>33982.591467735729</v>
      </c>
      <c r="U51" s="46">
        <f>T$51*'Population Treasury'!AM$71*'Statistics NZ'!AM$396/('Population Treasury'!AL$71*'Statistics NZ'!AL$396)</f>
        <v>35483.975622291931</v>
      </c>
      <c r="V51" s="46">
        <f>U$51*'Population Treasury'!AN$71*'Statistics NZ'!AN$396/('Population Treasury'!AM$71*'Statistics NZ'!AM$396)</f>
        <v>37523.170007127839</v>
      </c>
      <c r="W51" s="46">
        <f>V$51*'Population Treasury'!AO$71*'Statistics NZ'!AO$396/('Population Treasury'!AN$71*'Statistics NZ'!AN$396)</f>
        <v>38466.53901117335</v>
      </c>
      <c r="X51" s="46">
        <f>W$51*'Population Treasury'!AP$71*'Statistics NZ'!AP$396/('Population Treasury'!AO$71*'Statistics NZ'!AO$396)</f>
        <v>40018.737474122609</v>
      </c>
      <c r="Y51" s="46">
        <f>X$51*'Population Treasury'!AQ$71*'Statistics NZ'!AQ$396/('Population Treasury'!AP$71*'Statistics NZ'!AP$396)</f>
        <v>40779.525493027184</v>
      </c>
      <c r="Z51" s="46">
        <f>Y$51*'Population Treasury'!AR$71*'Statistics NZ'!AR$396/('Population Treasury'!AQ$71*'Statistics NZ'!AQ$396)</f>
        <v>40495.199594070597</v>
      </c>
      <c r="AA51" s="46">
        <f>Z$51*'Population Treasury'!AS$71*'Statistics NZ'!AS$396/('Population Treasury'!AR$71*'Statistics NZ'!AR$396)</f>
        <v>40190.648509091152</v>
      </c>
      <c r="AB51" s="46">
        <f>AA$51*'Population Treasury'!AT$71*'Statistics NZ'!AT$396/('Population Treasury'!AS$71*'Statistics NZ'!AS$396)</f>
        <v>39145.407494610459</v>
      </c>
      <c r="AC51" s="46">
        <f>AB$51*'Population Treasury'!AU$71*'Statistics NZ'!AU$396/('Population Treasury'!AT$71*'Statistics NZ'!AT$396)</f>
        <v>38962.568649368797</v>
      </c>
      <c r="AD51" s="46">
        <f>AC$51*'Population Treasury'!AV$71*'Statistics NZ'!AV$396/('Population Treasury'!AU$71*'Statistics NZ'!AU$396)</f>
        <v>38100.04078787133</v>
      </c>
      <c r="AE51" s="46">
        <f>AD$51*'Population Treasury'!AW$71*'Statistics NZ'!AW$396/('Population Treasury'!AV$71*'Statistics NZ'!AV$396)</f>
        <v>38008.558863243314</v>
      </c>
      <c r="AF51" s="46">
        <f>AE$51*'Population Treasury'!AX$71*'Statistics NZ'!AX$396/('Population Treasury'!AW$71*'Statistics NZ'!AW$396)</f>
        <v>37775.07902784102</v>
      </c>
      <c r="AG51" s="46">
        <f>AF$51*'Population Treasury'!AY$71*'Statistics NZ'!AY$396/('Population Treasury'!AX$71*'Statistics NZ'!AX$396)</f>
        <v>36882.065474763396</v>
      </c>
      <c r="AH51" s="46">
        <f>AG$51*'Population Treasury'!AZ$71*'Statistics NZ'!AZ$396/('Population Treasury'!AY$71*'Statistics NZ'!AY$396)</f>
        <v>38282.237939390892</v>
      </c>
      <c r="AI51" s="46">
        <f>AH$51*'Population Treasury'!BA$71*'Statistics NZ'!BA$396/('Population Treasury'!AZ$71*'Statistics NZ'!AZ$396)</f>
        <v>38038.677790025744</v>
      </c>
      <c r="AJ51" s="46">
        <f>AI$51*'Population Treasury'!BB$71*'Statistics NZ'!BB$396/('Population Treasury'!BA$71*'Statistics NZ'!BA$396)</f>
        <v>37500.803824799004</v>
      </c>
      <c r="AK51" s="46">
        <f>AJ$51*'Population Treasury'!BC$71*'Statistics NZ'!BC$396/('Population Treasury'!BB$71*'Statistics NZ'!BB$396)</f>
        <v>37531.158753893265</v>
      </c>
      <c r="AL51" s="46">
        <f>AK$51*'Population Treasury'!BD$71*'Statistics NZ'!BD$396/('Population Treasury'!BC$71*'Statistics NZ'!BC$396)</f>
        <v>38393.585221294154</v>
      </c>
      <c r="AM51" s="46">
        <f>AL$51*'Population Treasury'!BE$71*'Statistics NZ'!BE$396/('Population Treasury'!BD$71*'Statistics NZ'!BD$396)</f>
        <v>38555.920361500845</v>
      </c>
      <c r="AN51" s="46">
        <f>AM$51*'Population Treasury'!BF$71*'Statistics NZ'!BF$396/('Population Treasury'!BE$71*'Statistics NZ'!BE$396)</f>
        <v>39245.874503286199</v>
      </c>
      <c r="AO51" s="46">
        <f>AN$51*'Population Treasury'!BG$71*'Statistics NZ'!BG$396/('Population Treasury'!BF$71*'Statistics NZ'!BF$396)</f>
        <v>41214.293787435003</v>
      </c>
      <c r="AP51" s="46">
        <f>AO$51*'Population Treasury'!BH$71*'Statistics NZ'!BH$396/('Population Treasury'!BG$71*'Statistics NZ'!BG$396)</f>
        <v>42269.533142845416</v>
      </c>
      <c r="AQ51" s="46">
        <f>AP$51*'Population Treasury'!BI$71*'Statistics NZ'!BI$396/('Population Treasury'!BH$71*'Statistics NZ'!BH$396)</f>
        <v>41863.638528507108</v>
      </c>
    </row>
    <row r="52" spans="1:43" x14ac:dyDescent="0.25">
      <c r="A52" s="11">
        <v>57</v>
      </c>
      <c r="B52" s="45">
        <f>'Population Treasury'!T$72*'Statistics NZ'!T$397*'Economic Forecasts'!V$8/B$7</f>
        <v>26103.62410862558</v>
      </c>
      <c r="C52" s="45">
        <f>'Population Treasury'!U$72*'Statistics NZ'!U$397*'Economic Forecasts'!W$8/C$7</f>
        <v>26333.840692160444</v>
      </c>
      <c r="D52" s="45">
        <f>'Population Treasury'!V$72*'Statistics NZ'!V$397*'Economic Forecasts'!X$8/D$7</f>
        <v>27173.369599019501</v>
      </c>
      <c r="E52" s="45">
        <f>'Population Treasury'!W$72*'Statistics NZ'!W$397*'Economic Forecasts'!Y$8/E$7</f>
        <v>27464.72651824557</v>
      </c>
      <c r="F52" s="45">
        <f>'Population Treasury'!X$72*'Statistics NZ'!X$397*'Economic Forecasts'!Z$8/F$7</f>
        <v>28923.064695849083</v>
      </c>
      <c r="G52" s="45">
        <f>'Population Treasury'!Y$72*'Statistics NZ'!Y$397*'Economic Forecasts'!AA$8/G$7</f>
        <v>28772.112269254252</v>
      </c>
      <c r="H52" s="46">
        <f>G$52*'Population Treasury'!Z$72*'Statistics NZ'!Z$397/('Population Treasury'!Y$72*'Statistics NZ'!Y$397)</f>
        <v>28156.787346345376</v>
      </c>
      <c r="I52" s="46">
        <f>H$52*'Population Treasury'!AA$72*'Statistics NZ'!AA$397/('Population Treasury'!Z$72*'Statistics NZ'!Z$397)</f>
        <v>27529.517345037482</v>
      </c>
      <c r="J52" s="46">
        <f>I$52*'Population Treasury'!AB$72*'Statistics NZ'!AB$397/('Population Treasury'!AA$72*'Statistics NZ'!AA$397)</f>
        <v>26738.580884464558</v>
      </c>
      <c r="K52" s="46">
        <f>J$52*'Population Treasury'!AC$72*'Statistics NZ'!AC$397/('Population Treasury'!AB$72*'Statistics NZ'!AB$397)</f>
        <v>25875.411059896403</v>
      </c>
      <c r="L52" s="46">
        <f>K$52*'Population Treasury'!AD$72*'Statistics NZ'!AD$397/('Population Treasury'!AC$72*'Statistics NZ'!AC$397)</f>
        <v>26311.004396840643</v>
      </c>
      <c r="M52" s="46">
        <f>L$52*'Population Treasury'!AE$72*'Statistics NZ'!AE$397/('Population Treasury'!AD$72*'Statistics NZ'!AD$397)</f>
        <v>26401.701886022463</v>
      </c>
      <c r="N52" s="46">
        <f>M$52*'Population Treasury'!AF$72*'Statistics NZ'!AF$397/('Population Treasury'!AE$72*'Statistics NZ'!AE$397)</f>
        <v>27517.278646906321</v>
      </c>
      <c r="O52" s="46">
        <f>N$52*'Population Treasury'!AG$72*'Statistics NZ'!AG$397/('Population Treasury'!AF$72*'Statistics NZ'!AF$397)</f>
        <v>28186.473473183494</v>
      </c>
      <c r="P52" s="46">
        <f>O$52*'Population Treasury'!AH$72*'Statistics NZ'!AH$397/('Population Treasury'!AG$72*'Statistics NZ'!AG$397)</f>
        <v>28926.626946990807</v>
      </c>
      <c r="Q52" s="46">
        <f>P$52*'Population Treasury'!AI$72*'Statistics NZ'!AI$397/('Population Treasury'!AH$72*'Statistics NZ'!AH$397)</f>
        <v>30123.452995866359</v>
      </c>
      <c r="R52" s="46">
        <f>Q$52*'Population Treasury'!AJ$72*'Statistics NZ'!AJ$397/('Population Treasury'!AI$72*'Statistics NZ'!AI$397)</f>
        <v>31158.008566211785</v>
      </c>
      <c r="S52" s="46">
        <f>R$52*'Population Treasury'!AK$72*'Statistics NZ'!AK$397/('Population Treasury'!AJ$72*'Statistics NZ'!AJ$397)</f>
        <v>31867.833980478481</v>
      </c>
      <c r="T52" s="46">
        <f>S$52*'Population Treasury'!AL$72*'Statistics NZ'!AL$397/('Population Treasury'!AK$72*'Statistics NZ'!AK$397)</f>
        <v>33105.356647507804</v>
      </c>
      <c r="U52" s="46">
        <f>T$52*'Population Treasury'!AM$72*'Statistics NZ'!AM$397/('Population Treasury'!AL$72*'Statistics NZ'!AL$397)</f>
        <v>33764.539956821725</v>
      </c>
      <c r="V52" s="46">
        <f>U$52*'Population Treasury'!AN$72*'Statistics NZ'!AN$397/('Population Treasury'!AM$72*'Statistics NZ'!AM$397)</f>
        <v>35255.779768756249</v>
      </c>
      <c r="W52" s="46">
        <f>V$52*'Population Treasury'!AO$72*'Statistics NZ'!AO$397/('Population Treasury'!AN$72*'Statistics NZ'!AN$397)</f>
        <v>37284.807665457636</v>
      </c>
      <c r="X52" s="46">
        <f>W$52*'Population Treasury'!AP$72*'Statistics NZ'!AP$397/('Population Treasury'!AO$72*'Statistics NZ'!AO$397)</f>
        <v>38217.996079605538</v>
      </c>
      <c r="Y52" s="46">
        <f>X$52*'Population Treasury'!AQ$72*'Statistics NZ'!AQ$397/('Population Treasury'!AP$72*'Statistics NZ'!AP$397)</f>
        <v>39760.10706157449</v>
      </c>
      <c r="Z52" s="46">
        <f>Y$52*'Population Treasury'!AR$72*'Statistics NZ'!AR$397/('Population Treasury'!AQ$72*'Statistics NZ'!AQ$397)</f>
        <v>40510.779300381939</v>
      </c>
      <c r="AA52" s="46">
        <f>Z$52*'Population Treasury'!AS$72*'Statistics NZ'!AS$397/('Population Treasury'!AR$72*'Statistics NZ'!AR$397)</f>
        <v>40226.460334973337</v>
      </c>
      <c r="AB52" s="46">
        <f>AA$52*'Population Treasury'!AT$72*'Statistics NZ'!AT$397/('Population Treasury'!AS$72*'Statistics NZ'!AS$397)</f>
        <v>39931.999811026712</v>
      </c>
      <c r="AC52" s="46">
        <f>AB$52*'Population Treasury'!AU$72*'Statistics NZ'!AU$397/('Population Treasury'!AT$72*'Statistics NZ'!AT$397)</f>
        <v>38896.877395208605</v>
      </c>
      <c r="AD52" s="46">
        <f>AC$52*'Population Treasury'!AV$72*'Statistics NZ'!AV$397/('Population Treasury'!AU$72*'Statistics NZ'!AU$397)</f>
        <v>38714.100610290327</v>
      </c>
      <c r="AE52" s="46">
        <f>AD$52*'Population Treasury'!AW$72*'Statistics NZ'!AW$397/('Population Treasury'!AV$72*'Statistics NZ'!AV$397)</f>
        <v>37861.685531048759</v>
      </c>
      <c r="AF52" s="46">
        <f>AE$52*'Population Treasury'!AX$72*'Statistics NZ'!AX$397/('Population Treasury'!AW$72*'Statistics NZ'!AW$397)</f>
        <v>37770.264579704395</v>
      </c>
      <c r="AG52" s="46">
        <f>AF$52*'Population Treasury'!AY$72*'Statistics NZ'!AY$397/('Population Treasury'!AX$72*'Statistics NZ'!AX$397)</f>
        <v>37536.792827369391</v>
      </c>
      <c r="AH52" s="46">
        <f>AG$52*'Population Treasury'!AZ$72*'Statistics NZ'!AZ$397/('Population Treasury'!AY$72*'Statistics NZ'!AY$397)</f>
        <v>36653.954710900049</v>
      </c>
      <c r="AI52" s="46">
        <f>AH$52*'Population Treasury'!BA$72*'Statistics NZ'!BA$397/('Population Treasury'!AZ$72*'Statistics NZ'!AZ$397)</f>
        <v>38043.926556309671</v>
      </c>
      <c r="AJ52" s="46">
        <f>AI$52*'Population Treasury'!BB$72*'Statistics NZ'!BB$397/('Population Treasury'!BA$72*'Statistics NZ'!BA$397)</f>
        <v>37800.376057777808</v>
      </c>
      <c r="AK52" s="46">
        <f>AJ$52*'Population Treasury'!BC$72*'Statistics NZ'!BC$397/('Population Treasury'!BB$72*'Statistics NZ'!BB$397)</f>
        <v>37262.523666740723</v>
      </c>
      <c r="AL52" s="46">
        <f>AK$52*'Population Treasury'!BD$72*'Statistics NZ'!BD$397/('Population Treasury'!BC$72*'Statistics NZ'!BC$397)</f>
        <v>37292.936968260372</v>
      </c>
      <c r="AM52" s="46">
        <f>AL$52*'Population Treasury'!BE$72*'Statistics NZ'!BE$397/('Population Treasury'!BD$72*'Statistics NZ'!BD$397)</f>
        <v>38155.324000869055</v>
      </c>
      <c r="AN52" s="46">
        <f>AM$52*'Population Treasury'!BF$72*'Statistics NZ'!BF$397/('Population Treasury'!BE$72*'Statistics NZ'!BE$397)</f>
        <v>38317.651835104327</v>
      </c>
      <c r="AO52" s="46">
        <f>AN$52*'Population Treasury'!BG$72*'Statistics NZ'!BG$397/('Population Treasury'!BF$72*'Statistics NZ'!BF$397)</f>
        <v>39007.576132635826</v>
      </c>
      <c r="AP52" s="46">
        <f>AO$52*'Population Treasury'!BH$72*'Statistics NZ'!BH$397/('Population Treasury'!BG$72*'Statistics NZ'!BG$397)</f>
        <v>40955.694800061145</v>
      </c>
      <c r="AQ52" s="46">
        <f>AP$52*'Population Treasury'!BI$72*'Statistics NZ'!BI$397/('Population Treasury'!BH$72*'Statistics NZ'!BH$397)</f>
        <v>42010.947458259237</v>
      </c>
    </row>
    <row r="53" spans="1:43" x14ac:dyDescent="0.25">
      <c r="A53" s="11">
        <v>58</v>
      </c>
      <c r="B53" s="45">
        <f>'Population Treasury'!T$73*'Statistics NZ'!T$398*'Economic Forecasts'!V$8/B$7</f>
        <v>25034.704177656218</v>
      </c>
      <c r="C53" s="45">
        <f>'Population Treasury'!U$73*'Statistics NZ'!U$398*'Economic Forecasts'!W$8/C$7</f>
        <v>25571.739628903935</v>
      </c>
      <c r="D53" s="45">
        <f>'Population Treasury'!V$73*'Statistics NZ'!V$398*'Economic Forecasts'!X$8/D$7</f>
        <v>26120.942344549723</v>
      </c>
      <c r="E53" s="45">
        <f>'Population Treasury'!W$73*'Statistics NZ'!W$398*'Economic Forecasts'!Y$8/E$7</f>
        <v>27025.316381619461</v>
      </c>
      <c r="F53" s="45">
        <f>'Population Treasury'!X$73*'Statistics NZ'!X$398*'Economic Forecasts'!Z$8/F$7</f>
        <v>27288.776866990254</v>
      </c>
      <c r="G53" s="45">
        <f>'Population Treasury'!Y$73*'Statistics NZ'!Y$398*'Economic Forecasts'!AA$8/G$7</f>
        <v>28691.583245785965</v>
      </c>
      <c r="H53" s="46">
        <f>G$53*'Population Treasury'!Z$73*'Statistics NZ'!Z$398/('Population Treasury'!Y$73*'Statistics NZ'!Y$398)</f>
        <v>28471.776221987686</v>
      </c>
      <c r="I53" s="46">
        <f>H$53*'Population Treasury'!AA$73*'Statistics NZ'!AA$398/('Population Treasury'!Z$73*'Statistics NZ'!Z$398)</f>
        <v>27874.885462879982</v>
      </c>
      <c r="J53" s="46">
        <f>I$53*'Population Treasury'!AB$73*'Statistics NZ'!AB$398/('Population Treasury'!AA$73*'Statistics NZ'!AA$398)</f>
        <v>27256.356444173623</v>
      </c>
      <c r="K53" s="46">
        <f>J$53*'Population Treasury'!AC$73*'Statistics NZ'!AC$398/('Population Treasury'!AB$73*'Statistics NZ'!AB$398)</f>
        <v>26474.28089580758</v>
      </c>
      <c r="L53" s="46">
        <f>K$53*'Population Treasury'!AD$73*'Statistics NZ'!AD$398/('Population Treasury'!AC$73*'Statistics NZ'!AC$398)</f>
        <v>25631.367494661459</v>
      </c>
      <c r="M53" s="46">
        <f>L$53*'Population Treasury'!AE$73*'Statistics NZ'!AE$398/('Population Treasury'!AD$73*'Statistics NZ'!AD$398)</f>
        <v>26056.953569575471</v>
      </c>
      <c r="N53" s="46">
        <f>M$53*'Population Treasury'!AF$73*'Statistics NZ'!AF$398/('Population Treasury'!AE$73*'Statistics NZ'!AE$398)</f>
        <v>26157.690700486084</v>
      </c>
      <c r="O53" s="46">
        <f>N$53*'Population Treasury'!AG$73*'Statistics NZ'!AG$398/('Population Treasury'!AF$73*'Statistics NZ'!AF$398)</f>
        <v>27263.116156409204</v>
      </c>
      <c r="P53" s="46">
        <f>O$53*'Population Treasury'!AH$73*'Statistics NZ'!AH$398/('Population Treasury'!AG$73*'Statistics NZ'!AG$398)</f>
        <v>27922.120253847523</v>
      </c>
      <c r="Q53" s="46">
        <f>P$53*'Population Treasury'!AI$73*'Statistics NZ'!AI$398/('Population Treasury'!AH$73*'Statistics NZ'!AH$398)</f>
        <v>28662.211816329585</v>
      </c>
      <c r="R53" s="46">
        <f>Q$53*'Population Treasury'!AJ$73*'Statistics NZ'!AJ$398/('Population Treasury'!AI$73*'Statistics NZ'!AI$398)</f>
        <v>29848.884356491515</v>
      </c>
      <c r="S53" s="46">
        <f>R$53*'Population Treasury'!AK$73*'Statistics NZ'!AK$398/('Population Treasury'!AJ$73*'Statistics NZ'!AJ$398)</f>
        <v>30873.299053627492</v>
      </c>
      <c r="T53" s="46">
        <f>S$53*'Population Treasury'!AL$73*'Statistics NZ'!AL$398/('Population Treasury'!AK$73*'Statistics NZ'!AK$398)</f>
        <v>31573.006866191368</v>
      </c>
      <c r="U53" s="46">
        <f>T$53*'Population Treasury'!AM$73*'Statistics NZ'!AM$398/('Population Treasury'!AL$73*'Statistics NZ'!AL$398)</f>
        <v>32800.372812199392</v>
      </c>
      <c r="V53" s="46">
        <f>U$53*'Population Treasury'!AN$73*'Statistics NZ'!AN$398/('Population Treasury'!AM$73*'Statistics NZ'!AM$398)</f>
        <v>33449.44026836579</v>
      </c>
      <c r="W53" s="46">
        <f>V$53*'Population Treasury'!AO$73*'Statistics NZ'!AO$398/('Population Treasury'!AN$73*'Statistics NZ'!AN$398)</f>
        <v>34930.506070968513</v>
      </c>
      <c r="X53" s="46">
        <f>W$53*'Population Treasury'!AP$73*'Statistics NZ'!AP$398/('Population Treasury'!AO$73*'Statistics NZ'!AO$398)</f>
        <v>36929.175957529224</v>
      </c>
      <c r="Y53" s="46">
        <f>X$53*'Population Treasury'!AQ$73*'Statistics NZ'!AQ$398/('Population Treasury'!AP$73*'Statistics NZ'!AP$398)</f>
        <v>37852.226094336402</v>
      </c>
      <c r="Z53" s="46">
        <f>Y$53*'Population Treasury'!AR$73*'Statistics NZ'!AR$398/('Population Treasury'!AQ$73*'Statistics NZ'!AQ$398)</f>
        <v>39384.160785750537</v>
      </c>
      <c r="AA53" s="46">
        <f>Z$53*'Population Treasury'!AS$73*'Statistics NZ'!AS$398/('Population Treasury'!AR$73*'Statistics NZ'!AR$398)</f>
        <v>40134.731485756391</v>
      </c>
      <c r="AB53" s="46">
        <f>AA$53*'Population Treasury'!AT$73*'Statistics NZ'!AT$398/('Population Treasury'!AS$73*'Statistics NZ'!AS$398)</f>
        <v>39850.484982405091</v>
      </c>
      <c r="AC53" s="46">
        <f>AB$53*'Population Treasury'!AU$73*'Statistics NZ'!AU$398/('Population Treasury'!AT$73*'Statistics NZ'!AT$398)</f>
        <v>39566.179329958439</v>
      </c>
      <c r="AD53" s="46">
        <f>AC$53*'Population Treasury'!AV$73*'Statistics NZ'!AV$398/('Population Treasury'!AU$73*'Statistics NZ'!AU$398)</f>
        <v>38541.199780225194</v>
      </c>
      <c r="AE53" s="46">
        <f>AD$53*'Population Treasury'!AW$73*'Statistics NZ'!AW$398/('Population Treasury'!AV$73*'Statistics NZ'!AV$398)</f>
        <v>38358.434146811305</v>
      </c>
      <c r="AF53" s="46">
        <f>AE$53*'Population Treasury'!AX$73*'Statistics NZ'!AX$398/('Population Treasury'!AW$73*'Statistics NZ'!AW$398)</f>
        <v>37516.150461540077</v>
      </c>
      <c r="AG53" s="46">
        <f>AF$53*'Population Treasury'!AY$73*'Statistics NZ'!AY$398/('Population Treasury'!AX$73*'Statistics NZ'!AX$398)</f>
        <v>37434.811826724632</v>
      </c>
      <c r="AH53" s="46">
        <f>AG$53*'Population Treasury'!AZ$73*'Statistics NZ'!AZ$398/('Population Treasury'!AY$73*'Statistics NZ'!AY$398)</f>
        <v>37201.415378907514</v>
      </c>
      <c r="AI53" s="46">
        <f>AH$53*'Population Treasury'!BA$73*'Statistics NZ'!BA$398/('Population Treasury'!AZ$73*'Statistics NZ'!AZ$398)</f>
        <v>36328.710134565474</v>
      </c>
      <c r="AJ53" s="46">
        <f>AI$53*'Population Treasury'!BB$73*'Statistics NZ'!BB$398/('Population Treasury'!BA$73*'Statistics NZ'!BA$398)</f>
        <v>37698.439279519611</v>
      </c>
      <c r="AK53" s="46">
        <f>AJ$53*'Population Treasury'!BC$73*'Statistics NZ'!BC$398/('Population Treasury'!BB$73*'Statistics NZ'!BB$398)</f>
        <v>37464.981278674037</v>
      </c>
      <c r="AL53" s="46">
        <f>AK$53*'Population Treasury'!BD$73*'Statistics NZ'!BD$398/('Population Treasury'!BC$73*'Statistics NZ'!BC$398)</f>
        <v>36937.300675100611</v>
      </c>
      <c r="AM53" s="46">
        <f>AL$53*'Population Treasury'!BE$73*'Statistics NZ'!BE$398/('Population Treasury'!BD$73*'Statistics NZ'!BD$398)</f>
        <v>36967.711950355173</v>
      </c>
      <c r="AN53" s="46">
        <f>AM$53*'Population Treasury'!BF$73*'Statistics NZ'!BF$398/('Population Treasury'!BE$73*'Statistics NZ'!BE$398)</f>
        <v>37819.966505551929</v>
      </c>
      <c r="AO53" s="46">
        <f>AN$53*'Population Treasury'!BG$73*'Statistics NZ'!BG$398/('Population Treasury'!BF$73*'Statistics NZ'!BF$398)</f>
        <v>37982.283924897027</v>
      </c>
      <c r="AP53" s="46">
        <f>AO$53*'Population Treasury'!BH$73*'Statistics NZ'!BH$398/('Population Treasury'!BG$73*'Statistics NZ'!BG$398)</f>
        <v>38662.144967820052</v>
      </c>
      <c r="AQ53" s="46">
        <f>AP$53*'Population Treasury'!BI$73*'Statistics NZ'!BI$398/('Population Treasury'!BH$73*'Statistics NZ'!BH$398)</f>
        <v>40589.979502765644</v>
      </c>
    </row>
    <row r="54" spans="1:43" x14ac:dyDescent="0.25">
      <c r="A54" s="11">
        <v>59</v>
      </c>
      <c r="B54" s="45">
        <f>'Population Treasury'!T$74*'Statistics NZ'!T$399*'Economic Forecasts'!V$8/B$7</f>
        <v>24695.047377161278</v>
      </c>
      <c r="C54" s="45">
        <f>'Population Treasury'!U$74*'Statistics NZ'!U$399*'Economic Forecasts'!W$8/C$7</f>
        <v>24314.77766988469</v>
      </c>
      <c r="D54" s="45">
        <f>'Population Treasury'!V$74*'Statistics NZ'!V$399*'Economic Forecasts'!X$8/D$7</f>
        <v>25147.813307784039</v>
      </c>
      <c r="E54" s="45">
        <f>'Population Treasury'!W$74*'Statistics NZ'!W$399*'Economic Forecasts'!Y$8/E$7</f>
        <v>25767.216587363171</v>
      </c>
      <c r="F54" s="45">
        <f>'Population Treasury'!X$74*'Statistics NZ'!X$399*'Economic Forecasts'!Z$8/F$7</f>
        <v>26626.88270342358</v>
      </c>
      <c r="G54" s="45">
        <f>'Population Treasury'!Y$74*'Statistics NZ'!Y$399*'Economic Forecasts'!AA$8/G$7</f>
        <v>26851.513858632363</v>
      </c>
      <c r="H54" s="46">
        <f>G$54*'Population Treasury'!Z$74*'Statistics NZ'!Z$399/('Population Treasury'!Y$74*'Statistics NZ'!Y$399)</f>
        <v>28173.942214971856</v>
      </c>
      <c r="I54" s="46">
        <f>H$54*'Population Treasury'!AA$74*'Statistics NZ'!AA$399/('Population Treasury'!Z$74*'Statistics NZ'!Z$399)</f>
        <v>27962.560043121899</v>
      </c>
      <c r="J54" s="46">
        <f>I$54*'Population Treasury'!AB$74*'Statistics NZ'!AB$399/('Population Treasury'!AA$74*'Statistics NZ'!AA$399)</f>
        <v>27374.443467249974</v>
      </c>
      <c r="K54" s="46">
        <f>J$54*'Population Treasury'!AC$74*'Statistics NZ'!AC$399/('Population Treasury'!AB$74*'Statistics NZ'!AB$399)</f>
        <v>26775.009510395434</v>
      </c>
      <c r="L54" s="46">
        <f>K$54*'Population Treasury'!AD$74*'Statistics NZ'!AD$399/('Population Treasury'!AC$74*'Statistics NZ'!AC$399)</f>
        <v>26013.296335291132</v>
      </c>
      <c r="M54" s="46">
        <f>L$54*'Population Treasury'!AE$74*'Statistics NZ'!AE$399/('Population Treasury'!AD$74*'Statistics NZ'!AD$399)</f>
        <v>25190.676789931917</v>
      </c>
      <c r="N54" s="46">
        <f>M$54*'Population Treasury'!AF$74*'Statistics NZ'!AF$399/('Population Treasury'!AE$74*'Statistics NZ'!AE$399)</f>
        <v>25616.228768750727</v>
      </c>
      <c r="O54" s="46">
        <f>N$54*'Population Treasury'!AG$74*'Statistics NZ'!AG$399/('Population Treasury'!AF$74*'Statistics NZ'!AF$399)</f>
        <v>25706.941817668503</v>
      </c>
      <c r="P54" s="46">
        <f>O$54*'Population Treasury'!AH$74*'Statistics NZ'!AH$399/('Population Treasury'!AG$74*'Statistics NZ'!AG$399)</f>
        <v>26802.169823808403</v>
      </c>
      <c r="Q54" s="46">
        <f>P$54*'Population Treasury'!AI$74*'Statistics NZ'!AI$399/('Population Treasury'!AH$74*'Statistics NZ'!AH$399)</f>
        <v>27451.047595075444</v>
      </c>
      <c r="R54" s="46">
        <f>Q$54*'Population Treasury'!AJ$74*'Statistics NZ'!AJ$399/('Population Treasury'!AI$74*'Statistics NZ'!AI$399)</f>
        <v>28170.945676415027</v>
      </c>
      <c r="S54" s="46">
        <f>R$54*'Population Treasury'!AK$74*'Statistics NZ'!AK$399/('Population Treasury'!AJ$74*'Statistics NZ'!AJ$399)</f>
        <v>29337.348244596287</v>
      </c>
      <c r="T54" s="46">
        <f>S$54*'Population Treasury'!AL$74*'Statistics NZ'!AL$399/('Population Treasury'!AK$74*'Statistics NZ'!AK$399)</f>
        <v>30341.510616114698</v>
      </c>
      <c r="U54" s="46">
        <f>T$54*'Population Treasury'!AM$74*'Statistics NZ'!AM$399/('Population Treasury'!AL$74*'Statistics NZ'!AL$399)</f>
        <v>31031.079401282532</v>
      </c>
      <c r="V54" s="46">
        <f>U$54*'Population Treasury'!AN$74*'Statistics NZ'!AN$399/('Population Treasury'!AM$74*'Statistics NZ'!AM$399)</f>
        <v>32238.227507097115</v>
      </c>
      <c r="W54" s="46">
        <f>V$54*'Population Treasury'!AO$74*'Statistics NZ'!AO$399/('Population Treasury'!AN$74*'Statistics NZ'!AN$399)</f>
        <v>32877.094859260542</v>
      </c>
      <c r="X54" s="46">
        <f>W$54*'Population Treasury'!AP$74*'Statistics NZ'!AP$399/('Population Treasury'!AO$74*'Statistics NZ'!AO$399)</f>
        <v>34327.771634302633</v>
      </c>
      <c r="Y54" s="46">
        <f>X$54*'Population Treasury'!AQ$74*'Statistics NZ'!AQ$399/('Population Treasury'!AP$74*'Statistics NZ'!AP$399)</f>
        <v>36295.980710658696</v>
      </c>
      <c r="Z54" s="46">
        <f>Y$54*'Population Treasury'!AR$74*'Statistics NZ'!AR$399/('Population Treasury'!AQ$74*'Statistics NZ'!AQ$399)</f>
        <v>37198.781604101569</v>
      </c>
      <c r="AA54" s="46">
        <f>Z$54*'Population Treasury'!AS$74*'Statistics NZ'!AS$399/('Population Treasury'!AR$74*'Statistics NZ'!AR$399)</f>
        <v>38700.255711479687</v>
      </c>
      <c r="AB54" s="46">
        <f>AA$54*'Population Treasury'!AT$74*'Statistics NZ'!AT$399/('Population Treasury'!AS$74*'Statistics NZ'!AS$399)</f>
        <v>39430.646203215518</v>
      </c>
      <c r="AC54" s="46">
        <f>AB$54*'Population Treasury'!AU$74*'Statistics NZ'!AU$399/('Population Treasury'!AT$74*'Statistics NZ'!AT$399)</f>
        <v>39156.52431205727</v>
      </c>
      <c r="AD54" s="46">
        <f>AC$54*'Population Treasury'!AV$74*'Statistics NZ'!AV$399/('Population Treasury'!AU$74*'Statistics NZ'!AU$399)</f>
        <v>38882.346523687389</v>
      </c>
      <c r="AE54" s="46">
        <f>AD$54*'Population Treasury'!AW$74*'Statistics NZ'!AW$399/('Population Treasury'!AV$74*'Statistics NZ'!AV$399)</f>
        <v>37877.712731890802</v>
      </c>
      <c r="AF54" s="46">
        <f>AE$54*'Population Treasury'!AX$74*'Statistics NZ'!AX$399/('Population Treasury'!AW$74*'Statistics NZ'!AW$399)</f>
        <v>37705.112887018637</v>
      </c>
      <c r="AG54" s="46">
        <f>AF$54*'Population Treasury'!AY$74*'Statistics NZ'!AY$399/('Population Treasury'!AX$74*'Statistics NZ'!AX$399)</f>
        <v>36883.096101018979</v>
      </c>
      <c r="AH54" s="46">
        <f>AG$54*'Population Treasury'!AZ$74*'Statistics NZ'!AZ$399/('Population Treasury'!AY$74*'Statistics NZ'!AY$399)</f>
        <v>36791.697611258438</v>
      </c>
      <c r="AI54" s="46">
        <f>AH$54*'Population Treasury'!BA$74*'Statistics NZ'!BA$399/('Population Treasury'!AZ$74*'Statistics NZ'!AZ$399)</f>
        <v>36568.410271712186</v>
      </c>
      <c r="AJ54" s="46">
        <f>AI$54*'Population Treasury'!BB$74*'Statistics NZ'!BB$399/('Population Treasury'!BA$74*'Statistics NZ'!BA$399)</f>
        <v>35716.031829571315</v>
      </c>
      <c r="AK54" s="46">
        <f>AJ$54*'Population Treasury'!BC$74*'Statistics NZ'!BC$399/('Population Treasury'!BB$74*'Statistics NZ'!BB$399)</f>
        <v>37065.442165681961</v>
      </c>
      <c r="AL54" s="46">
        <f>AK$54*'Population Treasury'!BD$74*'Statistics NZ'!BD$399/('Population Treasury'!BC$74*'Statistics NZ'!BC$399)</f>
        <v>36832.017279873529</v>
      </c>
      <c r="AM54" s="46">
        <f>AL$54*'Population Treasury'!BE$74*'Statistics NZ'!BE$399/('Population Treasury'!BD$74*'Statistics NZ'!BD$399)</f>
        <v>36314.483018613959</v>
      </c>
      <c r="AN54" s="46">
        <f>AM$54*'Population Treasury'!BF$74*'Statistics NZ'!BF$399/('Population Treasury'!BE$74*'Statistics NZ'!BE$399)</f>
        <v>36344.892449057486</v>
      </c>
      <c r="AO54" s="46">
        <f>AN$54*'Population Treasury'!BG$74*'Statistics NZ'!BG$399/('Population Treasury'!BF$74*'Statistics NZ'!BF$399)</f>
        <v>37176.889428767667</v>
      </c>
      <c r="AP54" s="46">
        <f>AO$54*'Population Treasury'!BH$74*'Statistics NZ'!BH$399/('Population Treasury'!BG$74*'Statistics NZ'!BG$399)</f>
        <v>37339.189474227001</v>
      </c>
      <c r="AQ54" s="46">
        <f>AP$54*'Population Treasury'!BI$74*'Statistics NZ'!BI$399/('Population Treasury'!BH$74*'Statistics NZ'!BH$399)</f>
        <v>38018.969467321127</v>
      </c>
    </row>
    <row r="55" spans="1:43" x14ac:dyDescent="0.25">
      <c r="A55" s="11">
        <v>60</v>
      </c>
      <c r="B55" s="45">
        <f>'Population Treasury'!T$75*'Statistics NZ'!T$400*'Economic Forecasts'!V$8/B$7</f>
        <v>24515.2290710169</v>
      </c>
      <c r="C55" s="45">
        <f>'Population Treasury'!U$75*'Statistics NZ'!U$400*'Economic Forecasts'!W$8/C$7</f>
        <v>23766.091753900026</v>
      </c>
      <c r="D55" s="45">
        <f>'Population Treasury'!V$75*'Statistics NZ'!V$400*'Economic Forecasts'!X$8/D$7</f>
        <v>23704.216327981729</v>
      </c>
      <c r="E55" s="45">
        <f>'Population Treasury'!W$75*'Statistics NZ'!W$400*'Economic Forecasts'!Y$8/E$7</f>
        <v>24584.185688469697</v>
      </c>
      <c r="F55" s="45">
        <f>'Population Treasury'!X$75*'Statistics NZ'!X$400*'Economic Forecasts'!Z$8/F$7</f>
        <v>25156.963847070227</v>
      </c>
      <c r="G55" s="45">
        <f>'Population Treasury'!Y$75*'Statistics NZ'!Y$400*'Economic Forecasts'!AA$8/G$7</f>
        <v>25959.552633004285</v>
      </c>
      <c r="H55" s="46">
        <f>G$55*'Population Treasury'!Z$75*'Statistics NZ'!Z$400/('Population Treasury'!Y$75*'Statistics NZ'!Y$400)</f>
        <v>26116.913052328058</v>
      </c>
      <c r="I55" s="46">
        <f>H$55*'Population Treasury'!AA$75*'Statistics NZ'!AA$400/('Population Treasury'!Z$75*'Statistics NZ'!Z$400)</f>
        <v>27408.294907184409</v>
      </c>
      <c r="J55" s="46">
        <f>I$55*'Population Treasury'!AB$75*'Statistics NZ'!AB$400/('Population Treasury'!AA$75*'Statistics NZ'!AA$400)</f>
        <v>27206.210197729037</v>
      </c>
      <c r="K55" s="46">
        <f>J$55*'Population Treasury'!AC$75*'Statistics NZ'!AC$400/('Population Treasury'!AB$75*'Statistics NZ'!AB$400)</f>
        <v>26647.310130445916</v>
      </c>
      <c r="L55" s="46">
        <f>K$55*'Population Treasury'!AD$75*'Statistics NZ'!AD$400/('Population Treasury'!AC$75*'Statistics NZ'!AC$400)</f>
        <v>26068.177341919905</v>
      </c>
      <c r="M55" s="46">
        <f>L$55*'Population Treasury'!AE$75*'Statistics NZ'!AE$400/('Population Treasury'!AD$75*'Statistics NZ'!AD$400)</f>
        <v>25336.925653725662</v>
      </c>
      <c r="N55" s="46">
        <f>M$55*'Population Treasury'!AF$75*'Statistics NZ'!AF$400/('Population Treasury'!AE$75*'Statistics NZ'!AE$400)</f>
        <v>24534.727442340114</v>
      </c>
      <c r="O55" s="46">
        <f>N$55*'Population Treasury'!AG$75*'Statistics NZ'!AG$400/('Population Treasury'!AF$75*'Statistics NZ'!AF$400)</f>
        <v>24950.084724692762</v>
      </c>
      <c r="P55" s="46">
        <f>O$55*'Population Treasury'!AH$75*'Statistics NZ'!AH$400/('Population Treasury'!AG$75*'Statistics NZ'!AG$400)</f>
        <v>25040.884160179896</v>
      </c>
      <c r="Q55" s="46">
        <f>P$55*'Population Treasury'!AI$75*'Statistics NZ'!AI$400/('Population Treasury'!AH$75*'Statistics NZ'!AH$400)</f>
        <v>26105.719381404077</v>
      </c>
      <c r="R55" s="46">
        <f>Q$55*'Population Treasury'!AJ$75*'Statistics NZ'!AJ$400/('Population Treasury'!AI$75*'Statistics NZ'!AI$400)</f>
        <v>26744.420597802211</v>
      </c>
      <c r="S55" s="46">
        <f>R$55*'Population Treasury'!AK$75*'Statistics NZ'!AK$400/('Population Treasury'!AJ$75*'Statistics NZ'!AJ$400)</f>
        <v>27444.133316524072</v>
      </c>
      <c r="T55" s="46">
        <f>S$55*'Population Treasury'!AL$75*'Statistics NZ'!AL$400/('Population Treasury'!AK$75*'Statistics NZ'!AK$400)</f>
        <v>28570.050730829433</v>
      </c>
      <c r="U55" s="46">
        <f>T$55*'Population Treasury'!AM$75*'Statistics NZ'!AM$400/('Population Treasury'!AL$75*'Statistics NZ'!AL$400)</f>
        <v>29553.82595141913</v>
      </c>
      <c r="V55" s="46">
        <f>U$55*'Population Treasury'!AN$75*'Statistics NZ'!AN$400/('Population Treasury'!AM$75*'Statistics NZ'!AM$400)</f>
        <v>30223.139869639122</v>
      </c>
      <c r="W55" s="46">
        <f>V$55*'Population Treasury'!AO$75*'Statistics NZ'!AO$400/('Population Treasury'!AN$75*'Statistics NZ'!AN$400)</f>
        <v>31399.853946896292</v>
      </c>
      <c r="X55" s="46">
        <f>W$55*'Population Treasury'!AP$75*'Statistics NZ'!AP$400/('Population Treasury'!AO$75*'Statistics NZ'!AO$400)</f>
        <v>32018.47320058116</v>
      </c>
      <c r="Y55" s="46">
        <f>X$55*'Population Treasury'!AQ$75*'Statistics NZ'!AQ$400/('Population Treasury'!AP$75*'Statistics NZ'!AP$400)</f>
        <v>33428.593842410002</v>
      </c>
      <c r="Z55" s="46">
        <f>Y$55*'Population Treasury'!AR$75*'Statistics NZ'!AR$400/('Population Treasury'!AQ$75*'Statistics NZ'!AQ$400)</f>
        <v>35346.018952504477</v>
      </c>
      <c r="AA55" s="46">
        <f>Z$55*'Population Treasury'!AS$75*'Statistics NZ'!AS$400/('Population Treasury'!AR$75*'Statistics NZ'!AR$400)</f>
        <v>36218.487975416159</v>
      </c>
      <c r="AB55" s="46">
        <f>AA$55*'Population Treasury'!AT$75*'Statistics NZ'!AT$400/('Population Treasury'!AS$75*'Statistics NZ'!AS$400)</f>
        <v>37679.390993991939</v>
      </c>
      <c r="AC55" s="46">
        <f>AB$55*'Population Treasury'!AU$75*'Statistics NZ'!AU$400/('Population Treasury'!AT$75*'Statistics NZ'!AT$400)</f>
        <v>38399.588780293925</v>
      </c>
      <c r="AD55" s="46">
        <f>AC$55*'Population Treasury'!AV$75*'Statistics NZ'!AV$400/('Population Treasury'!AU$75*'Statistics NZ'!AU$400)</f>
        <v>38135.605858428673</v>
      </c>
      <c r="AE55" s="46">
        <f>AD$55*'Population Treasury'!AW$75*'Statistics NZ'!AW$400/('Population Treasury'!AV$75*'Statistics NZ'!AV$400)</f>
        <v>37861.534660036203</v>
      </c>
      <c r="AF55" s="46">
        <f>AE$55*'Population Treasury'!AX$75*'Statistics NZ'!AX$400/('Population Treasury'!AW$75*'Statistics NZ'!AW$400)</f>
        <v>36887.32644845522</v>
      </c>
      <c r="AG55" s="46">
        <f>AF$55*'Population Treasury'!AY$75*'Statistics NZ'!AY$400/('Population Treasury'!AX$75*'Statistics NZ'!AX$400)</f>
        <v>36714.761538429193</v>
      </c>
      <c r="AH55" s="46">
        <f>AG$55*'Population Treasury'!AZ$75*'Statistics NZ'!AZ$400/('Population Treasury'!AY$75*'Statistics NZ'!AY$400)</f>
        <v>35923.193215349616</v>
      </c>
      <c r="AI55" s="46">
        <f>AH$55*'Population Treasury'!BA$75*'Statistics NZ'!BA$400/('Population Treasury'!AZ$75*'Statistics NZ'!AZ$400)</f>
        <v>35841.897106817582</v>
      </c>
      <c r="AJ55" s="46">
        <f>AI$55*'Population Treasury'!BB$75*'Statistics NZ'!BB$400/('Population Treasury'!BA$75*'Statistics NZ'!BA$400)</f>
        <v>35618.651529556832</v>
      </c>
      <c r="AK55" s="46">
        <f>AJ$55*'Population Treasury'!BC$75*'Statistics NZ'!BC$400/('Population Treasury'!BB$75*'Statistics NZ'!BB$400)</f>
        <v>34796.667220833056</v>
      </c>
      <c r="AL55" s="46">
        <f>AK$55*'Population Treasury'!BD$75*'Statistics NZ'!BD$400/('Population Treasury'!BC$75*'Statistics NZ'!BC$400)</f>
        <v>36105.525489059415</v>
      </c>
      <c r="AM55" s="46">
        <f>AL$55*'Population Treasury'!BE$75*'Statistics NZ'!BE$400/('Population Treasury'!BD$75*'Statistics NZ'!BD$400)</f>
        <v>35882.278888353358</v>
      </c>
      <c r="AN55" s="46">
        <f>AM$55*'Population Treasury'!BF$75*'Statistics NZ'!BF$400/('Population Treasury'!BE$75*'Statistics NZ'!BE$400)</f>
        <v>35374.918936977017</v>
      </c>
      <c r="AO55" s="46">
        <f>AN$55*'Population Treasury'!BG$75*'Statistics NZ'!BG$400/('Population Treasury'!BF$75*'Statistics NZ'!BF$400)</f>
        <v>35415.406115083984</v>
      </c>
      <c r="AP55" s="46">
        <f>AO$55*'Population Treasury'!BH$75*'Statistics NZ'!BH$400/('Population Treasury'!BG$75*'Statistics NZ'!BG$400)</f>
        <v>36227.152123794927</v>
      </c>
      <c r="AQ55" s="46">
        <f>AP$55*'Population Treasury'!BI$75*'Statistics NZ'!BI$400/('Population Treasury'!BH$75*'Statistics NZ'!BH$400)</f>
        <v>36379.344545814572</v>
      </c>
    </row>
    <row r="56" spans="1:43" x14ac:dyDescent="0.25">
      <c r="A56" s="11">
        <v>61</v>
      </c>
      <c r="B56" s="45">
        <f>'Population Treasury'!T$76*'Statistics NZ'!T$401*'Economic Forecasts'!V$8/B$7</f>
        <v>23965.784246686857</v>
      </c>
      <c r="C56" s="45">
        <f>'Population Treasury'!U$76*'Statistics NZ'!U$401*'Economic Forecasts'!W$8/C$7</f>
        <v>23428.92993327805</v>
      </c>
      <c r="D56" s="45">
        <f>'Population Treasury'!V$76*'Statistics NZ'!V$401*'Economic Forecasts'!X$8/D$7</f>
        <v>23008.594624756144</v>
      </c>
      <c r="E56" s="45">
        <f>'Population Treasury'!W$76*'Statistics NZ'!W$401*'Economic Forecasts'!Y$8/E$7</f>
        <v>23006.262228084652</v>
      </c>
      <c r="F56" s="45">
        <f>'Population Treasury'!X$76*'Statistics NZ'!X$401*'Economic Forecasts'!Z$8/F$7</f>
        <v>23843.126310427069</v>
      </c>
      <c r="G56" s="45">
        <f>'Population Treasury'!Y$76*'Statistics NZ'!Y$401*'Economic Forecasts'!AA$8/G$7</f>
        <v>24360.565946934141</v>
      </c>
      <c r="H56" s="46">
        <f>G$56*'Population Treasury'!Z$76*'Statistics NZ'!Z$401/('Population Treasury'!Y$76*'Statistics NZ'!Y$401)</f>
        <v>25095.889872825053</v>
      </c>
      <c r="I56" s="46">
        <f>H$56*'Population Treasury'!AA$76*'Statistics NZ'!AA$401/('Population Treasury'!Z$76*'Statistics NZ'!Z$401)</f>
        <v>25250.711513742343</v>
      </c>
      <c r="J56" s="46">
        <f>I$56*'Population Treasury'!AB$76*'Statistics NZ'!AB$401/('Population Treasury'!AA$76*'Statistics NZ'!AA$401)</f>
        <v>26489.462733549415</v>
      </c>
      <c r="K56" s="46">
        <f>J$56*'Population Treasury'!AC$76*'Statistics NZ'!AC$401/('Population Treasury'!AB$76*'Statistics NZ'!AB$401)</f>
        <v>26305.950394085805</v>
      </c>
      <c r="L56" s="46">
        <f>K$56*'Population Treasury'!AD$76*'Statistics NZ'!AD$401/('Population Treasury'!AC$76*'Statistics NZ'!AC$401)</f>
        <v>25767.377486722227</v>
      </c>
      <c r="M56" s="46">
        <f>L$56*'Population Treasury'!AE$76*'Statistics NZ'!AE$401/('Population Treasury'!AD$76*'Statistics NZ'!AD$401)</f>
        <v>25208.637379905675</v>
      </c>
      <c r="N56" s="46">
        <f>M$56*'Population Treasury'!AF$76*'Statistics NZ'!AF$401/('Population Treasury'!AE$76*'Statistics NZ'!AE$401)</f>
        <v>24507.814078714979</v>
      </c>
      <c r="O56" s="46">
        <f>N$56*'Population Treasury'!AG$76*'Statistics NZ'!AG$401/('Population Treasury'!AF$76*'Statistics NZ'!AF$401)</f>
        <v>23736.125639952614</v>
      </c>
      <c r="P56" s="46">
        <f>O$56*'Population Treasury'!AH$76*'Statistics NZ'!AH$401/('Population Treasury'!AG$76*'Statistics NZ'!AG$401)</f>
        <v>24141.411999294818</v>
      </c>
      <c r="Q56" s="46">
        <f>P$56*'Population Treasury'!AI$76*'Statistics NZ'!AI$401/('Population Treasury'!AH$76*'Statistics NZ'!AH$401)</f>
        <v>24232.216225398934</v>
      </c>
      <c r="R56" s="46">
        <f>Q$56*'Population Treasury'!AJ$76*'Statistics NZ'!AJ$401/('Population Treasury'!AI$76*'Statistics NZ'!AI$401)</f>
        <v>25256.476003808373</v>
      </c>
      <c r="S56" s="46">
        <f>R$56*'Population Treasury'!AK$76*'Statistics NZ'!AK$401/('Population Treasury'!AJ$76*'Statistics NZ'!AJ$401)</f>
        <v>25874.973550849521</v>
      </c>
      <c r="T56" s="46">
        <f>S$56*'Population Treasury'!AL$76*'Statistics NZ'!AL$401/('Population Treasury'!AK$76*'Statistics NZ'!AK$401)</f>
        <v>26554.32973211498</v>
      </c>
      <c r="U56" s="46">
        <f>T$56*'Population Treasury'!AM$76*'Statistics NZ'!AM$401/('Population Treasury'!AL$76*'Statistics NZ'!AL$401)</f>
        <v>27649.777619758308</v>
      </c>
      <c r="V56" s="46">
        <f>U$56*'Population Treasury'!AN$76*'Statistics NZ'!AN$401/('Population Treasury'!AM$76*'Statistics NZ'!AM$401)</f>
        <v>28593.114075057118</v>
      </c>
      <c r="W56" s="46">
        <f>V$56*'Population Treasury'!AO$76*'Statistics NZ'!AO$401/('Population Treasury'!AN$76*'Statistics NZ'!AN$401)</f>
        <v>29242.142073127325</v>
      </c>
      <c r="X56" s="46">
        <f>W$56*'Population Treasury'!AP$76*'Statistics NZ'!AP$401/('Population Treasury'!AO$76*'Statistics NZ'!AO$401)</f>
        <v>30378.241726948243</v>
      </c>
      <c r="Y56" s="46">
        <f>X$56*'Population Treasury'!AQ$76*'Statistics NZ'!AQ$401/('Population Treasury'!AP$76*'Statistics NZ'!AP$401)</f>
        <v>30976.641263662386</v>
      </c>
      <c r="Z56" s="46">
        <f>Y$56*'Population Treasury'!AR$76*'Statistics NZ'!AR$401/('Population Treasury'!AQ$76*'Statistics NZ'!AQ$401)</f>
        <v>32336.06975077718</v>
      </c>
      <c r="AA56" s="46">
        <f>Z$56*'Population Treasury'!AS$76*'Statistics NZ'!AS$401/('Population Treasury'!AR$76*'Statistics NZ'!AR$401)</f>
        <v>34182.479533212238</v>
      </c>
      <c r="AB56" s="46">
        <f>AA$56*'Population Treasury'!AT$76*'Statistics NZ'!AT$401/('Population Treasury'!AS$76*'Statistics NZ'!AS$401)</f>
        <v>35034.610173015884</v>
      </c>
      <c r="AC56" s="46">
        <f>AB$56*'Population Treasury'!AU$76*'Statistics NZ'!AU$401/('Population Treasury'!AT$76*'Statistics NZ'!AT$401)</f>
        <v>36444.806647032332</v>
      </c>
      <c r="AD56" s="46">
        <f>AC$56*'Population Treasury'!AV$76*'Statistics NZ'!AV$401/('Population Treasury'!AU$76*'Statistics NZ'!AU$401)</f>
        <v>37134.614945639638</v>
      </c>
      <c r="AE56" s="46">
        <f>AD$56*'Population Treasury'!AW$76*'Statistics NZ'!AW$401/('Population Treasury'!AV$76*'Statistics NZ'!AV$401)</f>
        <v>36880.827771769014</v>
      </c>
      <c r="AF56" s="46">
        <f>AE$56*'Population Treasury'!AX$76*'Statistics NZ'!AX$401/('Population Treasury'!AW$76*'Statistics NZ'!AW$401)</f>
        <v>36616.856920274884</v>
      </c>
      <c r="AG56" s="46">
        <f>AF$56*'Population Treasury'!AY$76*'Statistics NZ'!AY$401/('Population Treasury'!AX$76*'Statistics NZ'!AX$401)</f>
        <v>35683.242370171312</v>
      </c>
      <c r="AH56" s="46">
        <f>AG$56*'Population Treasury'!AZ$76*'Statistics NZ'!AZ$401/('Population Treasury'!AY$76*'Statistics NZ'!AY$401)</f>
        <v>35520.801757582638</v>
      </c>
      <c r="AI56" s="46">
        <f>AH$56*'Population Treasury'!BA$76*'Statistics NZ'!BA$401/('Population Treasury'!AZ$76*'Statistics NZ'!AZ$401)</f>
        <v>34759.705014389379</v>
      </c>
      <c r="AJ56" s="46">
        <f>AI$56*'Population Treasury'!BB$76*'Statistics NZ'!BB$401/('Population Treasury'!BA$76*'Statistics NZ'!BA$401)</f>
        <v>34678.483034725708</v>
      </c>
      <c r="AK56" s="46">
        <f>AJ$56*'Population Treasury'!BC$76*'Statistics NZ'!BC$401/('Population Treasury'!BB$76*'Statistics NZ'!BB$401)</f>
        <v>34465.368712164534</v>
      </c>
      <c r="AL56" s="46">
        <f>AK$56*'Population Treasury'!BD$76*'Statistics NZ'!BD$401/('Population Treasury'!BC$76*'Statistics NZ'!BC$401)</f>
        <v>33673.811997910314</v>
      </c>
      <c r="AM56" s="46">
        <f>AL$56*'Population Treasury'!BE$76*'Statistics NZ'!BE$401/('Population Treasury'!BD$76*'Statistics NZ'!BD$401)</f>
        <v>34931.983842712063</v>
      </c>
      <c r="AN56" s="46">
        <f>AM$56*'Population Treasury'!BF$76*'Statistics NZ'!BF$401/('Population Treasury'!BE$76*'Statistics NZ'!BE$401)</f>
        <v>34718.868716912286</v>
      </c>
      <c r="AO56" s="46">
        <f>AN$56*'Population Treasury'!BG$76*'Statistics NZ'!BG$401/('Population Treasury'!BF$76*'Statistics NZ'!BF$401)</f>
        <v>34241.916902054014</v>
      </c>
      <c r="AP56" s="46">
        <f>AO$56*'Population Treasury'!BH$76*'Statistics NZ'!BH$401/('Population Treasury'!BG$76*'Statistics NZ'!BG$401)</f>
        <v>34272.318521959416</v>
      </c>
      <c r="AQ56" s="46">
        <f>AP$56*'Population Treasury'!BI$76*'Statistics NZ'!BI$401/('Population Treasury'!BH$76*'Statistics NZ'!BH$401)</f>
        <v>35053.643126576375</v>
      </c>
    </row>
    <row r="57" spans="1:43" x14ac:dyDescent="0.25">
      <c r="A57" s="11">
        <v>62</v>
      </c>
      <c r="B57" s="45">
        <f>'Population Treasury'!T$77*'Statistics NZ'!T$402*'Economic Forecasts'!V$8/B$7</f>
        <v>22537.22770342874</v>
      </c>
      <c r="C57" s="45">
        <f>'Population Treasury'!U$77*'Statistics NZ'!U$402*'Economic Forecasts'!W$8/C$7</f>
        <v>22705.749764705237</v>
      </c>
      <c r="D57" s="45">
        <f>'Population Treasury'!V$77*'Statistics NZ'!V$402*'Economic Forecasts'!X$8/D$7</f>
        <v>22481.595640503936</v>
      </c>
      <c r="E57" s="45">
        <f>'Population Treasury'!W$77*'Statistics NZ'!W$402*'Economic Forecasts'!Y$8/E$7</f>
        <v>22146.995418048115</v>
      </c>
      <c r="F57" s="45">
        <f>'Population Treasury'!X$77*'Statistics NZ'!X$402*'Economic Forecasts'!Z$8/F$7</f>
        <v>22128.181205770834</v>
      </c>
      <c r="G57" s="45">
        <f>'Population Treasury'!Y$77*'Statistics NZ'!Y$402*'Economic Forecasts'!AA$8/G$7</f>
        <v>22902.283405234539</v>
      </c>
      <c r="H57" s="46">
        <f>G$57*'Population Treasury'!Z$77*'Statistics NZ'!Z$402/('Population Treasury'!Y$77*'Statistics NZ'!Y$402)</f>
        <v>23353.359617372858</v>
      </c>
      <c r="I57" s="46">
        <f>H$57*'Population Treasury'!AA$77*'Statistics NZ'!AA$402/('Population Treasury'!Z$77*'Statistics NZ'!Z$402)</f>
        <v>24055.83155340817</v>
      </c>
      <c r="J57" s="46">
        <f>I$57*'Population Treasury'!AB$77*'Statistics NZ'!AB$402/('Population Treasury'!AA$77*'Statistics NZ'!AA$402)</f>
        <v>24208.761238031038</v>
      </c>
      <c r="K57" s="46">
        <f>J$57*'Population Treasury'!AC$77*'Statistics NZ'!AC$402/('Population Treasury'!AB$77*'Statistics NZ'!AB$402)</f>
        <v>25405.174895414159</v>
      </c>
      <c r="L57" s="46">
        <f>K$57*'Population Treasury'!AD$77*'Statistics NZ'!AD$402/('Population Treasury'!AC$77*'Statistics NZ'!AC$402)</f>
        <v>25231.893197641013</v>
      </c>
      <c r="M57" s="46">
        <f>L$57*'Population Treasury'!AE$77*'Statistics NZ'!AE$402/('Population Treasury'!AD$77*'Statistics NZ'!AD$402)</f>
        <v>24723.795058181498</v>
      </c>
      <c r="N57" s="46">
        <f>M$57*'Population Treasury'!AF$77*'Statistics NZ'!AF$402/('Population Treasury'!AE$77*'Statistics NZ'!AE$402)</f>
        <v>24195.529221243214</v>
      </c>
      <c r="O57" s="46">
        <f>N$57*'Population Treasury'!AG$77*'Statistics NZ'!AG$402/('Population Treasury'!AF$77*'Statistics NZ'!AF$402)</f>
        <v>23525.166973918578</v>
      </c>
      <c r="P57" s="46">
        <f>O$57*'Population Treasury'!AH$77*'Statistics NZ'!AH$402/('Population Treasury'!AG$77*'Statistics NZ'!AG$402)</f>
        <v>22804.137492618793</v>
      </c>
      <c r="Q57" s="46">
        <f>P$57*'Population Treasury'!AI$77*'Statistics NZ'!AI$402/('Population Treasury'!AH$77*'Statistics NZ'!AH$402)</f>
        <v>23189.19833662465</v>
      </c>
      <c r="R57" s="46">
        <f>Q$57*'Population Treasury'!AJ$77*'Statistics NZ'!AJ$402/('Population Treasury'!AI$77*'Statistics NZ'!AI$402)</f>
        <v>23280.000484223521</v>
      </c>
      <c r="S57" s="46">
        <f>R$57*'Population Treasury'!AK$77*'Statistics NZ'!AK$402/('Population Treasury'!AJ$77*'Statistics NZ'!AJ$402)</f>
        <v>24263.703220889722</v>
      </c>
      <c r="T57" s="46">
        <f>S$57*'Population Treasury'!AL$77*'Statistics NZ'!AL$402/('Population Treasury'!AK$77*'Statistics NZ'!AK$402)</f>
        <v>24861.898035161623</v>
      </c>
      <c r="U57" s="46">
        <f>T$57*'Population Treasury'!AM$77*'Statistics NZ'!AM$402/('Population Treasury'!AL$77*'Statistics NZ'!AL$402)</f>
        <v>25510.867940119857</v>
      </c>
      <c r="V57" s="46">
        <f>U$57*'Population Treasury'!AN$77*'Statistics NZ'!AN$402/('Population Treasury'!AM$77*'Statistics NZ'!AM$402)</f>
        <v>26565.728927776527</v>
      </c>
      <c r="W57" s="46">
        <f>V$57*'Population Treasury'!AO$77*'Statistics NZ'!AO$402/('Population Treasury'!AN$77*'Statistics NZ'!AN$402)</f>
        <v>27468.518931918279</v>
      </c>
      <c r="X57" s="46">
        <f>W$57*'Population Treasury'!AP$77*'Statistics NZ'!AP$402/('Population Treasury'!AO$77*'Statistics NZ'!AO$402)</f>
        <v>28097.234329778901</v>
      </c>
      <c r="Y57" s="46">
        <f>X$57*'Population Treasury'!AQ$77*'Statistics NZ'!AQ$402/('Population Treasury'!AP$77*'Statistics NZ'!AP$402)</f>
        <v>29182.658686164312</v>
      </c>
      <c r="Z57" s="46">
        <f>Y$57*'Population Treasury'!AR$77*'Statistics NZ'!AR$402/('Population Treasury'!AQ$77*'Statistics NZ'!AQ$402)</f>
        <v>29760.755449794833</v>
      </c>
      <c r="AA57" s="46">
        <f>Z$57*'Population Treasury'!AS$77*'Statistics NZ'!AS$402/('Population Treasury'!AR$77*'Statistics NZ'!AR$402)</f>
        <v>31069.392735913298</v>
      </c>
      <c r="AB57" s="46">
        <f>AA$57*'Population Treasury'!AT$77*'Statistics NZ'!AT$402/('Population Treasury'!AS$77*'Statistics NZ'!AS$402)</f>
        <v>32834.745193378323</v>
      </c>
      <c r="AC57" s="46">
        <f>AB$57*'Population Treasury'!AU$77*'Statistics NZ'!AU$402/('Population Treasury'!AT$77*'Statistics NZ'!AT$402)</f>
        <v>33656.425689486176</v>
      </c>
      <c r="AD57" s="46">
        <f>AC$57*'Population Treasury'!AV$77*'Statistics NZ'!AV$402/('Population Treasury'!AU$77*'Statistics NZ'!AU$402)</f>
        <v>35005.736514724347</v>
      </c>
      <c r="AE57" s="46">
        <f>AD$57*'Population Treasury'!AW$77*'Statistics NZ'!AW$402/('Population Treasury'!AV$77*'Statistics NZ'!AV$402)</f>
        <v>35665.175580990821</v>
      </c>
      <c r="AF57" s="46">
        <f>AE$57*'Population Treasury'!AX$77*'Statistics NZ'!AX$402/('Population Treasury'!AW$77*'Statistics NZ'!AW$402)</f>
        <v>35431.58607396765</v>
      </c>
      <c r="AG57" s="46">
        <f>AF$57*'Population Treasury'!AY$77*'Statistics NZ'!AY$402/('Population Treasury'!AX$77*'Statistics NZ'!AX$402)</f>
        <v>35177.861334039539</v>
      </c>
      <c r="AH57" s="46">
        <f>AG$57*'Population Treasury'!AZ$77*'Statistics NZ'!AZ$402/('Population Treasury'!AY$77*'Statistics NZ'!AY$402)</f>
        <v>34284.820112770169</v>
      </c>
      <c r="AI57" s="46">
        <f>AH$57*'Population Treasury'!BA$77*'Statistics NZ'!BA$402/('Population Treasury'!AZ$77*'Statistics NZ'!AZ$402)</f>
        <v>34132.555588357573</v>
      </c>
      <c r="AJ57" s="46">
        <f>AI$57*'Population Treasury'!BB$77*'Statistics NZ'!BB$402/('Population Treasury'!BA$77*'Statistics NZ'!BA$402)</f>
        <v>33391.771324629815</v>
      </c>
      <c r="AK57" s="46">
        <f>AJ$57*'Population Treasury'!BC$77*'Statistics NZ'!BC$402/('Population Treasury'!BB$77*'Statistics NZ'!BB$402)</f>
        <v>33320.70400694196</v>
      </c>
      <c r="AL57" s="46">
        <f>AK$57*'Population Treasury'!BD$77*'Statistics NZ'!BD$402/('Population Treasury'!BC$77*'Statistics NZ'!BC$402)</f>
        <v>33127.812836654317</v>
      </c>
      <c r="AM57" s="46">
        <f>AL$57*'Population Treasury'!BE$77*'Statistics NZ'!BE$402/('Population Treasury'!BD$77*'Statistics NZ'!BD$402)</f>
        <v>32366.757035195136</v>
      </c>
      <c r="AN57" s="46">
        <f>AM$57*'Population Treasury'!BF$77*'Statistics NZ'!BF$402/('Population Treasury'!BE$77*'Statistics NZ'!BE$402)</f>
        <v>33574.19995156904</v>
      </c>
      <c r="AO57" s="46">
        <f>AN$57*'Population Treasury'!BG$77*'Statistics NZ'!BG$402/('Population Treasury'!BF$77*'Statistics NZ'!BF$402)</f>
        <v>33371.223440465859</v>
      </c>
      <c r="AP57" s="46">
        <f>AO$57*'Population Treasury'!BH$77*'Statistics NZ'!BH$402/('Population Treasury'!BG$77*'Statistics NZ'!BG$402)</f>
        <v>32914.560235142941</v>
      </c>
      <c r="AQ57" s="46">
        <f>AP$57*'Population Treasury'!BI$77*'Statistics NZ'!BI$402/('Population Treasury'!BH$77*'Statistics NZ'!BH$402)</f>
        <v>32945.004506049649</v>
      </c>
    </row>
    <row r="58" spans="1:43" x14ac:dyDescent="0.25">
      <c r="A58" s="11">
        <v>63</v>
      </c>
      <c r="B58" s="45">
        <f>'Population Treasury'!T$78*'Statistics NZ'!T$403*'Economic Forecasts'!V$8/B$7</f>
        <v>20119.670476376548</v>
      </c>
      <c r="C58" s="45">
        <f>'Population Treasury'!U$78*'Statistics NZ'!U$403*'Economic Forecasts'!W$8/C$7</f>
        <v>20755.192160856379</v>
      </c>
      <c r="D58" s="45">
        <f>'Population Treasury'!V$78*'Statistics NZ'!V$403*'Economic Forecasts'!X$8/D$7</f>
        <v>21179.895640205799</v>
      </c>
      <c r="E58" s="45">
        <f>'Population Treasury'!W$78*'Statistics NZ'!W$403*'Economic Forecasts'!Y$8/E$7</f>
        <v>21037.784567535738</v>
      </c>
      <c r="F58" s="45">
        <f>'Population Treasury'!X$78*'Statistics NZ'!X$403*'Economic Forecasts'!Z$8/F$7</f>
        <v>20703.685116182816</v>
      </c>
      <c r="G58" s="45">
        <f>'Population Treasury'!Y$78*'Statistics NZ'!Y$403*'Economic Forecasts'!AA$8/G$7</f>
        <v>20669.607675640033</v>
      </c>
      <c r="H58" s="46">
        <f>G$58*'Population Treasury'!Z$78*'Statistics NZ'!Z$403/('Population Treasury'!Y$78*'Statistics NZ'!Y$403)</f>
        <v>21353.548975180038</v>
      </c>
      <c r="I58" s="46">
        <f>H$58*'Population Treasury'!AA$78*'Statistics NZ'!AA$403/('Population Treasury'!Z$78*'Statistics NZ'!Z$403)</f>
        <v>21781.892108578391</v>
      </c>
      <c r="J58" s="46">
        <f>I$58*'Population Treasury'!AB$78*'Statistics NZ'!AB$403/('Population Treasury'!AA$78*'Statistics NZ'!AA$403)</f>
        <v>22441.924346988159</v>
      </c>
      <c r="K58" s="46">
        <f>J$58*'Population Treasury'!AC$78*'Statistics NZ'!AC$403/('Population Treasury'!AB$78*'Statistics NZ'!AB$403)</f>
        <v>22593.267530177647</v>
      </c>
      <c r="L58" s="46">
        <f>K$58*'Population Treasury'!AD$78*'Statistics NZ'!AD$403/('Population Treasury'!AC$78*'Statistics NZ'!AC$403)</f>
        <v>23718.679416783067</v>
      </c>
      <c r="M58" s="46">
        <f>L$58*'Population Treasury'!AE$78*'Statistics NZ'!AE$403/('Population Treasury'!AD$78*'Statistics NZ'!AD$403)</f>
        <v>23555.625596614253</v>
      </c>
      <c r="N58" s="46">
        <f>M$58*'Population Treasury'!AF$78*'Statistics NZ'!AF$403/('Population Treasury'!AE$78*'Statistics NZ'!AE$403)</f>
        <v>23088.235610546384</v>
      </c>
      <c r="O58" s="46">
        <f>N$58*'Population Treasury'!AG$78*'Statistics NZ'!AG$403/('Population Treasury'!AF$78*'Statistics NZ'!AF$403)</f>
        <v>22610.636915168136</v>
      </c>
      <c r="P58" s="46">
        <f>O$58*'Population Treasury'!AH$78*'Statistics NZ'!AH$403/('Population Treasury'!AG$78*'Statistics NZ'!AG$403)</f>
        <v>21991.070541801295</v>
      </c>
      <c r="Q58" s="46">
        <f>P$58*'Population Treasury'!AI$78*'Statistics NZ'!AI$403/('Population Treasury'!AH$78*'Statistics NZ'!AH$403)</f>
        <v>21320.799625675467</v>
      </c>
      <c r="R58" s="46">
        <f>Q$58*'Population Treasury'!AJ$78*'Statistics NZ'!AJ$403/('Population Treasury'!AI$78*'Statistics NZ'!AI$403)</f>
        <v>21685.575114057188</v>
      </c>
      <c r="S58" s="46">
        <f>R$58*'Population Treasury'!AK$78*'Statistics NZ'!AK$403/('Population Treasury'!AJ$78*'Statistics NZ'!AJ$403)</f>
        <v>21776.434820745486</v>
      </c>
      <c r="T58" s="46">
        <f>S$58*'Population Treasury'!AL$78*'Statistics NZ'!AL$403/('Population Treasury'!AK$78*'Statistics NZ'!AK$403)</f>
        <v>22699.282725384819</v>
      </c>
      <c r="U58" s="46">
        <f>T$58*'Population Treasury'!AM$78*'Statistics NZ'!AM$403/('Population Treasury'!AL$78*'Statistics NZ'!AL$403)</f>
        <v>23256.947512589726</v>
      </c>
      <c r="V58" s="46">
        <f>U$58*'Population Treasury'!AN$78*'Statistics NZ'!AN$403/('Population Treasury'!AM$78*'Statistics NZ'!AM$403)</f>
        <v>23865.357983381884</v>
      </c>
      <c r="W58" s="46">
        <f>V$58*'Population Treasury'!AO$78*'Statistics NZ'!AO$403/('Population Treasury'!AN$78*'Statistics NZ'!AN$403)</f>
        <v>24849.248334536212</v>
      </c>
      <c r="X58" s="46">
        <f>W$58*'Population Treasury'!AP$78*'Statistics NZ'!AP$403/('Population Treasury'!AO$78*'Statistics NZ'!AO$403)</f>
        <v>25701.274107168549</v>
      </c>
      <c r="Y58" s="46">
        <f>X$58*'Population Treasury'!AQ$78*'Statistics NZ'!AQ$403/('Population Treasury'!AP$78*'Statistics NZ'!AP$403)</f>
        <v>26289.437502081961</v>
      </c>
      <c r="Z58" s="46">
        <f>Y$58*'Population Treasury'!AR$78*'Statistics NZ'!AR$403/('Population Treasury'!AQ$78*'Statistics NZ'!AQ$403)</f>
        <v>27303.866242907367</v>
      </c>
      <c r="AA58" s="46">
        <f>Z$58*'Population Treasury'!AS$78*'Statistics NZ'!AS$403/('Population Treasury'!AR$78*'Statistics NZ'!AR$403)</f>
        <v>27841.421786630741</v>
      </c>
      <c r="AB58" s="46">
        <f>AA$58*'Population Treasury'!AT$78*'Statistics NZ'!AT$403/('Population Treasury'!AS$78*'Statistics NZ'!AS$403)</f>
        <v>29058.806889814306</v>
      </c>
      <c r="AC58" s="46">
        <f>AB$58*'Population Treasury'!AU$78*'Statistics NZ'!AU$403/('Population Treasury'!AT$78*'Statistics NZ'!AT$403)</f>
        <v>30712.500607173377</v>
      </c>
      <c r="AD58" s="46">
        <f>AC$58*'Population Treasury'!AV$78*'Statistics NZ'!AV$403/('Population Treasury'!AU$78*'Statistics NZ'!AU$403)</f>
        <v>31483.452370238385</v>
      </c>
      <c r="AE58" s="46">
        <f>AD$58*'Population Treasury'!AW$78*'Statistics NZ'!AW$403/('Population Treasury'!AV$78*'Statistics NZ'!AV$403)</f>
        <v>32741.525466702966</v>
      </c>
      <c r="AF58" s="46">
        <f>AE$58*'Population Treasury'!AX$78*'Statistics NZ'!AX$403/('Population Treasury'!AW$78*'Statistics NZ'!AW$403)</f>
        <v>33370.425497727716</v>
      </c>
      <c r="AG58" s="46">
        <f>AF$58*'Population Treasury'!AY$78*'Statistics NZ'!AY$403/('Population Treasury'!AX$78*'Statistics NZ'!AX$403)</f>
        <v>33147.069675609033</v>
      </c>
      <c r="AH58" s="46">
        <f>AG$58*'Population Treasury'!AZ$78*'Statistics NZ'!AZ$403/('Population Treasury'!AY$78*'Statistics NZ'!AY$403)</f>
        <v>32913.621898185505</v>
      </c>
      <c r="AI58" s="46">
        <f>AH$58*'Population Treasury'!BA$78*'Statistics NZ'!BA$403/('Population Treasury'!AZ$78*'Statistics NZ'!AZ$403)</f>
        <v>32081.496107726667</v>
      </c>
      <c r="AJ58" s="46">
        <f>AI$58*'Population Treasury'!BB$78*'Statistics NZ'!BB$403/('Population Treasury'!BA$78*'Statistics NZ'!BA$403)</f>
        <v>31939.382462502555</v>
      </c>
      <c r="AK58" s="46">
        <f>AJ$58*'Population Treasury'!BC$78*'Statistics NZ'!BC$403/('Population Treasury'!BB$78*'Statistics NZ'!BB$403)</f>
        <v>31259.451698835557</v>
      </c>
      <c r="AL58" s="46">
        <f>AK$58*'Population Treasury'!BD$78*'Statistics NZ'!BD$403/('Population Treasury'!BC$78*'Statistics NZ'!BC$403)</f>
        <v>31188.372262124987</v>
      </c>
      <c r="AM58" s="46">
        <f>AL$58*'Population Treasury'!BE$78*'Statistics NZ'!BE$403/('Population Treasury'!BD$78*'Statistics NZ'!BD$403)</f>
        <v>31005.694062566476</v>
      </c>
      <c r="AN58" s="46">
        <f>AM$58*'Population Treasury'!BF$78*'Statistics NZ'!BF$403/('Population Treasury'!BE$78*'Statistics NZ'!BE$403)</f>
        <v>30295.367623044818</v>
      </c>
      <c r="AO58" s="46">
        <f>AN$58*'Population Treasury'!BG$78*'Statistics NZ'!BG$403/('Population Treasury'!BF$78*'Statistics NZ'!BF$403)</f>
        <v>31431.743664328045</v>
      </c>
      <c r="AP58" s="46">
        <f>AO$58*'Population Treasury'!BH$78*'Statistics NZ'!BH$403/('Population Treasury'!BG$78*'Statistics NZ'!BG$403)</f>
        <v>31238.977995963491</v>
      </c>
      <c r="AQ58" s="46">
        <f>AP$58*'Population Treasury'!BI$78*'Statistics NZ'!BI$403/('Population Treasury'!BH$78*'Statistics NZ'!BH$403)</f>
        <v>30812.755408485373</v>
      </c>
    </row>
    <row r="59" spans="1:43" x14ac:dyDescent="0.25">
      <c r="A59" s="11">
        <v>64</v>
      </c>
      <c r="B59" s="45">
        <f>'Population Treasury'!T$79*'Statistics NZ'!T$404*'Economic Forecasts'!V$8/B$7</f>
        <v>17552.2646608707</v>
      </c>
      <c r="C59" s="45">
        <f>'Population Treasury'!U$79*'Statistics NZ'!U$404*'Economic Forecasts'!W$8/C$7</f>
        <v>18329.616478920518</v>
      </c>
      <c r="D59" s="45">
        <f>'Population Treasury'!V$79*'Statistics NZ'!V$404*'Economic Forecasts'!X$8/D$7</f>
        <v>19143.546044330094</v>
      </c>
      <c r="E59" s="45">
        <f>'Population Treasury'!W$79*'Statistics NZ'!W$404*'Economic Forecasts'!Y$8/E$7</f>
        <v>19599.084914196013</v>
      </c>
      <c r="F59" s="45">
        <f>'Population Treasury'!X$79*'Statistics NZ'!X$404*'Economic Forecasts'!Z$8/F$7</f>
        <v>19449.578225034991</v>
      </c>
      <c r="G59" s="45">
        <f>'Population Treasury'!Y$79*'Statistics NZ'!Y$404*'Economic Forecasts'!AA$8/G$7</f>
        <v>19130.638689635853</v>
      </c>
      <c r="H59" s="46">
        <f>G$59*'Population Treasury'!Z$79*'Statistics NZ'!Z$404/('Population Treasury'!Y$79*'Statistics NZ'!Y$404)</f>
        <v>19063.24514357193</v>
      </c>
      <c r="I59" s="46">
        <f>H$59*'Population Treasury'!AA$79*'Statistics NZ'!AA$404/('Population Treasury'!Z$79*'Statistics NZ'!Z$404)</f>
        <v>19694.216781899326</v>
      </c>
      <c r="J59" s="46">
        <f>I$59*'Population Treasury'!AB$79*'Statistics NZ'!AB$404/('Population Treasury'!AA$79*'Statistics NZ'!AA$404)</f>
        <v>20100.453266065921</v>
      </c>
      <c r="K59" s="46">
        <f>J$59*'Population Treasury'!AC$79*'Statistics NZ'!AC$404/('Population Treasury'!AB$79*'Statistics NZ'!AB$404)</f>
        <v>20718.466547267897</v>
      </c>
      <c r="L59" s="46">
        <f>K$59*'Population Treasury'!AD$79*'Statistics NZ'!AD$404/('Population Treasury'!AC$79*'Statistics NZ'!AC$404)</f>
        <v>20869.775999518562</v>
      </c>
      <c r="M59" s="46">
        <f>L$59*'Population Treasury'!AE$79*'Statistics NZ'!AE$404/('Population Treasury'!AD$79*'Statistics NZ'!AD$404)</f>
        <v>21903.979004238143</v>
      </c>
      <c r="N59" s="46">
        <f>M$59*'Population Treasury'!AF$79*'Statistics NZ'!AF$404/('Population Treasury'!AE$79*'Statistics NZ'!AE$404)</f>
        <v>21771.321328907889</v>
      </c>
      <c r="O59" s="46">
        <f>N$59*'Population Treasury'!AG$79*'Statistics NZ'!AG$404/('Population Treasury'!AF$79*'Statistics NZ'!AF$404)</f>
        <v>21344.513684496076</v>
      </c>
      <c r="P59" s="46">
        <f>O$59*'Population Treasury'!AH$79*'Statistics NZ'!AH$404/('Population Treasury'!AG$79*'Statistics NZ'!AG$404)</f>
        <v>20907.55655030331</v>
      </c>
      <c r="Q59" s="46">
        <f>P$59*'Population Treasury'!AI$79*'Statistics NZ'!AI$404/('Population Treasury'!AH$79*'Statistics NZ'!AH$404)</f>
        <v>20348.840608837178</v>
      </c>
      <c r="R59" s="46">
        <f>Q$59*'Population Treasury'!AJ$79*'Statistics NZ'!AJ$404/('Population Treasury'!AI$79*'Statistics NZ'!AI$404)</f>
        <v>19729.384744681352</v>
      </c>
      <c r="S59" s="46">
        <f>R$59*'Population Treasury'!AK$79*'Statistics NZ'!AK$404/('Population Treasury'!AJ$79*'Statistics NZ'!AJ$404)</f>
        <v>20073.843538402758</v>
      </c>
      <c r="T59" s="46">
        <f>S$59*'Population Treasury'!AL$79*'Statistics NZ'!AL$404/('Population Treasury'!AK$79*'Statistics NZ'!AK$404)</f>
        <v>20164.676919194902</v>
      </c>
      <c r="U59" s="46">
        <f>T$59*'Population Treasury'!AM$79*'Statistics NZ'!AM$404/('Population Treasury'!AL$79*'Statistics NZ'!AL$404)</f>
        <v>21016.556697237796</v>
      </c>
      <c r="V59" s="46">
        <f>U$59*'Population Treasury'!AN$79*'Statistics NZ'!AN$404/('Population Treasury'!AM$79*'Statistics NZ'!AM$404)</f>
        <v>21533.657380608129</v>
      </c>
      <c r="W59" s="46">
        <f>V$59*'Population Treasury'!AO$79*'Statistics NZ'!AO$404/('Population Treasury'!AN$79*'Statistics NZ'!AN$404)</f>
        <v>22101.474587842222</v>
      </c>
      <c r="X59" s="46">
        <f>W$59*'Population Treasury'!AP$79*'Statistics NZ'!AP$404/('Population Treasury'!AO$79*'Statistics NZ'!AO$404)</f>
        <v>23014.351737759152</v>
      </c>
      <c r="Y59" s="46">
        <f>X$59*'Population Treasury'!AQ$79*'Statistics NZ'!AQ$404/('Population Treasury'!AP$79*'Statistics NZ'!AP$404)</f>
        <v>23805.457842685384</v>
      </c>
      <c r="Z59" s="46">
        <f>Y$59*'Population Treasury'!AR$79*'Statistics NZ'!AR$404/('Population Treasury'!AQ$79*'Statistics NZ'!AQ$404)</f>
        <v>24343.011013935371</v>
      </c>
      <c r="AA59" s="46">
        <f>Z$59*'Population Treasury'!AS$79*'Statistics NZ'!AS$404/('Population Treasury'!AR$79*'Statistics NZ'!AR$404)</f>
        <v>25286.359676611468</v>
      </c>
      <c r="AB59" s="46">
        <f>AA$59*'Population Treasury'!AT$79*'Statistics NZ'!AT$404/('Population Treasury'!AS$79*'Statistics NZ'!AS$404)</f>
        <v>25783.350906608652</v>
      </c>
      <c r="AC59" s="46">
        <f>AB$59*'Population Treasury'!AU$79*'Statistics NZ'!AU$404/('Population Treasury'!AT$79*'Statistics NZ'!AT$404)</f>
        <v>26919.568884794957</v>
      </c>
      <c r="AD59" s="46">
        <f>AC$59*'Population Treasury'!AV$79*'Statistics NZ'!AV$404/('Population Treasury'!AU$79*'Statistics NZ'!AU$404)</f>
        <v>28451.481114896997</v>
      </c>
      <c r="AE59" s="46">
        <f>AD$59*'Population Treasury'!AW$79*'Statistics NZ'!AW$404/('Population Treasury'!AV$79*'Statistics NZ'!AV$404)</f>
        <v>29161.592669078971</v>
      </c>
      <c r="AF59" s="46">
        <f>AE$59*'Population Treasury'!AX$79*'Statistics NZ'!AX$404/('Population Treasury'!AW$79*'Statistics NZ'!AW$404)</f>
        <v>30328.349664914997</v>
      </c>
      <c r="AG59" s="46">
        <f>AF$59*'Population Treasury'!AY$79*'Statistics NZ'!AY$404/('Population Treasury'!AX$79*'Statistics NZ'!AX$404)</f>
        <v>30906.555304857626</v>
      </c>
      <c r="AH59" s="46">
        <f>AG$59*'Population Treasury'!AZ$79*'Statistics NZ'!AZ$404/('Population Treasury'!AY$79*'Statistics NZ'!AY$404)</f>
        <v>30703.516553518752</v>
      </c>
      <c r="AI59" s="46">
        <f>AH$59*'Population Treasury'!BA$79*'Statistics NZ'!BA$404/('Population Treasury'!AZ$79*'Statistics NZ'!AZ$404)</f>
        <v>30490.348865312535</v>
      </c>
      <c r="AJ59" s="46">
        <f>AI$59*'Population Treasury'!BB$79*'Statistics NZ'!BB$404/('Population Treasury'!BA$79*'Statistics NZ'!BA$404)</f>
        <v>29719.109381286751</v>
      </c>
      <c r="AK59" s="46">
        <f>AJ$59*'Population Treasury'!BC$79*'Statistics NZ'!BC$404/('Population Treasury'!BB$79*'Statistics NZ'!BB$404)</f>
        <v>29587.147699469657</v>
      </c>
      <c r="AL59" s="46">
        <f>AK$59*'Population Treasury'!BD$79*'Statistics NZ'!BD$404/('Population Treasury'!BC$79*'Statistics NZ'!BC$404)</f>
        <v>28957.991085507452</v>
      </c>
      <c r="AM59" s="46">
        <f>AL$59*'Population Treasury'!BE$79*'Statistics NZ'!BE$404/('Population Treasury'!BD$79*'Statistics NZ'!BD$404)</f>
        <v>28897.072450544929</v>
      </c>
      <c r="AN59" s="46">
        <f>AM$59*'Population Treasury'!BF$79*'Statistics NZ'!BF$404/('Population Treasury'!BE$79*'Statistics NZ'!BE$404)</f>
        <v>28734.648801093888</v>
      </c>
      <c r="AO59" s="46">
        <f>AN$59*'Population Treasury'!BG$79*'Statistics NZ'!BG$404/('Population Treasury'!BF$79*'Statistics NZ'!BF$404)</f>
        <v>28075.108568290943</v>
      </c>
      <c r="AP59" s="46">
        <f>AO$59*'Population Treasury'!BH$79*'Statistics NZ'!BH$404/('Population Treasury'!BG$79*'Statistics NZ'!BG$404)</f>
        <v>29120.214311295247</v>
      </c>
      <c r="AQ59" s="46">
        <f>AP$59*'Population Treasury'!BI$79*'Statistics NZ'!BI$404/('Population Treasury'!BH$79*'Statistics NZ'!BH$404)</f>
        <v>28947.66429103171</v>
      </c>
    </row>
    <row r="60" spans="1:43" x14ac:dyDescent="0.25">
      <c r="A60" s="11">
        <v>65</v>
      </c>
      <c r="B60" s="45">
        <f>'Population Treasury'!T$80*'Statistics NZ'!T$405*'Economic Forecasts'!V$8/B$7</f>
        <v>15524.313763797989</v>
      </c>
      <c r="C60" s="45">
        <f>'Population Treasury'!U$80*'Statistics NZ'!U$405*'Economic Forecasts'!W$8/C$7</f>
        <v>15769.016288857218</v>
      </c>
      <c r="D60" s="45">
        <f>'Population Treasury'!V$80*'Statistics NZ'!V$405*'Economic Forecasts'!X$8/D$7</f>
        <v>16673.635933028516</v>
      </c>
      <c r="E60" s="45">
        <f>'Population Treasury'!W$80*'Statistics NZ'!W$405*'Economic Forecasts'!Y$8/E$7</f>
        <v>17475.727669013315</v>
      </c>
      <c r="F60" s="45">
        <f>'Population Treasury'!X$80*'Statistics NZ'!X$405*'Economic Forecasts'!Z$8/F$7</f>
        <v>17870.102315607455</v>
      </c>
      <c r="G60" s="45">
        <f>'Population Treasury'!Y$80*'Statistics NZ'!Y$405*'Economic Forecasts'!AA$8/G$7</f>
        <v>17729.012850944608</v>
      </c>
      <c r="H60" s="46">
        <f>G$60*'Population Treasury'!Z$80*'Statistics NZ'!Z$405/('Population Treasury'!Y$80*'Statistics NZ'!Y$405)</f>
        <v>17395.182225530116</v>
      </c>
      <c r="I60" s="46">
        <f>H$60*'Population Treasury'!AA$80*'Statistics NZ'!AA$405/('Population Treasury'!Z$80*'Statistics NZ'!Z$405)</f>
        <v>17344.596620954992</v>
      </c>
      <c r="J60" s="46">
        <f>I$60*'Population Treasury'!AB$80*'Statistics NZ'!AB$405/('Population Treasury'!AA$80*'Statistics NZ'!AA$405)</f>
        <v>17922.557785993613</v>
      </c>
      <c r="K60" s="46">
        <f>J$60*'Population Treasury'!AC$80*'Statistics NZ'!AC$405/('Population Treasury'!AB$80*'Statistics NZ'!AB$405)</f>
        <v>18296.969865683404</v>
      </c>
      <c r="L60" s="46">
        <f>K$60*'Population Treasury'!AD$80*'Statistics NZ'!AD$405/('Population Treasury'!AC$80*'Statistics NZ'!AC$405)</f>
        <v>18864.237255733766</v>
      </c>
      <c r="M60" s="46">
        <f>L$60*'Population Treasury'!AE$80*'Statistics NZ'!AE$405/('Population Treasury'!AD$80*'Statistics NZ'!AD$405)</f>
        <v>19005.386436122215</v>
      </c>
      <c r="N60" s="46">
        <f>M$60*'Population Treasury'!AF$80*'Statistics NZ'!AF$405/('Population Treasury'!AE$80*'Statistics NZ'!AE$405)</f>
        <v>19958.358895844336</v>
      </c>
      <c r="O60" s="46">
        <f>N$60*'Population Treasury'!AG$80*'Statistics NZ'!AG$405/('Population Treasury'!AF$80*'Statistics NZ'!AF$405)</f>
        <v>19835.867554071494</v>
      </c>
      <c r="P60" s="46">
        <f>O$60*'Population Treasury'!AH$80*'Statistics NZ'!AH$405/('Population Treasury'!AG$80*'Statistics NZ'!AG$405)</f>
        <v>19459.73403811561</v>
      </c>
      <c r="Q60" s="46">
        <f>P$60*'Population Treasury'!AI$80*'Statistics NZ'!AI$405/('Population Treasury'!AH$80*'Statistics NZ'!AH$405)</f>
        <v>19063.395735330592</v>
      </c>
      <c r="R60" s="46">
        <f>Q$60*'Population Treasury'!AJ$80*'Statistics NZ'!AJ$405/('Population Treasury'!AI$80*'Statistics NZ'!AI$405)</f>
        <v>18555.449700780926</v>
      </c>
      <c r="S60" s="46">
        <f>R$60*'Population Treasury'!AK$80*'Statistics NZ'!AK$405/('Population Treasury'!AJ$80*'Statistics NZ'!AJ$405)</f>
        <v>17996.811245673587</v>
      </c>
      <c r="T60" s="46">
        <f>S$60*'Population Treasury'!AL$80*'Statistics NZ'!AL$405/('Population Treasury'!AK$80*'Statistics NZ'!AK$405)</f>
        <v>18310.899068437768</v>
      </c>
      <c r="U60" s="46">
        <f>T$60*'Population Treasury'!AM$80*'Statistics NZ'!AM$405/('Population Treasury'!AL$80*'Statistics NZ'!AL$405)</f>
        <v>18401.668719827459</v>
      </c>
      <c r="V60" s="46">
        <f>U$60*'Population Treasury'!AN$80*'Statistics NZ'!AN$405/('Population Treasury'!AM$80*'Statistics NZ'!AM$405)</f>
        <v>19182.511088624065</v>
      </c>
      <c r="W60" s="46">
        <f>V$60*'Population Treasury'!AO$80*'Statistics NZ'!AO$405/('Population Treasury'!AN$80*'Statistics NZ'!AN$405)</f>
        <v>19648.938375620444</v>
      </c>
      <c r="X60" s="46">
        <f>W$60*'Population Treasury'!AP$80*'Statistics NZ'!AP$405/('Population Treasury'!AO$80*'Statistics NZ'!AO$405)</f>
        <v>20176.106973189293</v>
      </c>
      <c r="Y60" s="46">
        <f>X$60*'Population Treasury'!AQ$80*'Statistics NZ'!AQ$405/('Population Treasury'!AP$80*'Statistics NZ'!AP$405)</f>
        <v>21007.791922615368</v>
      </c>
      <c r="Z60" s="46">
        <f>Y$60*'Population Treasury'!AR$80*'Statistics NZ'!AR$405/('Population Treasury'!AQ$80*'Statistics NZ'!AQ$405)</f>
        <v>21727.949726569204</v>
      </c>
      <c r="AA60" s="46">
        <f>Z$60*'Population Treasury'!AS$80*'Statistics NZ'!AS$405/('Population Treasury'!AR$80*'Statistics NZ'!AR$405)</f>
        <v>22224.831833892109</v>
      </c>
      <c r="AB60" s="46">
        <f>AA$60*'Population Treasury'!AT$80*'Statistics NZ'!AT$405/('Population Treasury'!AS$80*'Statistics NZ'!AS$405)</f>
        <v>23087.060935479098</v>
      </c>
      <c r="AC60" s="46">
        <f>AB$60*'Population Treasury'!AU$80*'Statistics NZ'!AU$405/('Population Treasury'!AT$80*'Statistics NZ'!AT$405)</f>
        <v>23543.454499674302</v>
      </c>
      <c r="AD60" s="46">
        <f>AC$60*'Population Treasury'!AV$80*'Statistics NZ'!AV$405/('Population Treasury'!AU$80*'Statistics NZ'!AU$405)</f>
        <v>24578.196905972269</v>
      </c>
      <c r="AE60" s="46">
        <f>AD$60*'Population Treasury'!AW$80*'Statistics NZ'!AW$405/('Population Treasury'!AV$80*'Statistics NZ'!AV$405)</f>
        <v>25978.252925958663</v>
      </c>
      <c r="AF60" s="46">
        <f>AE$60*'Population Treasury'!AX$80*'Statistics NZ'!AX$405/('Population Treasury'!AW$80*'Statistics NZ'!AW$405)</f>
        <v>26627.448305712966</v>
      </c>
      <c r="AG60" s="46">
        <f>AF$60*'Population Treasury'!AY$80*'Statistics NZ'!AY$405/('Population Treasury'!AX$80*'Statistics NZ'!AX$405)</f>
        <v>27692.751365479682</v>
      </c>
      <c r="AH60" s="46">
        <f>AG$60*'Population Treasury'!AZ$80*'Statistics NZ'!AZ$405/('Population Treasury'!AY$80*'Statistics NZ'!AY$405)</f>
        <v>28220.233690753706</v>
      </c>
      <c r="AI60" s="46">
        <f>AH$60*'Population Treasury'!BA$80*'Statistics NZ'!BA$405/('Population Treasury'!AZ$80*'Statistics NZ'!AZ$405)</f>
        <v>28037.471914365749</v>
      </c>
      <c r="AJ60" s="46">
        <f>AI$60*'Population Treasury'!BB$80*'Statistics NZ'!BB$405/('Population Treasury'!BA$80*'Statistics NZ'!BA$405)</f>
        <v>27844.623382125934</v>
      </c>
      <c r="AK60" s="46">
        <f>AJ$60*'Population Treasury'!BC$80*'Statistics NZ'!BC$405/('Population Treasury'!BB$80*'Statistics NZ'!BB$405)</f>
        <v>27144.418537573103</v>
      </c>
      <c r="AL60" s="46">
        <f>AK$60*'Population Treasury'!BD$80*'Statistics NZ'!BD$405/('Population Treasury'!BC$80*'Statistics NZ'!BC$405)</f>
        <v>27022.611430453264</v>
      </c>
      <c r="AM60" s="46">
        <f>AL$60*'Population Treasury'!BE$80*'Statistics NZ'!BE$405/('Population Treasury'!BD$80*'Statistics NZ'!BD$405)</f>
        <v>26454.330097278984</v>
      </c>
      <c r="AN60" s="46">
        <f>AM$60*'Population Treasury'!BF$80*'Statistics NZ'!BF$405/('Population Treasury'!BE$80*'Statistics NZ'!BE$405)</f>
        <v>26393.445453964276</v>
      </c>
      <c r="AO60" s="46">
        <f>AN$60*'Population Treasury'!BG$80*'Statistics NZ'!BG$405/('Population Treasury'!BF$80*'Statistics NZ'!BF$405)</f>
        <v>26251.275089698134</v>
      </c>
      <c r="AP60" s="46">
        <f>AO$60*'Population Treasury'!BH$80*'Statistics NZ'!BH$405/('Population Treasury'!BG$80*'Statistics NZ'!BG$405)</f>
        <v>25652.585368011441</v>
      </c>
      <c r="AQ60" s="46">
        <f>AP$60*'Population Treasury'!BI$80*'Statistics NZ'!BI$405/('Population Treasury'!BH$80*'Statistics NZ'!BH$405)</f>
        <v>26606.384562321884</v>
      </c>
    </row>
    <row r="61" spans="1:43" x14ac:dyDescent="0.25">
      <c r="A61" s="11">
        <v>66</v>
      </c>
      <c r="B61" s="45">
        <f>'Population Treasury'!T$81*'Statistics NZ'!T$406*'Economic Forecasts'!V$8/B$7</f>
        <v>13186.675783921073</v>
      </c>
      <c r="C61" s="45">
        <f>'Population Treasury'!U$81*'Statistics NZ'!U$406*'Economic Forecasts'!W$8/C$7</f>
        <v>13660.649492051518</v>
      </c>
      <c r="D61" s="45">
        <f>'Population Treasury'!V$81*'Statistics NZ'!V$406*'Economic Forecasts'!X$8/D$7</f>
        <v>14052.212921436279</v>
      </c>
      <c r="E61" s="45">
        <f>'Population Treasury'!W$81*'Statistics NZ'!W$406*'Economic Forecasts'!Y$8/E$7</f>
        <v>14909.478826243168</v>
      </c>
      <c r="F61" s="45">
        <f>'Population Treasury'!X$81*'Statistics NZ'!X$406*'Economic Forecasts'!Z$8/F$7</f>
        <v>15613.832112572145</v>
      </c>
      <c r="G61" s="45">
        <f>'Population Treasury'!Y$81*'Statistics NZ'!Y$406*'Economic Forecasts'!AA$8/G$7</f>
        <v>15949.02571918041</v>
      </c>
      <c r="H61" s="46">
        <f>G$61*'Population Treasury'!Z$81*'Statistics NZ'!Z$406/('Population Treasury'!Y$81*'Statistics NZ'!Y$406)</f>
        <v>15787.402608682663</v>
      </c>
      <c r="I61" s="46">
        <f>H$61*'Population Treasury'!AA$81*'Statistics NZ'!AA$406/('Population Treasury'!Z$81*'Statistics NZ'!Z$406)</f>
        <v>15493.254438277614</v>
      </c>
      <c r="J61" s="46">
        <f>I$61*'Population Treasury'!AB$81*'Statistics NZ'!AB$406/('Population Treasury'!AA$81*'Statistics NZ'!AA$406)</f>
        <v>15452.106763071224</v>
      </c>
      <c r="K61" s="46">
        <f>J$61*'Population Treasury'!AC$81*'Statistics NZ'!AC$406/('Population Treasury'!AB$81*'Statistics NZ'!AB$406)</f>
        <v>15978.707388861703</v>
      </c>
      <c r="L61" s="46">
        <f>K$61*'Population Treasury'!AD$81*'Statistics NZ'!AD$406/('Population Treasury'!AC$81*'Statistics NZ'!AC$406)</f>
        <v>16312.677299470844</v>
      </c>
      <c r="M61" s="46">
        <f>L$61*'Population Treasury'!AE$81*'Statistics NZ'!AE$406/('Population Treasury'!AD$81*'Statistics NZ'!AD$406)</f>
        <v>16819.156544513069</v>
      </c>
      <c r="N61" s="46">
        <f>M$61*'Population Treasury'!AF$81*'Statistics NZ'!AF$406/('Population Treasury'!AE$81*'Statistics NZ'!AE$406)</f>
        <v>16950.197544495055</v>
      </c>
      <c r="O61" s="46">
        <f>N$61*'Population Treasury'!AG$81*'Statistics NZ'!AG$406/('Population Treasury'!AF$81*'Statistics NZ'!AF$406)</f>
        <v>17801.784197848494</v>
      </c>
      <c r="P61" s="46">
        <f>O$61*'Population Treasury'!AH$81*'Statistics NZ'!AH$406/('Population Treasury'!AG$81*'Statistics NZ'!AG$406)</f>
        <v>17699.632636560007</v>
      </c>
      <c r="Q61" s="46">
        <f>P$61*'Population Treasury'!AI$81*'Statistics NZ'!AI$406/('Population Treasury'!AH$81*'Statistics NZ'!AH$406)</f>
        <v>17364.139009050101</v>
      </c>
      <c r="R61" s="46">
        <f>Q$61*'Population Treasury'!AJ$81*'Statistics NZ'!AJ$406/('Population Treasury'!AI$81*'Statistics NZ'!AI$406)</f>
        <v>17018.555434698272</v>
      </c>
      <c r="S61" s="46">
        <f>R$61*'Population Treasury'!AK$81*'Statistics NZ'!AK$406/('Population Treasury'!AJ$81*'Statistics NZ'!AJ$406)</f>
        <v>16571.474752444596</v>
      </c>
      <c r="T61" s="46">
        <f>S$61*'Population Treasury'!AL$81*'Statistics NZ'!AL$406/('Population Treasury'!AK$81*'Statistics NZ'!AK$406)</f>
        <v>16073.84230402245</v>
      </c>
      <c r="U61" s="46">
        <f>T$61*'Population Treasury'!AM$81*'Statistics NZ'!AM$406/('Population Treasury'!AL$81*'Statistics NZ'!AL$406)</f>
        <v>16357.458261960099</v>
      </c>
      <c r="V61" s="46">
        <f>U$61*'Population Treasury'!AN$81*'Statistics NZ'!AN$406/('Population Treasury'!AM$81*'Statistics NZ'!AM$406)</f>
        <v>16428.130726849649</v>
      </c>
      <c r="W61" s="46">
        <f>V$61*'Population Treasury'!AO$81*'Statistics NZ'!AO$406/('Population Treasury'!AN$81*'Statistics NZ'!AN$406)</f>
        <v>17127.830115539015</v>
      </c>
      <c r="X61" s="46">
        <f>W$61*'Population Treasury'!AP$81*'Statistics NZ'!AP$406/('Population Treasury'!AO$81*'Statistics NZ'!AO$406)</f>
        <v>17553.579082541288</v>
      </c>
      <c r="Y61" s="46">
        <f>X$61*'Population Treasury'!AQ$81*'Statistics NZ'!AQ$406/('Population Treasury'!AP$81*'Statistics NZ'!AP$406)</f>
        <v>18020.001789876715</v>
      </c>
      <c r="Z61" s="46">
        <f>Y$61*'Population Treasury'!AR$81*'Statistics NZ'!AR$406/('Population Treasury'!AQ$81*'Statistics NZ'!AQ$406)</f>
        <v>18760.42847389356</v>
      </c>
      <c r="AA61" s="46">
        <f>Z$61*'Population Treasury'!AS$81*'Statistics NZ'!AS$406/('Population Treasury'!AR$81*'Statistics NZ'!AR$406)</f>
        <v>19409.50195334624</v>
      </c>
      <c r="AB61" s="46">
        <f>AA$61*'Population Treasury'!AT$81*'Statistics NZ'!AT$406/('Population Treasury'!AS$81*'Statistics NZ'!AS$406)</f>
        <v>19855.709091922607</v>
      </c>
      <c r="AC61" s="46">
        <f>AB$61*'Population Treasury'!AU$81*'Statistics NZ'!AU$406/('Population Treasury'!AT$81*'Statistics NZ'!AT$406)</f>
        <v>20626.604565489819</v>
      </c>
      <c r="AD61" s="46">
        <f>AC$61*'Population Treasury'!AV$81*'Statistics NZ'!AV$406/('Population Treasury'!AU$81*'Statistics NZ'!AU$406)</f>
        <v>21032.34387939814</v>
      </c>
      <c r="AE61" s="46">
        <f>AD$61*'Population Treasury'!AW$81*'Statistics NZ'!AW$406/('Population Treasury'!AV$81*'Statistics NZ'!AV$406)</f>
        <v>21955.473678092851</v>
      </c>
      <c r="AF61" s="46">
        <f>AE$61*'Population Treasury'!AX$81*'Statistics NZ'!AX$406/('Population Treasury'!AW$81*'Statistics NZ'!AW$406)</f>
        <v>23203.379956266475</v>
      </c>
      <c r="AG61" s="46">
        <f>AF$61*'Population Treasury'!AY$81*'Statistics NZ'!AY$406/('Population Treasury'!AX$81*'Statistics NZ'!AX$406)</f>
        <v>23781.583165268908</v>
      </c>
      <c r="AH61" s="46">
        <f>AG$61*'Population Treasury'!AZ$81*'Statistics NZ'!AZ$406/('Population Treasury'!AY$81*'Statistics NZ'!AY$406)</f>
        <v>24735.243719632163</v>
      </c>
      <c r="AI61" s="46">
        <f>AH$61*'Population Treasury'!BA$81*'Statistics NZ'!BA$406/('Population Treasury'!AZ$81*'Statistics NZ'!AZ$406)</f>
        <v>25212.010334380193</v>
      </c>
      <c r="AJ61" s="46">
        <f>AI$61*'Population Treasury'!BB$81*'Statistics NZ'!BB$406/('Population Treasury'!BA$81*'Statistics NZ'!BA$406)</f>
        <v>25049.579892925838</v>
      </c>
      <c r="AK61" s="46">
        <f>AJ$61*'Population Treasury'!BC$81*'Statistics NZ'!BC$406/('Population Treasury'!BB$81*'Statistics NZ'!BB$406)</f>
        <v>24876.996244639668</v>
      </c>
      <c r="AL61" s="46">
        <f>AK$61*'Population Treasury'!BD$81*'Statistics NZ'!BD$406/('Population Treasury'!BC$81*'Statistics NZ'!BC$406)</f>
        <v>24257.959097668831</v>
      </c>
      <c r="AM61" s="46">
        <f>AL$61*'Population Treasury'!BE$81*'Statistics NZ'!BE$406/('Population Treasury'!BD$81*'Statistics NZ'!BD$406)</f>
        <v>24146.354842186822</v>
      </c>
      <c r="AN61" s="46">
        <f>AM$61*'Population Treasury'!BF$81*'Statistics NZ'!BF$406/('Population Treasury'!BE$81*'Statistics NZ'!BE$406)</f>
        <v>23638.952888222822</v>
      </c>
      <c r="AO61" s="46">
        <f>AN$61*'Population Treasury'!BG$81*'Statistics NZ'!BG$406/('Population Treasury'!BF$81*'Statistics NZ'!BF$406)</f>
        <v>23588.190931202185</v>
      </c>
      <c r="AP61" s="46">
        <f>AO$61*'Population Treasury'!BH$81*'Statistics NZ'!BH$406/('Population Treasury'!BG$81*'Statistics NZ'!BG$406)</f>
        <v>23456.245430378807</v>
      </c>
      <c r="AQ61" s="46">
        <f>AP$61*'Population Treasury'!BI$81*'Statistics NZ'!BI$406/('Population Treasury'!BH$81*'Statistics NZ'!BH$406)</f>
        <v>22928.56997739066</v>
      </c>
    </row>
    <row r="62" spans="1:43" x14ac:dyDescent="0.25">
      <c r="A62" s="11">
        <v>67</v>
      </c>
      <c r="B62" s="45">
        <f>'Population Treasury'!T$82*'Statistics NZ'!T$407*'Economic Forecasts'!V$8/B$7</f>
        <v>11348.533098889648</v>
      </c>
      <c r="C62" s="45">
        <f>'Population Treasury'!U$82*'Statistics NZ'!U$407*'Economic Forecasts'!W$8/C$7</f>
        <v>11700.835801459683</v>
      </c>
      <c r="D62" s="45">
        <f>'Population Treasury'!V$82*'Statistics NZ'!V$407*'Economic Forecasts'!X$8/D$7</f>
        <v>12284.619600950949</v>
      </c>
      <c r="E62" s="45">
        <f>'Population Treasury'!W$82*'Statistics NZ'!W$407*'Economic Forecasts'!Y$8/E$7</f>
        <v>12672.778682461572</v>
      </c>
      <c r="F62" s="45">
        <f>'Population Treasury'!X$82*'Statistics NZ'!X$407*'Economic Forecasts'!Z$8/F$7</f>
        <v>13427.828241118061</v>
      </c>
      <c r="G62" s="45">
        <f>'Population Treasury'!Y$82*'Statistics NZ'!Y$407*'Economic Forecasts'!AA$8/G$7</f>
        <v>14038.400688215868</v>
      </c>
      <c r="H62" s="46">
        <f>G$62*'Population Treasury'!Z$82*'Statistics NZ'!Z$407/('Population Treasury'!Y$82*'Statistics NZ'!Y$407)</f>
        <v>14312.952327737528</v>
      </c>
      <c r="I62" s="46">
        <f>H$62*'Population Treasury'!AA$82*'Statistics NZ'!AA$407/('Population Treasury'!Z$82*'Statistics NZ'!Z$407)</f>
        <v>14170.832295395947</v>
      </c>
      <c r="J62" s="46">
        <f>I$62*'Population Treasury'!AB$82*'Statistics NZ'!AB$407/('Population Treasury'!AA$82*'Statistics NZ'!AA$407)</f>
        <v>13916.643905053661</v>
      </c>
      <c r="K62" s="46">
        <f>J$62*'Population Treasury'!AC$82*'Statistics NZ'!AC$407/('Population Treasury'!AB$82*'Statistics NZ'!AB$407)</f>
        <v>13875.140070921927</v>
      </c>
      <c r="L62" s="46">
        <f>K$62*'Population Treasury'!AD$82*'Statistics NZ'!AD$407/('Population Treasury'!AC$82*'Statistics NZ'!AC$407)</f>
        <v>14351.108446044347</v>
      </c>
      <c r="M62" s="46">
        <f>L$62*'Population Treasury'!AE$82*'Statistics NZ'!AE$407/('Population Treasury'!AD$82*'Statistics NZ'!AD$407)</f>
        <v>14654.711250799788</v>
      </c>
      <c r="N62" s="46">
        <f>M$62*'Population Treasury'!AF$82*'Statistics NZ'!AF$407/('Population Treasury'!AE$82*'Statistics NZ'!AE$407)</f>
        <v>15110.558038458112</v>
      </c>
      <c r="O62" s="46">
        <f>N$62*'Population Treasury'!AG$82*'Statistics NZ'!AG$407/('Population Treasury'!AF$82*'Statistics NZ'!AF$407)</f>
        <v>15231.562448736453</v>
      </c>
      <c r="P62" s="46">
        <f>O$62*'Population Treasury'!AH$82*'Statistics NZ'!AH$407/('Population Treasury'!AG$82*'Statistics NZ'!AG$407)</f>
        <v>16001.996638468534</v>
      </c>
      <c r="Q62" s="46">
        <f>P$62*'Population Treasury'!AI$82*'Statistics NZ'!AI$407/('Population Treasury'!AH$82*'Statistics NZ'!AH$407)</f>
        <v>15910.103014456008</v>
      </c>
      <c r="R62" s="46">
        <f>Q$62*'Population Treasury'!AJ$82*'Statistics NZ'!AJ$407/('Population Treasury'!AI$82*'Statistics NZ'!AI$407)</f>
        <v>15615.241825459592</v>
      </c>
      <c r="S62" s="46">
        <f>R$62*'Population Treasury'!AK$82*'Statistics NZ'!AK$407/('Population Treasury'!AJ$82*'Statistics NZ'!AJ$407)</f>
        <v>15300.191473544437</v>
      </c>
      <c r="T62" s="46">
        <f>S$62*'Population Treasury'!AL$82*'Statistics NZ'!AL$407/('Population Treasury'!AK$82*'Statistics NZ'!AK$407)</f>
        <v>14903.935839117474</v>
      </c>
      <c r="U62" s="46">
        <f>T$62*'Population Treasury'!AM$82*'Statistics NZ'!AM$407/('Population Treasury'!AL$82*'Statistics NZ'!AL$407)</f>
        <v>14457.067618549134</v>
      </c>
      <c r="V62" s="46">
        <f>U$62*'Population Treasury'!AN$82*'Statistics NZ'!AN$407/('Population Treasury'!AM$82*'Statistics NZ'!AM$407)</f>
        <v>14710.364453528859</v>
      </c>
      <c r="W62" s="46">
        <f>V$62*'Population Treasury'!AO$82*'Statistics NZ'!AO$407/('Population Treasury'!AN$82*'Statistics NZ'!AN$407)</f>
        <v>14780.968849961495</v>
      </c>
      <c r="X62" s="46">
        <f>W$62*'Population Treasury'!AP$82*'Statistics NZ'!AP$407/('Population Treasury'!AO$82*'Statistics NZ'!AO$407)</f>
        <v>15409.710011218298</v>
      </c>
      <c r="Y62" s="46">
        <f>X$62*'Population Treasury'!AQ$82*'Statistics NZ'!AQ$407/('Population Treasury'!AP$82*'Statistics NZ'!AP$407)</f>
        <v>15794.949170750482</v>
      </c>
      <c r="Z62" s="46">
        <f>Y$62*'Population Treasury'!AR$82*'Statistics NZ'!AR$407/('Population Treasury'!AQ$82*'Statistics NZ'!AQ$407)</f>
        <v>16210.715163822473</v>
      </c>
      <c r="AA62" s="46">
        <f>Z$62*'Population Treasury'!AS$82*'Statistics NZ'!AS$407/('Population Treasury'!AR$82*'Statistics NZ'!AR$407)</f>
        <v>16880.131437623782</v>
      </c>
      <c r="AB62" s="46">
        <f>AA$62*'Population Treasury'!AT$82*'Statistics NZ'!AT$407/('Population Treasury'!AS$82*'Statistics NZ'!AS$407)</f>
        <v>17458.268558055985</v>
      </c>
      <c r="AC62" s="46">
        <f>AB$62*'Population Treasury'!AU$82*'Statistics NZ'!AU$407/('Population Treasury'!AT$82*'Statistics NZ'!AT$407)</f>
        <v>17863.852862439282</v>
      </c>
      <c r="AD62" s="46">
        <f>AC$62*'Population Treasury'!AV$82*'Statistics NZ'!AV$407/('Population Treasury'!AU$82*'Statistics NZ'!AU$407)</f>
        <v>18553.678404031994</v>
      </c>
      <c r="AE62" s="46">
        <f>AD$62*'Population Treasury'!AW$82*'Statistics NZ'!AW$407/('Population Treasury'!AV$82*'Statistics NZ'!AV$407)</f>
        <v>18918.81356040324</v>
      </c>
      <c r="AF62" s="46">
        <f>AE$62*'Population Treasury'!AX$82*'Statistics NZ'!AX$407/('Population Treasury'!AW$82*'Statistics NZ'!AW$407)</f>
        <v>19750.649911408076</v>
      </c>
      <c r="AG62" s="46">
        <f>AF$62*'Population Treasury'!AY$82*'Statistics NZ'!AY$407/('Population Treasury'!AX$82*'Statistics NZ'!AX$407)</f>
        <v>20876.77107056696</v>
      </c>
      <c r="AH62" s="46">
        <f>AG$62*'Population Treasury'!AZ$82*'Statistics NZ'!AZ$407/('Population Treasury'!AY$82*'Statistics NZ'!AY$407)</f>
        <v>21394.168906625531</v>
      </c>
      <c r="AI62" s="46">
        <f>AH$62*'Population Treasury'!BA$82*'Statistics NZ'!BA$407/('Population Treasury'!AZ$82*'Statistics NZ'!AZ$407)</f>
        <v>22256.506649303239</v>
      </c>
      <c r="AJ62" s="46">
        <f>AI$62*'Population Treasury'!BB$82*'Statistics NZ'!BB$407/('Population Treasury'!BA$82*'Statistics NZ'!BA$407)</f>
        <v>22672.461102235859</v>
      </c>
      <c r="AK62" s="46">
        <f>AJ$62*'Population Treasury'!BC$82*'Statistics NZ'!BC$407/('Population Treasury'!BB$82*'Statistics NZ'!BB$407)</f>
        <v>22530.337588357415</v>
      </c>
      <c r="AL62" s="46">
        <f>AK$62*'Population Treasury'!BD$82*'Statistics NZ'!BD$407/('Population Treasury'!BC$82*'Statistics NZ'!BC$407)</f>
        <v>22378.06780786422</v>
      </c>
      <c r="AM62" s="46">
        <f>AL$62*'Population Treasury'!BE$82*'Statistics NZ'!BE$407/('Population Treasury'!BD$82*'Statistics NZ'!BD$407)</f>
        <v>21819.954061299009</v>
      </c>
      <c r="AN62" s="46">
        <f>AM$62*'Population Treasury'!BF$82*'Statistics NZ'!BF$407/('Population Treasury'!BE$82*'Statistics NZ'!BE$407)</f>
        <v>21728.584124879053</v>
      </c>
      <c r="AO62" s="46">
        <f>AN$62*'Population Treasury'!BG$82*'Statistics NZ'!BG$407/('Population Treasury'!BF$82*'Statistics NZ'!BF$407)</f>
        <v>21271.919169800753</v>
      </c>
      <c r="AP62" s="46">
        <f>AO$62*'Population Treasury'!BH$82*'Statistics NZ'!BH$407/('Population Treasury'!BG$82*'Statistics NZ'!BG$407)</f>
        <v>21231.30597695387</v>
      </c>
      <c r="AQ62" s="46">
        <f>AP$62*'Population Treasury'!BI$82*'Statistics NZ'!BI$407/('Population Treasury'!BH$82*'Statistics NZ'!BH$407)</f>
        <v>21109.530108827719</v>
      </c>
    </row>
    <row r="63" spans="1:43" x14ac:dyDescent="0.25">
      <c r="A63" s="11">
        <v>68</v>
      </c>
      <c r="B63" s="45">
        <f>'Population Treasury'!T$83*'Statistics NZ'!T$408*'Economic Forecasts'!V$8/B$7</f>
        <v>9710.1885317964261</v>
      </c>
      <c r="C63" s="45">
        <f>'Population Treasury'!U$83*'Statistics NZ'!U$408*'Economic Forecasts'!W$8/C$7</f>
        <v>9998.3255667081266</v>
      </c>
      <c r="D63" s="45">
        <f>'Population Treasury'!V$83*'Statistics NZ'!V$408*'Economic Forecasts'!X$8/D$7</f>
        <v>10437.641406200211</v>
      </c>
      <c r="E63" s="45">
        <f>'Population Treasury'!W$83*'Statistics NZ'!W$408*'Economic Forecasts'!Y$8/E$7</f>
        <v>10985.157906913764</v>
      </c>
      <c r="F63" s="45">
        <f>'Population Treasury'!X$83*'Statistics NZ'!X$408*'Economic Forecasts'!Z$8/F$7</f>
        <v>11322.051668756569</v>
      </c>
      <c r="G63" s="45">
        <f>'Population Treasury'!Y$83*'Statistics NZ'!Y$408*'Economic Forecasts'!AA$8/G$7</f>
        <v>11976.978988955267</v>
      </c>
      <c r="H63" s="46">
        <f>G$63*'Population Treasury'!Z$83*'Statistics NZ'!Z$408/('Population Treasury'!Y$83*'Statistics NZ'!Y$408)</f>
        <v>12494.983736347578</v>
      </c>
      <c r="I63" s="46">
        <f>H$63*'Population Treasury'!AA$83*'Statistics NZ'!AA$408/('Population Treasury'!Z$83*'Statistics NZ'!Z$408)</f>
        <v>12738.433561748005</v>
      </c>
      <c r="J63" s="46">
        <f>I$63*'Population Treasury'!AB$83*'Statistics NZ'!AB$408/('Population Treasury'!AA$83*'Statistics NZ'!AA$408)</f>
        <v>12616.171845701241</v>
      </c>
      <c r="K63" s="46">
        <f>J$63*'Population Treasury'!AC$83*'Statistics NZ'!AC$408/('Population Treasury'!AB$83*'Statistics NZ'!AB$408)</f>
        <v>12392.068516707535</v>
      </c>
      <c r="L63" s="46">
        <f>K$63*'Population Treasury'!AD$83*'Statistics NZ'!AD$408/('Population Treasury'!AC$83*'Statistics NZ'!AC$408)</f>
        <v>12360.82034407536</v>
      </c>
      <c r="M63" s="46">
        <f>L$63*'Population Treasury'!AE$83*'Statistics NZ'!AE$408/('Population Treasury'!AD$83*'Statistics NZ'!AD$408)</f>
        <v>12776.126722848767</v>
      </c>
      <c r="N63" s="46">
        <f>M$63*'Population Treasury'!AF$83*'Statistics NZ'!AF$408/('Population Treasury'!AE$83*'Statistics NZ'!AE$408)</f>
        <v>13049.383779026872</v>
      </c>
      <c r="O63" s="46">
        <f>N$63*'Population Treasury'!AG$83*'Statistics NZ'!AG$408/('Population Treasury'!AF$83*'Statistics NZ'!AF$408)</f>
        <v>13454.620845746971</v>
      </c>
      <c r="P63" s="46">
        <f>O$63*'Population Treasury'!AH$83*'Statistics NZ'!AH$408/('Population Treasury'!AG$83*'Statistics NZ'!AG$408)</f>
        <v>13565.559589529919</v>
      </c>
      <c r="Q63" s="46">
        <f>P$63*'Population Treasury'!AI$83*'Statistics NZ'!AI$408/('Population Treasury'!AH$83*'Statistics NZ'!AH$408)</f>
        <v>14244.849186565445</v>
      </c>
      <c r="R63" s="46">
        <f>Q$63*'Population Treasury'!AJ$83*'Statistics NZ'!AJ$408/('Population Treasury'!AI$83*'Statistics NZ'!AI$408)</f>
        <v>14173.243625948186</v>
      </c>
      <c r="S63" s="46">
        <f>R$63*'Population Treasury'!AK$83*'Statistics NZ'!AK$408/('Population Treasury'!AJ$83*'Statistics NZ'!AJ$408)</f>
        <v>13908.94495505132</v>
      </c>
      <c r="T63" s="46">
        <f>S$63*'Population Treasury'!AL$83*'Statistics NZ'!AL$408/('Population Treasury'!AK$83*'Statistics NZ'!AK$408)</f>
        <v>13624.462735781017</v>
      </c>
      <c r="U63" s="46">
        <f>T$63*'Population Treasury'!AM$83*'Statistics NZ'!AM$408/('Population Treasury'!AL$83*'Statistics NZ'!AL$408)</f>
        <v>13268.916657862841</v>
      </c>
      <c r="V63" s="46">
        <f>U$63*'Population Treasury'!AN$83*'Statistics NZ'!AN$408/('Population Treasury'!AM$83*'Statistics NZ'!AM$408)</f>
        <v>12882.906283949078</v>
      </c>
      <c r="W63" s="46">
        <f>V$63*'Population Treasury'!AO$83*'Statistics NZ'!AO$408/('Population Treasury'!AN$83*'Statistics NZ'!AN$408)</f>
        <v>13105.845212977769</v>
      </c>
      <c r="X63" s="46">
        <f>W$63*'Population Treasury'!AP$83*'Statistics NZ'!AP$408/('Population Treasury'!AO$83*'Statistics NZ'!AO$408)</f>
        <v>13166.421761360918</v>
      </c>
      <c r="Y63" s="46">
        <f>X$63*'Population Treasury'!AQ$83*'Statistics NZ'!AQ$408/('Population Treasury'!AP$83*'Statistics NZ'!AP$408)</f>
        <v>13724.18177002839</v>
      </c>
      <c r="Z63" s="46">
        <f>Y$63*'Population Treasury'!AR$83*'Statistics NZ'!AR$408/('Population Treasury'!AQ$83*'Statistics NZ'!AQ$408)</f>
        <v>14068.876410604822</v>
      </c>
      <c r="AA63" s="46">
        <f>Z$63*'Population Treasury'!AS$83*'Statistics NZ'!AS$408/('Population Treasury'!AR$83*'Statistics NZ'!AR$408)</f>
        <v>14444.060137784481</v>
      </c>
      <c r="AB63" s="46">
        <f>AA$63*'Population Treasury'!AT$83*'Statistics NZ'!AT$408/('Population Treasury'!AS$83*'Statistics NZ'!AS$408)</f>
        <v>15032.416361083275</v>
      </c>
      <c r="AC63" s="46">
        <f>AB$63*'Population Treasury'!AU$83*'Statistics NZ'!AU$408/('Population Treasury'!AT$83*'Statistics NZ'!AT$408)</f>
        <v>15549.697443494746</v>
      </c>
      <c r="AD63" s="46">
        <f>AC$63*'Population Treasury'!AV$83*'Statistics NZ'!AV$408/('Population Treasury'!AU$83*'Statistics NZ'!AU$408)</f>
        <v>15914.71411637544</v>
      </c>
      <c r="AE63" s="46">
        <f>AD$63*'Population Treasury'!AW$83*'Statistics NZ'!AW$408/('Population Treasury'!AV$83*'Statistics NZ'!AV$408)</f>
        <v>16523.409121727858</v>
      </c>
      <c r="AF63" s="46">
        <f>AE$63*'Population Treasury'!AX$83*'Statistics NZ'!AX$408/('Population Treasury'!AW$83*'Statistics NZ'!AW$408)</f>
        <v>16858.095526487097</v>
      </c>
      <c r="AG63" s="46">
        <f>AF$63*'Population Treasury'!AY$83*'Statistics NZ'!AY$408/('Population Treasury'!AX$83*'Statistics NZ'!AX$408)</f>
        <v>17588.576189943746</v>
      </c>
      <c r="AH63" s="46">
        <f>AG$63*'Population Treasury'!AZ$83*'Statistics NZ'!AZ$408/('Population Treasury'!AY$83*'Statistics NZ'!AY$408)</f>
        <v>18592.937744170973</v>
      </c>
      <c r="AI63" s="46">
        <f>AH$63*'Population Treasury'!BA$83*'Statistics NZ'!BA$408/('Population Treasury'!AZ$83*'Statistics NZ'!AZ$408)</f>
        <v>19059.584943555419</v>
      </c>
      <c r="AJ63" s="46">
        <f>AI$63*'Population Treasury'!BB$83*'Statistics NZ'!BB$408/('Population Treasury'!BA$83*'Statistics NZ'!BA$408)</f>
        <v>19820.52877182285</v>
      </c>
      <c r="AK63" s="46">
        <f>AJ$63*'Population Treasury'!BC$83*'Statistics NZ'!BC$408/('Population Treasury'!BB$83*'Statistics NZ'!BB$408)</f>
        <v>20195.881308079006</v>
      </c>
      <c r="AL63" s="46">
        <f>AK$63*'Population Treasury'!BD$83*'Statistics NZ'!BD$408/('Population Treasury'!BC$83*'Statistics NZ'!BC$408)</f>
        <v>20063.943868031016</v>
      </c>
      <c r="AM63" s="46">
        <f>AL$63*'Population Treasury'!BE$83*'Statistics NZ'!BE$408/('Population Treasury'!BD$83*'Statistics NZ'!BD$408)</f>
        <v>19931.979977444407</v>
      </c>
      <c r="AN63" s="46">
        <f>AM$63*'Population Treasury'!BF$83*'Statistics NZ'!BF$408/('Population Treasury'!BE$83*'Statistics NZ'!BE$408)</f>
        <v>19434.747033902604</v>
      </c>
      <c r="AO63" s="46">
        <f>AN$63*'Population Treasury'!BG$83*'Statistics NZ'!BG$408/('Population Treasury'!BF$83*'Statistics NZ'!BF$408)</f>
        <v>19353.555503497333</v>
      </c>
      <c r="AP63" s="46">
        <f>AO$63*'Population Treasury'!BH$83*'Statistics NZ'!BH$408/('Population Treasury'!BG$83*'Statistics NZ'!BG$408)</f>
        <v>18947.650255197157</v>
      </c>
      <c r="AQ63" s="46">
        <f>AP$63*'Population Treasury'!BI$83*'Statistics NZ'!BI$408/('Population Treasury'!BH$83*'Statistics NZ'!BH$408)</f>
        <v>18917.151647183455</v>
      </c>
    </row>
    <row r="64" spans="1:43" x14ac:dyDescent="0.25">
      <c r="A64" s="11">
        <v>69</v>
      </c>
      <c r="B64" s="45">
        <f>'Population Treasury'!T$84*'Statistics NZ'!T$409*'Economic Forecasts'!V$8/B$7</f>
        <v>8151.7632118784813</v>
      </c>
      <c r="C64" s="45">
        <f>'Population Treasury'!U$84*'Statistics NZ'!U$409*'Economic Forecasts'!W$8/C$7</f>
        <v>8464.0525041679739</v>
      </c>
      <c r="D64" s="45">
        <f>'Population Treasury'!V$84*'Statistics NZ'!V$409*'Economic Forecasts'!X$8/D$7</f>
        <v>8819.0067880450624</v>
      </c>
      <c r="E64" s="45">
        <f>'Population Treasury'!W$84*'Statistics NZ'!W$409*'Economic Forecasts'!Y$8/E$7</f>
        <v>9237.6624158246595</v>
      </c>
      <c r="F64" s="45">
        <f>'Population Treasury'!X$84*'Statistics NZ'!X$409*'Economic Forecasts'!Z$8/F$7</f>
        <v>9697.5146897895956</v>
      </c>
      <c r="G64" s="45">
        <f>'Population Treasury'!Y$84*'Statistics NZ'!Y$409*'Economic Forecasts'!AA$8/G$7</f>
        <v>9985.9480099390912</v>
      </c>
      <c r="H64" s="46">
        <f>G$64*'Population Treasury'!Z$84*'Statistics NZ'!Z$409/('Population Treasury'!Y$84*'Statistics NZ'!Y$409)</f>
        <v>10544.419723547151</v>
      </c>
      <c r="I64" s="46">
        <f>H$64*'Population Treasury'!AA$84*'Statistics NZ'!AA$409/('Population Treasury'!Z$84*'Statistics NZ'!Z$409)</f>
        <v>11000.971992054792</v>
      </c>
      <c r="J64" s="46">
        <f>I$64*'Population Treasury'!AB$84*'Statistics NZ'!AB$409/('Population Treasury'!AA$84*'Statistics NZ'!AA$409)</f>
        <v>11213.641479715741</v>
      </c>
      <c r="K64" s="46">
        <f>J$64*'Population Treasury'!AC$84*'Statistics NZ'!AC$409/('Population Treasury'!AB$84*'Statistics NZ'!AB$409)</f>
        <v>11101.291840102702</v>
      </c>
      <c r="L64" s="46">
        <f>K$64*'Population Treasury'!AD$84*'Statistics NZ'!AD$409/('Population Treasury'!AC$84*'Statistics NZ'!AC$409)</f>
        <v>10897.692481690669</v>
      </c>
      <c r="M64" s="46">
        <f>L$64*'Population Treasury'!AE$84*'Statistics NZ'!AE$409/('Population Treasury'!AD$84*'Statistics NZ'!AD$409)</f>
        <v>10876.661488646492</v>
      </c>
      <c r="N64" s="46">
        <f>M$64*'Population Treasury'!AF$84*'Statistics NZ'!AF$409/('Population Treasury'!AE$84*'Statistics NZ'!AE$409)</f>
        <v>11241.367411207755</v>
      </c>
      <c r="O64" s="46">
        <f>N$64*'Population Treasury'!AG$84*'Statistics NZ'!AG$409/('Population Treasury'!AF$84*'Statistics NZ'!AF$409)</f>
        <v>11484.314182128197</v>
      </c>
      <c r="P64" s="46">
        <f>O$64*'Population Treasury'!AH$84*'Statistics NZ'!AH$409/('Population Treasury'!AG$84*'Statistics NZ'!AG$409)</f>
        <v>11838.917352169701</v>
      </c>
      <c r="Q64" s="46">
        <f>P$64*'Population Treasury'!AI$84*'Statistics NZ'!AI$409/('Population Treasury'!AH$84*'Statistics NZ'!AH$409)</f>
        <v>11929.784184579046</v>
      </c>
      <c r="R64" s="46">
        <f>Q$64*'Population Treasury'!AJ$84*'Statistics NZ'!AJ$409/('Population Treasury'!AI$84*'Statistics NZ'!AI$409)</f>
        <v>12527.971481243614</v>
      </c>
      <c r="S64" s="46">
        <f>R$64*'Population Treasury'!AK$84*'Statistics NZ'!AK$409/('Population Treasury'!AJ$84*'Statistics NZ'!AJ$409)</f>
        <v>12466.617896002055</v>
      </c>
      <c r="T64" s="46">
        <f>S$64*'Population Treasury'!AL$84*'Statistics NZ'!AL$409/('Population Treasury'!AK$84*'Statistics NZ'!AK$409)</f>
        <v>12232.867276943145</v>
      </c>
      <c r="U64" s="46">
        <f>T$64*'Population Treasury'!AM$84*'Statistics NZ'!AM$409/('Population Treasury'!AL$84*'Statistics NZ'!AL$409)</f>
        <v>11989.002489318562</v>
      </c>
      <c r="V64" s="46">
        <f>U$64*'Population Treasury'!AN$84*'Statistics NZ'!AN$409/('Population Treasury'!AM$84*'Statistics NZ'!AM$409)</f>
        <v>11674.114769025062</v>
      </c>
      <c r="W64" s="46">
        <f>V$64*'Population Treasury'!AO$84*'Statistics NZ'!AO$409/('Population Treasury'!AN$84*'Statistics NZ'!AN$409)</f>
        <v>11328.829017541384</v>
      </c>
      <c r="X64" s="46">
        <f>W$64*'Population Treasury'!AP$84*'Statistics NZ'!AP$409/('Population Treasury'!AO$84*'Statistics NZ'!AO$409)</f>
        <v>11531.471512937504</v>
      </c>
      <c r="Y64" s="46">
        <f>X$64*'Population Treasury'!AQ$84*'Statistics NZ'!AQ$409/('Population Treasury'!AP$84*'Statistics NZ'!AP$409)</f>
        <v>11581.974621826041</v>
      </c>
      <c r="Z64" s="46">
        <f>Y$64*'Population Treasury'!AR$84*'Statistics NZ'!AR$409/('Population Treasury'!AQ$84*'Statistics NZ'!AQ$409)</f>
        <v>12078.898894064152</v>
      </c>
      <c r="AA64" s="46">
        <f>Z$64*'Population Treasury'!AS$84*'Statistics NZ'!AS$409/('Population Treasury'!AR$84*'Statistics NZ'!AR$409)</f>
        <v>12372.987702541119</v>
      </c>
      <c r="AB64" s="46">
        <f>AA$64*'Population Treasury'!AT$84*'Statistics NZ'!AT$409/('Population Treasury'!AS$84*'Statistics NZ'!AS$409)</f>
        <v>12697.497472760793</v>
      </c>
      <c r="AC64" s="46">
        <f>AB$64*'Population Treasury'!AU$84*'Statistics NZ'!AU$409/('Population Treasury'!AT$84*'Statistics NZ'!AT$409)</f>
        <v>13224.935693492152</v>
      </c>
      <c r="AD64" s="46">
        <f>AC$64*'Population Treasury'!AV$84*'Statistics NZ'!AV$409/('Population Treasury'!AU$84*'Statistics NZ'!AU$409)</f>
        <v>13681.369853848946</v>
      </c>
      <c r="AE64" s="46">
        <f>AD$64*'Population Treasury'!AW$84*'Statistics NZ'!AW$409/('Population Treasury'!AV$84*'Statistics NZ'!AV$409)</f>
        <v>13995.777005233571</v>
      </c>
      <c r="AF64" s="46">
        <f>AE$64*'Population Treasury'!AX$84*'Statistics NZ'!AX$409/('Population Treasury'!AW$84*'Statistics NZ'!AW$409)</f>
        <v>14533.43068250368</v>
      </c>
      <c r="AG64" s="46">
        <f>AF$64*'Population Treasury'!AY$84*'Statistics NZ'!AY$409/('Population Treasury'!AX$84*'Statistics NZ'!AX$409)</f>
        <v>14817.482750030793</v>
      </c>
      <c r="AH64" s="46">
        <f>AG$64*'Population Treasury'!AZ$84*'Statistics NZ'!AZ$409/('Population Treasury'!AY$84*'Statistics NZ'!AY$409)</f>
        <v>15466.769272429756</v>
      </c>
      <c r="AI64" s="46">
        <f>AH$64*'Population Treasury'!BA$84*'Statistics NZ'!BA$409/('Population Treasury'!AZ$84*'Statistics NZ'!AZ$409)</f>
        <v>16349.415013563275</v>
      </c>
      <c r="AJ64" s="46">
        <f>AI$64*'Population Treasury'!BB$84*'Statistics NZ'!BB$409/('Population Treasury'!BA$84*'Statistics NZ'!BA$409)</f>
        <v>16755.208631757323</v>
      </c>
      <c r="AK64" s="46">
        <f>AJ$64*'Population Treasury'!BC$84*'Statistics NZ'!BC$409/('Population Treasury'!BB$84*'Statistics NZ'!BB$409)</f>
        <v>17424.848543715936</v>
      </c>
      <c r="AL64" s="46">
        <f>AK$64*'Population Treasury'!BD$84*'Statistics NZ'!BD$409/('Population Treasury'!BC$84*'Statistics NZ'!BC$409)</f>
        <v>17759.604991218192</v>
      </c>
      <c r="AM64" s="46">
        <f>AL$64*'Population Treasury'!BE$84*'Statistics NZ'!BE$409/('Population Treasury'!BD$84*'Statistics NZ'!BD$409)</f>
        <v>17647.961407530594</v>
      </c>
      <c r="AN64" s="46">
        <f>AM$64*'Population Treasury'!BF$84*'Statistics NZ'!BF$409/('Population Treasury'!BE$84*'Statistics NZ'!BE$409)</f>
        <v>17526.183823301762</v>
      </c>
      <c r="AO64" s="46">
        <f>AN$64*'Population Treasury'!BG$84*'Statistics NZ'!BG$409/('Population Treasury'!BF$84*'Statistics NZ'!BF$409)</f>
        <v>17089.849332146485</v>
      </c>
      <c r="AP64" s="46">
        <f>AO$64*'Population Treasury'!BH$84*'Statistics NZ'!BH$409/('Population Treasury'!BG$84*'Statistics NZ'!BG$409)</f>
        <v>17018.804385188654</v>
      </c>
      <c r="AQ64" s="46">
        <f>AP$64*'Population Treasury'!BI$84*'Statistics NZ'!BI$409/('Population Treasury'!BH$84*'Statistics NZ'!BH$409)</f>
        <v>16663.646204856163</v>
      </c>
    </row>
    <row r="65" spans="1:43" x14ac:dyDescent="0.25">
      <c r="A65" s="11">
        <v>70</v>
      </c>
      <c r="B65" s="45">
        <f>'Population Treasury'!T$85*'Statistics NZ'!T$410*'Economic Forecasts'!V$8/B$7</f>
        <v>6793.1360098987343</v>
      </c>
      <c r="C65" s="45">
        <f>'Population Treasury'!U$85*'Statistics NZ'!U$410*'Economic Forecasts'!W$8/C$7</f>
        <v>7016.8296424632381</v>
      </c>
      <c r="D65" s="45">
        <f>'Population Treasury'!V$85*'Statistics NZ'!V$410*'Economic Forecasts'!X$8/D$7</f>
        <v>7376.9300548529609</v>
      </c>
      <c r="E65" s="45">
        <f>'Population Treasury'!W$85*'Statistics NZ'!W$410*'Economic Forecasts'!Y$8/E$7</f>
        <v>7697.955544540082</v>
      </c>
      <c r="F65" s="45">
        <f>'Population Treasury'!X$85*'Statistics NZ'!X$410*'Economic Forecasts'!Z$8/F$7</f>
        <v>8051.4787424779233</v>
      </c>
      <c r="G65" s="45">
        <f>'Population Treasury'!Y$85*'Statistics NZ'!Y$410*'Economic Forecasts'!AA$8/G$7</f>
        <v>8446.2655743018222</v>
      </c>
      <c r="H65" s="46">
        <f>G$65*'Population Treasury'!Z$85*'Statistics NZ'!Z$410/('Population Treasury'!Y$85*'Statistics NZ'!Y$410)</f>
        <v>8669.1272569570629</v>
      </c>
      <c r="I65" s="46">
        <f>H$65*'Population Treasury'!AA$85*'Statistics NZ'!AA$410/('Population Treasury'!Z$85*'Statistics NZ'!Z$410)</f>
        <v>9145.571803662102</v>
      </c>
      <c r="J65" s="46">
        <f>I$65*'Population Treasury'!AB$85*'Statistics NZ'!AB$410/('Population Treasury'!AA$85*'Statistics NZ'!AA$410)</f>
        <v>9540.6873075823678</v>
      </c>
      <c r="K65" s="46">
        <f>J$65*'Population Treasury'!AC$85*'Statistics NZ'!AC$410/('Population Treasury'!AB$85*'Statistics NZ'!AB$410)</f>
        <v>9732.7138032968651</v>
      </c>
      <c r="L65" s="46">
        <f>K$65*'Population Treasury'!AD$85*'Statistics NZ'!AD$410/('Population Treasury'!AC$85*'Statistics NZ'!AC$410)</f>
        <v>9630.6512282564781</v>
      </c>
      <c r="M65" s="46">
        <f>L$65*'Population Treasury'!AE$85*'Statistics NZ'!AE$410/('Population Treasury'!AD$85*'Statistics NZ'!AD$410)</f>
        <v>9457.5534571846856</v>
      </c>
      <c r="N65" s="46">
        <f>M$65*'Population Treasury'!AF$85*'Statistics NZ'!AF$410/('Population Treasury'!AE$85*'Statistics NZ'!AE$410)</f>
        <v>9426.5942318930302</v>
      </c>
      <c r="O65" s="46">
        <f>N$65*'Population Treasury'!AG$85*'Statistics NZ'!AG$410/('Population Treasury'!AF$85*'Statistics NZ'!AF$410)</f>
        <v>9750.7292585418709</v>
      </c>
      <c r="P65" s="46">
        <f>O$65*'Population Treasury'!AH$85*'Statistics NZ'!AH$410/('Population Treasury'!AG$85*'Statistics NZ'!AG$410)</f>
        <v>9953.233414921513</v>
      </c>
      <c r="Q65" s="46">
        <f>P$65*'Population Treasury'!AI$85*'Statistics NZ'!AI$410/('Population Treasury'!AH$85*'Statistics NZ'!AH$410)</f>
        <v>10267.272494046121</v>
      </c>
      <c r="R65" s="46">
        <f>Q$65*'Population Treasury'!AJ$85*'Statistics NZ'!AJ$410/('Population Treasury'!AI$85*'Statistics NZ'!AI$410)</f>
        <v>10348.032844499376</v>
      </c>
      <c r="S65" s="46">
        <f>R$65*'Population Treasury'!AK$85*'Statistics NZ'!AK$410/('Population Treasury'!AJ$85*'Statistics NZ'!AJ$410)</f>
        <v>10865.137868028005</v>
      </c>
      <c r="T65" s="46">
        <f>S$65*'Population Treasury'!AL$85*'Statistics NZ'!AL$410/('Population Treasury'!AK$85*'Statistics NZ'!AK$410)</f>
        <v>10803.898479554475</v>
      </c>
      <c r="U65" s="46">
        <f>T$65*'Population Treasury'!AM$85*'Statistics NZ'!AM$410/('Population Treasury'!AL$85*'Statistics NZ'!AL$410)</f>
        <v>10600.679266261368</v>
      </c>
      <c r="V65" s="46">
        <f>U$65*'Population Treasury'!AN$85*'Statistics NZ'!AN$410/('Population Treasury'!AM$85*'Statistics NZ'!AM$410)</f>
        <v>10397.367320161353</v>
      </c>
      <c r="W65" s="46">
        <f>V$65*'Population Treasury'!AO$85*'Statistics NZ'!AO$410/('Population Treasury'!AN$85*'Statistics NZ'!AN$410)</f>
        <v>10123.157912541792</v>
      </c>
      <c r="X65" s="46">
        <f>W$65*'Population Treasury'!AP$85*'Statistics NZ'!AP$410/('Population Treasury'!AO$85*'Statistics NZ'!AO$410)</f>
        <v>9818.5541932341675</v>
      </c>
      <c r="Y65" s="46">
        <f>X$65*'Population Treasury'!AQ$85*'Statistics NZ'!AQ$410/('Population Treasury'!AP$85*'Statistics NZ'!AP$410)</f>
        <v>9990.8265523808677</v>
      </c>
      <c r="Z65" s="46">
        <f>Y$65*'Population Treasury'!AR$85*'Statistics NZ'!AR$410/('Population Treasury'!AQ$85*'Statistics NZ'!AQ$410)</f>
        <v>10041.329715626174</v>
      </c>
      <c r="AA65" s="46">
        <f>Z$65*'Population Treasury'!AS$85*'Statistics NZ'!AS$410/('Population Treasury'!AR$85*'Statistics NZ'!AR$410)</f>
        <v>10467.286114811161</v>
      </c>
      <c r="AB65" s="46">
        <f>AA$65*'Population Treasury'!AT$85*'Statistics NZ'!AT$410/('Population Treasury'!AS$85*'Statistics NZ'!AS$410)</f>
        <v>10720.827372582045</v>
      </c>
      <c r="AC65" s="46">
        <f>AB$65*'Population Treasury'!AU$85*'Statistics NZ'!AU$410/('Population Treasury'!AT$85*'Statistics NZ'!AT$410)</f>
        <v>11004.760545208464</v>
      </c>
      <c r="AD65" s="46">
        <f>AC$65*'Population Treasury'!AV$85*'Statistics NZ'!AV$410/('Population Treasury'!AU$85*'Statistics NZ'!AU$410)</f>
        <v>11461.214307634256</v>
      </c>
      <c r="AE65" s="46">
        <f>AD$65*'Population Treasury'!AW$85*'Statistics NZ'!AW$410/('Population Treasury'!AV$85*'Statistics NZ'!AV$410)</f>
        <v>11856.775747593694</v>
      </c>
      <c r="AF65" s="46">
        <f>AE$65*'Population Treasury'!AX$85*'Statistics NZ'!AX$410/('Population Treasury'!AW$85*'Statistics NZ'!AW$410)</f>
        <v>12130.611508332044</v>
      </c>
      <c r="AG65" s="46">
        <f>AF$65*'Population Treasury'!AY$85*'Statistics NZ'!AY$410/('Population Treasury'!AX$85*'Statistics NZ'!AX$410)</f>
        <v>12597.284743281201</v>
      </c>
      <c r="AH65" s="46">
        <f>AG$65*'Population Treasury'!AZ$85*'Statistics NZ'!AZ$410/('Population Treasury'!AY$85*'Statistics NZ'!AY$410)</f>
        <v>12840.758641747239</v>
      </c>
      <c r="AI65" s="46">
        <f>AH$65*'Population Treasury'!BA$85*'Statistics NZ'!BA$410/('Population Treasury'!AZ$85*'Statistics NZ'!AZ$410)</f>
        <v>13408.86334983324</v>
      </c>
      <c r="AJ65" s="46">
        <f>AI$65*'Population Treasury'!BB$85*'Statistics NZ'!BB$410/('Population Treasury'!BA$85*'Statistics NZ'!BA$410)</f>
        <v>14169.786101988302</v>
      </c>
      <c r="AK65" s="46">
        <f>AJ$65*'Population Treasury'!BC$85*'Statistics NZ'!BC$410/('Population Treasury'!BB$85*'Statistics NZ'!BB$410)</f>
        <v>14524.863280052085</v>
      </c>
      <c r="AL65" s="46">
        <f>AK$65*'Population Treasury'!BD$85*'Statistics NZ'!BD$410/('Population Treasury'!BC$85*'Statistics NZ'!BC$410)</f>
        <v>15103.192842884191</v>
      </c>
      <c r="AM65" s="46">
        <f>AL$65*'Population Treasury'!BE$85*'Statistics NZ'!BE$410/('Population Treasury'!BD$85*'Statistics NZ'!BD$410)</f>
        <v>15387.284982803916</v>
      </c>
      <c r="AN65" s="46">
        <f>AM$65*'Population Treasury'!BF$85*'Statistics NZ'!BF$410/('Population Treasury'!BE$85*'Statistics NZ'!BE$410)</f>
        <v>15295.887209514502</v>
      </c>
      <c r="AO65" s="46">
        <f>AN$65*'Population Treasury'!BG$85*'Statistics NZ'!BG$410/('Population Treasury'!BF$85*'Statistics NZ'!BF$410)</f>
        <v>15194.399115706356</v>
      </c>
      <c r="AP65" s="46">
        <f>AO$65*'Population Treasury'!BH$85*'Statistics NZ'!BH$410/('Population Treasury'!BG$85*'Statistics NZ'!BG$410)</f>
        <v>14818.943748102294</v>
      </c>
      <c r="AQ65" s="46">
        <f>AP$65*'Population Treasury'!BI$85*'Statistics NZ'!BI$410/('Population Treasury'!BH$85*'Statistics NZ'!BH$410)</f>
        <v>14758.062157969181</v>
      </c>
    </row>
    <row r="66" spans="1:43" x14ac:dyDescent="0.25">
      <c r="A66" s="11">
        <v>71</v>
      </c>
      <c r="B66" s="45">
        <f>'Population Treasury'!T$86*'Statistics NZ'!T$411*'Economic Forecasts'!V$8/B$7</f>
        <v>5524.4179609911762</v>
      </c>
      <c r="C66" s="45">
        <f>'Population Treasury'!U$86*'Statistics NZ'!U$411*'Economic Forecasts'!W$8/C$7</f>
        <v>5779.771842135322</v>
      </c>
      <c r="D66" s="45">
        <f>'Population Treasury'!V$86*'Statistics NZ'!V$411*'Economic Forecasts'!X$8/D$7</f>
        <v>6046.5532009150047</v>
      </c>
      <c r="E66" s="45">
        <f>'Population Treasury'!W$86*'Statistics NZ'!W$411*'Economic Forecasts'!Y$8/E$7</f>
        <v>6370.0693089348861</v>
      </c>
      <c r="F66" s="45">
        <f>'Population Treasury'!X$86*'Statistics NZ'!X$411*'Economic Forecasts'!Z$8/F$7</f>
        <v>6637.7378550834464</v>
      </c>
      <c r="G66" s="45">
        <f>'Population Treasury'!Y$86*'Statistics NZ'!Y$411*'Economic Forecasts'!AA$8/G$7</f>
        <v>6927.9753057969319</v>
      </c>
      <c r="H66" s="46">
        <f>G$66*'Population Treasury'!Z$86*'Statistics NZ'!Z$411/('Population Treasury'!Y$86*'Statistics NZ'!Y$411)</f>
        <v>7252.3191859169574</v>
      </c>
      <c r="I66" s="46">
        <f>H$66*'Population Treasury'!AA$86*'Statistics NZ'!AA$411/('Population Treasury'!Z$86*'Statistics NZ'!Z$411)</f>
        <v>7444.6799161423023</v>
      </c>
      <c r="J66" s="46">
        <f>I$66*'Population Treasury'!AB$86*'Statistics NZ'!AB$411/('Population Treasury'!AA$86*'Statistics NZ'!AA$411)</f>
        <v>7850.0839238711305</v>
      </c>
      <c r="K66" s="46">
        <f>J$66*'Population Treasury'!AC$86*'Statistics NZ'!AC$411/('Population Treasury'!AB$86*'Statistics NZ'!AB$411)</f>
        <v>8194.4324336827794</v>
      </c>
      <c r="L66" s="46">
        <f>K$66*'Population Treasury'!AD$86*'Statistics NZ'!AD$411/('Population Treasury'!AC$86*'Statistics NZ'!AC$411)</f>
        <v>8346.1323131935769</v>
      </c>
      <c r="M66" s="46">
        <f>L$66*'Population Treasury'!AE$86*'Statistics NZ'!AE$411/('Population Treasury'!AD$86*'Statistics NZ'!AD$411)</f>
        <v>8264.410787539362</v>
      </c>
      <c r="N66" s="46">
        <f>M$66*'Population Treasury'!AF$86*'Statistics NZ'!AF$411/('Population Treasury'!AE$86*'Statistics NZ'!AE$411)</f>
        <v>8111.7755366154452</v>
      </c>
      <c r="O66" s="46">
        <f>N$66*'Population Treasury'!AG$86*'Statistics NZ'!AG$411/('Population Treasury'!AF$86*'Statistics NZ'!AF$411)</f>
        <v>8091.022817025625</v>
      </c>
      <c r="P66" s="46">
        <f>O$66*'Population Treasury'!AH$86*'Statistics NZ'!AH$411/('Population Treasury'!AG$86*'Statistics NZ'!AG$411)</f>
        <v>8364.5703507585658</v>
      </c>
      <c r="Q66" s="46">
        <f>P$66*'Population Treasury'!AI$86*'Statistics NZ'!AI$411/('Population Treasury'!AH$86*'Statistics NZ'!AH$411)</f>
        <v>8536.7060242788721</v>
      </c>
      <c r="R66" s="46">
        <f>Q$66*'Population Treasury'!AJ$86*'Statistics NZ'!AJ$411/('Population Treasury'!AI$86*'Statistics NZ'!AI$411)</f>
        <v>8800.1778956717935</v>
      </c>
      <c r="S66" s="46">
        <f>R$66*'Population Treasury'!AK$86*'Statistics NZ'!AK$411/('Population Treasury'!AJ$86*'Statistics NZ'!AJ$411)</f>
        <v>8870.8534115927778</v>
      </c>
      <c r="T66" s="46">
        <f>S$66*'Population Treasury'!AL$86*'Statistics NZ'!AL$411/('Population Treasury'!AK$86*'Statistics NZ'!AK$411)</f>
        <v>9316.994571792693</v>
      </c>
      <c r="U66" s="46">
        <f>T$66*'Population Treasury'!AM$86*'Statistics NZ'!AM$411/('Population Treasury'!AL$86*'Statistics NZ'!AL$411)</f>
        <v>9265.9701270805726</v>
      </c>
      <c r="V66" s="46">
        <f>U$66*'Population Treasury'!AN$86*'Statistics NZ'!AN$411/('Population Treasury'!AM$86*'Statistics NZ'!AM$411)</f>
        <v>9093.219850569114</v>
      </c>
      <c r="W66" s="46">
        <f>V$66*'Population Treasury'!AO$86*'Statistics NZ'!AO$411/('Population Treasury'!AN$86*'Statistics NZ'!AN$411)</f>
        <v>8910.3453555263786</v>
      </c>
      <c r="X66" s="46">
        <f>W$66*'Population Treasury'!AP$86*'Statistics NZ'!AP$411/('Population Treasury'!AO$86*'Statistics NZ'!AO$411)</f>
        <v>8676.7657516411982</v>
      </c>
      <c r="Y66" s="46">
        <f>X$66*'Population Treasury'!AQ$86*'Statistics NZ'!AQ$411/('Population Treasury'!AP$86*'Statistics NZ'!AP$411)</f>
        <v>8422.8819634341198</v>
      </c>
      <c r="Z66" s="46">
        <f>Y$66*'Population Treasury'!AR$86*'Statistics NZ'!AR$411/('Population Treasury'!AQ$86*'Statistics NZ'!AQ$411)</f>
        <v>8564.8294910981076</v>
      </c>
      <c r="AA66" s="46">
        <f>Z$66*'Population Treasury'!AS$86*'Statistics NZ'!AS$411/('Population Treasury'!AR$86*'Statistics NZ'!AR$411)</f>
        <v>8605.2504750072967</v>
      </c>
      <c r="AB66" s="46">
        <f>AA$66*'Population Treasury'!AT$86*'Statistics NZ'!AT$411/('Population Treasury'!AS$86*'Statistics NZ'!AS$411)</f>
        <v>8970.3528360486071</v>
      </c>
      <c r="AC66" s="46">
        <f>AB$66*'Population Treasury'!AU$86*'Statistics NZ'!AU$411/('Population Treasury'!AT$86*'Statistics NZ'!AT$411)</f>
        <v>9193.4395337338847</v>
      </c>
      <c r="AD66" s="46">
        <f>AC$66*'Population Treasury'!AV$86*'Statistics NZ'!AV$411/('Population Treasury'!AU$86*'Statistics NZ'!AU$411)</f>
        <v>9436.8469324407215</v>
      </c>
      <c r="AE66" s="46">
        <f>AD$66*'Population Treasury'!AW$86*'Statistics NZ'!AW$411/('Population Treasury'!AV$86*'Statistics NZ'!AV$411)</f>
        <v>9822.3337423807498</v>
      </c>
      <c r="AF66" s="46">
        <f>AE$66*'Population Treasury'!AX$86*'Statistics NZ'!AX$411/('Population Treasury'!AW$86*'Statistics NZ'!AW$411)</f>
        <v>10157.103114652646</v>
      </c>
      <c r="AG66" s="46">
        <f>AF$66*'Population Treasury'!AY$86*'Statistics NZ'!AY$411/('Population Treasury'!AX$86*'Statistics NZ'!AX$411)</f>
        <v>10390.369594118434</v>
      </c>
      <c r="AH66" s="46">
        <f>AG$66*'Population Treasury'!AZ$86*'Statistics NZ'!AZ$411/('Population Treasury'!AY$86*'Statistics NZ'!AY$411)</f>
        <v>10796.147361407164</v>
      </c>
      <c r="AI66" s="46">
        <f>AH$66*'Population Treasury'!BA$86*'Statistics NZ'!BA$411/('Population Treasury'!AZ$86*'Statistics NZ'!AZ$411)</f>
        <v>11009.166844972322</v>
      </c>
      <c r="AJ66" s="46">
        <f>AI$66*'Population Treasury'!BB$86*'Statistics NZ'!BB$411/('Population Treasury'!BA$86*'Statistics NZ'!BA$411)</f>
        <v>11486.045860731008</v>
      </c>
      <c r="AK66" s="46">
        <f>AJ$66*'Population Treasury'!BC$86*'Statistics NZ'!BC$411/('Population Treasury'!BB$86*'Statistics NZ'!BB$411)</f>
        <v>12135.381371215441</v>
      </c>
      <c r="AL66" s="46">
        <f>AK$66*'Population Treasury'!BD$86*'Statistics NZ'!BD$411/('Population Treasury'!BC$86*'Statistics NZ'!BC$411)</f>
        <v>12439.740462383796</v>
      </c>
      <c r="AM66" s="46">
        <f>AL$66*'Population Treasury'!BE$86*'Statistics NZ'!BE$411/('Population Treasury'!BD$86*'Statistics NZ'!BD$411)</f>
        <v>12946.977722425412</v>
      </c>
      <c r="AN66" s="46">
        <f>AM$66*'Population Treasury'!BF$86*'Statistics NZ'!BF$411/('Population Treasury'!BE$86*'Statistics NZ'!BE$411)</f>
        <v>13190.506755353223</v>
      </c>
      <c r="AO66" s="46">
        <f>AN$66*'Population Treasury'!BG$86*'Statistics NZ'!BG$411/('Population Treasury'!BF$86*'Statistics NZ'!BF$411)</f>
        <v>13109.298909142415</v>
      </c>
      <c r="AP66" s="46">
        <f>AO$66*'Population Treasury'!BH$86*'Statistics NZ'!BH$411/('Population Treasury'!BG$86*'Statistics NZ'!BG$411)</f>
        <v>13017.983240049707</v>
      </c>
      <c r="AQ66" s="46">
        <f>AP$66*'Population Treasury'!BI$86*'Statistics NZ'!BI$411/('Population Treasury'!BH$86*'Statistics NZ'!BH$411)</f>
        <v>12703.383146696669</v>
      </c>
    </row>
    <row r="67" spans="1:43" x14ac:dyDescent="0.25">
      <c r="A67" s="11">
        <v>72</v>
      </c>
      <c r="B67" s="45">
        <f>'Population Treasury'!T$87*'Statistics NZ'!T$412*'Economic Forecasts'!V$8/B$7</f>
        <v>4505.4475595063659</v>
      </c>
      <c r="C67" s="45">
        <f>'Population Treasury'!U$87*'Statistics NZ'!U$412*'Economic Forecasts'!W$8/C$7</f>
        <v>4631.7825314136044</v>
      </c>
      <c r="D67" s="45">
        <f>'Population Treasury'!V$87*'Statistics NZ'!V$412*'Economic Forecasts'!X$8/D$7</f>
        <v>4904.7955572557403</v>
      </c>
      <c r="E67" s="45">
        <f>'Population Treasury'!W$87*'Statistics NZ'!W$412*'Economic Forecasts'!Y$8/E$7</f>
        <v>5132.0381924566063</v>
      </c>
      <c r="F67" s="45">
        <f>'Population Treasury'!X$87*'Statistics NZ'!X$412*'Economic Forecasts'!Z$8/F$7</f>
        <v>5404.4670254339908</v>
      </c>
      <c r="G67" s="45">
        <f>'Population Treasury'!Y$87*'Statistics NZ'!Y$412*'Economic Forecasts'!AA$8/G$7</f>
        <v>5630.8854597729614</v>
      </c>
      <c r="H67" s="46">
        <f>G$67*'Population Treasury'!Z$87*'Statistics NZ'!Z$412/('Population Treasury'!Y$87*'Statistics NZ'!Y$412)</f>
        <v>5853.9190722165449</v>
      </c>
      <c r="I67" s="46">
        <f>H$67*'Population Treasury'!AA$87*'Statistics NZ'!AA$412/('Population Treasury'!Z$87*'Statistics NZ'!Z$412)</f>
        <v>6127.4894784549069</v>
      </c>
      <c r="J67" s="46">
        <f>I$67*'Population Treasury'!AB$87*'Statistics NZ'!AB$412/('Population Treasury'!AA$87*'Statistics NZ'!AA$412)</f>
        <v>6289.3959005059651</v>
      </c>
      <c r="K67" s="46">
        <f>J$67*'Population Treasury'!AC$87*'Statistics NZ'!AC$412/('Population Treasury'!AB$87*'Statistics NZ'!AB$412)</f>
        <v>6633.9122573914456</v>
      </c>
      <c r="L67" s="46">
        <f>K$67*'Population Treasury'!AD$87*'Statistics NZ'!AD$412/('Population Treasury'!AC$87*'Statistics NZ'!AC$412)</f>
        <v>6917.550066496311</v>
      </c>
      <c r="M67" s="46">
        <f>L$67*'Population Treasury'!AE$87*'Statistics NZ'!AE$412/('Population Treasury'!AD$87*'Statistics NZ'!AD$412)</f>
        <v>7049.0261033928182</v>
      </c>
      <c r="N67" s="46">
        <f>M$67*'Population Treasury'!AF$87*'Statistics NZ'!AF$412/('Population Treasury'!AE$87*'Statistics NZ'!AE$412)</f>
        <v>6977.5958812115432</v>
      </c>
      <c r="O67" s="46">
        <f>N$67*'Population Treasury'!AG$87*'Statistics NZ'!AG$412/('Population Treasury'!AF$87*'Statistics NZ'!AF$412)</f>
        <v>6855.4331678241633</v>
      </c>
      <c r="P67" s="46">
        <f>O$67*'Population Treasury'!AH$87*'Statistics NZ'!AH$412/('Population Treasury'!AG$87*'Statistics NZ'!AG$412)</f>
        <v>6834.8026476309069</v>
      </c>
      <c r="Q67" s="46">
        <f>P$67*'Population Treasury'!AI$87*'Statistics NZ'!AI$412/('Population Treasury'!AH$87*'Statistics NZ'!AH$412)</f>
        <v>7057.7664098377245</v>
      </c>
      <c r="R67" s="46">
        <f>Q$67*'Population Treasury'!AJ$87*'Statistics NZ'!AJ$412/('Population Treasury'!AI$87*'Statistics NZ'!AI$412)</f>
        <v>7209.6293940727028</v>
      </c>
      <c r="S67" s="46">
        <f>R$67*'Population Treasury'!AK$87*'Statistics NZ'!AK$412/('Population Treasury'!AJ$87*'Statistics NZ'!AJ$412)</f>
        <v>7432.5837984169402</v>
      </c>
      <c r="T67" s="46">
        <f>S$67*'Population Treasury'!AL$87*'Statistics NZ'!AL$412/('Population Treasury'!AK$87*'Statistics NZ'!AK$412)</f>
        <v>7493.1885939280255</v>
      </c>
      <c r="U67" s="46">
        <f>T$67*'Population Treasury'!AM$87*'Statistics NZ'!AM$412/('Population Treasury'!AL$87*'Statistics NZ'!AL$412)</f>
        <v>7868.3718163190088</v>
      </c>
      <c r="V67" s="46">
        <f>U$67*'Population Treasury'!AN$87*'Statistics NZ'!AN$412/('Population Treasury'!AM$87*'Statistics NZ'!AM$412)</f>
        <v>7817.4701202143988</v>
      </c>
      <c r="W67" s="46">
        <f>V$67*'Population Treasury'!AO$87*'Statistics NZ'!AO$412/('Population Treasury'!AN$87*'Statistics NZ'!AN$412)</f>
        <v>7675.1903734242569</v>
      </c>
      <c r="X67" s="46">
        <f>W$67*'Population Treasury'!AP$87*'Statistics NZ'!AP$412/('Population Treasury'!AO$87*'Statistics NZ'!AO$412)</f>
        <v>7522.8113483268489</v>
      </c>
      <c r="Y67" s="46">
        <f>X$67*'Population Treasury'!AQ$87*'Statistics NZ'!AQ$412/('Population Treasury'!AP$87*'Statistics NZ'!AP$412)</f>
        <v>7319.7445800917985</v>
      </c>
      <c r="Z67" s="46">
        <f>Y$67*'Population Treasury'!AR$87*'Statistics NZ'!AR$412/('Population Treasury'!AQ$87*'Statistics NZ'!AQ$412)</f>
        <v>7106.4874410793127</v>
      </c>
      <c r="AA67" s="46">
        <f>Z$67*'Population Treasury'!AS$87*'Statistics NZ'!AS$412/('Population Treasury'!AR$87*'Statistics NZ'!AR$412)</f>
        <v>7228.1513337867891</v>
      </c>
      <c r="AB67" s="46">
        <f>AA$67*'Population Treasury'!AT$87*'Statistics NZ'!AT$412/('Population Treasury'!AS$87*'Statistics NZ'!AS$412)</f>
        <v>7268.5538845845549</v>
      </c>
      <c r="AC67" s="46">
        <f>AB$67*'Population Treasury'!AU$87*'Statistics NZ'!AU$412/('Population Treasury'!AT$87*'Statistics NZ'!AT$412)</f>
        <v>7572.8714805828104</v>
      </c>
      <c r="AD67" s="46">
        <f>AC$67*'Population Treasury'!AV$87*'Statistics NZ'!AV$412/('Population Treasury'!AU$87*'Statistics NZ'!AU$412)</f>
        <v>7755.4469364074293</v>
      </c>
      <c r="AE67" s="46">
        <f>AD$67*'Population Treasury'!AW$87*'Statistics NZ'!AW$412/('Population Treasury'!AV$87*'Statistics NZ'!AV$412)</f>
        <v>7968.369929587413</v>
      </c>
      <c r="AF67" s="46">
        <f>AE$67*'Population Treasury'!AX$87*'Statistics NZ'!AX$412/('Population Treasury'!AW$87*'Statistics NZ'!AW$412)</f>
        <v>8293.0107875843078</v>
      </c>
      <c r="AG67" s="46">
        <f>AF$67*'Population Treasury'!AY$87*'Statistics NZ'!AY$412/('Population Treasury'!AX$87*'Statistics NZ'!AX$412)</f>
        <v>8577.0602114912926</v>
      </c>
      <c r="AH67" s="46">
        <f>AG$67*'Population Treasury'!AZ$87*'Statistics NZ'!AZ$412/('Population Treasury'!AY$87*'Statistics NZ'!AY$412)</f>
        <v>8769.7938937723156</v>
      </c>
      <c r="AI67" s="46">
        <f>AH$67*'Population Treasury'!BA$87*'Statistics NZ'!BA$412/('Population Treasury'!AZ$87*'Statistics NZ'!AZ$412)</f>
        <v>9114.6877217973215</v>
      </c>
      <c r="AJ67" s="46">
        <f>AI$67*'Population Treasury'!BB$87*'Statistics NZ'!BB$412/('Population Treasury'!BA$87*'Statistics NZ'!BA$412)</f>
        <v>9287.1982701618253</v>
      </c>
      <c r="AK67" s="46">
        <f>AJ$67*'Population Treasury'!BC$87*'Statistics NZ'!BC$412/('Population Treasury'!BB$87*'Statistics NZ'!BB$412)</f>
        <v>9703.1151910977751</v>
      </c>
      <c r="AL67" s="46">
        <f>AK$67*'Population Treasury'!BD$87*'Statistics NZ'!BD$412/('Population Treasury'!BC$87*'Statistics NZ'!BC$412)</f>
        <v>10251.011888213636</v>
      </c>
      <c r="AM67" s="46">
        <f>AL$67*'Population Treasury'!BE$87*'Statistics NZ'!BE$412/('Population Treasury'!BD$87*'Statistics NZ'!BD$412)</f>
        <v>10504.656923396939</v>
      </c>
      <c r="AN67" s="46">
        <f>AM$67*'Population Treasury'!BF$87*'Statistics NZ'!BF$412/('Population Treasury'!BE$87*'Statistics NZ'!BE$412)</f>
        <v>10920.680741603508</v>
      </c>
      <c r="AO67" s="46">
        <f>AN$67*'Population Treasury'!BG$87*'Statistics NZ'!BG$412/('Population Treasury'!BF$87*'Statistics NZ'!BF$412)</f>
        <v>11133.7200841423</v>
      </c>
      <c r="AP67" s="46">
        <f>AO$67*'Population Treasury'!BH$87*'Statistics NZ'!BH$412/('Population Treasury'!BG$87*'Statistics NZ'!BG$412)</f>
        <v>11062.6895862151</v>
      </c>
      <c r="AQ67" s="46">
        <f>AP$67*'Population Treasury'!BI$87*'Statistics NZ'!BI$412/('Population Treasury'!BH$87*'Statistics NZ'!BH$412)</f>
        <v>10991.646027209794</v>
      </c>
    </row>
    <row r="68" spans="1:43" x14ac:dyDescent="0.25">
      <c r="A68" s="11">
        <v>73</v>
      </c>
      <c r="B68" s="45">
        <f>'Population Treasury'!T$88*'Statistics NZ'!T$413*'Economic Forecasts'!V$8/B$7</f>
        <v>3556.4064992999247</v>
      </c>
      <c r="C68" s="45">
        <f>'Population Treasury'!U$88*'Statistics NZ'!U$413*'Economic Forecasts'!W$8/C$7</f>
        <v>3701.4936786460657</v>
      </c>
      <c r="D68" s="45">
        <f>'Population Treasury'!V$88*'Statistics NZ'!V$413*'Economic Forecasts'!X$8/D$7</f>
        <v>3852.392272597167</v>
      </c>
      <c r="E68" s="45">
        <f>'Population Treasury'!W$88*'Statistics NZ'!W$413*'Economic Forecasts'!Y$8/E$7</f>
        <v>4093.6778335444214</v>
      </c>
      <c r="F68" s="45">
        <f>'Population Treasury'!X$88*'Statistics NZ'!X$413*'Economic Forecasts'!Z$8/F$7</f>
        <v>4281.4868742084309</v>
      </c>
      <c r="G68" s="45">
        <f>'Population Treasury'!Y$88*'Statistics NZ'!Y$413*'Economic Forecasts'!AA$8/G$7</f>
        <v>4494.6692141448393</v>
      </c>
      <c r="H68" s="46">
        <f>G$68*'Population Treasury'!Z$88*'Statistics NZ'!Z$413/('Population Treasury'!Y$88*'Statistics NZ'!Y$413)</f>
        <v>4666.9530937028476</v>
      </c>
      <c r="I68" s="46">
        <f>H$68*'Population Treasury'!AA$88*'Statistics NZ'!AA$413/('Population Treasury'!Z$88*'Statistics NZ'!Z$413)</f>
        <v>4859.4283420768725</v>
      </c>
      <c r="J68" s="46">
        <f>I$68*'Population Treasury'!AB$88*'Statistics NZ'!AB$413/('Population Treasury'!AA$88*'Statistics NZ'!AA$413)</f>
        <v>5082.3035166809232</v>
      </c>
      <c r="K68" s="46">
        <f>J$68*'Population Treasury'!AC$88*'Statistics NZ'!AC$413/('Population Treasury'!AB$88*'Statistics NZ'!AB$413)</f>
        <v>5213.8045513420439</v>
      </c>
      <c r="L68" s="46">
        <f>K$68*'Population Treasury'!AD$88*'Statistics NZ'!AD$413/('Population Treasury'!AC$88*'Statistics NZ'!AC$413)</f>
        <v>5507.6189245884843</v>
      </c>
      <c r="M68" s="46">
        <f>L$68*'Population Treasury'!AE$88*'Statistics NZ'!AE$413/('Population Treasury'!AD$88*'Statistics NZ'!AD$413)</f>
        <v>5740.6457707265026</v>
      </c>
      <c r="N68" s="46">
        <f>M$68*'Population Treasury'!AF$88*'Statistics NZ'!AF$413/('Population Treasury'!AE$88*'Statistics NZ'!AE$413)</f>
        <v>5851.9141378759423</v>
      </c>
      <c r="O68" s="46">
        <f>N$68*'Population Treasury'!AG$88*'Statistics NZ'!AG$413/('Population Treasury'!AF$88*'Statistics NZ'!AF$413)</f>
        <v>5790.7299530695464</v>
      </c>
      <c r="P68" s="46">
        <f>O$68*'Population Treasury'!AH$88*'Statistics NZ'!AH$413/('Population Treasury'!AG$88*'Statistics NZ'!AG$413)</f>
        <v>5688.9463925646814</v>
      </c>
      <c r="Q68" s="46">
        <f>P$68*'Population Treasury'!AI$88*'Statistics NZ'!AI$413/('Population Treasury'!AH$88*'Statistics NZ'!AH$413)</f>
        <v>5668.4040887903629</v>
      </c>
      <c r="R68" s="46">
        <f>Q$68*'Population Treasury'!AJ$88*'Statistics NZ'!AJ$413/('Population Treasury'!AI$88*'Statistics NZ'!AI$413)</f>
        <v>5860.9318404295364</v>
      </c>
      <c r="S68" s="46">
        <f>R$68*'Population Treasury'!AK$88*'Statistics NZ'!AK$413/('Population Treasury'!AJ$88*'Statistics NZ'!AJ$413)</f>
        <v>5982.4745892226138</v>
      </c>
      <c r="T68" s="46">
        <f>S$68*'Population Treasury'!AL$88*'Statistics NZ'!AL$413/('Population Treasury'!AK$88*'Statistics NZ'!AK$413)</f>
        <v>6164.9230959758079</v>
      </c>
      <c r="U68" s="46">
        <f>T$68*'Population Treasury'!AM$88*'Statistics NZ'!AM$413/('Population Treasury'!AL$88*'Statistics NZ'!AL$413)</f>
        <v>6215.4341232461975</v>
      </c>
      <c r="V68" s="46">
        <f>U$68*'Population Treasury'!AN$88*'Statistics NZ'!AN$413/('Population Treasury'!AM$88*'Statistics NZ'!AM$413)</f>
        <v>6529.7649827978166</v>
      </c>
      <c r="W68" s="46">
        <f>V$68*'Population Treasury'!AO$88*'Statistics NZ'!AO$413/('Population Treasury'!AN$88*'Statistics NZ'!AN$413)</f>
        <v>6489.0425876746431</v>
      </c>
      <c r="X68" s="46">
        <f>W$68*'Population Treasury'!AP$88*'Statistics NZ'!AP$413/('Population Treasury'!AO$88*'Statistics NZ'!AO$413)</f>
        <v>6367.1337640578522</v>
      </c>
      <c r="Y68" s="46">
        <f>X$68*'Population Treasury'!AQ$88*'Statistics NZ'!AQ$413/('Population Treasury'!AP$88*'Statistics NZ'!AP$413)</f>
        <v>6245.2034046725294</v>
      </c>
      <c r="Z68" s="46">
        <f>Y$68*'Population Treasury'!AR$88*'Statistics NZ'!AR$413/('Population Treasury'!AQ$88*'Statistics NZ'!AQ$413)</f>
        <v>6082.7234695160578</v>
      </c>
      <c r="AA68" s="46">
        <f>Z$68*'Population Treasury'!AS$88*'Statistics NZ'!AS$413/('Population Treasury'!AR$88*'Statistics NZ'!AR$413)</f>
        <v>5900.0044439518188</v>
      </c>
      <c r="AB68" s="46">
        <f>AA$68*'Population Treasury'!AT$88*'Statistics NZ'!AT$413/('Population Treasury'!AS$88*'Statistics NZ'!AS$413)</f>
        <v>6001.3953959875871</v>
      </c>
      <c r="AC68" s="46">
        <f>AB$68*'Population Treasury'!AU$88*'Statistics NZ'!AU$413/('Population Treasury'!AT$88*'Statistics NZ'!AT$413)</f>
        <v>6031.712557780088</v>
      </c>
      <c r="AD68" s="46">
        <f>AC$68*'Population Treasury'!AV$88*'Statistics NZ'!AV$413/('Population Treasury'!AU$88*'Statistics NZ'!AU$413)</f>
        <v>6285.3166417492967</v>
      </c>
      <c r="AE68" s="46">
        <f>AD$68*'Population Treasury'!AW$88*'Statistics NZ'!AW$413/('Population Treasury'!AV$88*'Statistics NZ'!AV$413)</f>
        <v>6437.4521185734538</v>
      </c>
      <c r="AF68" s="46">
        <f>AE$68*'Population Treasury'!AX$88*'Statistics NZ'!AX$413/('Population Treasury'!AW$88*'Statistics NZ'!AW$413)</f>
        <v>6609.8708975956424</v>
      </c>
      <c r="AG68" s="46">
        <f>AF$68*'Population Treasury'!AY$88*'Statistics NZ'!AY$413/('Population Treasury'!AX$88*'Statistics NZ'!AX$413)</f>
        <v>6883.7544349897371</v>
      </c>
      <c r="AH68" s="46">
        <f>AG$68*'Population Treasury'!AZ$88*'Statistics NZ'!AZ$413/('Population Treasury'!AY$88*'Statistics NZ'!AY$413)</f>
        <v>7117.0931844260022</v>
      </c>
      <c r="AI68" s="46">
        <f>AH$68*'Population Treasury'!BA$88*'Statistics NZ'!BA$413/('Population Treasury'!AZ$88*'Statistics NZ'!AZ$413)</f>
        <v>7279.4011358837834</v>
      </c>
      <c r="AJ68" s="46">
        <f>AI$68*'Population Treasury'!BB$88*'Statistics NZ'!BB$413/('Population Treasury'!BA$88*'Statistics NZ'!BA$413)</f>
        <v>7563.4564168953275</v>
      </c>
      <c r="AK68" s="46">
        <f>AJ$68*'Population Treasury'!BC$88*'Statistics NZ'!BC$413/('Population Treasury'!BB$88*'Statistics NZ'!BB$413)</f>
        <v>7715.6206405262337</v>
      </c>
      <c r="AL68" s="46">
        <f>AK$68*'Population Treasury'!BD$88*'Statistics NZ'!BD$413/('Population Treasury'!BC$88*'Statistics NZ'!BC$413)</f>
        <v>8050.443433974905</v>
      </c>
      <c r="AM68" s="46">
        <f>AL$68*'Population Treasury'!BE$88*'Statistics NZ'!BE$413/('Population Treasury'!BD$88*'Statistics NZ'!BD$413)</f>
        <v>8507.0158069314639</v>
      </c>
      <c r="AN68" s="46">
        <f>AM$68*'Population Treasury'!BF$88*'Statistics NZ'!BF$413/('Population Treasury'!BE$88*'Statistics NZ'!BE$413)</f>
        <v>8720.0816229361335</v>
      </c>
      <c r="AO68" s="46">
        <f>AN$68*'Population Treasury'!BG$88*'Statistics NZ'!BG$413/('Population Treasury'!BF$88*'Statistics NZ'!BF$413)</f>
        <v>9075.1715471322968</v>
      </c>
      <c r="AP68" s="46">
        <f>AO$68*'Population Treasury'!BH$88*'Statistics NZ'!BH$413/('Population Treasury'!BG$88*'Statistics NZ'!BG$413)</f>
        <v>9247.6594539885646</v>
      </c>
      <c r="AQ68" s="46">
        <f>AP$68*'Population Treasury'!BI$88*'Statistics NZ'!BI$413/('Population Treasury'!BH$88*'Statistics NZ'!BH$413)</f>
        <v>9196.8902385444653</v>
      </c>
    </row>
    <row r="69" spans="1:43" x14ac:dyDescent="0.25">
      <c r="A69" s="11">
        <v>74</v>
      </c>
      <c r="B69" s="45">
        <f>'Population Treasury'!T$89*'Statistics NZ'!T$414*'Economic Forecasts'!V$8/B$7</f>
        <v>2927.0424277946017</v>
      </c>
      <c r="C69" s="45">
        <f>'Population Treasury'!U$89*'Statistics NZ'!U$414*'Economic Forecasts'!W$8/C$7</f>
        <v>2919.657437137168</v>
      </c>
      <c r="D69" s="45">
        <f>'Population Treasury'!V$89*'Statistics NZ'!V$414*'Economic Forecasts'!X$8/D$7</f>
        <v>3077.9666394427136</v>
      </c>
      <c r="E69" s="45">
        <f>'Population Treasury'!W$89*'Statistics NZ'!W$414*'Economic Forecasts'!Y$8/E$7</f>
        <v>3215.0665418849508</v>
      </c>
      <c r="F69" s="45">
        <f>'Population Treasury'!X$89*'Statistics NZ'!X$414*'Economic Forecasts'!Z$8/F$7</f>
        <v>3399.1390062210116</v>
      </c>
      <c r="G69" s="45">
        <f>'Population Treasury'!Y$89*'Statistics NZ'!Y$414*'Economic Forecasts'!AA$8/G$7</f>
        <v>3559.5533782726607</v>
      </c>
      <c r="H69" s="46">
        <f>G$69*'Population Treasury'!Z$89*'Statistics NZ'!Z$414/('Population Treasury'!Y$89*'Statistics NZ'!Y$414)</f>
        <v>3731.8526343950307</v>
      </c>
      <c r="I69" s="46">
        <f>H$69*'Population Treasury'!AA$89*'Statistics NZ'!AA$414/('Population Treasury'!Z$89*'Statistics NZ'!Z$414)</f>
        <v>3873.66236798197</v>
      </c>
      <c r="J69" s="46">
        <f>I$69*'Population Treasury'!AB$89*'Statistics NZ'!AB$414/('Population Treasury'!AA$89*'Statistics NZ'!AA$414)</f>
        <v>4035.6821131458391</v>
      </c>
      <c r="K69" s="46">
        <f>J$69*'Population Treasury'!AC$89*'Statistics NZ'!AC$414/('Population Treasury'!AB$89*'Statistics NZ'!AB$414)</f>
        <v>4217.9979367425804</v>
      </c>
      <c r="L69" s="46">
        <f>K$69*'Population Treasury'!AD$89*'Statistics NZ'!AD$414/('Population Treasury'!AC$89*'Statistics NZ'!AC$414)</f>
        <v>4329.2758758305627</v>
      </c>
      <c r="M69" s="46">
        <f>L$69*'Population Treasury'!AE$89*'Statistics NZ'!AE$414/('Population Treasury'!AD$89*'Statistics NZ'!AD$414)</f>
        <v>4562.3955721880011</v>
      </c>
      <c r="N69" s="46">
        <f>M$69*'Population Treasury'!AF$89*'Statistics NZ'!AF$414/('Population Treasury'!AE$89*'Statistics NZ'!AE$414)</f>
        <v>4764.9954764143104</v>
      </c>
      <c r="O69" s="46">
        <f>N$69*'Population Treasury'!AG$89*'Statistics NZ'!AG$414/('Population Treasury'!AF$89*'Statistics NZ'!AF$414)</f>
        <v>4856.0527861377095</v>
      </c>
      <c r="P69" s="46">
        <f>O$69*'Population Treasury'!AH$89*'Statistics NZ'!AH$414/('Population Treasury'!AG$89*'Statistics NZ'!AG$414)</f>
        <v>4805.082773444431</v>
      </c>
      <c r="Q69" s="46">
        <f>P$69*'Population Treasury'!AI$89*'Statistics NZ'!AI$414/('Population Treasury'!AH$89*'Statistics NZ'!AH$414)</f>
        <v>4713.5767258129745</v>
      </c>
      <c r="R69" s="46">
        <f>Q$69*'Population Treasury'!AJ$89*'Statistics NZ'!AJ$414/('Population Treasury'!AI$89*'Statistics NZ'!AI$414)</f>
        <v>4703.1905043289653</v>
      </c>
      <c r="S69" s="46">
        <f>R$69*'Population Treasury'!AK$89*'Statistics NZ'!AK$414/('Population Treasury'!AJ$89*'Statistics NZ'!AJ$414)</f>
        <v>4865.3221813999044</v>
      </c>
      <c r="T69" s="46">
        <f>S$69*'Population Treasury'!AL$89*'Statistics NZ'!AL$414/('Population Treasury'!AK$89*'Statistics NZ'!AK$414)</f>
        <v>4966.6175362939275</v>
      </c>
      <c r="U69" s="46">
        <f>T$69*'Population Treasury'!AM$89*'Statistics NZ'!AM$414/('Population Treasury'!AL$89*'Statistics NZ'!AL$414)</f>
        <v>5118.6688520680555</v>
      </c>
      <c r="V69" s="46">
        <f>U$69*'Population Treasury'!AN$89*'Statistics NZ'!AN$414/('Population Treasury'!AM$89*'Statistics NZ'!AM$414)</f>
        <v>5159.0894733546547</v>
      </c>
      <c r="W69" s="46">
        <f>V$69*'Population Treasury'!AO$89*'Statistics NZ'!AO$414/('Population Treasury'!AN$89*'Statistics NZ'!AN$414)</f>
        <v>5412.6469867058131</v>
      </c>
      <c r="X69" s="46">
        <f>W$69*'Population Treasury'!AP$89*'Statistics NZ'!AP$414/('Population Treasury'!AO$89*'Statistics NZ'!AO$414)</f>
        <v>5382.0856275833175</v>
      </c>
      <c r="Y69" s="46">
        <f>X$69*'Population Treasury'!AQ$89*'Statistics NZ'!AQ$414/('Population Treasury'!AP$89*'Statistics NZ'!AP$414)</f>
        <v>5280.5081520202475</v>
      </c>
      <c r="Z69" s="46">
        <f>Y$69*'Population Treasury'!AR$89*'Statistics NZ'!AR$414/('Population Treasury'!AQ$89*'Statistics NZ'!AQ$414)</f>
        <v>5178.9256208883671</v>
      </c>
      <c r="AA69" s="46">
        <f>Z$69*'Population Treasury'!AS$89*'Statistics NZ'!AS$414/('Population Treasury'!AR$89*'Statistics NZ'!AR$414)</f>
        <v>5046.8968712969026</v>
      </c>
      <c r="AB69" s="46">
        <f>AA$69*'Population Treasury'!AT$89*'Statistics NZ'!AT$414/('Population Treasury'!AS$89*'Statistics NZ'!AS$414)</f>
        <v>4894.6421914359198</v>
      </c>
      <c r="AC69" s="46">
        <f>AB$69*'Population Treasury'!AU$89*'Statistics NZ'!AU$414/('Population Treasury'!AT$89*'Statistics NZ'!AT$414)</f>
        <v>4985.8412864173642</v>
      </c>
      <c r="AD69" s="46">
        <f>AC$69*'Population Treasury'!AV$89*'Statistics NZ'!AV$414/('Population Treasury'!AU$89*'Statistics NZ'!AU$414)</f>
        <v>5006.0985536047392</v>
      </c>
      <c r="AE69" s="46">
        <f>AD$69*'Population Treasury'!AW$89*'Statistics NZ'!AW$414/('Population Treasury'!AV$89*'Statistics NZ'!AV$414)</f>
        <v>5219.1089689726796</v>
      </c>
      <c r="AF69" s="46">
        <f>AE$69*'Population Treasury'!AX$89*'Statistics NZ'!AX$414/('Population Treasury'!AW$89*'Statistics NZ'!AW$414)</f>
        <v>5350.9321095773885</v>
      </c>
      <c r="AG69" s="46">
        <f>AF$69*'Population Treasury'!AY$89*'Statistics NZ'!AY$414/('Population Treasury'!AX$89*'Statistics NZ'!AX$414)</f>
        <v>5492.9410828863638</v>
      </c>
      <c r="AH69" s="46">
        <f>AG$69*'Population Treasury'!AZ$89*'Statistics NZ'!AZ$414/('Population Treasury'!AY$89*'Statistics NZ'!AY$414)</f>
        <v>5716.1448792739739</v>
      </c>
      <c r="AI69" s="46">
        <f>AH$69*'Population Treasury'!BA$89*'Statistics NZ'!BA$414/('Population Treasury'!AZ$89*'Statistics NZ'!AZ$414)</f>
        <v>5908.9179608222385</v>
      </c>
      <c r="AJ69" s="46">
        <f>AI$69*'Population Treasury'!BB$89*'Statistics NZ'!BB$414/('Population Treasury'!BA$89*'Statistics NZ'!BA$414)</f>
        <v>6050.8906893522681</v>
      </c>
      <c r="AK69" s="46">
        <f>AJ$69*'Population Treasury'!BC$89*'Statistics NZ'!BC$414/('Population Treasury'!BB$89*'Statistics NZ'!BB$414)</f>
        <v>6284.2481270719327</v>
      </c>
      <c r="AL69" s="46">
        <f>AK$69*'Population Treasury'!BD$89*'Statistics NZ'!BD$414/('Population Treasury'!BC$89*'Statistics NZ'!BC$414)</f>
        <v>6406.0110432661641</v>
      </c>
      <c r="AM69" s="46">
        <f>AL$69*'Population Treasury'!BE$89*'Statistics NZ'!BE$414/('Population Treasury'!BD$89*'Statistics NZ'!BD$414)</f>
        <v>6690.0796490370858</v>
      </c>
      <c r="AN69" s="46">
        <f>AM$69*'Population Treasury'!BF$89*'Statistics NZ'!BF$414/('Population Treasury'!BE$89*'Statistics NZ'!BE$414)</f>
        <v>7065.5078340523605</v>
      </c>
      <c r="AO69" s="46">
        <f>AN$69*'Population Treasury'!BG$89*'Statistics NZ'!BG$414/('Population Treasury'!BF$89*'Statistics NZ'!BF$414)</f>
        <v>7248.1039797936783</v>
      </c>
      <c r="AP69" s="46">
        <f>AO$69*'Population Treasury'!BH$89*'Statistics NZ'!BH$414/('Population Treasury'!BG$89*'Statistics NZ'!BG$414)</f>
        <v>7542.3356292298231</v>
      </c>
      <c r="AQ69" s="46">
        <f>AP$69*'Population Treasury'!BI$89*'Statistics NZ'!BI$414/('Population Treasury'!BH$89*'Statistics NZ'!BH$414)</f>
        <v>7684.3948263956554</v>
      </c>
    </row>
    <row r="70" spans="1:43" x14ac:dyDescent="0.25">
      <c r="A70" s="11">
        <v>75</v>
      </c>
      <c r="B70" s="45">
        <f>'Population Treasury'!T$90*'Statistics NZ'!T$415*'Economic Forecasts'!V$8/B$7</f>
        <v>2297.6783562892779</v>
      </c>
      <c r="C70" s="45">
        <f>'Population Treasury'!U$90*'Statistics NZ'!U$415*'Economic Forecasts'!W$8/C$7</f>
        <v>2424.5490359106825</v>
      </c>
      <c r="D70" s="45">
        <f>'Population Treasury'!V$90*'Statistics NZ'!V$415*'Economic Forecasts'!X$8/D$7</f>
        <v>2452.2030195386769</v>
      </c>
      <c r="E70" s="45">
        <f>'Population Treasury'!W$90*'Statistics NZ'!W$415*'Economic Forecasts'!Y$8/E$7</f>
        <v>2585.81578599963</v>
      </c>
      <c r="F70" s="45">
        <f>'Population Treasury'!X$90*'Statistics NZ'!X$415*'Economic Forecasts'!Z$8/F$7</f>
        <v>2697.0885358411574</v>
      </c>
      <c r="G70" s="45">
        <f>'Population Treasury'!Y$90*'Statistics NZ'!Y$415*'Economic Forecasts'!AA$8/G$7</f>
        <v>2855.5602880855149</v>
      </c>
      <c r="H70" s="46">
        <f>G$70*'Population Treasury'!Z$90*'Statistics NZ'!Z$415/('Population Treasury'!Y$90*'Statistics NZ'!Y$415)</f>
        <v>2977.0671918316543</v>
      </c>
      <c r="I70" s="46">
        <f>H$70*'Population Treasury'!AA$90*'Statistics NZ'!AA$415/('Population Treasury'!Z$90*'Statistics NZ'!Z$415)</f>
        <v>3118.8672903465872</v>
      </c>
      <c r="J70" s="46">
        <f>I$70*'Population Treasury'!AB$90*'Statistics NZ'!AB$415/('Population Treasury'!AA$90*'Statistics NZ'!AA$415)</f>
        <v>3240.326239956712</v>
      </c>
      <c r="K70" s="46">
        <f>J$70*'Population Treasury'!AC$90*'Statistics NZ'!AC$415/('Population Treasury'!AB$90*'Statistics NZ'!AB$415)</f>
        <v>3371.9506404958938</v>
      </c>
      <c r="L70" s="46">
        <f>K$70*'Population Treasury'!AD$90*'Statistics NZ'!AD$415/('Population Treasury'!AC$90*'Statistics NZ'!AC$415)</f>
        <v>3533.9682361947375</v>
      </c>
      <c r="M70" s="46">
        <f>L$70*'Population Treasury'!AE$90*'Statistics NZ'!AE$415/('Population Treasury'!AD$90*'Statistics NZ'!AD$415)</f>
        <v>3625.0346796785375</v>
      </c>
      <c r="N70" s="46">
        <f>M$70*'Population Treasury'!AF$90*'Statistics NZ'!AF$415/('Population Treasury'!AE$90*'Statistics NZ'!AE$415)</f>
        <v>3827.7105350150582</v>
      </c>
      <c r="O70" s="46">
        <f>N$70*'Population Treasury'!AG$90*'Statistics NZ'!AG$415/('Population Treasury'!AF$90*'Statistics NZ'!AF$415)</f>
        <v>3989.8402976984603</v>
      </c>
      <c r="P70" s="46">
        <f>O$70*'Population Treasury'!AH$90*'Statistics NZ'!AH$415/('Population Treasury'!AG$90*'Statistics NZ'!AG$415)</f>
        <v>4060.7022957686327</v>
      </c>
      <c r="Q70" s="46">
        <f>P$70*'Population Treasury'!AI$90*'Statistics NZ'!AI$415/('Population Treasury'!AH$90*'Statistics NZ'!AH$415)</f>
        <v>4029.9970094526361</v>
      </c>
      <c r="R70" s="46">
        <f>Q$70*'Population Treasury'!AJ$90*'Statistics NZ'!AJ$415/('Population Treasury'!AI$90*'Statistics NZ'!AI$415)</f>
        <v>3948.7058129999509</v>
      </c>
      <c r="S70" s="46">
        <f>R$70*'Population Treasury'!AK$90*'Statistics NZ'!AK$415/('Population Treasury'!AJ$90*'Statistics NZ'!AJ$415)</f>
        <v>3938.38165262953</v>
      </c>
      <c r="T70" s="46">
        <f>S$70*'Population Treasury'!AL$90*'Statistics NZ'!AL$415/('Population Treasury'!AK$90*'Statistics NZ'!AK$415)</f>
        <v>4070.1493357474137</v>
      </c>
      <c r="U70" s="46">
        <f>T$70*'Population Treasury'!AM$90*'Statistics NZ'!AM$415/('Population Treasury'!AL$90*'Statistics NZ'!AL$415)</f>
        <v>4161.2888359669232</v>
      </c>
      <c r="V70" s="46">
        <f>U$70*'Population Treasury'!AN$90*'Statistics NZ'!AN$415/('Population Treasury'!AM$90*'Statistics NZ'!AM$415)</f>
        <v>4293.0419351043856</v>
      </c>
      <c r="W70" s="46">
        <f>V$70*'Population Treasury'!AO$90*'Statistics NZ'!AO$415/('Population Treasury'!AN$90*'Statistics NZ'!AN$415)</f>
        <v>4323.390163618983</v>
      </c>
      <c r="X70" s="46">
        <f>W$70*'Population Treasury'!AP$90*'Statistics NZ'!AP$415/('Population Treasury'!AO$90*'Statistics NZ'!AO$415)</f>
        <v>4536.3809775516302</v>
      </c>
      <c r="Y70" s="46">
        <f>X$70*'Population Treasury'!AQ$90*'Statistics NZ'!AQ$415/('Population Treasury'!AP$90*'Statistics NZ'!AP$415)</f>
        <v>4515.9513163655074</v>
      </c>
      <c r="Z70" s="46">
        <f>Y$70*'Population Treasury'!AR$90*'Statistics NZ'!AR$415/('Population Treasury'!AQ$90*'Statistics NZ'!AQ$415)</f>
        <v>4434.6730303561189</v>
      </c>
      <c r="AA70" s="46">
        <f>Z$70*'Population Treasury'!AS$90*'Statistics NZ'!AS$415/('Population Treasury'!AR$90*'Statistics NZ'!AR$415)</f>
        <v>4343.3029705808631</v>
      </c>
      <c r="AB70" s="46">
        <f>AA$70*'Population Treasury'!AT$90*'Statistics NZ'!AT$415/('Population Treasury'!AS$90*'Statistics NZ'!AS$415)</f>
        <v>4231.6084333461085</v>
      </c>
      <c r="AC70" s="46">
        <f>AB$70*'Population Treasury'!AU$90*'Statistics NZ'!AU$415/('Population Treasury'!AT$90*'Statistics NZ'!AT$415)</f>
        <v>4109.7628300742062</v>
      </c>
      <c r="AD70" s="46">
        <f>AC$70*'Population Treasury'!AV$90*'Statistics NZ'!AV$415/('Population Treasury'!AU$90*'Statistics NZ'!AU$415)</f>
        <v>4180.7449727327321</v>
      </c>
      <c r="AE70" s="46">
        <f>AD$70*'Population Treasury'!AW$90*'Statistics NZ'!AW$415/('Population Treasury'!AV$90*'Statistics NZ'!AV$415)</f>
        <v>4200.986148773587</v>
      </c>
      <c r="AF70" s="46">
        <f>AE$70*'Population Treasury'!AX$90*'Statistics NZ'!AX$415/('Population Treasury'!AW$90*'Statistics NZ'!AW$415)</f>
        <v>4373.4655846114629</v>
      </c>
      <c r="AG70" s="46">
        <f>AF$70*'Population Treasury'!AY$90*'Statistics NZ'!AY$415/('Population Treasury'!AX$90*'Statistics NZ'!AX$415)</f>
        <v>4485.0186152167025</v>
      </c>
      <c r="AH70" s="46">
        <f>AG$70*'Population Treasury'!AZ$90*'Statistics NZ'!AZ$415/('Population Treasury'!AY$90*'Statistics NZ'!AY$415)</f>
        <v>4606.7210362908863</v>
      </c>
      <c r="AI70" s="46">
        <f>AH$70*'Population Treasury'!BA$90*'Statistics NZ'!BA$415/('Population Treasury'!AZ$90*'Statistics NZ'!AZ$415)</f>
        <v>4799.4540285751191</v>
      </c>
      <c r="AJ70" s="46">
        <f>AI$70*'Population Treasury'!BB$90*'Statistics NZ'!BB$415/('Population Treasury'!BA$90*'Statistics NZ'!BA$415)</f>
        <v>4961.7944044278511</v>
      </c>
      <c r="AK70" s="46">
        <f>AJ$70*'Population Treasury'!BC$90*'Statistics NZ'!BC$415/('Population Treasury'!BB$90*'Statistics NZ'!BB$415)</f>
        <v>5073.4009139439222</v>
      </c>
      <c r="AL70" s="46">
        <f>AK$70*'Population Treasury'!BD$90*'Statistics NZ'!BD$415/('Population Treasury'!BC$90*'Statistics NZ'!BC$415)</f>
        <v>5276.2793074965448</v>
      </c>
      <c r="AM70" s="46">
        <f>AL$70*'Population Treasury'!BE$90*'Statistics NZ'!BE$415/('Population Treasury'!BD$90*'Statistics NZ'!BD$415)</f>
        <v>5377.7568473185556</v>
      </c>
      <c r="AN70" s="46">
        <f>AM$70*'Population Treasury'!BF$90*'Statistics NZ'!BF$415/('Population Treasury'!BE$90*'Statistics NZ'!BE$415)</f>
        <v>5611.1277325173087</v>
      </c>
      <c r="AO70" s="46">
        <f>AN$70*'Population Treasury'!BG$90*'Statistics NZ'!BG$415/('Population Treasury'!BF$90*'Statistics NZ'!BF$415)</f>
        <v>5935.7761511292883</v>
      </c>
      <c r="AP70" s="46">
        <f>AO$70*'Population Treasury'!BH$90*'Statistics NZ'!BH$415/('Population Treasury'!BG$90*'Statistics NZ'!BG$415)</f>
        <v>6087.958691121109</v>
      </c>
      <c r="AQ70" s="46">
        <f>AP$70*'Population Treasury'!BI$90*'Statistics NZ'!BI$415/('Population Treasury'!BH$90*'Statistics NZ'!BH$415)</f>
        <v>6331.4789676747178</v>
      </c>
    </row>
    <row r="71" spans="1:43" x14ac:dyDescent="0.25">
      <c r="A71" s="11">
        <v>76</v>
      </c>
      <c r="B71" s="45">
        <f>'Population Treasury'!T$91*'Statistics NZ'!T$416*'Economic Forecasts'!V$8/B$7</f>
        <v>1938.0417440005212</v>
      </c>
      <c r="C71" s="45">
        <f>'Population Treasury'!U$91*'Statistics NZ'!U$416*'Economic Forecasts'!W$8/C$7</f>
        <v>1929.7583148216177</v>
      </c>
      <c r="D71" s="45">
        <f>'Population Treasury'!V$91*'Statistics NZ'!V$416*'Economic Forecasts'!X$8/D$7</f>
        <v>2055.0867008511391</v>
      </c>
      <c r="E71" s="45">
        <f>'Population Treasury'!W$91*'Statistics NZ'!W$416*'Economic Forecasts'!Y$8/E$7</f>
        <v>2086.6352824082469</v>
      </c>
      <c r="F71" s="45">
        <f>'Population Treasury'!X$91*'Statistics NZ'!X$416*'Economic Forecasts'!Z$8/F$7</f>
        <v>2195.7781878401574</v>
      </c>
      <c r="G71" s="45">
        <f>'Population Treasury'!Y$91*'Statistics NZ'!Y$416*'Economic Forecasts'!AA$8/G$7</f>
        <v>2292.4999489033253</v>
      </c>
      <c r="H71" s="46">
        <f>G$71*'Population Treasury'!Z$91*'Statistics NZ'!Z$416/('Population Treasury'!Y$91*'Statistics NZ'!Y$416)</f>
        <v>2414.1083602319909</v>
      </c>
      <c r="I71" s="46">
        <f>H$71*'Population Treasury'!AA$91*'Statistics NZ'!AA$416/('Population Treasury'!Z$91*'Statistics NZ'!Z$416)</f>
        <v>2525.4211560274034</v>
      </c>
      <c r="J71" s="46">
        <f>I$71*'Population Treasury'!AB$91*'Statistics NZ'!AB$416/('Population Treasury'!AA$91*'Statistics NZ'!AA$416)</f>
        <v>2646.9402271323461</v>
      </c>
      <c r="K71" s="46">
        <f>J$71*'Population Treasury'!AC$91*'Statistics NZ'!AC$416/('Population Treasury'!AB$91*'Statistics NZ'!AB$416)</f>
        <v>2748.1595830539482</v>
      </c>
      <c r="L71" s="46">
        <f>K$71*'Population Treasury'!AD$91*'Statistics NZ'!AD$416/('Population Treasury'!AC$91*'Statistics NZ'!AC$416)</f>
        <v>2859.5546609170301</v>
      </c>
      <c r="M71" s="46">
        <f>L$71*'Population Treasury'!AE$91*'Statistics NZ'!AE$416/('Population Treasury'!AD$91*'Statistics NZ'!AD$416)</f>
        <v>2991.2390347156961</v>
      </c>
      <c r="N71" s="46">
        <f>M$71*'Population Treasury'!AF$91*'Statistics NZ'!AF$416/('Population Treasury'!AE$91*'Statistics NZ'!AE$416)</f>
        <v>3072.1918100970515</v>
      </c>
      <c r="O71" s="46">
        <f>N$71*'Population Treasury'!AG$91*'Statistics NZ'!AG$416/('Population Treasury'!AF$91*'Statistics NZ'!AF$416)</f>
        <v>3244.4700966162286</v>
      </c>
      <c r="P71" s="46">
        <f>O$71*'Population Treasury'!AH$91*'Statistics NZ'!AH$416/('Population Treasury'!AG$91*'Statistics NZ'!AG$416)</f>
        <v>3376.2493864166163</v>
      </c>
      <c r="Q71" s="46">
        <f>P$71*'Population Treasury'!AI$91*'Statistics NZ'!AI$416/('Population Treasury'!AH$91*'Statistics NZ'!AH$416)</f>
        <v>3447.0734749326371</v>
      </c>
      <c r="R71" s="46">
        <f>Q$71*'Population Treasury'!AJ$91*'Statistics NZ'!AJ$416/('Population Treasury'!AI$91*'Statistics NZ'!AI$416)</f>
        <v>3406.3736765783997</v>
      </c>
      <c r="S71" s="46">
        <f>R$71*'Population Treasury'!AK$91*'Statistics NZ'!AK$416/('Population Treasury'!AJ$91*'Statistics NZ'!AJ$416)</f>
        <v>3345.3535799961805</v>
      </c>
      <c r="T71" s="46">
        <f>S$71*'Population Treasury'!AL$91*'Statistics NZ'!AL$416/('Population Treasury'!AK$91*'Statistics NZ'!AK$416)</f>
        <v>3345.1636115422152</v>
      </c>
      <c r="U71" s="46">
        <f>T$71*'Population Treasury'!AM$91*'Statistics NZ'!AM$416/('Population Treasury'!AL$91*'Statistics NZ'!AL$416)</f>
        <v>3456.6665989740727</v>
      </c>
      <c r="V71" s="46">
        <f>U$71*'Population Treasury'!AN$91*'Statistics NZ'!AN$416/('Population Treasury'!AM$91*'Statistics NZ'!AM$416)</f>
        <v>3527.6027954024744</v>
      </c>
      <c r="W71" s="46">
        <f>V$71*'Population Treasury'!AO$91*'Statistics NZ'!AO$416/('Population Treasury'!AN$91*'Statistics NZ'!AN$416)</f>
        <v>3639.0999782754543</v>
      </c>
      <c r="X71" s="46">
        <f>W$71*'Population Treasury'!AP$91*'Statistics NZ'!AP$416/('Population Treasury'!AO$91*'Statistics NZ'!AO$416)</f>
        <v>3669.4365932933397</v>
      </c>
      <c r="Y71" s="46">
        <f>X$71*'Population Treasury'!AQ$91*'Statistics NZ'!AQ$416/('Population Treasury'!AP$91*'Statistics NZ'!AP$416)</f>
        <v>3851.9973443305994</v>
      </c>
      <c r="Z71" s="46">
        <f>Y$71*'Population Treasury'!AR$91*'Statistics NZ'!AR$416/('Population Treasury'!AQ$91*'Statistics NZ'!AQ$416)</f>
        <v>3831.6254026549873</v>
      </c>
      <c r="AA71" s="46">
        <f>Z$71*'Population Treasury'!AS$91*'Statistics NZ'!AS$416/('Population Treasury'!AR$91*'Statistics NZ'!AR$416)</f>
        <v>3760.5297617095525</v>
      </c>
      <c r="AB71" s="46">
        <f>AA$71*'Population Treasury'!AT$91*'Statistics NZ'!AT$416/('Population Treasury'!AS$91*'Statistics NZ'!AS$416)</f>
        <v>3689.4230233611156</v>
      </c>
      <c r="AC71" s="46">
        <f>AB$71*'Population Treasury'!AU$91*'Statistics NZ'!AU$416/('Population Treasury'!AT$91*'Statistics NZ'!AT$416)</f>
        <v>3587.9362714530876</v>
      </c>
      <c r="AD71" s="46">
        <f>AC$71*'Population Treasury'!AV$91*'Statistics NZ'!AV$416/('Population Treasury'!AU$91*'Statistics NZ'!AU$416)</f>
        <v>3486.3970650921883</v>
      </c>
      <c r="AE71" s="46">
        <f>AD$71*'Population Treasury'!AW$91*'Statistics NZ'!AW$416/('Population Treasury'!AV$91*'Statistics NZ'!AV$416)</f>
        <v>3547.2404254316793</v>
      </c>
      <c r="AF71" s="46">
        <f>AE$71*'Population Treasury'!AX$91*'Statistics NZ'!AX$416/('Population Treasury'!AW$91*'Statistics NZ'!AW$416)</f>
        <v>3567.4797431047441</v>
      </c>
      <c r="AG71" s="46">
        <f>AF$71*'Population Treasury'!AY$91*'Statistics NZ'!AY$416/('Population Treasury'!AX$91*'Statistics NZ'!AX$416)</f>
        <v>3719.6317829392765</v>
      </c>
      <c r="AH71" s="46">
        <f>AG$71*'Population Treasury'!AZ$91*'Statistics NZ'!AZ$416/('Population Treasury'!AY$91*'Statistics NZ'!AY$416)</f>
        <v>3810.9310765226155</v>
      </c>
      <c r="AI71" s="46">
        <f>AH$71*'Population Treasury'!BA$91*'Statistics NZ'!BA$416/('Population Treasury'!AZ$91*'Statistics NZ'!AZ$416)</f>
        <v>3912.3689194574081</v>
      </c>
      <c r="AJ71" s="46">
        <f>AI$71*'Population Treasury'!BB$91*'Statistics NZ'!BB$416/('Population Treasury'!BA$91*'Statistics NZ'!BA$416)</f>
        <v>4074.6886818007383</v>
      </c>
      <c r="AK71" s="46">
        <f>AJ$71*'Population Treasury'!BC$91*'Statistics NZ'!BC$416/('Population Treasury'!BB$91*'Statistics NZ'!BB$416)</f>
        <v>4206.6241251286774</v>
      </c>
      <c r="AL71" s="46">
        <f>AK$71*'Population Treasury'!BD$91*'Statistics NZ'!BD$416/('Population Treasury'!BC$91*'Statistics NZ'!BC$416)</f>
        <v>4308.0509882537908</v>
      </c>
      <c r="AM71" s="46">
        <f>AL$71*'Population Treasury'!BE$91*'Statistics NZ'!BE$416/('Population Treasury'!BD$91*'Statistics NZ'!BD$416)</f>
        <v>4480.5063695002273</v>
      </c>
      <c r="AN71" s="46">
        <f>AM$71*'Population Treasury'!BF$91*'Statistics NZ'!BF$416/('Population Treasury'!BE$91*'Statistics NZ'!BE$416)</f>
        <v>4561.7189984074466</v>
      </c>
      <c r="AO71" s="46">
        <f>AN$71*'Population Treasury'!BG$91*'Statistics NZ'!BG$416/('Population Treasury'!BF$91*'Statistics NZ'!BF$416)</f>
        <v>4764.6263709974892</v>
      </c>
      <c r="AP71" s="46">
        <f>AO$71*'Population Treasury'!BH$91*'Statistics NZ'!BH$416/('Population Treasury'!BG$91*'Statistics NZ'!BG$416)</f>
        <v>5038.5626301361563</v>
      </c>
      <c r="AQ71" s="46">
        <f>AP$71*'Population Treasury'!BI$91*'Statistics NZ'!BI$416/('Population Treasury'!BH$91*'Statistics NZ'!BH$416)</f>
        <v>5170.4409428432527</v>
      </c>
    </row>
    <row r="72" spans="1:43" x14ac:dyDescent="0.25">
      <c r="A72" s="11">
        <v>77</v>
      </c>
      <c r="B72" s="45">
        <f>'Population Treasury'!T$92*'Statistics NZ'!T$417*'Economic Forecasts'!V$8/B$7</f>
        <v>1638.3445670932238</v>
      </c>
      <c r="C72" s="45">
        <f>'Population Treasury'!U$92*'Statistics NZ'!U$417*'Economic Forecasts'!W$8/C$7</f>
        <v>1662.5617972952325</v>
      </c>
      <c r="D72" s="45">
        <f>'Population Treasury'!V$92*'Statistics NZ'!V$417*'Economic Forecasts'!X$8/D$7</f>
        <v>1677.8388892316289</v>
      </c>
      <c r="E72" s="45">
        <f>'Population Treasury'!W$92*'Statistics NZ'!W$417*'Economic Forecasts'!Y$8/E$7</f>
        <v>1797.103889812071</v>
      </c>
      <c r="F72" s="45">
        <f>'Population Treasury'!X$92*'Statistics NZ'!X$417*'Economic Forecasts'!Z$8/F$7</f>
        <v>1814.7839777341578</v>
      </c>
      <c r="G72" s="45">
        <f>'Population Treasury'!Y$92*'Statistics NZ'!Y$417*'Economic Forecasts'!AA$8/G$7</f>
        <v>1910.4216201282661</v>
      </c>
      <c r="H72" s="46">
        <f>G$72*'Population Treasury'!Z$92*'Statistics NZ'!Z$417/('Population Treasury'!Y$92*'Statistics NZ'!Y$417)</f>
        <v>1981.2883744837975</v>
      </c>
      <c r="I72" s="46">
        <f>H$72*'Population Treasury'!AA$92*'Statistics NZ'!AA$417/('Population Treasury'!Z$92*'Statistics NZ'!Z$417)</f>
        <v>2092.6877899614142</v>
      </c>
      <c r="J72" s="46">
        <f>I$72*'Population Treasury'!AB$92*'Statistics NZ'!AB$417/('Population Treasury'!AA$92*'Statistics NZ'!AA$417)</f>
        <v>2183.7828431050925</v>
      </c>
      <c r="K72" s="46">
        <f>J$72*'Population Treasury'!AC$92*'Statistics NZ'!AC$417/('Population Treasury'!AB$92*'Statistics NZ'!AB$417)</f>
        <v>2295.1310757637948</v>
      </c>
      <c r="L72" s="46">
        <f>K$72*'Population Treasury'!AD$92*'Statistics NZ'!AD$417/('Population Treasury'!AC$92*'Statistics NZ'!AC$417)</f>
        <v>2386.2240159526564</v>
      </c>
      <c r="M72" s="46">
        <f>L$72*'Population Treasury'!AE$92*'Statistics NZ'!AE$417/('Population Treasury'!AD$92*'Statistics NZ'!AD$417)</f>
        <v>2477.4025417748935</v>
      </c>
      <c r="N72" s="46">
        <f>M$72*'Population Treasury'!AF$92*'Statistics NZ'!AF$417/('Population Treasury'!AE$92*'Statistics NZ'!AE$417)</f>
        <v>2598.923936926351</v>
      </c>
      <c r="O72" s="46">
        <f>N$72*'Population Treasury'!AG$92*'Statistics NZ'!AG$417/('Population Treasury'!AF$92*'Statistics NZ'!AF$417)</f>
        <v>2669.7652501450266</v>
      </c>
      <c r="P72" s="46">
        <f>O$72*'Population Treasury'!AH$92*'Statistics NZ'!AH$417/('Population Treasury'!AG$92*'Statistics NZ'!AG$417)</f>
        <v>2811.7030167816979</v>
      </c>
      <c r="Q72" s="46">
        <f>P$72*'Population Treasury'!AI$92*'Statistics NZ'!AI$417/('Population Treasury'!AH$92*'Statistics NZ'!AH$417)</f>
        <v>2933.3097134116269</v>
      </c>
      <c r="R72" s="46">
        <f>Q$72*'Population Treasury'!AJ$92*'Statistics NZ'!AJ$417/('Population Treasury'!AI$92*'Statistics NZ'!AI$417)</f>
        <v>2994.0270501589289</v>
      </c>
      <c r="S72" s="46">
        <f>R$72*'Population Treasury'!AK$92*'Statistics NZ'!AK$417/('Population Treasury'!AJ$92*'Statistics NZ'!AJ$417)</f>
        <v>2963.4683631248372</v>
      </c>
      <c r="T72" s="46">
        <f>S$72*'Population Treasury'!AL$92*'Statistics NZ'!AL$417/('Population Treasury'!AK$92*'Statistics NZ'!AK$417)</f>
        <v>2912.6084658523696</v>
      </c>
      <c r="U72" s="46">
        <f>T$72*'Population Treasury'!AM$92*'Statistics NZ'!AM$417/('Population Treasury'!AL$92*'Statistics NZ'!AL$417)</f>
        <v>2902.3746416610152</v>
      </c>
      <c r="V72" s="46">
        <f>U$72*'Population Treasury'!AN$92*'Statistics NZ'!AN$417/('Population Treasury'!AM$92*'Statistics NZ'!AM$417)</f>
        <v>3003.7251298885835</v>
      </c>
      <c r="W72" s="46">
        <f>V$72*'Population Treasury'!AO$92*'Statistics NZ'!AO$417/('Population Treasury'!AN$92*'Statistics NZ'!AN$417)</f>
        <v>3064.5315939765237</v>
      </c>
      <c r="X72" s="46">
        <f>W$72*'Population Treasury'!AP$92*'Statistics NZ'!AP$417/('Population Treasury'!AO$92*'Statistics NZ'!AO$417)</f>
        <v>3165.8785714581941</v>
      </c>
      <c r="Y72" s="46">
        <f>X$72*'Population Treasury'!AQ$92*'Statistics NZ'!AQ$417/('Population Treasury'!AP$92*'Statistics NZ'!AP$417)</f>
        <v>3186.1312345179895</v>
      </c>
      <c r="Z72" s="46">
        <f>Y$72*'Population Treasury'!AR$92*'Statistics NZ'!AR$417/('Population Treasury'!AQ$92*'Statistics NZ'!AQ$417)</f>
        <v>3348.3932736889028</v>
      </c>
      <c r="AA72" s="46">
        <f>Z$72*'Population Treasury'!AS$92*'Statistics NZ'!AS$417/('Population Treasury'!AR$92*'Statistics NZ'!AR$417)</f>
        <v>3328.0539897700228</v>
      </c>
      <c r="AB72" s="46">
        <f>AA$72*'Population Treasury'!AT$92*'Statistics NZ'!AT$417/('Population Treasury'!AS$92*'Statistics NZ'!AS$417)</f>
        <v>3267.1186473986281</v>
      </c>
      <c r="AC72" s="46">
        <f>AB$72*'Population Treasury'!AU$92*'Statistics NZ'!AU$417/('Population Treasury'!AT$92*'Statistics NZ'!AT$417)</f>
        <v>3206.1671809071527</v>
      </c>
      <c r="AD72" s="46">
        <f>AC$72*'Population Treasury'!AV$92*'Statistics NZ'!AV$417/('Population Treasury'!AU$92*'Statistics NZ'!AU$417)</f>
        <v>3124.9453464831922</v>
      </c>
      <c r="AE72" s="46">
        <f>AD$72*'Population Treasury'!AW$92*'Statistics NZ'!AW$417/('Population Treasury'!AV$92*'Statistics NZ'!AV$417)</f>
        <v>3033.5838293504121</v>
      </c>
      <c r="AF72" s="46">
        <f>AE$72*'Population Treasury'!AX$92*'Statistics NZ'!AX$417/('Population Treasury'!AW$92*'Statistics NZ'!AW$417)</f>
        <v>3084.3046315183751</v>
      </c>
      <c r="AG72" s="46">
        <f>AF$72*'Population Treasury'!AY$92*'Statistics NZ'!AY$417/('Population Treasury'!AX$92*'Statistics NZ'!AX$417)</f>
        <v>3104.5356722615043</v>
      </c>
      <c r="AH72" s="46">
        <f>AG$72*'Population Treasury'!AZ$92*'Statistics NZ'!AZ$417/('Population Treasury'!AY$92*'Statistics NZ'!AY$417)</f>
        <v>3236.4140411043895</v>
      </c>
      <c r="AI72" s="46">
        <f>AH$72*'Population Treasury'!BA$92*'Statistics NZ'!BA$417/('Population Treasury'!AZ$92*'Statistics NZ'!AZ$417)</f>
        <v>3317.5642499761971</v>
      </c>
      <c r="AJ72" s="46">
        <f>AI$72*'Population Treasury'!BB$92*'Statistics NZ'!BB$417/('Population Treasury'!BA$92*'Statistics NZ'!BA$417)</f>
        <v>3398.7617336479152</v>
      </c>
      <c r="AK72" s="46">
        <f>AJ$72*'Population Treasury'!BC$92*'Statistics NZ'!BC$417/('Population Treasury'!BB$92*'Statistics NZ'!BB$417)</f>
        <v>3540.7881147394164</v>
      </c>
      <c r="AL72" s="46">
        <f>AK$72*'Population Treasury'!BD$92*'Statistics NZ'!BD$417/('Population Treasury'!BC$92*'Statistics NZ'!BC$417)</f>
        <v>3662.5388676382458</v>
      </c>
      <c r="AM72" s="46">
        <f>AL$72*'Population Treasury'!BE$92*'Statistics NZ'!BE$417/('Population Treasury'!BD$92*'Statistics NZ'!BD$417)</f>
        <v>3753.8132569681461</v>
      </c>
      <c r="AN72" s="46">
        <f>AM$72*'Population Treasury'!BF$92*'Statistics NZ'!BF$417/('Population Treasury'!BE$92*'Statistics NZ'!BE$417)</f>
        <v>3895.8737834925587</v>
      </c>
      <c r="AO72" s="46">
        <f>AN$72*'Population Treasury'!BG$92*'Statistics NZ'!BG$417/('Population Treasury'!BF$92*'Statistics NZ'!BF$417)</f>
        <v>3977.0347486834748</v>
      </c>
      <c r="AP72" s="46">
        <f>AO$72*'Population Treasury'!BH$92*'Statistics NZ'!BH$417/('Population Treasury'!BG$92*'Statistics NZ'!BG$417)</f>
        <v>4149.5305806072647</v>
      </c>
      <c r="AQ72" s="46">
        <f>AP$72*'Population Treasury'!BI$92*'Statistics NZ'!BI$417/('Population Treasury'!BH$92*'Statistics NZ'!BH$417)</f>
        <v>4393.0121320836606</v>
      </c>
    </row>
    <row r="73" spans="1:43" x14ac:dyDescent="0.25">
      <c r="A73" s="11">
        <v>78</v>
      </c>
      <c r="B73" s="45">
        <f>'Population Treasury'!T$93*'Statistics NZ'!T$418*'Economic Forecasts'!V$8/B$7</f>
        <v>1178.8088958353683</v>
      </c>
      <c r="C73" s="45">
        <f>'Population Treasury'!U$93*'Statistics NZ'!U$418*'Economic Forecasts'!W$8/C$7</f>
        <v>1415.1613928285085</v>
      </c>
      <c r="D73" s="45">
        <f>'Population Treasury'!V$93*'Statistics NZ'!V$418*'Economic Forecasts'!X$8/D$7</f>
        <v>1459.4232761627404</v>
      </c>
      <c r="E73" s="45">
        <f>'Population Treasury'!W$93*'Statistics NZ'!W$418*'Economic Forecasts'!Y$8/E$7</f>
        <v>1477.6303798977387</v>
      </c>
      <c r="F73" s="45">
        <f>'Population Treasury'!X$93*'Statistics NZ'!X$418*'Economic Forecasts'!Z$8/F$7</f>
        <v>1574.1511449458503</v>
      </c>
      <c r="G73" s="45">
        <f>'Population Treasury'!Y$93*'Statistics NZ'!Y$418*'Economic Forecasts'!AA$8/G$7</f>
        <v>1588.6722256290466</v>
      </c>
      <c r="H73" s="46">
        <f>G$73*'Population Treasury'!Z$93*'Statistics NZ'!Z$418/('Population Treasury'!Y$93*'Statistics NZ'!Y$418)</f>
        <v>1669.6832632279004</v>
      </c>
      <c r="I73" s="46">
        <f>H$73*'Population Treasury'!AA$93*'Statistics NZ'!AA$418/('Population Treasury'!Z$93*'Statistics NZ'!Z$418)</f>
        <v>1740.4745677840883</v>
      </c>
      <c r="J73" s="46">
        <f>I$73*'Population Treasury'!AB$93*'Statistics NZ'!AB$418/('Population Treasury'!AA$93*'Statistics NZ'!AA$418)</f>
        <v>1831.6591728388619</v>
      </c>
      <c r="K73" s="46">
        <f>J$73*'Population Treasury'!AC$93*'Statistics NZ'!AC$418/('Population Treasury'!AB$93*'Statistics NZ'!AB$418)</f>
        <v>1912.6149016143447</v>
      </c>
      <c r="L73" s="46">
        <f>K$73*'Population Treasury'!AD$93*'Statistics NZ'!AD$418/('Population Treasury'!AC$93*'Statistics NZ'!AC$418)</f>
        <v>2003.7636800484843</v>
      </c>
      <c r="M73" s="46">
        <f>L$73*'Population Treasury'!AE$93*'Statistics NZ'!AE$418/('Population Treasury'!AD$93*'Statistics NZ'!AD$418)</f>
        <v>2084.742784937584</v>
      </c>
      <c r="N73" s="46">
        <f>M$73*'Population Treasury'!AF$93*'Statistics NZ'!AF$418/('Population Treasury'!AE$93*'Statistics NZ'!AE$418)</f>
        <v>2175.8625976772942</v>
      </c>
      <c r="O73" s="46">
        <f>N$73*'Population Treasury'!AG$93*'Statistics NZ'!AG$418/('Population Treasury'!AF$93*'Statistics NZ'!AF$418)</f>
        <v>2277.1755070494046</v>
      </c>
      <c r="P73" s="46">
        <f>O$73*'Population Treasury'!AH$93*'Statistics NZ'!AH$418/('Population Treasury'!AG$93*'Statistics NZ'!AG$418)</f>
        <v>2337.9131262215951</v>
      </c>
      <c r="Q73" s="46">
        <f>P$73*'Population Treasury'!AI$93*'Statistics NZ'!AI$418/('Population Treasury'!AH$93*'Statistics NZ'!AH$418)</f>
        <v>2459.599656727717</v>
      </c>
      <c r="R73" s="46">
        <f>Q$73*'Population Treasury'!AJ$93*'Statistics NZ'!AJ$418/('Population Treasury'!AI$93*'Statistics NZ'!AI$418)</f>
        <v>2571.055298311875</v>
      </c>
      <c r="S73" s="46">
        <f>R$73*'Population Treasury'!AK$93*'Statistics NZ'!AK$418/('Population Treasury'!AJ$93*'Statistics NZ'!AJ$418)</f>
        <v>2621.6768231603</v>
      </c>
      <c r="T73" s="46">
        <f>S$73*'Population Treasury'!AL$93*'Statistics NZ'!AL$418/('Population Treasury'!AK$93*'Statistics NZ'!AK$418)</f>
        <v>2591.1680503404891</v>
      </c>
      <c r="U73" s="46">
        <f>T$73*'Population Treasury'!AM$93*'Statistics NZ'!AM$418/('Population Treasury'!AL$93*'Statistics NZ'!AL$418)</f>
        <v>2550.4501207968565</v>
      </c>
      <c r="V73" s="46">
        <f>U$73*'Population Treasury'!AN$93*'Statistics NZ'!AN$418/('Population Treasury'!AM$93*'Statistics NZ'!AM$418)</f>
        <v>2540.2422684237081</v>
      </c>
      <c r="W73" s="46">
        <f>V$73*'Population Treasury'!AO$93*'Statistics NZ'!AO$418/('Population Treasury'!AN$93*'Statistics NZ'!AN$418)</f>
        <v>2631.4558993999003</v>
      </c>
      <c r="X73" s="46">
        <f>W$73*'Population Treasury'!AP$93*'Statistics NZ'!AP$418/('Population Treasury'!AO$93*'Statistics NZ'!AO$418)</f>
        <v>2682.153600847982</v>
      </c>
      <c r="Y73" s="46">
        <f>X$73*'Population Treasury'!AQ$93*'Statistics NZ'!AQ$418/('Population Treasury'!AP$93*'Statistics NZ'!AP$418)</f>
        <v>2773.3584103467529</v>
      </c>
      <c r="Z73" s="46">
        <f>Y$73*'Population Treasury'!AR$93*'Statistics NZ'!AR$418/('Population Treasury'!AQ$93*'Statistics NZ'!AQ$418)</f>
        <v>2793.6033545657551</v>
      </c>
      <c r="AA73" s="46">
        <f>Z$73*'Population Treasury'!AS$93*'Statistics NZ'!AS$418/('Population Treasury'!AR$93*'Statistics NZ'!AR$418)</f>
        <v>2935.5926048441079</v>
      </c>
      <c r="AB73" s="46">
        <f>AA$73*'Population Treasury'!AT$93*'Statistics NZ'!AT$418/('Population Treasury'!AS$93*'Statistics NZ'!AS$418)</f>
        <v>2915.2842775214094</v>
      </c>
      <c r="AC73" s="46">
        <f>AB$73*'Population Treasury'!AU$93*'Statistics NZ'!AU$418/('Population Treasury'!AT$93*'Statistics NZ'!AT$418)</f>
        <v>2864.4896386650871</v>
      </c>
      <c r="AD73" s="46">
        <f>AC$73*'Population Treasury'!AV$93*'Statistics NZ'!AV$418/('Population Treasury'!AU$93*'Statistics NZ'!AU$418)</f>
        <v>2803.6074067536038</v>
      </c>
      <c r="AE73" s="46">
        <f>AD$73*'Population Treasury'!AW$93*'Statistics NZ'!AW$418/('Population Treasury'!AV$93*'Statistics NZ'!AV$418)</f>
        <v>2732.5400560347357</v>
      </c>
      <c r="AF73" s="46">
        <f>AE$73*'Population Treasury'!AX$93*'Statistics NZ'!AX$418/('Population Treasury'!AW$93*'Statistics NZ'!AW$418)</f>
        <v>2661.4268516528186</v>
      </c>
      <c r="AG73" s="46">
        <f>AF$73*'Population Treasury'!AY$93*'Statistics NZ'!AY$418/('Population Treasury'!AX$93*'Statistics NZ'!AX$418)</f>
        <v>2702.0313449776754</v>
      </c>
      <c r="AH73" s="46">
        <f>AG$73*'Population Treasury'!AZ$93*'Statistics NZ'!AZ$418/('Population Treasury'!AY$93*'Statistics NZ'!AY$418)</f>
        <v>2722.2633120580208</v>
      </c>
      <c r="AI73" s="46">
        <f>AH$73*'Population Treasury'!BA$93*'Statistics NZ'!BA$418/('Population Treasury'!AZ$93*'Statistics NZ'!AZ$418)</f>
        <v>2833.8798073103353</v>
      </c>
      <c r="AJ73" s="46">
        <f>AI$73*'Population Treasury'!BB$93*'Statistics NZ'!BB$418/('Population Treasury'!BA$93*'Statistics NZ'!BA$418)</f>
        <v>2904.8921732383333</v>
      </c>
      <c r="AK73" s="46">
        <f>AJ$73*'Population Treasury'!BC$93*'Statistics NZ'!BC$418/('Population Treasury'!BB$93*'Statistics NZ'!BB$418)</f>
        <v>2986.0267306064302</v>
      </c>
      <c r="AL73" s="46">
        <f>AK$73*'Population Treasury'!BD$93*'Statistics NZ'!BD$418/('Population Treasury'!BC$93*'Statistics NZ'!BC$418)</f>
        <v>3107.788814107525</v>
      </c>
      <c r="AM73" s="46">
        <f>AL$73*'Population Treasury'!BE$93*'Statistics NZ'!BE$418/('Population Treasury'!BD$93*'Statistics NZ'!BD$418)</f>
        <v>3219.3699911460403</v>
      </c>
      <c r="AN73" s="46">
        <f>AM$73*'Population Treasury'!BF$93*'Statistics NZ'!BF$418/('Population Treasury'!BE$93*'Statistics NZ'!BE$418)</f>
        <v>3290.4111860918724</v>
      </c>
      <c r="AO73" s="46">
        <f>AN$73*'Population Treasury'!BG$93*'Statistics NZ'!BG$418/('Population Treasury'!BF$93*'Statistics NZ'!BF$418)</f>
        <v>3422.2933740137537</v>
      </c>
      <c r="AP73" s="46">
        <f>AO$73*'Population Treasury'!BH$93*'Statistics NZ'!BH$418/('Population Treasury'!BG$93*'Statistics NZ'!BG$418)</f>
        <v>3493.3098066076027</v>
      </c>
      <c r="AQ73" s="46">
        <f>AP$73*'Population Treasury'!BI$93*'Statistics NZ'!BI$418/('Population Treasury'!BH$93*'Statistics NZ'!BH$418)</f>
        <v>3645.5162562136024</v>
      </c>
    </row>
    <row r="74" spans="1:43" x14ac:dyDescent="0.25">
      <c r="A74" s="11">
        <v>79</v>
      </c>
      <c r="B74" s="45">
        <f>'Population Treasury'!T$94*'Statistics NZ'!T$419*'Economic Forecasts'!V$8/B$7</f>
        <v>919.07134251571108</v>
      </c>
      <c r="C74" s="45">
        <f>'Population Treasury'!U$94*'Statistics NZ'!U$419*'Economic Forecasts'!W$8/C$7</f>
        <v>989.65408595559859</v>
      </c>
      <c r="D74" s="45">
        <f>'Population Treasury'!V$94*'Statistics NZ'!V$419*'Economic Forecasts'!X$8/D$7</f>
        <v>1221.1549934625075</v>
      </c>
      <c r="E74" s="45">
        <f>'Population Treasury'!W$94*'Statistics NZ'!W$419*'Economic Forecasts'!Y$8/E$7</f>
        <v>1248.0001068157437</v>
      </c>
      <c r="F74" s="45">
        <f>'Population Treasury'!X$94*'Statistics NZ'!X$419*'Economic Forecasts'!Z$8/F$7</f>
        <v>1263.3397756019015</v>
      </c>
      <c r="G74" s="45">
        <f>'Population Treasury'!Y$94*'Statistics NZ'!Y$419*'Economic Forecasts'!AA$8/G$7</f>
        <v>1347.3562114554504</v>
      </c>
      <c r="H74" s="46">
        <f>G$74*'Population Treasury'!Z$94*'Statistics NZ'!Z$419/('Population Treasury'!Y$94*'Statistics NZ'!Y$419)</f>
        <v>1357.3453541193717</v>
      </c>
      <c r="I74" s="46">
        <f>H$74*'Population Treasury'!AA$94*'Statistics NZ'!AA$419/('Population Treasury'!Z$94*'Statistics NZ'!Z$419)</f>
        <v>1428.1980399257486</v>
      </c>
      <c r="J74" s="46">
        <f>I$74*'Population Treasury'!AB$94*'Statistics NZ'!AB$419/('Population Treasury'!AA$94*'Statistics NZ'!AA$419)</f>
        <v>1488.8614417104525</v>
      </c>
      <c r="K74" s="46">
        <f>J$74*'Population Treasury'!AC$94*'Statistics NZ'!AC$419/('Population Treasury'!AB$94*'Statistics NZ'!AB$419)</f>
        <v>1569.8812373180215</v>
      </c>
      <c r="L74" s="46">
        <f>K$74*'Population Treasury'!AD$94*'Statistics NZ'!AD$419/('Population Treasury'!AC$94*'Statistics NZ'!AC$419)</f>
        <v>1640.7166755559622</v>
      </c>
      <c r="M74" s="46">
        <f>L$74*'Population Treasury'!AE$94*'Statistics NZ'!AE$419/('Population Treasury'!AD$94*'Statistics NZ'!AD$419)</f>
        <v>1711.6559527005434</v>
      </c>
      <c r="N74" s="46">
        <f>M$74*'Population Treasury'!AF$94*'Statistics NZ'!AF$419/('Population Treasury'!AE$94*'Statistics NZ'!AE$419)</f>
        <v>1782.5048806228408</v>
      </c>
      <c r="O74" s="46">
        <f>N$74*'Population Treasury'!AG$94*'Statistics NZ'!AG$419/('Population Treasury'!AF$94*'Statistics NZ'!AF$419)</f>
        <v>1853.4190228736261</v>
      </c>
      <c r="P74" s="46">
        <f>O$74*'Population Treasury'!AH$94*'Statistics NZ'!AH$419/('Population Treasury'!AG$94*'Statistics NZ'!AG$419)</f>
        <v>1944.57749494223</v>
      </c>
      <c r="Q74" s="46">
        <f>P$74*'Population Treasury'!AI$94*'Statistics NZ'!AI$419/('Population Treasury'!AH$94*'Statistics NZ'!AH$419)</f>
        <v>1995.2020004193835</v>
      </c>
      <c r="R74" s="46">
        <f>Q$74*'Population Treasury'!AJ$94*'Statistics NZ'!AJ$419/('Population Treasury'!AI$94*'Statistics NZ'!AI$419)</f>
        <v>2106.7038997789946</v>
      </c>
      <c r="S74" s="46">
        <f>R$74*'Population Treasury'!AK$94*'Statistics NZ'!AK$419/('Population Treasury'!AJ$94*'Statistics NZ'!AJ$419)</f>
        <v>2197.9247770706497</v>
      </c>
      <c r="T74" s="46">
        <f>S$74*'Population Treasury'!AL$94*'Statistics NZ'!AL$419/('Population Treasury'!AK$94*'Statistics NZ'!AK$419)</f>
        <v>2238.4362433230217</v>
      </c>
      <c r="U74" s="46">
        <f>T$74*'Population Treasury'!AM$94*'Statistics NZ'!AM$419/('Population Treasury'!AL$94*'Statistics NZ'!AL$419)</f>
        <v>2218.0483811848853</v>
      </c>
      <c r="V74" s="46">
        <f>U$74*'Population Treasury'!AN$94*'Statistics NZ'!AN$419/('Population Treasury'!AM$94*'Statistics NZ'!AM$419)</f>
        <v>2177.3961677396237</v>
      </c>
      <c r="W74" s="46">
        <f>V$74*'Population Treasury'!AO$94*'Statistics NZ'!AO$419/('Population Treasury'!AN$94*'Statistics NZ'!AN$419)</f>
        <v>2177.2954591453681</v>
      </c>
      <c r="X74" s="46">
        <f>W$74*'Population Treasury'!AP$94*'Statistics NZ'!AP$419/('Population Treasury'!AO$94*'Statistics NZ'!AO$419)</f>
        <v>2248.2737056617957</v>
      </c>
      <c r="Y74" s="46">
        <f>X$74*'Population Treasury'!AQ$94*'Statistics NZ'!AQ$419/('Population Treasury'!AP$94*'Statistics NZ'!AP$419)</f>
        <v>2298.9345201695896</v>
      </c>
      <c r="Z74" s="46">
        <f>Y$74*'Population Treasury'!AR$94*'Statistics NZ'!AR$419/('Population Treasury'!AQ$94*'Statistics NZ'!AQ$419)</f>
        <v>2369.9181006240151</v>
      </c>
      <c r="AA74" s="46">
        <f>Z$74*'Population Treasury'!AS$94*'Statistics NZ'!AS$419/('Population Treasury'!AR$94*'Statistics NZ'!AR$419)</f>
        <v>2390.158129651511</v>
      </c>
      <c r="AB74" s="46">
        <f>AA$74*'Population Treasury'!AT$94*'Statistics NZ'!AT$419/('Population Treasury'!AS$94*'Statistics NZ'!AS$419)</f>
        <v>2511.8630350067401</v>
      </c>
      <c r="AC74" s="46">
        <f>AB$74*'Population Treasury'!AU$94*'Statistics NZ'!AU$419/('Population Treasury'!AT$94*'Statistics NZ'!AT$419)</f>
        <v>2501.6642859477934</v>
      </c>
      <c r="AD74" s="46">
        <f>AC$74*'Population Treasury'!AV$94*'Statistics NZ'!AV$419/('Population Treasury'!AU$94*'Statistics NZ'!AU$419)</f>
        <v>2450.9260552573783</v>
      </c>
      <c r="AE74" s="46">
        <f>AD$74*'Population Treasury'!AW$94*'Statistics NZ'!AW$419/('Population Treasury'!AV$94*'Statistics NZ'!AV$419)</f>
        <v>2410.2673325052992</v>
      </c>
      <c r="AF74" s="46">
        <f>AE$74*'Population Treasury'!AX$94*'Statistics NZ'!AX$419/('Population Treasury'!AW$94*'Statistics NZ'!AW$419)</f>
        <v>2349.3602528983042</v>
      </c>
      <c r="AG74" s="46">
        <f>AF$74*'Population Treasury'!AY$94*'Statistics NZ'!AY$419/('Population Treasury'!AX$94*'Statistics NZ'!AX$419)</f>
        <v>2278.3271414915362</v>
      </c>
      <c r="AH74" s="46">
        <f>AG$74*'Population Treasury'!AZ$94*'Statistics NZ'!AZ$419/('Population Treasury'!AY$94*'Statistics NZ'!AY$419)</f>
        <v>2318.9008101034487</v>
      </c>
      <c r="AI74" s="46">
        <f>AH$74*'Population Treasury'!BA$94*'Statistics NZ'!BA$419/('Population Treasury'!AZ$94*'Statistics NZ'!AZ$419)</f>
        <v>2329.0416382768758</v>
      </c>
      <c r="AJ74" s="46">
        <f>AI$74*'Population Treasury'!BB$94*'Statistics NZ'!BB$419/('Population Treasury'!BA$94*'Statistics NZ'!BA$419)</f>
        <v>2430.4779350440399</v>
      </c>
      <c r="AK74" s="46">
        <f>AJ$74*'Population Treasury'!BC$94*'Statistics NZ'!BC$419/('Population Treasury'!BB$94*'Statistics NZ'!BB$419)</f>
        <v>2491.3458195981684</v>
      </c>
      <c r="AL74" s="46">
        <f>AK$74*'Population Treasury'!BD$94*'Statistics NZ'!BD$419/('Population Treasury'!BC$94*'Statistics NZ'!BC$419)</f>
        <v>2562.3411741528703</v>
      </c>
      <c r="AM74" s="46">
        <f>AL$74*'Population Treasury'!BE$94*'Statistics NZ'!BE$419/('Population Treasury'!BD$94*'Statistics NZ'!BD$419)</f>
        <v>2663.8248482920167</v>
      </c>
      <c r="AN74" s="46">
        <f>AM$74*'Population Treasury'!BF$94*'Statistics NZ'!BF$419/('Population Treasury'!BE$94*'Statistics NZ'!BE$419)</f>
        <v>2755.1472726266961</v>
      </c>
      <c r="AO74" s="46">
        <f>AN$74*'Population Treasury'!BG$94*'Statistics NZ'!BG$419/('Population Treasury'!BF$94*'Statistics NZ'!BF$419)</f>
        <v>2826.132440228816</v>
      </c>
      <c r="AP74" s="46">
        <f>AO$74*'Population Treasury'!BH$94*'Statistics NZ'!BH$419/('Population Treasury'!BG$94*'Statistics NZ'!BG$419)</f>
        <v>2937.7362316550712</v>
      </c>
      <c r="AQ74" s="46">
        <f>AP$74*'Population Treasury'!BI$94*'Statistics NZ'!BI$419/('Population Treasury'!BH$94*'Statistics NZ'!BH$419)</f>
        <v>2998.6116861359978</v>
      </c>
    </row>
    <row r="75" spans="1:43" x14ac:dyDescent="0.25">
      <c r="A75" s="11" t="s">
        <v>13</v>
      </c>
      <c r="B75" s="45">
        <f>SUM('Population Treasury'!T$95:T$110)*'Statistics NZ'!T$420*'Economic Forecasts'!V$8/B$7</f>
        <v>3206.759792908078</v>
      </c>
      <c r="C75" s="45">
        <f>SUM('Population Treasury'!U$95:U$110)*'Statistics NZ'!U$420*'Economic Forecasts'!W$8/C$7</f>
        <v>3414.0675614615047</v>
      </c>
      <c r="D75" s="45">
        <f>SUM('Population Treasury'!V$95:V$110)*'Statistics NZ'!V$420*'Economic Forecasts'!X$8/D$7</f>
        <v>3683.142661341134</v>
      </c>
      <c r="E75" s="45">
        <f>SUM('Population Treasury'!W$95:W$110)*'Statistics NZ'!W$420*'Economic Forecasts'!Y$8/E$7</f>
        <v>4093.251736671094</v>
      </c>
      <c r="F75" s="45">
        <f>SUM('Population Treasury'!X$95:X$110)*'Statistics NZ'!X$420*'Economic Forecasts'!Z$8/F$7</f>
        <v>4471.6412942597981</v>
      </c>
      <c r="G75" s="45">
        <f>SUM('Population Treasury'!Y$95:Y$110)*'Statistics NZ'!Y$420*'Economic Forecasts'!AA$8/G$7</f>
        <v>4785.9936442045546</v>
      </c>
      <c r="H75" s="46">
        <f>G$75*SUM('Population Treasury'!Z$95:Z$110)*'Statistics NZ'!Z$420/(SUM('Population Treasury'!Y$95:Y$110)*'Statistics NZ'!Y$420)</f>
        <v>5099.9282541306038</v>
      </c>
      <c r="I75" s="46">
        <f>H$75*SUM('Population Treasury'!AA$95:AA$110)*'Statistics NZ'!AA$420/(SUM('Population Treasury'!Z$95:Z$110)*'Statistics NZ'!Z$420)</f>
        <v>5363.3977961982137</v>
      </c>
      <c r="J75" s="46">
        <f>I$75*SUM('Population Treasury'!AB$95:AB$110)*'Statistics NZ'!AB$420/(SUM('Population Treasury'!AA$95:AA$110)*'Statistics NZ'!AA$420)</f>
        <v>5647.0358715926304</v>
      </c>
      <c r="K75" s="46">
        <f>J$75*SUM('Population Treasury'!AC$95:AC$110)*'Statistics NZ'!AC$420/(SUM('Population Treasury'!AB$95:AB$110)*'Statistics NZ'!AB$420)</f>
        <v>5930.680703007024</v>
      </c>
      <c r="L75" s="46">
        <f>K$75*SUM('Population Treasury'!AD$95:AD$110)*'Statistics NZ'!AD$420/(SUM('Population Treasury'!AC$95:AC$110)*'Statistics NZ'!AC$420)</f>
        <v>6234.5881991064625</v>
      </c>
      <c r="M75" s="46">
        <f>L$75*SUM('Population Treasury'!AE$95:AE$110)*'Statistics NZ'!AE$420/(SUM('Population Treasury'!AD$95:AD$110)*'Statistics NZ'!AD$420)</f>
        <v>6548.6285924957392</v>
      </c>
      <c r="N75" s="46">
        <f>M$75*SUM('Population Treasury'!AF$95:AF$110)*'Statistics NZ'!AF$420/(SUM('Population Treasury'!AE$95:AE$110)*'Statistics NZ'!AE$420)</f>
        <v>6872.8467471250706</v>
      </c>
      <c r="O75" s="46">
        <f>N$75*SUM('Population Treasury'!AG$95:AG$110)*'Statistics NZ'!AG$420/(SUM('Population Treasury'!AF$95:AF$110)*'Statistics NZ'!AF$420)</f>
        <v>7187.0419739155859</v>
      </c>
      <c r="P75" s="46">
        <f>O$75*SUM('Population Treasury'!AH$95:AH$110)*'Statistics NZ'!AH$420/(SUM('Population Treasury'!AG$95:AG$110)*'Statistics NZ'!AG$420)</f>
        <v>7511.3709586586838</v>
      </c>
      <c r="Q75" s="46">
        <f>P$75*SUM('Population Treasury'!AI$95:AI$110)*'Statistics NZ'!AI$420/(SUM('Population Treasury'!AH$95:AH$110)*'Statistics NZ'!AH$420)</f>
        <v>7855.9702643067631</v>
      </c>
      <c r="R75" s="46">
        <f>Q$75*SUM('Population Treasury'!AJ$95:AJ$110)*'Statistics NZ'!AJ$420/(SUM('Population Treasury'!AI$95:AI$110)*'Statistics NZ'!AI$420)</f>
        <v>8180.3910325222105</v>
      </c>
      <c r="S75" s="46">
        <f>R$75*SUM('Population Treasury'!AK$95:AK$110)*'Statistics NZ'!AK$420/(SUM('Population Treasury'!AJ$95:AJ$110)*'Statistics NZ'!AJ$420)</f>
        <v>8545.3122000010408</v>
      </c>
      <c r="T75" s="46">
        <f>S$75*SUM('Population Treasury'!AL$95:AL$110)*'Statistics NZ'!AL$420/(SUM('Population Treasury'!AK$95:AK$110)*'Statistics NZ'!AK$420)</f>
        <v>8930.515439274428</v>
      </c>
      <c r="U75" s="46">
        <f>T$75*SUM('Population Treasury'!AM$95:AM$110)*'Statistics NZ'!AM$420/(SUM('Population Treasury'!AL$95:AL$110)*'Statistics NZ'!AL$420)</f>
        <v>9275.3281043735442</v>
      </c>
      <c r="V75" s="46">
        <f>U$75*SUM('Population Treasury'!AN$95:AN$110)*'Statistics NZ'!AN$420/(SUM('Population Treasury'!AM$95:AM$110)*'Statistics NZ'!AM$420)</f>
        <v>9559.3917068642641</v>
      </c>
      <c r="W75" s="46">
        <f>V$75*SUM('Population Treasury'!AO$95:AO$110)*'Statistics NZ'!AO$420/(SUM('Population Treasury'!AN$95:AN$110)*'Statistics NZ'!AN$420)</f>
        <v>9752.3804152091343</v>
      </c>
      <c r="X75" s="46">
        <f>W$75*SUM('Population Treasury'!AP$95:AP$110)*'Statistics NZ'!AP$420/(SUM('Population Treasury'!AO$95:AO$110)*'Statistics NZ'!AO$420)</f>
        <v>9914.9467608489012</v>
      </c>
      <c r="Y75" s="46">
        <f>X$75*SUM('Population Treasury'!AQ$95:AQ$110)*'Statistics NZ'!AQ$420/(SUM('Population Treasury'!AP$95:AP$110)*'Statistics NZ'!AP$420)</f>
        <v>10107.847731981525</v>
      </c>
      <c r="Z75" s="46">
        <f>Y$75*SUM('Population Treasury'!AR$95:AR$110)*'Statistics NZ'!AR$420/(SUM('Population Treasury'!AQ$95:AQ$110)*'Statistics NZ'!AQ$420)</f>
        <v>10310.829068185514</v>
      </c>
      <c r="AA75" s="46">
        <f>Z$75*SUM('Population Treasury'!AS$95:AS$110)*'Statistics NZ'!AS$420/(SUM('Population Treasury'!AR$95:AR$110)*'Statistics NZ'!AR$420)</f>
        <v>10544.154302998986</v>
      </c>
      <c r="AB75" s="46">
        <f>AA$75*SUM('Population Treasury'!AT$95:AT$110)*'Statistics NZ'!AT$420/(SUM('Population Treasury'!AS$95:AS$110)*'Statistics NZ'!AS$420)</f>
        <v>10757.222877719394</v>
      </c>
      <c r="AC75" s="46">
        <f>AB$75*SUM('Population Treasury'!AU$95:AU$110)*'Statistics NZ'!AU$420/(SUM('Population Treasury'!AT$95:AT$110)*'Statistics NZ'!AT$420)</f>
        <v>11031.036268563344</v>
      </c>
      <c r="AD75" s="46">
        <f>AC$75*SUM('Population Treasury'!AV$95:AV$110)*'Statistics NZ'!AV$420/(SUM('Population Treasury'!AU$95:AU$110)*'Statistics NZ'!AU$420)</f>
        <v>11244.133349727987</v>
      </c>
      <c r="AE75" s="46">
        <f>AD$75*SUM('Population Treasury'!AW$95:AW$110)*'Statistics NZ'!AW$420/(SUM('Population Treasury'!AV$95:AV$110)*'Statistics NZ'!AV$420)</f>
        <v>11386.340046909989</v>
      </c>
      <c r="AF75" s="46">
        <f>AE$75*SUM('Population Treasury'!AX$95:AX$110)*'Statistics NZ'!AX$420/(SUM('Population Treasury'!AW$95:AW$110)*'Statistics NZ'!AW$420)</f>
        <v>11467.767540476601</v>
      </c>
      <c r="AG75" s="46">
        <f>AF$75*SUM('Population Treasury'!AY$95:AY$110)*'Statistics NZ'!AY$420/(SUM('Population Treasury'!AX$95:AX$110)*'Statistics NZ'!AX$420)</f>
        <v>11488.401110445941</v>
      </c>
      <c r="AH75" s="46">
        <f>AG$75*SUM('Population Treasury'!AZ$95:AZ$110)*'Statistics NZ'!AZ$420/(SUM('Population Treasury'!AY$95:AY$110)*'Statistics NZ'!AY$420)</f>
        <v>11458.324201904687</v>
      </c>
      <c r="AI75" s="46">
        <f>AH$75*SUM('Population Treasury'!BA$95:BA$110)*'Statistics NZ'!BA$420/(SUM('Population Treasury'!AZ$95:AZ$110)*'Statistics NZ'!AZ$420)</f>
        <v>11468.698447712903</v>
      </c>
      <c r="AJ75" s="46">
        <f>AI$75*SUM('Population Treasury'!BB$95:BB$110)*'Statistics NZ'!BB$420/(SUM('Population Treasury'!BA$95:BA$110)*'Statistics NZ'!BA$420)</f>
        <v>11489.151833121439</v>
      </c>
      <c r="AK75" s="46">
        <f>AJ$75*SUM('Population Treasury'!BC$95:BC$110)*'Statistics NZ'!BC$420/(SUM('Population Treasury'!BB$95:BB$110)*'Statistics NZ'!BB$420)</f>
        <v>11590.584765806194</v>
      </c>
      <c r="AL75" s="46">
        <f>AK$75*SUM('Population Treasury'!BD$95:BD$110)*'Statistics NZ'!BD$420/(SUM('Population Treasury'!BC$95:BC$110)*'Statistics NZ'!BC$420)</f>
        <v>11722.39740165404</v>
      </c>
      <c r="AM75" s="46">
        <f>AL$75*SUM('Population Treasury'!BE$95:BE$110)*'Statistics NZ'!BE$420/(SUM('Population Treasury'!BD$95:BD$110)*'Statistics NZ'!BD$420)</f>
        <v>11894.717520667849</v>
      </c>
      <c r="AN75" s="46">
        <f>AM$75*SUM('Population Treasury'!BF$95:BF$110)*'Statistics NZ'!BF$420/(SUM('Population Treasury'!BE$95:BE$110)*'Statistics NZ'!BE$420)</f>
        <v>12127.834522061621</v>
      </c>
      <c r="AO75" s="46">
        <f>AN$75*SUM('Population Treasury'!BG$95:BG$110)*'Statistics NZ'!BG$420/(SUM('Population Treasury'!BF$95:BF$110)*'Statistics NZ'!BF$420)</f>
        <v>12401.505138239978</v>
      </c>
      <c r="AP75" s="46">
        <f>AO$75*SUM('Population Treasury'!BH$95:BH$110)*'Statistics NZ'!BH$420/(SUM('Population Treasury'!BG$95:BG$110)*'Statistics NZ'!BG$420)</f>
        <v>12685.375078343235</v>
      </c>
      <c r="AQ75" s="46">
        <f>AP$75*SUM('Population Treasury'!BI$95:BI$110)*'Statistics NZ'!BI$420/(SUM('Population Treasury'!BH$95:BH$110)*'Statistics NZ'!BH$420)</f>
        <v>13030.052091191354</v>
      </c>
    </row>
    <row r="76" spans="1:43" x14ac:dyDescent="0.25">
      <c r="A76" s="9" t="s">
        <v>9</v>
      </c>
      <c r="B76" s="79">
        <f t="shared" ref="B76:G76" si="28">SUM(B$10:B$75)</f>
        <v>1449675.2043241835</v>
      </c>
      <c r="C76" s="79">
        <f t="shared" si="28"/>
        <v>1457147.8150968447</v>
      </c>
      <c r="D76" s="79">
        <f t="shared" si="28"/>
        <v>1481782.1980669422</v>
      </c>
      <c r="E76" s="79">
        <f t="shared" si="28"/>
        <v>1510128.8068054412</v>
      </c>
      <c r="F76" s="79">
        <f t="shared" si="28"/>
        <v>1536734.5732767603</v>
      </c>
      <c r="G76" s="79">
        <f t="shared" si="28"/>
        <v>1561201.4782735095</v>
      </c>
      <c r="H76" s="80">
        <f t="shared" ref="H76:AQ76" si="29">SUM(H$10:H$75)</f>
        <v>1582345.4065403186</v>
      </c>
      <c r="I76" s="80">
        <f t="shared" si="29"/>
        <v>1602686.5053974686</v>
      </c>
      <c r="J76" s="80">
        <f t="shared" si="29"/>
        <v>1622418.0012394995</v>
      </c>
      <c r="K76" s="80">
        <f t="shared" si="29"/>
        <v>1641397.8290145223</v>
      </c>
      <c r="L76" s="80">
        <f t="shared" si="29"/>
        <v>1659963.3395102753</v>
      </c>
      <c r="M76" s="80">
        <f t="shared" si="29"/>
        <v>1677913.0439662293</v>
      </c>
      <c r="N76" s="80">
        <f t="shared" si="29"/>
        <v>1695570.5380241973</v>
      </c>
      <c r="O76" s="80">
        <f t="shared" si="29"/>
        <v>1713016.0841180256</v>
      </c>
      <c r="P76" s="80">
        <f t="shared" si="29"/>
        <v>1729571.0770950904</v>
      </c>
      <c r="Q76" s="80">
        <f t="shared" si="29"/>
        <v>1745488.6772718583</v>
      </c>
      <c r="R76" s="80">
        <f t="shared" si="29"/>
        <v>1761052.7076015193</v>
      </c>
      <c r="S76" s="80">
        <f t="shared" si="29"/>
        <v>1776262.8942281192</v>
      </c>
      <c r="T76" s="80">
        <f t="shared" si="29"/>
        <v>1791281.6411025077</v>
      </c>
      <c r="U76" s="80">
        <f t="shared" si="29"/>
        <v>1805916.8396028483</v>
      </c>
      <c r="V76" s="80">
        <f t="shared" si="29"/>
        <v>1820259.3173516723</v>
      </c>
      <c r="W76" s="80">
        <f t="shared" si="29"/>
        <v>1834146.9111009485</v>
      </c>
      <c r="X76" s="80">
        <f t="shared" si="29"/>
        <v>1847659.8885003203</v>
      </c>
      <c r="Y76" s="80">
        <f t="shared" si="29"/>
        <v>1860727.6724923656</v>
      </c>
      <c r="Z76" s="80">
        <f t="shared" si="29"/>
        <v>1873288.9975575809</v>
      </c>
      <c r="AA76" s="80">
        <f t="shared" si="29"/>
        <v>1885303.0911429082</v>
      </c>
      <c r="AB76" s="80">
        <f t="shared" si="29"/>
        <v>1896760.6255771976</v>
      </c>
      <c r="AC76" s="80">
        <f t="shared" si="29"/>
        <v>1907720.7667434122</v>
      </c>
      <c r="AD76" s="80">
        <f t="shared" si="29"/>
        <v>1918012.9902833551</v>
      </c>
      <c r="AE76" s="80">
        <f t="shared" si="29"/>
        <v>1927737.7928020118</v>
      </c>
      <c r="AF76" s="80">
        <f t="shared" si="29"/>
        <v>1936955.7980527463</v>
      </c>
      <c r="AG76" s="80">
        <f t="shared" si="29"/>
        <v>1945748.4640003028</v>
      </c>
      <c r="AH76" s="80">
        <f t="shared" si="29"/>
        <v>1954155.9738936285</v>
      </c>
      <c r="AI76" s="80">
        <f t="shared" si="29"/>
        <v>1962249.756015281</v>
      </c>
      <c r="AJ76" s="80">
        <f t="shared" si="29"/>
        <v>1970110.2052728913</v>
      </c>
      <c r="AK76" s="80">
        <f t="shared" si="29"/>
        <v>1977788.6136206361</v>
      </c>
      <c r="AL76" s="80">
        <f t="shared" si="29"/>
        <v>1985284.525584518</v>
      </c>
      <c r="AM76" s="80">
        <f t="shared" si="29"/>
        <v>1992810.8777409752</v>
      </c>
      <c r="AN76" s="80">
        <f t="shared" si="29"/>
        <v>2000135.3629129387</v>
      </c>
      <c r="AO76" s="80">
        <f t="shared" si="29"/>
        <v>2007580.979663247</v>
      </c>
      <c r="AP76" s="80">
        <f t="shared" si="29"/>
        <v>2014915.7418457617</v>
      </c>
      <c r="AQ76" s="80">
        <f t="shared" si="29"/>
        <v>2022321.2550223419</v>
      </c>
    </row>
    <row r="77" spans="1:43" x14ac:dyDescent="0.25">
      <c r="A77" s="9"/>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row>
    <row r="78" spans="1:43" x14ac:dyDescent="0.25">
      <c r="A78" s="9"/>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row>
    <row r="79" spans="1:43" x14ac:dyDescent="0.25">
      <c r="A79" s="9" t="s">
        <v>14</v>
      </c>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row>
    <row r="80" spans="1:43" x14ac:dyDescent="0.25">
      <c r="A80" s="11">
        <f>$A$10</f>
        <v>15</v>
      </c>
      <c r="B80" s="45">
        <f>'Population Treasury'!T$130*'Statistics NZ'!T$425*'Economic Forecasts'!V$8/B$7</f>
        <v>7802.1165054866342</v>
      </c>
      <c r="C80" s="45">
        <f>'Population Treasury'!U$130*'Statistics NZ'!U$425*'Economic Forecasts'!W$8/C$7</f>
        <v>7839.8053816551019</v>
      </c>
      <c r="D80" s="45">
        <f>'Population Treasury'!V$130*'Statistics NZ'!V$425*'Economic Forecasts'!X$8/D$7</f>
        <v>7845.9980854222904</v>
      </c>
      <c r="E80" s="45">
        <f>'Population Treasury'!W$130*'Statistics NZ'!W$425*'Economic Forecasts'!Y$8/E$7</f>
        <v>7856.8909877843134</v>
      </c>
      <c r="F80" s="45">
        <f>'Population Treasury'!X$130*'Statistics NZ'!X$425*'Economic Forecasts'!Z$8/F$7</f>
        <v>7885.8681936605353</v>
      </c>
      <c r="G80" s="45">
        <f>'Population Treasury'!Y$130*'Statistics NZ'!Y$425*'Economic Forecasts'!AA$8/G$7</f>
        <v>7833.9187346325525</v>
      </c>
      <c r="H80" s="46">
        <f>G$80*'Population Treasury'!Z$130*'Statistics NZ'!Z$425/('Population Treasury'!Y$130*'Statistics NZ'!Y$425)</f>
        <v>7871.7039815752987</v>
      </c>
      <c r="I80" s="46">
        <f>H$80*'Population Treasury'!AA$130*'Statistics NZ'!AA$425/('Population Treasury'!Z$130*'Statistics NZ'!Z$425)</f>
        <v>7825.4604876417043</v>
      </c>
      <c r="J80" s="46">
        <f>I$80*'Population Treasury'!AB$130*'Statistics NZ'!AB$425/('Population Treasury'!AA$130*'Statistics NZ'!AA$425)</f>
        <v>7776.7861986493417</v>
      </c>
      <c r="K80" s="46">
        <f>J$80*'Population Treasury'!AC$130*'Statistics NZ'!AC$425/('Population Treasury'!AB$130*'Statistics NZ'!AB$425)</f>
        <v>7726.0458368352556</v>
      </c>
      <c r="L80" s="46">
        <f>K$80*'Population Treasury'!AD$130*'Statistics NZ'!AD$425/('Population Treasury'!AC$130*'Statistics NZ'!AC$425)</f>
        <v>7797.0746560383714</v>
      </c>
      <c r="M80" s="46">
        <f>L$80*'Population Treasury'!AE$130*'Statistics NZ'!AE$425/('Population Treasury'!AD$130*'Statistics NZ'!AD$425)</f>
        <v>7624.6039843439639</v>
      </c>
      <c r="N80" s="46">
        <f>M$80*'Population Treasury'!AF$130*'Statistics NZ'!AF$425/('Population Treasury'!AE$130*'Statistics NZ'!AE$425)</f>
        <v>7766.661193828244</v>
      </c>
      <c r="O80" s="46">
        <f>N$80*'Population Treasury'!AG$130*'Statistics NZ'!AG$425/('Population Treasury'!AF$130*'Statistics NZ'!AF$425)</f>
        <v>7614.4924605549913</v>
      </c>
      <c r="P80" s="46">
        <f>O$80*'Population Treasury'!AH$130*'Statistics NZ'!AH$425/('Population Treasury'!AG$130*'Statistics NZ'!AG$425)</f>
        <v>7279.6383868656885</v>
      </c>
      <c r="Q80" s="46">
        <f>P$80*'Population Treasury'!AI$130*'Statistics NZ'!AI$425/('Population Treasury'!AH$130*'Statistics NZ'!AH$425)</f>
        <v>7249.1858202974909</v>
      </c>
      <c r="R80" s="46">
        <f>Q$80*'Population Treasury'!AJ$130*'Statistics NZ'!AJ$425/('Population Treasury'!AI$130*'Statistics NZ'!AI$425)</f>
        <v>7391.2565682583481</v>
      </c>
      <c r="S80" s="46">
        <f>R$80*'Population Treasury'!AK$130*'Statistics NZ'!AK$425/('Population Treasury'!AJ$130*'Statistics NZ'!AJ$425)</f>
        <v>7411.5312637051629</v>
      </c>
      <c r="T80" s="46">
        <f>S$80*'Population Treasury'!AL$130*'Statistics NZ'!AL$425/('Population Treasury'!AK$130*'Statistics NZ'!AK$425)</f>
        <v>7421.6820402358881</v>
      </c>
      <c r="U80" s="46">
        <f>T$80*'Population Treasury'!AM$130*'Statistics NZ'!AM$425/('Population Treasury'!AL$130*'Statistics NZ'!AL$425)</f>
        <v>7431.7926535752176</v>
      </c>
      <c r="V80" s="46">
        <f>U$80*'Population Treasury'!AN$130*'Statistics NZ'!AN$425/('Population Treasury'!AM$130*'Statistics NZ'!AM$425)</f>
        <v>7431.8194287689448</v>
      </c>
      <c r="W80" s="46">
        <f>V$80*'Population Treasury'!AO$130*'Statistics NZ'!AO$425/('Population Treasury'!AN$130*'Statistics NZ'!AN$425)</f>
        <v>7431.8461729907867</v>
      </c>
      <c r="X80" s="46">
        <f>W$80*'Population Treasury'!AP$130*'Statistics NZ'!AP$425/('Population Treasury'!AO$130*'Statistics NZ'!AO$425)</f>
        <v>7441.983557293549</v>
      </c>
      <c r="Y80" s="46">
        <f>X$80*'Population Treasury'!AQ$130*'Statistics NZ'!AQ$425/('Population Treasury'!AP$130*'Statistics NZ'!AP$425)</f>
        <v>7452.1342979243336</v>
      </c>
      <c r="Z80" s="46">
        <f>Y$80*'Population Treasury'!AR$130*'Statistics NZ'!AR$425/('Population Treasury'!AQ$130*'Statistics NZ'!AQ$425)</f>
        <v>7472.4091474276411</v>
      </c>
      <c r="AA80" s="46">
        <f>Z$80*'Population Treasury'!AS$130*'Statistics NZ'!AS$425/('Population Treasury'!AR$130*'Statistics NZ'!AR$425)</f>
        <v>7502.8215799322543</v>
      </c>
      <c r="AB80" s="46">
        <f>AA$80*'Population Treasury'!AT$130*'Statistics NZ'!AT$425/('Population Treasury'!AS$130*'Statistics NZ'!AS$425)</f>
        <v>7533.2870606678671</v>
      </c>
      <c r="AC80" s="46">
        <f>AB$80*'Population Treasury'!AU$130*'Statistics NZ'!AU$425/('Population Treasury'!AT$130*'Statistics NZ'!AT$425)</f>
        <v>7573.8767285648446</v>
      </c>
      <c r="AD80" s="46">
        <f>AC$80*'Population Treasury'!AV$130*'Statistics NZ'!AV$425/('Population Treasury'!AU$130*'Statistics NZ'!AU$425)</f>
        <v>7624.6039843439648</v>
      </c>
      <c r="AE80" s="46">
        <f>AD$80*'Population Treasury'!AW$130*'Statistics NZ'!AW$425/('Population Treasury'!AV$130*'Statistics NZ'!AV$425)</f>
        <v>7675.3442737718951</v>
      </c>
      <c r="AF80" s="46">
        <f>AE$80*'Population Treasury'!AX$130*'Statistics NZ'!AX$425/('Population Treasury'!AW$130*'Statistics NZ'!AW$425)</f>
        <v>7736.209355741119</v>
      </c>
      <c r="AG80" s="46">
        <f>AF$80*'Population Treasury'!AY$130*'Statistics NZ'!AY$425/('Population Treasury'!AX$130*'Statistics NZ'!AX$425)</f>
        <v>7786.9751276620427</v>
      </c>
      <c r="AH80" s="46">
        <f>AG$80*'Population Treasury'!AZ$130*'Statistics NZ'!AZ$425/('Population Treasury'!AY$130*'Statistics NZ'!AY$425)</f>
        <v>7847.8276160112382</v>
      </c>
      <c r="AI80" s="46">
        <f>AH$80*'Population Treasury'!BA$130*'Statistics NZ'!BA$425/('Population Treasury'!AZ$130*'Statistics NZ'!AZ$425)</f>
        <v>7898.5551221579735</v>
      </c>
      <c r="AJ80" s="46">
        <f>AI$80*'Population Treasury'!BB$130*'Statistics NZ'!BB$425/('Population Treasury'!BA$130*'Statistics NZ'!BA$425)</f>
        <v>7939.157227910483</v>
      </c>
      <c r="AK80" s="46">
        <f>AJ$80*'Population Treasury'!BC$130*'Statistics NZ'!BC$425/('Population Treasury'!BB$130*'Statistics NZ'!BB$425)</f>
        <v>7979.7092936134541</v>
      </c>
      <c r="AL80" s="46">
        <f>AK$80*'Population Treasury'!BD$130*'Statistics NZ'!BD$425/('Population Treasury'!BC$130*'Statistics NZ'!BC$425)</f>
        <v>8000.0476494317372</v>
      </c>
      <c r="AM80" s="46">
        <f>AL$80*'Population Treasury'!BE$130*'Statistics NZ'!BE$425/('Population Treasury'!BD$130*'Statistics NZ'!BD$425)</f>
        <v>8020.3361565269033</v>
      </c>
      <c r="AN80" s="46">
        <f>AM$80*'Population Treasury'!BF$130*'Statistics NZ'!BF$425/('Population Treasury'!BE$130*'Statistics NZ'!BE$425)</f>
        <v>8040.5875516473006</v>
      </c>
      <c r="AO80" s="46">
        <f>AN$80*'Population Treasury'!BG$130*'Statistics NZ'!BG$425/('Population Treasury'!BF$130*'Statistics NZ'!BF$425)</f>
        <v>8040.6246864292561</v>
      </c>
      <c r="AP80" s="46">
        <f>AO$80*'Population Treasury'!BH$130*'Statistics NZ'!BH$425/('Population Treasury'!BG$130*'Statistics NZ'!BG$425)</f>
        <v>8040.6370514475857</v>
      </c>
      <c r="AQ80" s="46">
        <f>AP$80*'Population Treasury'!BI$130*'Statistics NZ'!BI$425/('Population Treasury'!BH$130*'Statistics NZ'!BH$425)</f>
        <v>8040.6246864292561</v>
      </c>
    </row>
    <row r="81" spans="1:43" x14ac:dyDescent="0.25">
      <c r="A81" s="11">
        <f>$A$11</f>
        <v>16</v>
      </c>
      <c r="B81" s="45">
        <f>'Population Treasury'!T$131*'Statistics NZ'!T$426*'Economic Forecasts'!V$8/B$7</f>
        <v>14225.625997199702</v>
      </c>
      <c r="C81" s="45">
        <f>'Population Treasury'!U$131*'Statistics NZ'!U$426*'Economic Forecasts'!W$8/C$7</f>
        <v>14131.463935274256</v>
      </c>
      <c r="D81" s="45">
        <f>'Population Treasury'!V$131*'Statistics NZ'!V$426*'Economic Forecasts'!X$8/D$7</f>
        <v>14357.058376979616</v>
      </c>
      <c r="E81" s="45">
        <f>'Population Treasury'!W$131*'Statistics NZ'!W$426*'Economic Forecasts'!Y$8/E$7</f>
        <v>14401.991650988359</v>
      </c>
      <c r="F81" s="45">
        <f>'Population Treasury'!X$131*'Statistics NZ'!X$426*'Economic Forecasts'!Z$8/F$7</f>
        <v>14415.141557330733</v>
      </c>
      <c r="G81" s="45">
        <f>'Population Treasury'!Y$131*'Statistics NZ'!Y$426*'Economic Forecasts'!AA$8/G$7</f>
        <v>14448.95240725196</v>
      </c>
      <c r="H81" s="46">
        <f>G$81*'Population Treasury'!Z$131*'Statistics NZ'!Z$426/('Population Treasury'!Y$131*'Statistics NZ'!Y$426)</f>
        <v>14350.672168868472</v>
      </c>
      <c r="I81" s="46">
        <f>H$81*'Population Treasury'!AA$131*'Statistics NZ'!AA$426/('Population Treasury'!Z$131*'Statistics NZ'!Z$426)</f>
        <v>14399.272632012187</v>
      </c>
      <c r="J81" s="46">
        <f>I$81*'Population Treasury'!AB$131*'Statistics NZ'!AB$426/('Population Treasury'!AA$131*'Statistics NZ'!AA$426)</f>
        <v>14311.754674242029</v>
      </c>
      <c r="K81" s="46">
        <f>J$81*'Population Treasury'!AC$131*'Statistics NZ'!AC$426/('Population Treasury'!AB$131*'Statistics NZ'!AB$426)</f>
        <v>14220.398448708062</v>
      </c>
      <c r="L81" s="46">
        <f>K$81*'Population Treasury'!AD$131*'Statistics NZ'!AD$426/('Population Treasury'!AC$131*'Statistics NZ'!AC$426)</f>
        <v>14129.089075702936</v>
      </c>
      <c r="M81" s="46">
        <f>L$81*'Population Treasury'!AE$131*'Statistics NZ'!AE$426/('Population Treasury'!AD$131*'Statistics NZ'!AD$426)</f>
        <v>14250.889665437457</v>
      </c>
      <c r="N81" s="46">
        <f>M$81*'Population Treasury'!AF$131*'Statistics NZ'!AF$426/('Population Treasury'!AE$131*'Statistics NZ'!AE$426)</f>
        <v>13956.578908870635</v>
      </c>
      <c r="O81" s="46">
        <f>N$81*'Population Treasury'!AG$131*'Statistics NZ'!AG$426/('Population Treasury'!AF$131*'Statistics NZ'!AF$426)</f>
        <v>14210.266029534658</v>
      </c>
      <c r="P81" s="46">
        <f>O$81*'Population Treasury'!AH$131*'Statistics NZ'!AH$426/('Population Treasury'!AG$131*'Statistics NZ'!AG$426)</f>
        <v>13946.44675379603</v>
      </c>
      <c r="Q81" s="46">
        <f>P$81*'Population Treasury'!AI$131*'Statistics NZ'!AI$426/('Population Treasury'!AH$131*'Statistics NZ'!AH$426)</f>
        <v>13337.655105573998</v>
      </c>
      <c r="R81" s="46">
        <f>Q$81*'Population Treasury'!AJ$131*'Statistics NZ'!AJ$426/('Population Treasury'!AI$131*'Statistics NZ'!AI$426)</f>
        <v>13286.897331146847</v>
      </c>
      <c r="S81" s="46">
        <f>R$81*'Population Treasury'!AK$131*'Statistics NZ'!AK$426/('Population Treasury'!AJ$131*'Statistics NZ'!AJ$426)</f>
        <v>13540.610277993077</v>
      </c>
      <c r="T81" s="46">
        <f>S$81*'Population Treasury'!AL$131*'Statistics NZ'!AL$426/('Population Treasury'!AK$131*'Statistics NZ'!AK$426)</f>
        <v>13571.054725297803</v>
      </c>
      <c r="U81" s="46">
        <f>T$81*'Population Treasury'!AM$131*'Statistics NZ'!AM$426/('Population Treasury'!AL$131*'Statistics NZ'!AL$426)</f>
        <v>13591.342819075586</v>
      </c>
      <c r="V81" s="46">
        <f>U$81*'Population Treasury'!AN$131*'Statistics NZ'!AN$426/('Population Treasury'!AM$131*'Statistics NZ'!AM$426)</f>
        <v>13611.581804927511</v>
      </c>
      <c r="W81" s="46">
        <f>V$81*'Population Treasury'!AO$131*'Statistics NZ'!AO$426/('Population Treasury'!AN$131*'Statistics NZ'!AN$426)</f>
        <v>13611.630927499587</v>
      </c>
      <c r="X81" s="46">
        <f>W$81*'Population Treasury'!AP$131*'Statistics NZ'!AP$426/('Population Treasury'!AO$131*'Statistics NZ'!AO$426)</f>
        <v>13621.762720140468</v>
      </c>
      <c r="Y81" s="46">
        <f>X$81*'Population Treasury'!AQ$131*'Statistics NZ'!AQ$426/('Population Treasury'!AP$131*'Statistics NZ'!AP$426)</f>
        <v>13642.026355947115</v>
      </c>
      <c r="Z81" s="46">
        <f>Y$81*'Population Treasury'!AR$131*'Statistics NZ'!AR$426/('Population Treasury'!AQ$131*'Statistics NZ'!AQ$426)</f>
        <v>13662.339028507547</v>
      </c>
      <c r="AA81" s="46">
        <f>Z$81*'Population Treasury'!AS$131*'Statistics NZ'!AS$426/('Population Treasury'!AR$131*'Statistics NZ'!AR$426)</f>
        <v>13692.783506415155</v>
      </c>
      <c r="AB81" s="46">
        <f>AA$81*'Population Treasury'!AT$131*'Statistics NZ'!AT$426/('Population Treasury'!AS$131*'Statistics NZ'!AS$426)</f>
        <v>13743.491817368105</v>
      </c>
      <c r="AC81" s="46">
        <f>AB$81*'Population Treasury'!AU$131*'Statistics NZ'!AU$426/('Population Treasury'!AT$131*'Statistics NZ'!AT$426)</f>
        <v>13804.38079131934</v>
      </c>
      <c r="AD81" s="46">
        <f>AC$81*'Population Treasury'!AV$131*'Statistics NZ'!AV$426/('Population Treasury'!AU$131*'Statistics NZ'!AU$426)</f>
        <v>13875.44994140834</v>
      </c>
      <c r="AE81" s="46">
        <f>AD$81*'Population Treasury'!AW$131*'Statistics NZ'!AW$426/('Population Treasury'!AV$131*'Statistics NZ'!AV$426)</f>
        <v>13966.735028961448</v>
      </c>
      <c r="AF81" s="46">
        <f>AE$81*'Population Treasury'!AX$131*'Statistics NZ'!AX$426/('Population Treasury'!AW$131*'Statistics NZ'!AW$426)</f>
        <v>14068.176610030423</v>
      </c>
      <c r="AG81" s="46">
        <f>AF$81*'Population Treasury'!AY$131*'Statistics NZ'!AY$426/('Population Treasury'!AX$131*'Statistics NZ'!AX$426)</f>
        <v>14169.665758724017</v>
      </c>
      <c r="AH81" s="46">
        <f>AG$81*'Population Treasury'!AZ$131*'Statistics NZ'!AZ$426/('Population Treasury'!AY$131*'Statistics NZ'!AY$426)</f>
        <v>14271.154571375599</v>
      </c>
      <c r="AI81" s="46">
        <f>AH$81*'Population Treasury'!BA$131*'Statistics NZ'!BA$426/('Population Treasury'!AZ$131*'Statistics NZ'!AZ$426)</f>
        <v>14372.596536256882</v>
      </c>
      <c r="AJ81" s="46">
        <f>AI$81*'Population Treasury'!BB$131*'Statistics NZ'!BB$426/('Population Treasury'!BA$131*'Statistics NZ'!BA$426)</f>
        <v>14463.906149648044</v>
      </c>
      <c r="AK81" s="46">
        <f>AJ$81*'Population Treasury'!BC$131*'Statistics NZ'!BC$426/('Population Treasury'!BB$131*'Statistics NZ'!BB$426)</f>
        <v>14545.083133303169</v>
      </c>
      <c r="AL81" s="46">
        <f>AK$81*'Population Treasury'!BD$131*'Statistics NZ'!BD$426/('Population Treasury'!BC$131*'Statistics NZ'!BC$426)</f>
        <v>14605.971567346074</v>
      </c>
      <c r="AM81" s="46">
        <f>AL$81*'Population Treasury'!BE$131*'Statistics NZ'!BE$426/('Population Treasury'!BD$131*'Statistics NZ'!BD$426)</f>
        <v>14656.704266022978</v>
      </c>
      <c r="AN81" s="46">
        <f>AM$81*'Population Treasury'!BF$131*'Statistics NZ'!BF$426/('Population Treasury'!BE$131*'Statistics NZ'!BE$426)</f>
        <v>14697.281322069206</v>
      </c>
      <c r="AO81" s="46">
        <f>AN$81*'Population Treasury'!BG$131*'Statistics NZ'!BG$426/('Population Treasury'!BF$131*'Statistics NZ'!BF$426)</f>
        <v>14717.592598692385</v>
      </c>
      <c r="AP81" s="46">
        <f>AO$81*'Population Treasury'!BH$131*'Statistics NZ'!BH$426/('Population Treasury'!BG$131*'Statistics NZ'!BG$426)</f>
        <v>14727.748215660058</v>
      </c>
      <c r="AQ81" s="46">
        <f>AP$81*'Population Treasury'!BI$131*'Statistics NZ'!BI$426/('Population Treasury'!BH$131*'Statistics NZ'!BH$426)</f>
        <v>14737.858427711697</v>
      </c>
    </row>
    <row r="82" spans="1:43" x14ac:dyDescent="0.25">
      <c r="A82" s="11">
        <f>$A$12</f>
        <v>17</v>
      </c>
      <c r="B82" s="45">
        <f>'Population Treasury'!T$132*'Statistics NZ'!T$427*'Economic Forecasts'!V$8/B$7</f>
        <v>20359.428217902383</v>
      </c>
      <c r="C82" s="45">
        <f>'Population Treasury'!U$132*'Statistics NZ'!U$427*'Economic Forecasts'!W$8/C$7</f>
        <v>21106.982414028007</v>
      </c>
      <c r="D82" s="45">
        <f>'Population Treasury'!V$132*'Statistics NZ'!V$427*'Economic Forecasts'!X$8/D$7</f>
        <v>21206.826219870949</v>
      </c>
      <c r="E82" s="45">
        <f>'Population Treasury'!W$132*'Statistics NZ'!W$427*'Economic Forecasts'!Y$8/E$7</f>
        <v>21606.935079964431</v>
      </c>
      <c r="F82" s="45">
        <f>'Population Treasury'!X$132*'Statistics NZ'!X$427*'Economic Forecasts'!Z$8/F$7</f>
        <v>21646.971364112822</v>
      </c>
      <c r="G82" s="45">
        <f>'Population Treasury'!Y$132*'Statistics NZ'!Y$427*'Economic Forecasts'!AA$8/G$7</f>
        <v>21647.705120608211</v>
      </c>
      <c r="H82" s="46">
        <f>G$82*'Population Treasury'!Z$132*'Statistics NZ'!Z$427/('Population Treasury'!Y$132*'Statistics NZ'!Y$427)</f>
        <v>21677.542468532058</v>
      </c>
      <c r="I82" s="46">
        <f>H$82*'Population Treasury'!AA$132*'Statistics NZ'!AA$427/('Population Treasury'!Z$132*'Statistics NZ'!Z$427)</f>
        <v>21526.979744736891</v>
      </c>
      <c r="J82" s="46">
        <f>I$82*'Population Treasury'!AB$132*'Statistics NZ'!AB$427/('Population Treasury'!AA$132*'Statistics NZ'!AA$427)</f>
        <v>21583.264315389319</v>
      </c>
      <c r="K82" s="46">
        <f>J$82*'Population Treasury'!AC$132*'Statistics NZ'!AC$427/('Population Treasury'!AB$132*'Statistics NZ'!AB$427)</f>
        <v>21471.632789629351</v>
      </c>
      <c r="L82" s="46">
        <f>K$82*'Population Treasury'!AD$132*'Statistics NZ'!AD$427/('Population Treasury'!AC$132*'Statistics NZ'!AC$427)</f>
        <v>21329.57187545811</v>
      </c>
      <c r="M82" s="46">
        <f>L$82*'Population Treasury'!AE$132*'Statistics NZ'!AE$427/('Population Treasury'!AD$132*'Statistics NZ'!AD$427)</f>
        <v>21197.665594242062</v>
      </c>
      <c r="N82" s="46">
        <f>M$82*'Population Treasury'!AF$132*'Statistics NZ'!AF$427/('Population Treasury'!AE$132*'Statistics NZ'!AE$427)</f>
        <v>21390.430281658551</v>
      </c>
      <c r="O82" s="46">
        <f>N$82*'Population Treasury'!AG$132*'Statistics NZ'!AG$427/('Population Treasury'!AF$132*'Statistics NZ'!AF$427)</f>
        <v>20944.007860819474</v>
      </c>
      <c r="P82" s="46">
        <f>O$82*'Population Treasury'!AH$132*'Statistics NZ'!AH$427/('Population Treasury'!AG$132*'Statistics NZ'!AG$427)</f>
        <v>21319.452086126639</v>
      </c>
      <c r="Q82" s="46">
        <f>P$82*'Population Treasury'!AI$132*'Statistics NZ'!AI$427/('Population Treasury'!AH$132*'Statistics NZ'!AH$427)</f>
        <v>20933.888563014822</v>
      </c>
      <c r="R82" s="46">
        <f>Q$82*'Population Treasury'!AJ$132*'Statistics NZ'!AJ$427/('Population Treasury'!AI$132*'Statistics NZ'!AI$427)</f>
        <v>20040.974558043654</v>
      </c>
      <c r="S82" s="46">
        <f>R$82*'Population Treasury'!AK$132*'Statistics NZ'!AK$427/('Population Treasury'!AJ$132*'Statistics NZ'!AJ$427)</f>
        <v>19959.807281657664</v>
      </c>
      <c r="T82" s="46">
        <f>S$82*'Population Treasury'!AL$132*'Statistics NZ'!AL$427/('Population Treasury'!AK$132*'Statistics NZ'!AK$427)</f>
        <v>20345.370524070149</v>
      </c>
      <c r="U82" s="46">
        <f>T$82*'Population Treasury'!AM$132*'Statistics NZ'!AM$427/('Population Treasury'!AL$132*'Statistics NZ'!AL$427)</f>
        <v>20396.072795820884</v>
      </c>
      <c r="V82" s="46">
        <f>U$82*'Population Treasury'!AN$132*'Statistics NZ'!AN$427/('Population Treasury'!AM$132*'Statistics NZ'!AM$427)</f>
        <v>20426.537939702052</v>
      </c>
      <c r="W82" s="46">
        <f>V$82*'Population Treasury'!AO$132*'Statistics NZ'!AO$427/('Population Treasury'!AN$132*'Statistics NZ'!AN$427)</f>
        <v>20446.81160705167</v>
      </c>
      <c r="X82" s="46">
        <f>W$82*'Population Treasury'!AP$132*'Statistics NZ'!AP$427/('Population Treasury'!AO$132*'Statistics NZ'!AO$427)</f>
        <v>20457.002999085838</v>
      </c>
      <c r="Y82" s="46">
        <f>X$82*'Population Treasury'!AQ$132*'Statistics NZ'!AQ$427/('Population Treasury'!AP$132*'Statistics NZ'!AP$427)</f>
        <v>20477.240344018872</v>
      </c>
      <c r="Z82" s="46">
        <f>Y$82*'Population Treasury'!AR$132*'Statistics NZ'!AR$427/('Population Treasury'!AQ$132*'Statistics NZ'!AQ$427)</f>
        <v>20497.550389736931</v>
      </c>
      <c r="AA82" s="46">
        <f>Z$82*'Population Treasury'!AS$132*'Statistics NZ'!AS$427/('Population Treasury'!AR$132*'Statistics NZ'!AR$427)</f>
        <v>20528.015388343181</v>
      </c>
      <c r="AB82" s="46">
        <f>AA$82*'Population Treasury'!AT$132*'Statistics NZ'!AT$427/('Population Treasury'!AS$132*'Statistics NZ'!AS$427)</f>
        <v>20578.75407067316</v>
      </c>
      <c r="AC82" s="46">
        <f>AB$82*'Population Treasury'!AU$132*'Statistics NZ'!AU$427/('Population Treasury'!AT$132*'Statistics NZ'!AT$427)</f>
        <v>20649.766568646883</v>
      </c>
      <c r="AD82" s="46">
        <f>AC$82*'Population Treasury'!AV$132*'Statistics NZ'!AV$427/('Population Treasury'!AU$132*'Statistics NZ'!AU$427)</f>
        <v>20741.088983398065</v>
      </c>
      <c r="AE82" s="46">
        <f>AD$82*'Population Treasury'!AW$132*'Statistics NZ'!AW$427/('Population Treasury'!AV$132*'Statistics NZ'!AV$427)</f>
        <v>20862.804607787817</v>
      </c>
      <c r="AF82" s="46">
        <f>AE$82*'Population Treasury'!AX$132*'Statistics NZ'!AX$427/('Population Treasury'!AW$132*'Statistics NZ'!AW$427)</f>
        <v>20994.711032560477</v>
      </c>
      <c r="AG82" s="46">
        <f>AF$82*'Population Treasury'!AY$132*'Statistics NZ'!AY$427/('Population Treasury'!AX$132*'Statistics NZ'!AX$427)</f>
        <v>21136.772227981266</v>
      </c>
      <c r="AH82" s="46">
        <f>AG$82*'Population Treasury'!AZ$132*'Statistics NZ'!AZ$427/('Population Treasury'!AY$132*'Statistics NZ'!AY$427)</f>
        <v>21288.988016727788</v>
      </c>
      <c r="AI82" s="46">
        <f>AH$82*'Population Treasury'!BA$132*'Statistics NZ'!BA$427/('Population Treasury'!AZ$132*'Statistics NZ'!AZ$427)</f>
        <v>21441.203569095596</v>
      </c>
      <c r="AJ82" s="46">
        <f>AI$82*'Population Treasury'!BB$132*'Statistics NZ'!BB$427/('Population Treasury'!BA$132*'Statistics NZ'!BA$427)</f>
        <v>21593.384430631391</v>
      </c>
      <c r="AK82" s="46">
        <f>AJ$82*'Population Treasury'!BC$132*'Statistics NZ'!BC$427/('Population Treasury'!BB$132*'Statistics NZ'!BB$427)</f>
        <v>21725.324956165055</v>
      </c>
      <c r="AL82" s="46">
        <f>AK$82*'Population Treasury'!BD$132*'Statistics NZ'!BD$427/('Population Treasury'!BC$132*'Statistics NZ'!BC$427)</f>
        <v>21847.042477294981</v>
      </c>
      <c r="AM82" s="46">
        <f>AL$82*'Population Treasury'!BE$132*'Statistics NZ'!BE$427/('Population Treasury'!BD$132*'Statistics NZ'!BD$427)</f>
        <v>21938.398768879346</v>
      </c>
      <c r="AN82" s="46">
        <f>AM$82*'Population Treasury'!BF$132*'Statistics NZ'!BF$427/('Population Treasury'!BE$132*'Statistics NZ'!BE$427)</f>
        <v>22019.566553272769</v>
      </c>
      <c r="AO82" s="46">
        <f>AN$82*'Population Treasury'!BG$132*'Statistics NZ'!BG$427/('Population Treasury'!BF$132*'Statistics NZ'!BF$427)</f>
        <v>22080.391843029091</v>
      </c>
      <c r="AP82" s="46">
        <f>AO$82*'Population Treasury'!BH$132*'Statistics NZ'!BH$427/('Population Treasury'!BG$132*'Statistics NZ'!BG$427)</f>
        <v>22110.888769272653</v>
      </c>
      <c r="AQ82" s="46">
        <f>AP$82*'Population Treasury'!BI$132*'Statistics NZ'!BI$427/('Population Treasury'!BH$132*'Statistics NZ'!BH$427)</f>
        <v>22131.163910590312</v>
      </c>
    </row>
    <row r="83" spans="1:43" x14ac:dyDescent="0.25">
      <c r="A83" s="11">
        <f>$A$13</f>
        <v>18</v>
      </c>
      <c r="B83" s="45">
        <f>'Population Treasury'!T$133*'Statistics NZ'!T$428*'Economic Forecasts'!V$8/B$7</f>
        <v>24155.592458728144</v>
      </c>
      <c r="C83" s="45">
        <f>'Population Treasury'!U$133*'Statistics NZ'!U$428*'Economic Forecasts'!W$8/C$7</f>
        <v>25832.589251772588</v>
      </c>
      <c r="D83" s="45">
        <f>'Population Treasury'!V$133*'Statistics NZ'!V$428*'Economic Forecasts'!X$8/D$7</f>
        <v>27089.771606947201</v>
      </c>
      <c r="E83" s="45">
        <f>'Population Treasury'!W$133*'Statistics NZ'!W$428*'Economic Forecasts'!Y$8/E$7</f>
        <v>27291.140313560438</v>
      </c>
      <c r="F83" s="45">
        <f>'Population Treasury'!X$133*'Statistics NZ'!X$428*'Economic Forecasts'!Z$8/F$7</f>
        <v>27763.3358427079</v>
      </c>
      <c r="G83" s="45">
        <f>'Population Treasury'!Y$133*'Statistics NZ'!Y$428*'Economic Forecasts'!AA$8/G$7</f>
        <v>27798.865383845125</v>
      </c>
      <c r="H83" s="46">
        <f>G$83*'Population Treasury'!Z$133*'Statistics NZ'!Z$428/('Population Treasury'!Y$133*'Statistics NZ'!Y$428)</f>
        <v>27772.894424524773</v>
      </c>
      <c r="I83" s="46">
        <f>H$83*'Population Treasury'!AA$133*'Statistics NZ'!AA$428/('Population Treasury'!Z$133*'Statistics NZ'!Z$428)</f>
        <v>27808.007017650722</v>
      </c>
      <c r="J83" s="46">
        <f>I$83*'Population Treasury'!AB$133*'Statistics NZ'!AB$428/('Population Treasury'!AA$133*'Statistics NZ'!AA$428)</f>
        <v>27601.885257735423</v>
      </c>
      <c r="K83" s="46">
        <f>J$83*'Population Treasury'!AC$133*'Statistics NZ'!AC$428/('Population Treasury'!AB$133*'Statistics NZ'!AB$428)</f>
        <v>27683.047372045192</v>
      </c>
      <c r="L83" s="46">
        <f>K$83*'Population Treasury'!AD$133*'Statistics NZ'!AD$428/('Population Treasury'!AC$133*'Statistics NZ'!AC$428)</f>
        <v>27530.896038994812</v>
      </c>
      <c r="M83" s="46">
        <f>L$83*'Population Treasury'!AE$133*'Statistics NZ'!AE$428/('Population Treasury'!AD$133*'Statistics NZ'!AD$428)</f>
        <v>27358.354879063918</v>
      </c>
      <c r="N83" s="46">
        <f>M$83*'Population Treasury'!AF$133*'Statistics NZ'!AF$428/('Population Treasury'!AE$133*'Statistics NZ'!AE$428)</f>
        <v>27195.986280885969</v>
      </c>
      <c r="O83" s="46">
        <f>N$83*'Population Treasury'!AG$133*'Statistics NZ'!AG$428/('Population Treasury'!AF$133*'Statistics NZ'!AF$428)</f>
        <v>27439.516929798283</v>
      </c>
      <c r="P83" s="46">
        <f>O$83*'Population Treasury'!AH$133*'Statistics NZ'!AH$428/('Population Treasury'!AG$133*'Statistics NZ'!AG$428)</f>
        <v>26881.466991956531</v>
      </c>
      <c r="Q83" s="46">
        <f>P$83*'Population Treasury'!AI$133*'Statistics NZ'!AI$428/('Population Treasury'!AH$133*'Statistics NZ'!AH$428)</f>
        <v>27358.399290538699</v>
      </c>
      <c r="R83" s="46">
        <f>Q$83*'Population Treasury'!AJ$133*'Statistics NZ'!AJ$428/('Population Treasury'!AI$133*'Statistics NZ'!AI$428)</f>
        <v>26881.466991956535</v>
      </c>
      <c r="S83" s="46">
        <f>R$83*'Population Treasury'!AK$133*'Statistics NZ'!AK$428/('Population Treasury'!AJ$133*'Statistics NZ'!AJ$428)</f>
        <v>25755.241473270416</v>
      </c>
      <c r="T83" s="46">
        <f>S$83*'Population Treasury'!AL$133*'Statistics NZ'!AL$428/('Population Treasury'!AK$133*'Statistics NZ'!AK$428)</f>
        <v>25653.778219946769</v>
      </c>
      <c r="U83" s="46">
        <f>T$83*'Population Treasury'!AM$133*'Statistics NZ'!AM$428/('Population Treasury'!AL$133*'Statistics NZ'!AL$428)</f>
        <v>26150.874044739336</v>
      </c>
      <c r="V83" s="46">
        <f>U$83*'Population Treasury'!AN$133*'Statistics NZ'!AN$428/('Population Treasury'!AM$133*'Statistics NZ'!AM$428)</f>
        <v>26211.780049369576</v>
      </c>
      <c r="W83" s="46">
        <f>V$83*'Population Treasury'!AO$133*'Statistics NZ'!AO$428/('Population Treasury'!AN$133*'Statistics NZ'!AN$428)</f>
        <v>26252.38398068785</v>
      </c>
      <c r="X83" s="46">
        <f>W$83*'Population Treasury'!AP$133*'Statistics NZ'!AP$428/('Population Treasury'!AO$133*'Statistics NZ'!AO$428)</f>
        <v>26272.685924922196</v>
      </c>
      <c r="Y83" s="46">
        <f>X$83*'Population Treasury'!AQ$133*'Statistics NZ'!AQ$428/('Population Treasury'!AP$133*'Statistics NZ'!AP$428)</f>
        <v>26292.987854920084</v>
      </c>
      <c r="Z83" s="46">
        <f>Y$83*'Population Treasury'!AR$133*'Statistics NZ'!AR$428/('Population Treasury'!AQ$133*'Statistics NZ'!AQ$428)</f>
        <v>26313.28977071643</v>
      </c>
      <c r="AA83" s="46">
        <f>Z$83*'Population Treasury'!AS$133*'Statistics NZ'!AS$428/('Population Treasury'!AR$133*'Statistics NZ'!AR$428)</f>
        <v>26343.719566706714</v>
      </c>
      <c r="AB83" s="46">
        <f>AA$83*'Population Treasury'!AT$133*'Statistics NZ'!AT$428/('Population Treasury'!AS$133*'Statistics NZ'!AS$428)</f>
        <v>26394.451283805367</v>
      </c>
      <c r="AC83" s="46">
        <f>AB$83*'Population Treasury'!AU$133*'Statistics NZ'!AU$428/('Population Treasury'!AT$133*'Statistics NZ'!AT$428)</f>
        <v>26455.356896979752</v>
      </c>
      <c r="AD83" s="46">
        <f>AC$83*'Population Treasury'!AV$133*'Statistics NZ'!AV$428/('Population Treasury'!AU$133*'Statistics NZ'!AU$428)</f>
        <v>26546.646466672126</v>
      </c>
      <c r="AE83" s="46">
        <f>AD$83*'Population Treasury'!AW$133*'Statistics NZ'!AW$428/('Population Treasury'!AV$133*'Statistics NZ'!AV$428)</f>
        <v>26668.411757258047</v>
      </c>
      <c r="AF83" s="46">
        <f>AE$83*'Population Treasury'!AX$133*'Statistics NZ'!AX$428/('Population Treasury'!AW$133*'Statistics NZ'!AW$428)</f>
        <v>26810.478746786917</v>
      </c>
      <c r="AG83" s="46">
        <f>AF$83*'Population Treasury'!AY$133*'Statistics NZ'!AY$428/('Population Treasury'!AX$133*'Statistics NZ'!AX$428)</f>
        <v>26982.930573614056</v>
      </c>
      <c r="AH83" s="46">
        <f>AG$83*'Population Treasury'!AZ$133*'Statistics NZ'!AZ$428/('Population Treasury'!AY$133*'Statistics NZ'!AY$428)</f>
        <v>27165.600852963849</v>
      </c>
      <c r="AI83" s="46">
        <f>AH$83*'Population Treasury'!BA$133*'Statistics NZ'!BA$428/('Population Treasury'!AZ$133*'Statistics NZ'!AZ$428)</f>
        <v>27358.399290538706</v>
      </c>
      <c r="AJ83" s="46">
        <f>AI$83*'Population Treasury'!BB$133*'Statistics NZ'!BB$428/('Population Treasury'!BA$133*'Statistics NZ'!BA$428)</f>
        <v>27561.282176412005</v>
      </c>
      <c r="AK83" s="46">
        <f>AJ$83*'Population Treasury'!BC$133*'Statistics NZ'!BC$428/('Population Treasury'!BB$133*'Statistics NZ'!BB$428)</f>
        <v>27754.080695439246</v>
      </c>
      <c r="AL83" s="46">
        <f>AK$83*'Population Treasury'!BD$133*'Statistics NZ'!BD$428/('Population Treasury'!BC$133*'Statistics NZ'!BC$428)</f>
        <v>27926.577613041551</v>
      </c>
      <c r="AM83" s="46">
        <f>AL$83*'Population Treasury'!BE$133*'Statistics NZ'!BE$428/('Population Treasury'!BD$133*'Statistics NZ'!BD$428)</f>
        <v>28068.644045185571</v>
      </c>
      <c r="AN83" s="46">
        <f>AM$83*'Population Treasury'!BF$133*'Statistics NZ'!BF$428/('Population Treasury'!BE$133*'Statistics NZ'!BE$428)</f>
        <v>28200.53812642593</v>
      </c>
      <c r="AO83" s="46">
        <f>AN$83*'Population Treasury'!BG$133*'Statistics NZ'!BG$428/('Population Treasury'!BF$133*'Statistics NZ'!BF$428)</f>
        <v>28301.958837670605</v>
      </c>
      <c r="AP83" s="46">
        <f>AO$83*'Population Treasury'!BH$133*'Statistics NZ'!BH$428/('Population Treasury'!BG$133*'Statistics NZ'!BG$428)</f>
        <v>28373.034938981178</v>
      </c>
      <c r="AQ83" s="46">
        <f>AP$83*'Population Treasury'!BI$133*'Statistics NZ'!BI$428/('Population Treasury'!BH$133*'Statistics NZ'!BH$428)</f>
        <v>28423.724000301852</v>
      </c>
    </row>
    <row r="84" spans="1:43" x14ac:dyDescent="0.25">
      <c r="A84" s="11">
        <f>$A$14</f>
        <v>19</v>
      </c>
      <c r="B84" s="45">
        <f>'Population Treasury'!T$134*'Statistics NZ'!T$429*'Economic Forecasts'!V$8/B$7</f>
        <v>25454.280225326438</v>
      </c>
      <c r="C84" s="45">
        <f>'Population Treasury'!U$134*'Statistics NZ'!U$429*'Economic Forecasts'!W$8/C$7</f>
        <v>25817.381654387445</v>
      </c>
      <c r="D84" s="45">
        <f>'Population Treasury'!V$134*'Statistics NZ'!V$429*'Economic Forecasts'!X$8/D$7</f>
        <v>27898.570377039527</v>
      </c>
      <c r="E84" s="45">
        <f>'Population Treasury'!W$134*'Statistics NZ'!W$429*'Economic Forecasts'!Y$8/E$7</f>
        <v>29311.725350202494</v>
      </c>
      <c r="F84" s="45">
        <f>'Population Treasury'!X$134*'Statistics NZ'!X$429*'Economic Forecasts'!Z$8/F$7</f>
        <v>29510.970377535697</v>
      </c>
      <c r="G84" s="45">
        <f>'Population Treasury'!Y$134*'Statistics NZ'!Y$429*'Economic Forecasts'!AA$8/G$7</f>
        <v>29993.027381514614</v>
      </c>
      <c r="H84" s="46">
        <f>G$84*'Population Treasury'!Z$134*'Statistics NZ'!Z$429/('Population Treasury'!Y$134*'Statistics NZ'!Y$429)</f>
        <v>29998.905837480368</v>
      </c>
      <c r="I84" s="46">
        <f>H$84*'Population Treasury'!AA$134*'Statistics NZ'!AA$429/('Population Treasury'!Z$134*'Statistics NZ'!Z$429)</f>
        <v>29963.954292582072</v>
      </c>
      <c r="J84" s="46">
        <f>I$84*'Population Treasury'!AB$134*'Statistics NZ'!AB$429/('Population Treasury'!AA$134*'Statistics NZ'!AA$429)</f>
        <v>29991.612998874931</v>
      </c>
      <c r="K84" s="46">
        <f>J$84*'Population Treasury'!AC$134*'Statistics NZ'!AC$429/('Population Treasury'!AB$134*'Statistics NZ'!AB$429)</f>
        <v>29778.480081871676</v>
      </c>
      <c r="L84" s="46">
        <f>K$84*'Population Treasury'!AD$134*'Statistics NZ'!AD$429/('Population Treasury'!AC$134*'Statistics NZ'!AC$429)</f>
        <v>29859.671430930575</v>
      </c>
      <c r="M84" s="46">
        <f>L$84*'Population Treasury'!AE$134*'Statistics NZ'!AE$429/('Population Treasury'!AD$134*'Statistics NZ'!AD$429)</f>
        <v>29707.514288318103</v>
      </c>
      <c r="N84" s="46">
        <f>M$84*'Population Treasury'!AF$134*'Statistics NZ'!AF$429/('Population Treasury'!AE$134*'Statistics NZ'!AE$429)</f>
        <v>29524.869295135308</v>
      </c>
      <c r="O84" s="46">
        <f>N$84*'Population Treasury'!AG$134*'Statistics NZ'!AG$429/('Population Treasury'!AF$134*'Statistics NZ'!AF$429)</f>
        <v>29352.355256054499</v>
      </c>
      <c r="P84" s="46">
        <f>O$84*'Population Treasury'!AH$134*'Statistics NZ'!AH$429/('Population Treasury'!AG$134*'Statistics NZ'!AG$429)</f>
        <v>29616.144448644078</v>
      </c>
      <c r="Q84" s="46">
        <f>P$84*'Population Treasury'!AI$134*'Statistics NZ'!AI$429/('Population Treasury'!AH$134*'Statistics NZ'!AH$429)</f>
        <v>29027.684766161849</v>
      </c>
      <c r="R84" s="46">
        <f>Q$84*'Population Treasury'!AJ$134*'Statistics NZ'!AJ$429/('Population Treasury'!AI$134*'Statistics NZ'!AI$429)</f>
        <v>29535.047882649738</v>
      </c>
      <c r="S84" s="46">
        <f>R$84*'Population Treasury'!AK$134*'Statistics NZ'!AK$429/('Population Treasury'!AJ$134*'Statistics NZ'!AJ$429)</f>
        <v>29027.684766161852</v>
      </c>
      <c r="T84" s="46">
        <f>S$84*'Population Treasury'!AL$134*'Statistics NZ'!AL$429/('Population Treasury'!AK$134*'Statistics NZ'!AK$429)</f>
        <v>27850.619982073353</v>
      </c>
      <c r="U84" s="46">
        <f>T$84*'Population Treasury'!AM$134*'Statistics NZ'!AM$429/('Population Treasury'!AL$134*'Statistics NZ'!AL$429)</f>
        <v>27739.087341391049</v>
      </c>
      <c r="V84" s="46">
        <f>U$84*'Population Treasury'!AN$134*'Statistics NZ'!AN$429/('Population Treasury'!AM$134*'Statistics NZ'!AM$429)</f>
        <v>28266.662730736251</v>
      </c>
      <c r="W84" s="46">
        <f>V$84*'Population Treasury'!AO$134*'Statistics NZ'!AO$429/('Population Treasury'!AN$134*'Statistics NZ'!AN$429)</f>
        <v>28337.675018322603</v>
      </c>
      <c r="X84" s="46">
        <f>W$84*'Population Treasury'!AP$134*'Statistics NZ'!AP$429/('Population Treasury'!AO$134*'Statistics NZ'!AO$429)</f>
        <v>28378.295847866702</v>
      </c>
      <c r="Y84" s="46">
        <f>X$84*'Population Treasury'!AQ$134*'Statistics NZ'!AQ$429/('Population Treasury'!AP$134*'Statistics NZ'!AP$429)</f>
        <v>28408.736729607212</v>
      </c>
      <c r="Z84" s="46">
        <f>Y$84*'Population Treasury'!AR$134*'Statistics NZ'!AR$429/('Population Treasury'!AQ$134*'Statistics NZ'!AQ$429)</f>
        <v>28439.128306263476</v>
      </c>
      <c r="AA84" s="46">
        <f>Z$84*'Population Treasury'!AS$134*'Statistics NZ'!AS$429/('Population Treasury'!AR$134*'Statistics NZ'!AR$429)</f>
        <v>28459.438685531561</v>
      </c>
      <c r="AB84" s="46">
        <f>AA$84*'Population Treasury'!AT$134*'Statistics NZ'!AT$429/('Population Treasury'!AS$134*'Statistics NZ'!AS$429)</f>
        <v>28500.010164651838</v>
      </c>
      <c r="AC84" s="46">
        <f>AB$84*'Population Treasury'!AU$134*'Statistics NZ'!AU$429/('Population Treasury'!AT$134*'Statistics NZ'!AT$429)</f>
        <v>28550.761412417371</v>
      </c>
      <c r="AD84" s="46">
        <f>AC$84*'Population Treasury'!AV$134*'Statistics NZ'!AV$429/('Population Treasury'!AU$134*'Statistics NZ'!AU$429)</f>
        <v>28621.773854295803</v>
      </c>
      <c r="AE84" s="46">
        <f>AD$84*'Population Treasury'!AW$134*'Statistics NZ'!AW$429/('Population Treasury'!AV$134*'Statistics NZ'!AV$429)</f>
        <v>28713.145428608386</v>
      </c>
      <c r="AF84" s="46">
        <f>AE$84*'Population Treasury'!AX$134*'Statistics NZ'!AX$429/('Population Treasury'!AW$134*'Statistics NZ'!AW$429)</f>
        <v>28845.039599780663</v>
      </c>
      <c r="AG84" s="46">
        <f>AF$84*'Population Treasury'!AY$134*'Statistics NZ'!AY$429/('Population Treasury'!AX$134*'Statistics NZ'!AX$429)</f>
        <v>29007.374751408533</v>
      </c>
      <c r="AH84" s="46">
        <f>AG$84*'Population Treasury'!AZ$134*'Statistics NZ'!AZ$429/('Population Treasury'!AY$134*'Statistics NZ'!AY$429)</f>
        <v>29179.889014403161</v>
      </c>
      <c r="AI84" s="46">
        <f>AH$84*'Population Treasury'!BA$134*'Statistics NZ'!BA$429/('Population Treasury'!AZ$134*'Statistics NZ'!AZ$429)</f>
        <v>29382.796121231477</v>
      </c>
      <c r="AJ84" s="46">
        <f>AI$84*'Population Treasury'!BB$134*'Statistics NZ'!BB$429/('Population Treasury'!BA$134*'Statistics NZ'!BA$429)</f>
        <v>29595.882119925682</v>
      </c>
      <c r="AK84" s="46">
        <f>AJ$84*'Population Treasury'!BC$134*'Statistics NZ'!BC$429/('Population Treasury'!BB$134*'Statistics NZ'!BB$429)</f>
        <v>29808.920966981306</v>
      </c>
      <c r="AL84" s="46">
        <f>AK$84*'Population Treasury'!BD$134*'Statistics NZ'!BD$429/('Population Treasury'!BC$134*'Statistics NZ'!BC$429)</f>
        <v>30011.875728479296</v>
      </c>
      <c r="AM84" s="46">
        <f>AL$84*'Population Treasury'!BE$134*'Statistics NZ'!BE$429/('Population Treasury'!BD$134*'Statistics NZ'!BD$429)</f>
        <v>30194.520819426201</v>
      </c>
      <c r="AN84" s="46">
        <f>AM$84*'Population Treasury'!BF$134*'Statistics NZ'!BF$429/('Population Treasury'!BE$134*'Statistics NZ'!BE$429)</f>
        <v>30356.856549406155</v>
      </c>
      <c r="AO84" s="46">
        <f>AN$84*'Population Treasury'!BG$134*'Statistics NZ'!BG$429/('Population Treasury'!BF$134*'Statistics NZ'!BF$429)</f>
        <v>30488.797539199946</v>
      </c>
      <c r="AP84" s="46">
        <f>AO$84*'Population Treasury'!BH$134*'Statistics NZ'!BH$429/('Population Treasury'!BG$134*'Statistics NZ'!BG$429)</f>
        <v>30600.383268042984</v>
      </c>
      <c r="AQ84" s="46">
        <f>AP$84*'Population Treasury'!BI$134*'Statistics NZ'!BI$429/('Population Treasury'!BH$134*'Statistics NZ'!BH$429)</f>
        <v>30681.574052127013</v>
      </c>
    </row>
    <row r="85" spans="1:43" x14ac:dyDescent="0.25">
      <c r="A85" s="11">
        <f>$A$15</f>
        <v>20</v>
      </c>
      <c r="B85" s="45">
        <f>'Population Treasury'!T$135*'Statistics NZ'!T$430*'Economic Forecasts'!V$8/B$7</f>
        <v>27072.644980625835</v>
      </c>
      <c r="C85" s="45">
        <f>'Population Treasury'!U$135*'Statistics NZ'!U$430*'Economic Forecasts'!W$8/C$7</f>
        <v>26940.821897872895</v>
      </c>
      <c r="D85" s="45">
        <f>'Population Treasury'!V$135*'Statistics NZ'!V$430*'Economic Forecasts'!X$8/D$7</f>
        <v>27652.18620116654</v>
      </c>
      <c r="E85" s="45">
        <f>'Population Treasury'!W$135*'Statistics NZ'!W$430*'Economic Forecasts'!Y$8/E$7</f>
        <v>29956.766511725371</v>
      </c>
      <c r="F85" s="45">
        <f>'Population Treasury'!X$135*'Statistics NZ'!X$430*'Economic Forecasts'!Z$8/F$7</f>
        <v>31461.23984691242</v>
      </c>
      <c r="G85" s="45">
        <f>'Population Treasury'!Y$135*'Statistics NZ'!Y$430*'Economic Forecasts'!AA$8/G$7</f>
        <v>31654.077010547178</v>
      </c>
      <c r="H85" s="46">
        <f>G$85*'Population Treasury'!Z$135*'Statistics NZ'!Z$430/('Population Treasury'!Y$135*'Statistics NZ'!Y$430)</f>
        <v>32116.627835420953</v>
      </c>
      <c r="I85" s="46">
        <f>H$85*'Population Treasury'!AA$135*'Statistics NZ'!AA$430/('Population Treasury'!Z$135*'Statistics NZ'!Z$430)</f>
        <v>32093.891586510632</v>
      </c>
      <c r="J85" s="46">
        <f>I$85*'Population Treasury'!AB$135*'Statistics NZ'!AB$430/('Population Treasury'!AA$135*'Statistics NZ'!AA$430)</f>
        <v>32042.021754737652</v>
      </c>
      <c r="K85" s="46">
        <f>J$85*'Population Treasury'!AC$135*'Statistics NZ'!AC$430/('Population Treasury'!AB$135*'Statistics NZ'!AB$430)</f>
        <v>32062.352198955992</v>
      </c>
      <c r="L85" s="46">
        <f>K$85*'Population Treasury'!AD$135*'Statistics NZ'!AD$430/('Population Treasury'!AC$135*'Statistics NZ'!AC$430)</f>
        <v>31839.098469828186</v>
      </c>
      <c r="M85" s="46">
        <f>L$85*'Population Treasury'!AE$135*'Statistics NZ'!AE$430/('Population Treasury'!AD$135*'Statistics NZ'!AD$430)</f>
        <v>31930.394798312504</v>
      </c>
      <c r="N85" s="46">
        <f>M$85*'Population Treasury'!AF$135*'Statistics NZ'!AF$430/('Population Treasury'!AE$135*'Statistics NZ'!AE$430)</f>
        <v>31778.183053493267</v>
      </c>
      <c r="O85" s="46">
        <f>N$85*'Population Treasury'!AG$135*'Statistics NZ'!AG$430/('Population Treasury'!AF$135*'Statistics NZ'!AF$430)</f>
        <v>31585.386497608702</v>
      </c>
      <c r="P85" s="46">
        <f>O$85*'Population Treasury'!AH$135*'Statistics NZ'!AH$430/('Population Treasury'!AG$135*'Statistics NZ'!AG$430)</f>
        <v>31412.843245207318</v>
      </c>
      <c r="Q85" s="46">
        <f>P$85*'Population Treasury'!AI$135*'Statistics NZ'!AI$430/('Population Treasury'!AH$135*'Statistics NZ'!AH$430)</f>
        <v>31686.886802144043</v>
      </c>
      <c r="R85" s="46">
        <f>Q$85*'Population Treasury'!AJ$135*'Statistics NZ'!AJ$430/('Population Treasury'!AI$135*'Statistics NZ'!AI$430)</f>
        <v>31078.038923872587</v>
      </c>
      <c r="S85" s="46">
        <f>R$85*'Population Treasury'!AK$135*'Statistics NZ'!AK$430/('Population Treasury'!AJ$135*'Statistics NZ'!AJ$430)</f>
        <v>31615.84434310373</v>
      </c>
      <c r="T85" s="46">
        <f>S$85*'Population Treasury'!AL$135*'Statistics NZ'!AL$430/('Population Treasury'!AK$135*'Statistics NZ'!AK$430)</f>
        <v>31078.117549863597</v>
      </c>
      <c r="U85" s="46">
        <f>T$85*'Population Treasury'!AM$135*'Statistics NZ'!AM$430/('Population Treasury'!AL$135*'Statistics NZ'!AL$430)</f>
        <v>29840.167462084402</v>
      </c>
      <c r="V85" s="46">
        <f>U$85*'Population Treasury'!AN$135*'Statistics NZ'!AN$430/('Population Treasury'!AM$135*'Statistics NZ'!AM$430)</f>
        <v>29728.53932794902</v>
      </c>
      <c r="W85" s="46">
        <f>V$85*'Population Treasury'!AO$135*'Statistics NZ'!AO$430/('Population Treasury'!AN$135*'Statistics NZ'!AN$430)</f>
        <v>30286.598205929367</v>
      </c>
      <c r="X85" s="46">
        <f>W$85*'Population Treasury'!AP$135*'Statistics NZ'!AP$430/('Population Treasury'!AO$135*'Statistics NZ'!AO$430)</f>
        <v>30357.641457049482</v>
      </c>
      <c r="Y85" s="46">
        <f>X$85*'Population Treasury'!AQ$135*'Statistics NZ'!AQ$430/('Population Treasury'!AP$135*'Statistics NZ'!AP$430)</f>
        <v>30408.432493686549</v>
      </c>
      <c r="Z85" s="46">
        <f>Y$85*'Population Treasury'!AR$135*'Statistics NZ'!AR$430/('Population Treasury'!AQ$135*'Statistics NZ'!AQ$430)</f>
        <v>30448.936805926995</v>
      </c>
      <c r="AA85" s="46">
        <f>Z$85*'Population Treasury'!AS$135*'Statistics NZ'!AS$430/('Population Treasury'!AR$135*'Statistics NZ'!AR$430)</f>
        <v>30479.395346300287</v>
      </c>
      <c r="AB85" s="46">
        <f>AA$85*'Population Treasury'!AT$135*'Statistics NZ'!AT$430/('Population Treasury'!AS$135*'Statistics NZ'!AS$430)</f>
        <v>30509.853847501498</v>
      </c>
      <c r="AC85" s="46">
        <f>AB$85*'Population Treasury'!AU$135*'Statistics NZ'!AU$430/('Population Treasury'!AT$135*'Statistics NZ'!AT$430)</f>
        <v>30550.43846452278</v>
      </c>
      <c r="AD85" s="46">
        <f>AC$85*'Population Treasury'!AV$135*'Statistics NZ'!AV$430/('Population Treasury'!AU$135*'Statistics NZ'!AU$430)</f>
        <v>30601.229117301235</v>
      </c>
      <c r="AE85" s="46">
        <f>AD$85*'Population Treasury'!AW$135*'Statistics NZ'!AW$430/('Population Treasury'!AV$135*'Statistics NZ'!AV$430)</f>
        <v>30682.398222779164</v>
      </c>
      <c r="AF85" s="46">
        <f>AE$85*'Population Treasury'!AX$135*'Statistics NZ'!AX$430/('Population Treasury'!AW$135*'Statistics NZ'!AW$430)</f>
        <v>30793.946268663549</v>
      </c>
      <c r="AG85" s="46">
        <f>AF$85*'Population Treasury'!AY$135*'Statistics NZ'!AY$430/('Population Treasury'!AX$135*'Statistics NZ'!AX$430)</f>
        <v>30935.953062025601</v>
      </c>
      <c r="AH85" s="46">
        <f>AG$85*'Population Treasury'!AZ$135*'Statistics NZ'!AZ$430/('Population Treasury'!AY$135*'Statistics NZ'!AY$430)</f>
        <v>31098.370558059945</v>
      </c>
      <c r="AI85" s="46">
        <f>AH$85*'Population Treasury'!BA$135*'Statistics NZ'!BA$430/('Population Treasury'!AZ$135*'Statistics NZ'!AZ$430)</f>
        <v>31291.167144366413</v>
      </c>
      <c r="AJ85" s="46">
        <f>AI$85*'Population Treasury'!BB$135*'Statistics NZ'!BB$430/('Population Treasury'!BA$135*'Statistics NZ'!BA$430)</f>
        <v>31504.29469068403</v>
      </c>
      <c r="AK85" s="46">
        <f>AJ$85*'Population Treasury'!BC$135*'Statistics NZ'!BC$430/('Population Treasury'!BB$135*'Statistics NZ'!BB$430)</f>
        <v>31737.598369053318</v>
      </c>
      <c r="AL85" s="46">
        <f>AK$85*'Population Treasury'!BD$135*'Statistics NZ'!BD$430/('Population Treasury'!BC$135*'Statistics NZ'!BC$430)</f>
        <v>31960.852427029811</v>
      </c>
      <c r="AM85" s="46">
        <f>AL$85*'Population Treasury'!BE$135*'Statistics NZ'!BE$430/('Population Treasury'!BD$135*'Statistics NZ'!BD$430)</f>
        <v>32184.030144419765</v>
      </c>
      <c r="AN85" s="46">
        <f>AM$85*'Population Treasury'!BF$135*'Statistics NZ'!BF$430/('Population Treasury'!BE$135*'Statistics NZ'!BE$430)</f>
        <v>32376.826545486289</v>
      </c>
      <c r="AO85" s="46">
        <f>AN$85*'Population Treasury'!BG$135*'Statistics NZ'!BG$430/('Population Treasury'!BF$135*'Statistics NZ'!BF$430)</f>
        <v>32549.368009026381</v>
      </c>
      <c r="AP85" s="46">
        <f>AO$85*'Population Treasury'!BH$135*'Statistics NZ'!BH$430/('Population Treasury'!BG$135*'Statistics NZ'!BG$430)</f>
        <v>32701.50451141992</v>
      </c>
      <c r="AQ85" s="46">
        <f>AP$85*'Population Treasury'!BI$135*'Statistics NZ'!BI$430/('Population Treasury'!BH$135*'Statistics NZ'!BH$430)</f>
        <v>32813.205753222901</v>
      </c>
    </row>
    <row r="86" spans="1:43" x14ac:dyDescent="0.25">
      <c r="A86" s="11">
        <f>$A$16</f>
        <v>21</v>
      </c>
      <c r="B86" s="45">
        <f>'Population Treasury'!T$136*'Statistics NZ'!T$431*'Economic Forecasts'!V$8/B$7</f>
        <v>27412.301781120776</v>
      </c>
      <c r="C86" s="45">
        <f>'Population Treasury'!U$136*'Statistics NZ'!U$431*'Economic Forecasts'!W$8/C$7</f>
        <v>27781.490151610429</v>
      </c>
      <c r="D86" s="45">
        <f>'Population Treasury'!V$136*'Statistics NZ'!V$431*'Economic Forecasts'!X$8/D$7</f>
        <v>28078.618388845742</v>
      </c>
      <c r="E86" s="45">
        <f>'Population Treasury'!W$136*'Statistics NZ'!W$431*'Economic Forecasts'!Y$8/E$7</f>
        <v>28908.227335556385</v>
      </c>
      <c r="F86" s="45">
        <f>'Population Treasury'!X$136*'Statistics NZ'!X$431*'Economic Forecasts'!Z$8/F$7</f>
        <v>31290.533143804001</v>
      </c>
      <c r="G86" s="45">
        <f>'Population Treasury'!Y$136*'Statistics NZ'!Y$431*'Economic Forecasts'!AA$8/G$7</f>
        <v>32810.104920571837</v>
      </c>
      <c r="H86" s="46">
        <f>G$86*'Population Treasury'!Z$136*'Statistics NZ'!Z$431/('Population Treasury'!Y$136*'Statistics NZ'!Y$431)</f>
        <v>32937.681559759709</v>
      </c>
      <c r="I86" s="46">
        <f>H$86*'Population Treasury'!AA$136*'Statistics NZ'!AA$431/('Population Treasury'!Z$136*'Statistics NZ'!Z$431)</f>
        <v>33412.073029346218</v>
      </c>
      <c r="J86" s="46">
        <f>I$86*'Population Treasury'!AB$136*'Statistics NZ'!AB$431/('Population Treasury'!AA$136*'Statistics NZ'!AA$431)</f>
        <v>33390.619967818049</v>
      </c>
      <c r="K86" s="46">
        <f>J$86*'Population Treasury'!AC$136*'Statistics NZ'!AC$431/('Population Treasury'!AB$136*'Statistics NZ'!AB$431)</f>
        <v>33349.945221336398</v>
      </c>
      <c r="L86" s="46">
        <f>K$86*'Population Treasury'!AD$136*'Statistics NZ'!AD$431/('Population Treasury'!AC$136*'Statistics NZ'!AC$431)</f>
        <v>33380.412185922032</v>
      </c>
      <c r="M86" s="46">
        <f>L$86*'Population Treasury'!AE$136*'Statistics NZ'!AE$431/('Population Treasury'!AD$136*'Statistics NZ'!AD$431)</f>
        <v>33147.041002096259</v>
      </c>
      <c r="N86" s="46">
        <f>M$86*'Population Treasury'!AF$136*'Statistics NZ'!AF$431/('Population Treasury'!AE$136*'Statistics NZ'!AE$431)</f>
        <v>33248.49306969899</v>
      </c>
      <c r="O86" s="46">
        <f>N$86*'Population Treasury'!AG$136*'Statistics NZ'!AG$431/('Population Treasury'!AF$136*'Statistics NZ'!AF$431)</f>
        <v>33086.185588160843</v>
      </c>
      <c r="P86" s="46">
        <f>O$86*'Population Treasury'!AH$136*'Statistics NZ'!AH$431/('Population Treasury'!AG$136*'Statistics NZ'!AG$431)</f>
        <v>32893.411205720491</v>
      </c>
      <c r="Q86" s="46">
        <f>P$86*'Population Treasury'!AI$136*'Statistics NZ'!AI$431/('Population Treasury'!AH$136*'Statistics NZ'!AH$431)</f>
        <v>32710.845962504154</v>
      </c>
      <c r="R86" s="46">
        <f>Q$86*'Population Treasury'!AJ$136*'Statistics NZ'!AJ$431/('Population Treasury'!AI$136*'Statistics NZ'!AI$431)</f>
        <v>33004.992425200951</v>
      </c>
      <c r="S86" s="46">
        <f>R$86*'Population Treasury'!AK$136*'Statistics NZ'!AK$431/('Population Treasury'!AJ$136*'Statistics NZ'!AJ$431)</f>
        <v>32375.943624559844</v>
      </c>
      <c r="T86" s="46">
        <f>S$86*'Population Treasury'!AL$136*'Statistics NZ'!AL$431/('Population Treasury'!AK$136*'Statistics NZ'!AK$431)</f>
        <v>32944.057841266193</v>
      </c>
      <c r="U86" s="46">
        <f>T$86*'Population Treasury'!AM$136*'Statistics NZ'!AM$431/('Population Treasury'!AL$136*'Statistics NZ'!AL$431)</f>
        <v>32396.201701098864</v>
      </c>
      <c r="V86" s="46">
        <f>U$86*'Population Treasury'!AN$136*'Statistics NZ'!AN$431/('Population Treasury'!AM$136*'Statistics NZ'!AM$431)</f>
        <v>31107.638847801834</v>
      </c>
      <c r="W86" s="46">
        <f>V$86*'Population Treasury'!AO$136*'Statistics NZ'!AO$431/('Population Treasury'!AN$136*'Statistics NZ'!AN$431)</f>
        <v>31006.103850227606</v>
      </c>
      <c r="X86" s="46">
        <f>W$86*'Population Treasury'!AP$136*'Statistics NZ'!AP$431/('Population Treasury'!AO$136*'Statistics NZ'!AO$431)</f>
        <v>31574.380083334829</v>
      </c>
      <c r="Y86" s="46">
        <f>X$86*'Population Treasury'!AQ$136*'Statistics NZ'!AQ$431/('Population Treasury'!AP$136*'Statistics NZ'!AP$431)</f>
        <v>31655.573985867366</v>
      </c>
      <c r="Z86" s="46">
        <f>Y$86*'Population Treasury'!AR$136*'Statistics NZ'!AR$431/('Population Treasury'!AQ$136*'Statistics NZ'!AQ$431)</f>
        <v>31716.428205712637</v>
      </c>
      <c r="AA86" s="46">
        <f>Z$86*'Population Treasury'!AS$136*'Statistics NZ'!AS$431/('Population Treasury'!AR$136*'Statistics NZ'!AR$431)</f>
        <v>31757.02513031902</v>
      </c>
      <c r="AB86" s="46">
        <f>AA$86*'Population Treasury'!AT$136*'Statistics NZ'!AT$431/('Population Treasury'!AS$136*'Statistics NZ'!AS$431)</f>
        <v>31787.493327290173</v>
      </c>
      <c r="AC86" s="46">
        <f>AB$86*'Population Treasury'!AU$136*'Statistics NZ'!AU$431/('Population Treasury'!AT$136*'Statistics NZ'!AT$431)</f>
        <v>31828.008185282626</v>
      </c>
      <c r="AD86" s="46">
        <f>AC$86*'Population Treasury'!AV$136*'Statistics NZ'!AV$431/('Population Treasury'!AU$136*'Statistics NZ'!AU$431)</f>
        <v>31868.605117291576</v>
      </c>
      <c r="AE86" s="46">
        <f>AD$86*'Population Treasury'!AW$136*'Statistics NZ'!AW$431/('Population Treasury'!AV$136*'Statistics NZ'!AV$431)</f>
        <v>31929.459588551719</v>
      </c>
      <c r="AF86" s="46">
        <f>AE$86*'Population Treasury'!AX$136*'Statistics NZ'!AX$431/('Population Treasury'!AW$136*'Statistics NZ'!AW$431)</f>
        <v>32020.782236726722</v>
      </c>
      <c r="AG86" s="46">
        <f>AF$86*'Population Treasury'!AY$136*'Statistics NZ'!AY$431/('Population Treasury'!AX$136*'Statistics NZ'!AX$431)</f>
        <v>32132.362668924092</v>
      </c>
      <c r="AH86" s="46">
        <f>AG$86*'Population Treasury'!AZ$136*'Statistics NZ'!AZ$431/('Population Treasury'!AY$136*'Statistics NZ'!AY$431)</f>
        <v>32274.492117084174</v>
      </c>
      <c r="AI86" s="46">
        <f>AH$86*'Population Treasury'!BA$136*'Statistics NZ'!BA$431/('Population Treasury'!AZ$136*'Statistics NZ'!AZ$431)</f>
        <v>32457.137066239411</v>
      </c>
      <c r="AJ86" s="46">
        <f>AI$86*'Population Treasury'!BB$136*'Statistics NZ'!BB$431/('Population Treasury'!BA$136*'Statistics NZ'!BA$431)</f>
        <v>32660.040298931457</v>
      </c>
      <c r="AK86" s="46">
        <f>AJ$86*'Population Treasury'!BC$136*'Statistics NZ'!BC$431/('Population Treasury'!BB$136*'Statistics NZ'!BB$431)</f>
        <v>32883.28190464434</v>
      </c>
      <c r="AL86" s="46">
        <f>AK$86*'Population Treasury'!BD$136*'Statistics NZ'!BD$431/('Population Treasury'!BC$136*'Statistics NZ'!BC$431)</f>
        <v>33116.652709687471</v>
      </c>
      <c r="AM86" s="46">
        <f>AL$86*'Population Treasury'!BE$136*'Statistics NZ'!BE$431/('Population Treasury'!BD$136*'Statistics NZ'!BD$431)</f>
        <v>33360.074778205482</v>
      </c>
      <c r="AN86" s="46">
        <f>AM$86*'Population Treasury'!BF$136*'Statistics NZ'!BF$431/('Population Treasury'!BE$136*'Statistics NZ'!BE$431)</f>
        <v>33583.394381439</v>
      </c>
      <c r="AO86" s="46">
        <f>AN$86*'Population Treasury'!BG$136*'Statistics NZ'!BG$431/('Population Treasury'!BF$136*'Statistics NZ'!BF$431)</f>
        <v>33796.428446595557</v>
      </c>
      <c r="AP86" s="46">
        <f>AO$86*'Population Treasury'!BH$136*'Statistics NZ'!BH$431/('Population Treasury'!BG$136*'Statistics NZ'!BG$431)</f>
        <v>33979.07344536532</v>
      </c>
      <c r="AQ86" s="46">
        <f>AP$86*'Population Treasury'!BI$136*'Statistics NZ'!BI$431/('Population Treasury'!BH$136*'Statistics NZ'!BH$431)</f>
        <v>34131.252049643794</v>
      </c>
    </row>
    <row r="87" spans="1:43" x14ac:dyDescent="0.25">
      <c r="A87" s="11">
        <f>$A$17</f>
        <v>22</v>
      </c>
      <c r="B87" s="45">
        <f>'Population Treasury'!T$137*'Statistics NZ'!T$432*'Economic Forecasts'!V$8/B$7</f>
        <v>27811.898016997176</v>
      </c>
      <c r="C87" s="45">
        <f>'Population Treasury'!U$137*'Statistics NZ'!U$432*'Economic Forecasts'!W$8/C$7</f>
        <v>27959.233064015036</v>
      </c>
      <c r="D87" s="45">
        <f>'Population Treasury'!V$137*'Statistics NZ'!V$432*'Economic Forecasts'!X$8/D$7</f>
        <v>28783.02757170629</v>
      </c>
      <c r="E87" s="45">
        <f>'Population Treasury'!W$137*'Statistics NZ'!W$432*'Economic Forecasts'!Y$8/E$7</f>
        <v>29187.418208897001</v>
      </c>
      <c r="F87" s="45">
        <f>'Population Treasury'!X$137*'Statistics NZ'!X$432*'Economic Forecasts'!Z$8/F$7</f>
        <v>30037.091789917744</v>
      </c>
      <c r="G87" s="45">
        <f>'Population Treasury'!Y$137*'Statistics NZ'!Y$432*'Economic Forecasts'!AA$8/G$7</f>
        <v>32468.074351839234</v>
      </c>
      <c r="H87" s="46">
        <f>G$87*'Population Treasury'!Z$137*'Statistics NZ'!Z$432/('Population Treasury'!Y$137*'Statistics NZ'!Y$432)</f>
        <v>33965.360675309043</v>
      </c>
      <c r="I87" s="46">
        <f>H$87*'Population Treasury'!AA$137*'Statistics NZ'!AA$432/('Population Treasury'!Z$137*'Statistics NZ'!Z$432)</f>
        <v>34094.68314258707</v>
      </c>
      <c r="J87" s="46">
        <f>I$87*'Population Treasury'!AB$137*'Statistics NZ'!AB$432/('Population Treasury'!AA$137*'Statistics NZ'!AA$432)</f>
        <v>34590.634774560676</v>
      </c>
      <c r="K87" s="46">
        <f>J$87*'Population Treasury'!AC$137*'Statistics NZ'!AC$432/('Population Treasury'!AB$137*'Statistics NZ'!AB$432)</f>
        <v>34580.425417525345</v>
      </c>
      <c r="L87" s="46">
        <f>K$87*'Population Treasury'!AD$137*'Statistics NZ'!AD$432/('Population Treasury'!AC$137*'Statistics NZ'!AC$432)</f>
        <v>34529.763604633787</v>
      </c>
      <c r="M87" s="46">
        <f>L$87*'Population Treasury'!AE$137*'Statistics NZ'!AE$432/('Population Treasury'!AD$137*'Statistics NZ'!AD$432)</f>
        <v>34570.293040946919</v>
      </c>
      <c r="N87" s="46">
        <f>M$87*'Population Treasury'!AF$137*'Statistics NZ'!AF$432/('Population Treasury'!AE$137*'Statistics NZ'!AE$432)</f>
        <v>34336.940498369346</v>
      </c>
      <c r="O87" s="46">
        <f>N$87*'Population Treasury'!AG$137*'Statistics NZ'!AG$432/('Population Treasury'!AF$137*'Statistics NZ'!AF$432)</f>
        <v>34438.418259815015</v>
      </c>
      <c r="P87" s="46">
        <f>O$87*'Population Treasury'!AH$137*'Statistics NZ'!AH$432/('Population Treasury'!AG$137*'Statistics NZ'!AG$432)</f>
        <v>34276.146987362503</v>
      </c>
      <c r="Q87" s="46">
        <f>P$87*'Population Treasury'!AI$137*'Statistics NZ'!AI$432/('Population Treasury'!AH$137*'Statistics NZ'!AH$432)</f>
        <v>34083.323891986132</v>
      </c>
      <c r="R87" s="46">
        <f>Q$87*'Population Treasury'!AJ$137*'Statistics NZ'!AJ$432/('Population Treasury'!AI$137*'Statistics NZ'!AI$432)</f>
        <v>33900.710957370866</v>
      </c>
      <c r="S87" s="46">
        <f>R$87*'Population Treasury'!AK$137*'Statistics NZ'!AK$432/('Population Treasury'!AJ$137*'Statistics NZ'!AJ$432)</f>
        <v>34205.066000340026</v>
      </c>
      <c r="T87" s="46">
        <f>S$87*'Population Treasury'!AL$137*'Statistics NZ'!AL$432/('Population Treasury'!AK$137*'Statistics NZ'!AK$432)</f>
        <v>33565.802404432827</v>
      </c>
      <c r="U87" s="46">
        <f>T$87*'Population Treasury'!AM$137*'Statistics NZ'!AM$432/('Population Treasury'!AL$137*'Statistics NZ'!AL$432)</f>
        <v>34144.194931074409</v>
      </c>
      <c r="V87" s="46">
        <f>U$87*'Population Treasury'!AN$137*'Statistics NZ'!AN$432/('Population Treasury'!AM$137*'Statistics NZ'!AM$432)</f>
        <v>33586.145551840258</v>
      </c>
      <c r="W87" s="46">
        <f>V$87*'Population Treasury'!AO$137*'Statistics NZ'!AO$432/('Population Treasury'!AN$137*'Statistics NZ'!AN$432)</f>
        <v>32277.140710672164</v>
      </c>
      <c r="X87" s="46">
        <f>W$87*'Population Treasury'!AP$137*'Statistics NZ'!AP$432/('Population Treasury'!AO$137*'Statistics NZ'!AO$432)</f>
        <v>32165.613416327313</v>
      </c>
      <c r="Y87" s="46">
        <f>X$87*'Population Treasury'!AQ$137*'Statistics NZ'!AQ$432/('Population Treasury'!AP$137*'Statistics NZ'!AP$432)</f>
        <v>32764.188567164769</v>
      </c>
      <c r="Z87" s="46">
        <f>Y$87*'Population Treasury'!AR$137*'Statistics NZ'!AR$432/('Population Treasury'!AQ$137*'Statistics NZ'!AQ$432)</f>
        <v>32845.403692031025</v>
      </c>
      <c r="AA87" s="46">
        <f>Z$87*'Population Treasury'!AS$137*'Statistics NZ'!AS$432/('Population Treasury'!AR$137*'Statistics NZ'!AR$432)</f>
        <v>32906.35531111461</v>
      </c>
      <c r="AB87" s="46">
        <f>AA$87*'Population Treasury'!AT$137*'Statistics NZ'!AT$432/('Population Treasury'!AS$137*'Statistics NZ'!AS$432)</f>
        <v>32957.013590616669</v>
      </c>
      <c r="AC87" s="46">
        <f>AB$87*'Population Treasury'!AU$137*'Statistics NZ'!AU$432/('Population Treasury'!AT$137*'Statistics NZ'!AT$432)</f>
        <v>32997.540352719232</v>
      </c>
      <c r="AD87" s="46">
        <f>AC$87*'Population Treasury'!AV$137*'Statistics NZ'!AV$432/('Population Treasury'!AU$137*'Statistics NZ'!AU$432)</f>
        <v>33028.09666703752</v>
      </c>
      <c r="AE87" s="46">
        <f>AD$87*'Population Treasury'!AW$137*'Statistics NZ'!AW$432/('Population Treasury'!AV$137*'Statistics NZ'!AV$432)</f>
        <v>33078.835673321257</v>
      </c>
      <c r="AF87" s="46">
        <f>AE$87*'Population Treasury'!AX$137*'Statistics NZ'!AX$432/('Population Treasury'!AW$137*'Statistics NZ'!AW$432)</f>
        <v>33149.838152641496</v>
      </c>
      <c r="AG87" s="46">
        <f>AF$87*'Population Treasury'!AY$137*'Statistics NZ'!AY$432/('Population Treasury'!AX$137*'Statistics NZ'!AX$432)</f>
        <v>33241.104323861116</v>
      </c>
      <c r="AH87" s="46">
        <f>AG$87*'Population Treasury'!AZ$137*'Statistics NZ'!AZ$432/('Population Treasury'!AY$137*'Statistics NZ'!AY$432)</f>
        <v>33362.846173303325</v>
      </c>
      <c r="AI87" s="46">
        <f>AH$87*'Population Treasury'!BA$137*'Statistics NZ'!BA$432/('Population Treasury'!AZ$137*'Statistics NZ'!AZ$432)</f>
        <v>33515.063373754412</v>
      </c>
      <c r="AJ87" s="46">
        <f>AI$87*'Population Treasury'!BB$137*'Statistics NZ'!BB$432/('Population Treasury'!BA$137*'Statistics NZ'!BA$432)</f>
        <v>33697.755388909172</v>
      </c>
      <c r="AK87" s="46">
        <f>AJ$87*'Population Treasury'!BC$137*'Statistics NZ'!BC$432/('Population Treasury'!BB$137*'Statistics NZ'!BB$432)</f>
        <v>33910.843035844766</v>
      </c>
      <c r="AL87" s="46">
        <f>AK$87*'Population Treasury'!BD$137*'Statistics NZ'!BD$432/('Population Treasury'!BC$137*'Statistics NZ'!BC$432)</f>
        <v>34144.19493107446</v>
      </c>
      <c r="AM87" s="46">
        <f>AL$87*'Population Treasury'!BE$137*'Statistics NZ'!BE$432/('Population Treasury'!BD$137*'Statistics NZ'!BD$432)</f>
        <v>34387.75678448128</v>
      </c>
      <c r="AN87" s="46">
        <f>AM$87*'Population Treasury'!BF$137*'Statistics NZ'!BF$432/('Population Treasury'!BE$137*'Statistics NZ'!BE$432)</f>
        <v>34641.37357912946</v>
      </c>
      <c r="AO87" s="46">
        <f>AN$87*'Population Treasury'!BG$137*'Statistics NZ'!BG$432/('Population Treasury'!BF$137*'Statistics NZ'!BF$432)</f>
        <v>34874.726068573502</v>
      </c>
      <c r="AP87" s="46">
        <f>AO$87*'Population Treasury'!BH$137*'Statistics NZ'!BH$432/('Population Treasury'!BG$137*'Statistics NZ'!BG$432)</f>
        <v>35097.94623350125</v>
      </c>
      <c r="AQ87" s="46">
        <f>AP$87*'Population Treasury'!BI$137*'Statistics NZ'!BI$432/('Population Treasury'!BH$137*'Statistics NZ'!BH$432)</f>
        <v>35290.693039899576</v>
      </c>
    </row>
    <row r="88" spans="1:43" x14ac:dyDescent="0.25">
      <c r="A88" s="11">
        <f>$A$18</f>
        <v>23</v>
      </c>
      <c r="B88" s="45">
        <f>'Population Treasury'!T$138*'Statistics NZ'!T$433*'Economic Forecasts'!V$8/B$7</f>
        <v>29380.313242812026</v>
      </c>
      <c r="C88" s="45">
        <f>'Population Treasury'!U$138*'Statistics NZ'!U$433*'Economic Forecasts'!W$8/C$7</f>
        <v>28265.635289097776</v>
      </c>
      <c r="D88" s="45">
        <f>'Population Treasury'!V$138*'Statistics NZ'!V$433*'Economic Forecasts'!X$8/D$7</f>
        <v>28862.091432758782</v>
      </c>
      <c r="E88" s="45">
        <f>'Population Treasury'!W$138*'Statistics NZ'!W$433*'Economic Forecasts'!Y$8/E$7</f>
        <v>29816.031043354778</v>
      </c>
      <c r="F88" s="45">
        <f>'Population Treasury'!X$138*'Statistics NZ'!X$433*'Economic Forecasts'!Z$8/F$7</f>
        <v>30227.344423311439</v>
      </c>
      <c r="G88" s="45">
        <f>'Population Treasury'!Y$138*'Statistics NZ'!Y$433*'Economic Forecasts'!AA$8/G$7</f>
        <v>31080.422742644791</v>
      </c>
      <c r="H88" s="46">
        <f>G$88*'Population Treasury'!Z$138*'Statistics NZ'!Z$433/('Population Treasury'!Y$138*'Statistics NZ'!Y$433)</f>
        <v>33511.158961941277</v>
      </c>
      <c r="I88" s="46">
        <f>H$88*'Population Treasury'!AA$138*'Statistics NZ'!AA$433/('Population Treasury'!Z$138*'Statistics NZ'!Z$433)</f>
        <v>35040.632793653887</v>
      </c>
      <c r="J88" s="46">
        <f>I$88*'Population Treasury'!AB$138*'Statistics NZ'!AB$433/('Population Treasury'!AA$138*'Statistics NZ'!AA$433)</f>
        <v>35191.548697649559</v>
      </c>
      <c r="K88" s="46">
        <f>J$88*'Population Treasury'!AC$138*'Statistics NZ'!AC$433/('Population Treasury'!AB$138*'Statistics NZ'!AB$433)</f>
        <v>35698.893093504506</v>
      </c>
      <c r="L88" s="46">
        <f>K$88*'Population Treasury'!AD$138*'Statistics NZ'!AD$433/('Population Treasury'!AC$138*'Statistics NZ'!AC$433)</f>
        <v>35688.757962409181</v>
      </c>
      <c r="M88" s="46">
        <f>L$88*'Population Treasury'!AE$138*'Statistics NZ'!AE$433/('Population Treasury'!AD$138*'Statistics NZ'!AD$433)</f>
        <v>35648.143961481343</v>
      </c>
      <c r="N88" s="46">
        <f>M$88*'Population Treasury'!AF$138*'Statistics NZ'!AF$433/('Population Treasury'!AE$138*'Statistics NZ'!AE$433)</f>
        <v>35688.684490283966</v>
      </c>
      <c r="O88" s="46">
        <f>N$88*'Population Treasury'!AG$138*'Statistics NZ'!AG$433/('Population Treasury'!AF$138*'Statistics NZ'!AF$433)</f>
        <v>35455.355999536492</v>
      </c>
      <c r="P88" s="46">
        <f>O$88*'Population Treasury'!AH$138*'Statistics NZ'!AH$433/('Population Treasury'!AG$138*'Statistics NZ'!AG$433)</f>
        <v>35566.989483672471</v>
      </c>
      <c r="Q88" s="46">
        <f>P$88*'Population Treasury'!AI$138*'Statistics NZ'!AI$433/('Population Treasury'!AH$138*'Statistics NZ'!AH$433)</f>
        <v>35404.606730452761</v>
      </c>
      <c r="R88" s="46">
        <f>Q$88*'Population Treasury'!AJ$138*'Statistics NZ'!AJ$433/('Population Treasury'!AI$138*'Statistics NZ'!AI$433)</f>
        <v>35211.818654096824</v>
      </c>
      <c r="S88" s="46">
        <f>R$88*'Population Treasury'!AK$138*'Statistics NZ'!AK$433/('Population Treasury'!AJ$138*'Statistics NZ'!AJ$433)</f>
        <v>35029.165476832539</v>
      </c>
      <c r="T88" s="46">
        <f>S$88*'Population Treasury'!AL$138*'Statistics NZ'!AL$433/('Population Treasury'!AK$138*'Statistics NZ'!AK$433)</f>
        <v>35343.722383253022</v>
      </c>
      <c r="U88" s="46">
        <f>T$88*'Population Treasury'!AM$138*'Statistics NZ'!AM$433/('Population Treasury'!AL$138*'Statistics NZ'!AL$433)</f>
        <v>34684.279478124445</v>
      </c>
      <c r="V88" s="46">
        <f>U$88*'Population Treasury'!AN$138*'Statistics NZ'!AN$433/('Population Treasury'!AM$138*'Statistics NZ'!AM$433)</f>
        <v>35282.912320965923</v>
      </c>
      <c r="W88" s="46">
        <f>V$88*'Population Treasury'!AO$138*'Statistics NZ'!AO$433/('Population Treasury'!AN$138*'Statistics NZ'!AN$433)</f>
        <v>34714.683876163304</v>
      </c>
      <c r="X88" s="46">
        <f>W$88*'Population Treasury'!AP$138*'Statistics NZ'!AP$433/('Population Treasury'!AO$138*'Statistics NZ'!AO$433)</f>
        <v>33375.302718657171</v>
      </c>
      <c r="Y88" s="46">
        <f>X$88*'Population Treasury'!AQ$138*'Statistics NZ'!AQ$433/('Population Treasury'!AP$138*'Statistics NZ'!AP$433)</f>
        <v>33273.802140745189</v>
      </c>
      <c r="Z88" s="46">
        <f>Y$88*'Population Treasury'!AR$138*'Statistics NZ'!AR$433/('Population Treasury'!AQ$138*'Statistics NZ'!AQ$433)</f>
        <v>33882.647832111594</v>
      </c>
      <c r="AA88" s="46">
        <f>Z$88*'Population Treasury'!AS$138*'Statistics NZ'!AS$433/('Population Treasury'!AR$138*'Statistics NZ'!AR$433)</f>
        <v>33973.935965641431</v>
      </c>
      <c r="AB88" s="46">
        <f>AA$88*'Population Treasury'!AT$138*'Statistics NZ'!AT$433/('Population Treasury'!AS$138*'Statistics NZ'!AS$433)</f>
        <v>34044.955069452779</v>
      </c>
      <c r="AC88" s="46">
        <f>AB$88*'Population Treasury'!AU$138*'Statistics NZ'!AU$433/('Population Treasury'!AT$138*'Statistics NZ'!AT$433)</f>
        <v>34095.704984204749</v>
      </c>
      <c r="AD88" s="46">
        <f>AC$88*'Population Treasury'!AV$138*'Statistics NZ'!AV$433/('Population Treasury'!AU$138*'Statistics NZ'!AU$433)</f>
        <v>34136.320233360784</v>
      </c>
      <c r="AE88" s="46">
        <f>AD$88*'Population Treasury'!AW$138*'Statistics NZ'!AW$433/('Population Treasury'!AV$138*'Statistics NZ'!AV$433)</f>
        <v>34176.935409330101</v>
      </c>
      <c r="AF88" s="46">
        <f>AE$88*'Population Treasury'!AX$138*'Statistics NZ'!AX$433/('Population Treasury'!AW$138*'Statistics NZ'!AW$433)</f>
        <v>34237.743233997731</v>
      </c>
      <c r="AG88" s="46">
        <f>AF$88*'Population Treasury'!AY$138*'Statistics NZ'!AY$433/('Population Treasury'!AX$138*'Statistics NZ'!AX$433)</f>
        <v>34308.76240287166</v>
      </c>
      <c r="AH88" s="46">
        <f>AG$88*'Population Treasury'!AZ$138*'Statistics NZ'!AZ$433/('Population Treasury'!AY$138*'Statistics NZ'!AY$433)</f>
        <v>34400.127234561427</v>
      </c>
      <c r="AI88" s="46">
        <f>AH$88*'Population Treasury'!BA$138*'Statistics NZ'!BA$433/('Population Treasury'!AZ$138*'Statistics NZ'!AZ$433)</f>
        <v>34532.030764422168</v>
      </c>
      <c r="AJ88" s="46">
        <f>AI$88*'Population Treasury'!BB$138*'Statistics NZ'!BB$433/('Population Treasury'!BA$138*'Statistics NZ'!BA$433)</f>
        <v>34694.338723912777</v>
      </c>
      <c r="AK88" s="46">
        <f>AJ$88*'Population Treasury'!BC$138*'Statistics NZ'!BC$433/('Population Treasury'!BB$138*'Statistics NZ'!BB$433)</f>
        <v>34887.126845782383</v>
      </c>
      <c r="AL88" s="46">
        <f>AK$88*'Population Treasury'!BD$138*'Statistics NZ'!BD$433/('Population Treasury'!BC$138*'Statistics NZ'!BC$433)</f>
        <v>35110.394464189085</v>
      </c>
      <c r="AM88" s="46">
        <f>AL$88*'Population Treasury'!BE$138*'Statistics NZ'!BE$433/('Population Treasury'!BD$138*'Statistics NZ'!BD$433)</f>
        <v>35353.857413638943</v>
      </c>
      <c r="AN88" s="46">
        <f>AM$88*'Population Treasury'!BF$138*'Statistics NZ'!BF$433/('Population Treasury'!BE$138*'Statistics NZ'!BE$433)</f>
        <v>35607.529893314619</v>
      </c>
      <c r="AO88" s="46">
        <f>AN$88*'Population Treasury'!BG$138*'Statistics NZ'!BG$433/('Population Treasury'!BF$138*'Statistics NZ'!BF$433)</f>
        <v>35861.275384872519</v>
      </c>
      <c r="AP88" s="46">
        <f>AO$88*'Population Treasury'!BH$138*'Statistics NZ'!BH$433/('Population Treasury'!BG$138*'Statistics NZ'!BG$433)</f>
        <v>36114.874561799574</v>
      </c>
      <c r="AQ88" s="46">
        <f>AP$88*'Population Treasury'!BI$138*'Statistics NZ'!BI$433/('Population Treasury'!BH$138*'Statistics NZ'!BH$433)</f>
        <v>36338.140733719745</v>
      </c>
    </row>
    <row r="89" spans="1:43" x14ac:dyDescent="0.25">
      <c r="A89" s="11">
        <f>$A$19</f>
        <v>24</v>
      </c>
      <c r="B89" s="45">
        <f>'Population Treasury'!T$139*'Statistics NZ'!T$434*'Economic Forecasts'!V$8/B$7</f>
        <v>30589.091856338124</v>
      </c>
      <c r="C89" s="45">
        <f>'Population Treasury'!U$139*'Statistics NZ'!U$434*'Economic Forecasts'!W$8/C$7</f>
        <v>29789.124513073239</v>
      </c>
      <c r="D89" s="45">
        <f>'Population Treasury'!V$139*'Statistics NZ'!V$434*'Economic Forecasts'!X$8/D$7</f>
        <v>29119.852834067056</v>
      </c>
      <c r="E89" s="45">
        <f>'Population Treasury'!W$139*'Statistics NZ'!W$434*'Economic Forecasts'!Y$8/E$7</f>
        <v>29845.692120954336</v>
      </c>
      <c r="F89" s="45">
        <f>'Population Treasury'!X$139*'Statistics NZ'!X$434*'Economic Forecasts'!Z$8/F$7</f>
        <v>30808.602960424749</v>
      </c>
      <c r="G89" s="45">
        <f>'Population Treasury'!Y$139*'Statistics NZ'!Y$434*'Economic Forecasts'!AA$8/G$7</f>
        <v>31210.964775680026</v>
      </c>
      <c r="H89" s="46">
        <f>G$89*'Population Treasury'!Z$139*'Statistics NZ'!Z$434/('Population Treasury'!Y$139*'Statistics NZ'!Y$434)</f>
        <v>32007.927852714452</v>
      </c>
      <c r="I89" s="46">
        <f>H$89*'Population Treasury'!AA$139*'Statistics NZ'!AA$434/('Population Treasury'!Z$139*'Statistics NZ'!Z$434)</f>
        <v>34501.234763016713</v>
      </c>
      <c r="J89" s="46">
        <f>I$89*'Population Treasury'!AB$139*'Statistics NZ'!AB$434/('Population Treasury'!AA$139*'Statistics NZ'!AA$434)</f>
        <v>36072.734284856415</v>
      </c>
      <c r="K89" s="46">
        <f>J$89*'Population Treasury'!AC$139*'Statistics NZ'!AC$434/('Population Treasury'!AB$139*'Statistics NZ'!AB$434)</f>
        <v>36224.936724226151</v>
      </c>
      <c r="L89" s="46">
        <f>K$89*'Population Treasury'!AD$139*'Statistics NZ'!AD$434/('Population Treasury'!AC$139*'Statistics NZ'!AC$434)</f>
        <v>36752.576539309557</v>
      </c>
      <c r="M89" s="46">
        <f>L$89*'Population Treasury'!AE$139*'Statistics NZ'!AE$434/('Population Treasury'!AD$139*'Statistics NZ'!AD$434)</f>
        <v>36742.439501177789</v>
      </c>
      <c r="N89" s="46">
        <f>M$89*'Population Treasury'!AF$139*'Statistics NZ'!AF$434/('Population Treasury'!AE$139*'Statistics NZ'!AE$434)</f>
        <v>36711.88150827129</v>
      </c>
      <c r="O89" s="46">
        <f>N$89*'Population Treasury'!AG$139*'Statistics NZ'!AG$434/('Population Treasury'!AF$139*'Statistics NZ'!AF$434)</f>
        <v>36752.503165790557</v>
      </c>
      <c r="P89" s="46">
        <f>O$89*'Population Treasury'!AH$139*'Statistics NZ'!AH$434/('Population Treasury'!AG$139*'Statistics NZ'!AG$434)</f>
        <v>36519.130705044445</v>
      </c>
      <c r="Q89" s="46">
        <f>P$89*'Population Treasury'!AI$139*'Statistics NZ'!AI$434/('Population Treasury'!AH$139*'Statistics NZ'!AH$434)</f>
        <v>36630.785234404597</v>
      </c>
      <c r="R89" s="46">
        <f>Q$89*'Population Treasury'!AJ$139*'Statistics NZ'!AJ$434/('Population Treasury'!AI$139*'Statistics NZ'!AI$434)</f>
        <v>36478.582761371988</v>
      </c>
      <c r="S89" s="46">
        <f>R$89*'Population Treasury'!AK$139*'Statistics NZ'!AK$434/('Population Treasury'!AJ$139*'Statistics NZ'!AJ$434)</f>
        <v>36275.695635955257</v>
      </c>
      <c r="T89" s="46">
        <f>S$89*'Population Treasury'!AL$139*'Statistics NZ'!AL$434/('Population Treasury'!AK$139*'Statistics NZ'!AK$434)</f>
        <v>36093.0080252388</v>
      </c>
      <c r="U89" s="46">
        <f>T$89*'Population Treasury'!AM$139*'Statistics NZ'!AM$434/('Population Treasury'!AL$139*'Statistics NZ'!AL$434)</f>
        <v>36417.6869556366</v>
      </c>
      <c r="V89" s="46">
        <f>U$89*'Population Treasury'!AN$139*'Statistics NZ'!AN$434/('Population Treasury'!AM$139*'Statistics NZ'!AM$434)</f>
        <v>35758.117140354349</v>
      </c>
      <c r="W89" s="46">
        <f>V$89*'Population Treasury'!AO$139*'Statistics NZ'!AO$434/('Population Treasury'!AN$139*'Statistics NZ'!AN$434)</f>
        <v>36367.002195033849</v>
      </c>
      <c r="X89" s="46">
        <f>W$89*'Population Treasury'!AP$139*'Statistics NZ'!AP$434/('Population Treasury'!AO$139*'Statistics NZ'!AO$434)</f>
        <v>35798.739702334678</v>
      </c>
      <c r="Y89" s="46">
        <f>X$89*'Population Treasury'!AQ$139*'Statistics NZ'!AQ$434/('Population Treasury'!AP$139*'Statistics NZ'!AP$434)</f>
        <v>34428.914876446659</v>
      </c>
      <c r="Z89" s="46">
        <f>Y$89*'Population Treasury'!AR$139*'Statistics NZ'!AR$434/('Population Treasury'!AQ$139*'Statistics NZ'!AQ$434)</f>
        <v>34327.472450413123</v>
      </c>
      <c r="AA89" s="46">
        <f>Z$89*'Population Treasury'!AS$139*'Statistics NZ'!AS$434/('Population Treasury'!AR$139*'Statistics NZ'!AR$434)</f>
        <v>34956.556532558228</v>
      </c>
      <c r="AB89" s="46">
        <f>AA$89*'Population Treasury'!AT$139*'Statistics NZ'!AT$434/('Population Treasury'!AS$139*'Statistics NZ'!AS$434)</f>
        <v>35047.939715239023</v>
      </c>
      <c r="AC89" s="46">
        <f>AB$89*'Population Treasury'!AU$139*'Statistics NZ'!AU$434/('Population Treasury'!AT$139*'Statistics NZ'!AT$434)</f>
        <v>35129.032513335529</v>
      </c>
      <c r="AD89" s="46">
        <f>AC$89*'Population Treasury'!AV$139*'Statistics NZ'!AV$434/('Population Treasury'!AU$139*'Statistics NZ'!AU$434)</f>
        <v>35179.79233278249</v>
      </c>
      <c r="AE89" s="46">
        <f>AD$89*'Population Treasury'!AW$139*'Statistics NZ'!AW$434/('Population Treasury'!AV$139*'Statistics NZ'!AV$434)</f>
        <v>35230.475538396408</v>
      </c>
      <c r="AF89" s="46">
        <f>AE$89*'Population Treasury'!AX$139*'Statistics NZ'!AX$434/('Population Treasury'!AW$139*'Statistics NZ'!AW$434)</f>
        <v>35271.175086341565</v>
      </c>
      <c r="AG89" s="46">
        <f>AF$89*'Population Treasury'!AY$139*'Statistics NZ'!AY$434/('Population Treasury'!AX$139*'Statistics NZ'!AX$434)</f>
        <v>35331.995018632726</v>
      </c>
      <c r="AH89" s="46">
        <f>AG$89*'Population Treasury'!AZ$139*'Statistics NZ'!AZ$434/('Population Treasury'!AY$139*'Statistics NZ'!AY$434)</f>
        <v>35413.164697055159</v>
      </c>
      <c r="AI89" s="46">
        <f>AH$89*'Population Treasury'!BA$139*'Statistics NZ'!BA$434/('Population Treasury'!AZ$139*'Statistics NZ'!AZ$434)</f>
        <v>35514.683746786017</v>
      </c>
      <c r="AJ89" s="46">
        <f>AI$89*'Population Treasury'!BB$139*'Statistics NZ'!BB$434/('Population Treasury'!BA$139*'Statistics NZ'!BA$434)</f>
        <v>35646.537060479794</v>
      </c>
      <c r="AK89" s="46">
        <f>AJ$89*'Population Treasury'!BC$139*'Statistics NZ'!BC$434/('Population Treasury'!BB$139*'Statistics NZ'!BB$434)</f>
        <v>35819.013310261878</v>
      </c>
      <c r="AL89" s="46">
        <f>AK$89*'Population Treasury'!BD$139*'Statistics NZ'!BD$434/('Population Treasury'!BC$139*'Statistics NZ'!BC$434)</f>
        <v>36021.975183609589</v>
      </c>
      <c r="AM89" s="46">
        <f>AL$89*'Population Treasury'!BE$139*'Statistics NZ'!BE$434/('Population Treasury'!BD$139*'Statistics NZ'!BD$434)</f>
        <v>36255.273068250426</v>
      </c>
      <c r="AN89" s="46">
        <f>AM$89*'Population Treasury'!BF$139*'Statistics NZ'!BF$434/('Population Treasury'!BE$139*'Statistics NZ'!BE$434)</f>
        <v>36498.856723807468</v>
      </c>
      <c r="AO89" s="46">
        <f>AN$89*'Population Treasury'!BG$139*'Statistics NZ'!BG$434/('Population Treasury'!BF$139*'Statistics NZ'!BF$434)</f>
        <v>36762.713582082288</v>
      </c>
      <c r="AP89" s="46">
        <f>AO$89*'Population Treasury'!BH$139*'Statistics NZ'!BH$434/('Population Treasury'!BG$139*'Statistics NZ'!BG$434)</f>
        <v>37036.634098472859</v>
      </c>
      <c r="AQ89" s="46">
        <f>AP$89*'Population Treasury'!BI$139*'Statistics NZ'!BI$434/('Population Treasury'!BH$139*'Statistics NZ'!BH$434)</f>
        <v>37290.280771144753</v>
      </c>
    </row>
    <row r="90" spans="1:43" x14ac:dyDescent="0.25">
      <c r="A90" s="11">
        <f>$A$20</f>
        <v>25</v>
      </c>
      <c r="B90" s="45">
        <f>'Population Treasury'!T$140*'Statistics NZ'!T$435*'Economic Forecasts'!V$8/B$7</f>
        <v>30589.091856338124</v>
      </c>
      <c r="C90" s="45">
        <f>'Population Treasury'!U$140*'Statistics NZ'!U$435*'Economic Forecasts'!W$8/C$7</f>
        <v>31085.23588607549</v>
      </c>
      <c r="D90" s="45">
        <f>'Population Treasury'!V$140*'Statistics NZ'!V$435*'Economic Forecasts'!X$8/D$7</f>
        <v>30750.720658469963</v>
      </c>
      <c r="E90" s="45">
        <f>'Population Treasury'!W$140*'Statistics NZ'!W$435*'Economic Forecasts'!Y$8/E$7</f>
        <v>30155.946371884089</v>
      </c>
      <c r="F90" s="45">
        <f>'Population Treasury'!X$140*'Statistics NZ'!X$435*'Economic Forecasts'!Z$8/F$7</f>
        <v>30873.381755486411</v>
      </c>
      <c r="G90" s="45">
        <f>'Population Treasury'!Y$140*'Statistics NZ'!Y$435*'Economic Forecasts'!AA$8/G$7</f>
        <v>31824.719559230653</v>
      </c>
      <c r="H90" s="46">
        <f>G$90*'Population Treasury'!Z$140*'Statistics NZ'!Z$435/('Population Treasury'!Y$140*'Statistics NZ'!Y$435)</f>
        <v>32180.580614254337</v>
      </c>
      <c r="I90" s="46">
        <f>H$90*'Population Treasury'!AA$140*'Statistics NZ'!AA$435/('Population Treasury'!Z$140*'Statistics NZ'!Z$435)</f>
        <v>33025.198113005543</v>
      </c>
      <c r="J90" s="46">
        <f>I$90*'Population Treasury'!AB$140*'Statistics NZ'!AB$435/('Population Treasury'!AA$140*'Statistics NZ'!AA$435)</f>
        <v>35577.929836192583</v>
      </c>
      <c r="K90" s="46">
        <f>J$90*'Population Treasury'!AC$140*'Statistics NZ'!AC$435/('Population Treasury'!AB$140*'Statistics NZ'!AB$435)</f>
        <v>37201.342447548785</v>
      </c>
      <c r="L90" s="46">
        <f>K$90*'Population Treasury'!AD$140*'Statistics NZ'!AD$435/('Population Treasury'!AC$140*'Statistics NZ'!AC$435)</f>
        <v>37353.564388670282</v>
      </c>
      <c r="M90" s="46">
        <f>L$90*'Population Treasury'!AE$140*'Statistics NZ'!AE$435/('Population Treasury'!AD$140*'Statistics NZ'!AD$435)</f>
        <v>37901.498479050977</v>
      </c>
      <c r="N90" s="46">
        <f>M$90*'Population Treasury'!AF$140*'Statistics NZ'!AF$435/('Population Treasury'!AE$140*'Statistics NZ'!AE$435)</f>
        <v>37891.357426040842</v>
      </c>
      <c r="O90" s="46">
        <f>N$90*'Population Treasury'!AG$140*'Statistics NZ'!AG$435/('Population Treasury'!AF$140*'Statistics NZ'!AF$435)</f>
        <v>37860.881405360073</v>
      </c>
      <c r="P90" s="46">
        <f>O$90*'Population Treasury'!AH$140*'Statistics NZ'!AH$435/('Population Treasury'!AG$140*'Statistics NZ'!AG$435)</f>
        <v>37911.639534742229</v>
      </c>
      <c r="Q90" s="46">
        <f>P$90*'Population Treasury'!AI$140*'Statistics NZ'!AI$435/('Population Treasury'!AH$140*'Statistics NZ'!AH$435)</f>
        <v>37668.148725773273</v>
      </c>
      <c r="R90" s="46">
        <f>Q$90*'Population Treasury'!AJ$140*'Statistics NZ'!AJ$435/('Population Treasury'!AI$140*'Statistics NZ'!AI$435)</f>
        <v>37799.982151824763</v>
      </c>
      <c r="S90" s="46">
        <f>R$90*'Population Treasury'!AK$140*'Statistics NZ'!AK$435/('Population Treasury'!AJ$140*'Statistics NZ'!AJ$435)</f>
        <v>37637.672511148186</v>
      </c>
      <c r="T90" s="46">
        <f>S$90*'Population Treasury'!AL$140*'Statistics NZ'!AL$435/('Population Treasury'!AK$140*'Statistics NZ'!AK$435)</f>
        <v>37444.886770617559</v>
      </c>
      <c r="U90" s="46">
        <f>T$90*'Population Treasury'!AM$140*'Statistics NZ'!AM$435/('Population Treasury'!AL$140*'Statistics NZ'!AL$435)</f>
        <v>37262.241993072763</v>
      </c>
      <c r="V90" s="46">
        <f>U$90*'Population Treasury'!AN$140*'Statistics NZ'!AN$435/('Population Treasury'!AM$140*'Statistics NZ'!AM$435)</f>
        <v>37586.967452412995</v>
      </c>
      <c r="W90" s="46">
        <f>V$90*'Population Treasury'!AO$140*'Statistics NZ'!AO$435/('Population Treasury'!AN$140*'Statistics NZ'!AN$435)</f>
        <v>36917.288325441172</v>
      </c>
      <c r="X90" s="46">
        <f>W$90*'Population Treasury'!AP$140*'Statistics NZ'!AP$435/('Population Treasury'!AO$140*'Statistics NZ'!AO$435)</f>
        <v>37546.403454503343</v>
      </c>
      <c r="Y90" s="46">
        <f>X$90*'Population Treasury'!AQ$140*'Statistics NZ'!AQ$435/('Population Treasury'!AP$140*'Statistics NZ'!AP$435)</f>
        <v>36967.992881299389</v>
      </c>
      <c r="Z90" s="46">
        <f>Y$90*'Population Treasury'!AR$140*'Statistics NZ'!AR$435/('Population Treasury'!AQ$140*'Statistics NZ'!AQ$435)</f>
        <v>35567.789146506911</v>
      </c>
      <c r="AA90" s="46">
        <f>Z$90*'Population Treasury'!AS$140*'Statistics NZ'!AS$435/('Population Treasury'!AR$140*'Statistics NZ'!AR$435)</f>
        <v>35466.326016695559</v>
      </c>
      <c r="AB90" s="46">
        <f>AA$90*'Population Treasury'!AT$140*'Statistics NZ'!AT$435/('Population Treasury'!AS$140*'Statistics NZ'!AS$435)</f>
        <v>36115.668175003862</v>
      </c>
      <c r="AC90" s="46">
        <f>AB$90*'Population Treasury'!AU$140*'Statistics NZ'!AU$435/('Population Treasury'!AT$140*'Statistics NZ'!AT$435)</f>
        <v>36217.186735854906</v>
      </c>
      <c r="AD90" s="46">
        <f>AC$90*'Population Treasury'!AV$140*'Statistics NZ'!AV$435/('Population Treasury'!AU$140*'Statistics NZ'!AU$435)</f>
        <v>36298.313156097029</v>
      </c>
      <c r="AE90" s="46">
        <f>AD$90*'Population Treasury'!AW$140*'Statistics NZ'!AW$435/('Population Treasury'!AV$140*'Statistics NZ'!AV$435)</f>
        <v>36359.213153723955</v>
      </c>
      <c r="AF90" s="46">
        <f>AE$90*'Population Treasury'!AX$140*'Statistics NZ'!AX$435/('Population Treasury'!AW$140*'Statistics NZ'!AW$435)</f>
        <v>36409.917286821161</v>
      </c>
      <c r="AG90" s="46">
        <f>AF$90*'Population Treasury'!AY$140*'Statistics NZ'!AY$435/('Population Treasury'!AX$140*'Statistics NZ'!AX$435)</f>
        <v>36460.676401339006</v>
      </c>
      <c r="AH90" s="46">
        <f>AG$90*'Population Treasury'!AZ$140*'Statistics NZ'!AZ$435/('Population Treasury'!AY$140*'Statistics NZ'!AY$435)</f>
        <v>36521.576277581633</v>
      </c>
      <c r="AI90" s="46">
        <f>AH$90*'Population Treasury'!BA$140*'Statistics NZ'!BA$435/('Population Treasury'!AZ$140*'Statistics NZ'!AZ$435)</f>
        <v>36612.843964622676</v>
      </c>
      <c r="AJ90" s="46">
        <f>AI$90*'Population Treasury'!BB$140*'Statistics NZ'!BB$435/('Population Treasury'!BA$140*'Statistics NZ'!BA$435)</f>
        <v>36714.361848910405</v>
      </c>
      <c r="AK90" s="46">
        <f>AJ$90*'Population Treasury'!BC$140*'Statistics NZ'!BC$435/('Population Treasury'!BB$140*'Statistics NZ'!BB$435)</f>
        <v>36856.38865293561</v>
      </c>
      <c r="AL90" s="46">
        <f>AK$90*'Population Treasury'!BD$140*'Statistics NZ'!BD$435/('Population Treasury'!BC$140*'Statistics NZ'!BC$435)</f>
        <v>37039.033434244433</v>
      </c>
      <c r="AM90" s="46">
        <f>AL$90*'Population Treasury'!BE$140*'Statistics NZ'!BE$435/('Population Treasury'!BD$140*'Statistics NZ'!BD$435)</f>
        <v>37242.013811481935</v>
      </c>
      <c r="AN90" s="46">
        <f>AM$90*'Population Treasury'!BF$140*'Statistics NZ'!BF$435/('Population Treasury'!BE$140*'Statistics NZ'!BE$435)</f>
        <v>37485.504158850257</v>
      </c>
      <c r="AO90" s="46">
        <f>AN$90*'Population Treasury'!BG$140*'Statistics NZ'!BG$435/('Population Treasury'!BF$140*'Statistics NZ'!BF$435)</f>
        <v>37739.188939002517</v>
      </c>
      <c r="AP90" s="46">
        <f>AO$90*'Population Treasury'!BH$140*'Statistics NZ'!BH$435/('Population Treasury'!BG$140*'Statistics NZ'!BG$435)</f>
        <v>38023.243994376557</v>
      </c>
      <c r="AQ90" s="46">
        <f>AP$90*'Population Treasury'!BI$140*'Statistics NZ'!BI$435/('Population Treasury'!BH$140*'Statistics NZ'!BH$435)</f>
        <v>38297.210936522548</v>
      </c>
    </row>
    <row r="91" spans="1:43" x14ac:dyDescent="0.25">
      <c r="A91" s="11">
        <f>$A$21</f>
        <v>26</v>
      </c>
      <c r="B91" s="45">
        <f>'Population Treasury'!T$141*'Statistics NZ'!T$436*'Economic Forecasts'!V$8/B$7</f>
        <v>31957.708964214777</v>
      </c>
      <c r="C91" s="45">
        <f>'Population Treasury'!U$141*'Statistics NZ'!U$436*'Economic Forecasts'!W$8/C$7</f>
        <v>30927.995493972205</v>
      </c>
      <c r="D91" s="45">
        <f>'Population Treasury'!V$141*'Statistics NZ'!V$436*'Economic Forecasts'!X$8/D$7</f>
        <v>31833.857174364795</v>
      </c>
      <c r="E91" s="45">
        <f>'Population Treasury'!W$141*'Statistics NZ'!W$436*'Economic Forecasts'!Y$8/E$7</f>
        <v>31574.457052044709</v>
      </c>
      <c r="F91" s="45">
        <f>'Population Treasury'!X$141*'Statistics NZ'!X$436*'Economic Forecasts'!Z$8/F$7</f>
        <v>30954.320986029721</v>
      </c>
      <c r="G91" s="45">
        <f>'Population Treasury'!Y$141*'Statistics NZ'!Y$436*'Economic Forecasts'!AA$8/G$7</f>
        <v>31664.411793462103</v>
      </c>
      <c r="H91" s="46">
        <f>G$91*'Population Treasury'!Z$141*'Statistics NZ'!Z$436/('Population Treasury'!Y$141*'Statistics NZ'!Y$436)</f>
        <v>32599.0246121983</v>
      </c>
      <c r="I91" s="46">
        <f>H$91*'Population Treasury'!AA$141*'Statistics NZ'!AA$436/('Population Treasury'!Z$141*'Statistics NZ'!Z$436)</f>
        <v>32956.855714202553</v>
      </c>
      <c r="J91" s="46">
        <f>I$91*'Population Treasury'!AB$141*'Statistics NZ'!AB$436/('Population Treasury'!AA$141*'Statistics NZ'!AA$436)</f>
        <v>33805.003870802917</v>
      </c>
      <c r="K91" s="46">
        <f>J$91*'Population Treasury'!AC$141*'Statistics NZ'!AC$436/('Population Treasury'!AB$141*'Statistics NZ'!AB$436)</f>
        <v>36402.518576224909</v>
      </c>
      <c r="L91" s="46">
        <f>K$91*'Population Treasury'!AD$141*'Statistics NZ'!AD$436/('Population Treasury'!AC$141*'Statistics NZ'!AC$436)</f>
        <v>38046.316739359725</v>
      </c>
      <c r="M91" s="46">
        <f>L$91*'Population Treasury'!AE$141*'Statistics NZ'!AE$436/('Population Treasury'!AD$141*'Statistics NZ'!AD$436)</f>
        <v>38218.783664544579</v>
      </c>
      <c r="N91" s="46">
        <f>M$91*'Population Treasury'!AF$141*'Statistics NZ'!AF$436/('Population Treasury'!AE$141*'Statistics NZ'!AE$436)</f>
        <v>38766.715826704843</v>
      </c>
      <c r="O91" s="46">
        <f>N$91*'Population Treasury'!AG$141*'Statistics NZ'!AG$436/('Population Treasury'!AF$141*'Statistics NZ'!AF$436)</f>
        <v>38766.715826704843</v>
      </c>
      <c r="P91" s="46">
        <f>O$91*'Population Treasury'!AH$141*'Statistics NZ'!AH$436/('Population Treasury'!AG$141*'Statistics NZ'!AG$436)</f>
        <v>38736.289573393653</v>
      </c>
      <c r="Q91" s="46">
        <f>P$91*'Population Treasury'!AI$141*'Statistics NZ'!AI$436/('Population Treasury'!AH$141*'Statistics NZ'!AH$436)</f>
        <v>38787.000006433642</v>
      </c>
      <c r="R91" s="46">
        <f>Q$91*'Population Treasury'!AJ$141*'Statistics NZ'!AJ$436/('Population Treasury'!AI$141*'Statistics NZ'!AI$436)</f>
        <v>38553.628249966008</v>
      </c>
      <c r="S91" s="46">
        <f>R$91*'Population Treasury'!AK$141*'Statistics NZ'!AK$436/('Population Treasury'!AJ$141*'Statistics NZ'!AJ$436)</f>
        <v>38685.527247410653</v>
      </c>
      <c r="T91" s="46">
        <f>S$91*'Population Treasury'!AL$141*'Statistics NZ'!AL$436/('Population Treasury'!AK$141*'Statistics NZ'!AK$436)</f>
        <v>38523.202065900303</v>
      </c>
      <c r="U91" s="46">
        <f>T$91*'Population Treasury'!AM$141*'Statistics NZ'!AM$436/('Population Treasury'!AL$141*'Statistics NZ'!AL$436)</f>
        <v>38330.398538105837</v>
      </c>
      <c r="V91" s="46">
        <f>U$91*'Population Treasury'!AN$141*'Statistics NZ'!AN$436/('Population Treasury'!AM$141*'Statistics NZ'!AM$436)</f>
        <v>38147.789535254451</v>
      </c>
      <c r="W91" s="46">
        <f>V$91*'Population Treasury'!AO$141*'Statistics NZ'!AO$436/('Population Treasury'!AN$141*'Statistics NZ'!AN$436)</f>
        <v>38492.723687091595</v>
      </c>
      <c r="X91" s="46">
        <f>W$91*'Population Treasury'!AP$141*'Statistics NZ'!AP$436/('Population Treasury'!AO$141*'Statistics NZ'!AO$436)</f>
        <v>37812.891965136405</v>
      </c>
      <c r="Y91" s="46">
        <f>X$91*'Population Treasury'!AQ$141*'Statistics NZ'!AQ$436/('Population Treasury'!AP$141*'Statistics NZ'!AP$436)</f>
        <v>38452.155452915817</v>
      </c>
      <c r="Z91" s="46">
        <f>Y$91*'Population Treasury'!AR$141*'Statistics NZ'!AR$436/('Population Treasury'!AQ$141*'Statistics NZ'!AQ$436)</f>
        <v>37863.655002059364</v>
      </c>
      <c r="AA91" s="46">
        <f>Z$91*'Population Treasury'!AS$141*'Statistics NZ'!AS$436/('Population Treasury'!AR$141*'Statistics NZ'!AR$436)</f>
        <v>36453.282752343133</v>
      </c>
      <c r="AB91" s="46">
        <f>AA$91*'Population Treasury'!AT$141*'Statistics NZ'!AT$436/('Population Treasury'!AS$141*'Statistics NZ'!AS$436)</f>
        <v>36351.809592087462</v>
      </c>
      <c r="AC91" s="46">
        <f>AB$91*'Population Treasury'!AU$141*'Statistics NZ'!AU$436/('Population Treasury'!AT$141*'Statistics NZ'!AT$436)</f>
        <v>37011.357310343366</v>
      </c>
      <c r="AD91" s="46">
        <f>AC$91*'Population Treasury'!AV$141*'Statistics NZ'!AV$436/('Population Treasury'!AU$141*'Statistics NZ'!AU$436)</f>
        <v>37122.918049270331</v>
      </c>
      <c r="AE91" s="46">
        <f>AD$91*'Population Treasury'!AW$141*'Statistics NZ'!AW$436/('Population Treasury'!AV$141*'Statistics NZ'!AV$436)</f>
        <v>37204.107348484868</v>
      </c>
      <c r="AF91" s="46">
        <f>AE$91*'Population Treasury'!AX$141*'Statistics NZ'!AX$436/('Population Treasury'!AW$141*'Statistics NZ'!AW$436)</f>
        <v>37265.012756417455</v>
      </c>
      <c r="AG91" s="46">
        <f>AF$91*'Population Treasury'!AY$141*'Statistics NZ'!AY$436/('Population Treasury'!AX$141*'Statistics NZ'!AX$436)</f>
        <v>37325.864239022791</v>
      </c>
      <c r="AH91" s="46">
        <f>AG$91*'Population Treasury'!AZ$141*'Statistics NZ'!AZ$436/('Population Treasury'!AY$141*'Statistics NZ'!AY$436)</f>
        <v>37376.627647151625</v>
      </c>
      <c r="AI91" s="46">
        <f>AH$91*'Population Treasury'!BA$141*'Statistics NZ'!BA$436/('Population Treasury'!AZ$141*'Statistics NZ'!AZ$436)</f>
        <v>37447.674809375516</v>
      </c>
      <c r="AJ91" s="46">
        <f>AI$91*'Population Treasury'!BB$141*'Statistics NZ'!BB$436/('Population Treasury'!BA$141*'Statistics NZ'!BA$436)</f>
        <v>37538.952223293039</v>
      </c>
      <c r="AK91" s="46">
        <f>AJ$91*'Population Treasury'!BC$141*'Statistics NZ'!BC$436/('Population Treasury'!BB$141*'Statistics NZ'!BB$436)</f>
        <v>37650.567156490331</v>
      </c>
      <c r="AL91" s="46">
        <f>AK$91*'Population Treasury'!BD$141*'Statistics NZ'!BD$436/('Population Treasury'!BC$141*'Statistics NZ'!BC$436)</f>
        <v>37802.749983016627</v>
      </c>
      <c r="AM91" s="46">
        <f>AL$91*'Population Treasury'!BE$141*'Statistics NZ'!BE$436/('Population Treasury'!BD$141*'Statistics NZ'!BD$436)</f>
        <v>37985.411882409157</v>
      </c>
      <c r="AN91" s="46">
        <f>AM$91*'Population Treasury'!BF$141*'Statistics NZ'!BF$436/('Population Treasury'!BE$141*'Statistics NZ'!BE$436)</f>
        <v>38198.499616423542</v>
      </c>
      <c r="AO91" s="46">
        <f>AN$91*'Population Treasury'!BG$141*'Statistics NZ'!BG$436/('Population Treasury'!BF$141*'Statistics NZ'!BF$436)</f>
        <v>38442.013399878932</v>
      </c>
      <c r="AP91" s="46">
        <f>AO$91*'Population Treasury'!BH$141*'Statistics NZ'!BH$436/('Population Treasury'!BG$141*'Statistics NZ'!BG$436)</f>
        <v>38715.953502155673</v>
      </c>
      <c r="AQ91" s="46">
        <f>AP$91*'Population Treasury'!BI$141*'Statistics NZ'!BI$436/('Population Treasury'!BH$141*'Statistics NZ'!BH$436)</f>
        <v>38989.945421724384</v>
      </c>
    </row>
    <row r="92" spans="1:43" x14ac:dyDescent="0.25">
      <c r="A92" s="11">
        <f>$A$22</f>
        <v>27</v>
      </c>
      <c r="B92" s="45">
        <f>'Population Treasury'!T$142*'Statistics NZ'!T$437*'Economic Forecasts'!V$8/B$7</f>
        <v>32746.911530070665</v>
      </c>
      <c r="C92" s="45">
        <f>'Population Treasury'!U$142*'Statistics NZ'!U$437*'Economic Forecasts'!W$8/C$7</f>
        <v>32185.380341315529</v>
      </c>
      <c r="D92" s="45">
        <f>'Population Treasury'!V$142*'Statistics NZ'!V$437*'Economic Forecasts'!X$8/D$7</f>
        <v>31556.668703397143</v>
      </c>
      <c r="E92" s="45">
        <f>'Population Treasury'!W$142*'Statistics NZ'!W$437*'Economic Forecasts'!Y$8/E$7</f>
        <v>32563.39842665875</v>
      </c>
      <c r="F92" s="45">
        <f>'Population Treasury'!X$142*'Statistics NZ'!X$437*'Economic Forecasts'!Z$8/F$7</f>
        <v>32288.22385387016</v>
      </c>
      <c r="G92" s="45">
        <f>'Population Treasury'!Y$142*'Statistics NZ'!Y$437*'Economic Forecasts'!AA$8/G$7</f>
        <v>31634.628182416716</v>
      </c>
      <c r="H92" s="46">
        <f>G$92*'Population Treasury'!Z$142*'Statistics NZ'!Z$437/('Population Treasury'!Y$142*'Statistics NZ'!Y$437)</f>
        <v>32305.738787436298</v>
      </c>
      <c r="I92" s="46">
        <f>H$92*'Population Treasury'!AA$142*'Statistics NZ'!AA$437/('Population Treasury'!Z$142*'Statistics NZ'!Z$437)</f>
        <v>33252.151144150273</v>
      </c>
      <c r="J92" s="46">
        <f>I$92*'Population Treasury'!AB$142*'Statistics NZ'!AB$437/('Population Treasury'!AA$142*'Statistics NZ'!AA$437)</f>
        <v>33613.305085201493</v>
      </c>
      <c r="K92" s="46">
        <f>J$92*'Population Treasury'!AC$142*'Statistics NZ'!AC$437/('Population Treasury'!AB$142*'Statistics NZ'!AB$437)</f>
        <v>34465.660946587246</v>
      </c>
      <c r="L92" s="46">
        <f>K$92*'Population Treasury'!AD$142*'Statistics NZ'!AD$437/('Population Treasury'!AC$142*'Statistics NZ'!AC$437)</f>
        <v>37093.660482374653</v>
      </c>
      <c r="M92" s="46">
        <f>L$92*'Population Treasury'!AE$142*'Statistics NZ'!AE$437/('Population Treasury'!AD$142*'Statistics NZ'!AD$437)</f>
        <v>38757.685616407362</v>
      </c>
      <c r="N92" s="46">
        <f>M$92*'Population Treasury'!AF$142*'Statistics NZ'!AF$437/('Population Treasury'!AE$142*'Statistics NZ'!AE$437)</f>
        <v>38930.163459912234</v>
      </c>
      <c r="O92" s="46">
        <f>N$92*'Population Treasury'!AG$142*'Statistics NZ'!AG$437/('Population Treasury'!AF$142*'Statistics NZ'!AF$437)</f>
        <v>39498.362808394566</v>
      </c>
      <c r="P92" s="46">
        <f>O$92*'Population Treasury'!AH$142*'Statistics NZ'!AH$437/('Population Treasury'!AG$142*'Statistics NZ'!AG$437)</f>
        <v>39498.413999487479</v>
      </c>
      <c r="Q92" s="46">
        <f>P$92*'Population Treasury'!AI$142*'Statistics NZ'!AI$437/('Population Treasury'!AH$142*'Statistics NZ'!AH$437)</f>
        <v>39467.93452921055</v>
      </c>
      <c r="R92" s="46">
        <f>Q$92*'Population Treasury'!AJ$142*'Statistics NZ'!AJ$437/('Population Treasury'!AI$142*'Statistics NZ'!AI$437)</f>
        <v>39528.791104082709</v>
      </c>
      <c r="S92" s="46">
        <f>R$92*'Population Treasury'!AK$142*'Statistics NZ'!AK$437/('Population Treasury'!AJ$142*'Statistics NZ'!AJ$437)</f>
        <v>39295.456485803566</v>
      </c>
      <c r="T92" s="46">
        <f>S$92*'Population Treasury'!AL$142*'Statistics NZ'!AL$437/('Population Treasury'!AK$142*'Statistics NZ'!AK$437)</f>
        <v>39427.363516032718</v>
      </c>
      <c r="U92" s="46">
        <f>T$92*'Population Treasury'!AM$142*'Statistics NZ'!AM$437/('Population Treasury'!AL$142*'Statistics NZ'!AL$437)</f>
        <v>39275.119526929455</v>
      </c>
      <c r="V92" s="46">
        <f>U$92*'Population Treasury'!AN$142*'Statistics NZ'!AN$437/('Population Treasury'!AM$142*'Statistics NZ'!AM$437)</f>
        <v>39072.2650081744</v>
      </c>
      <c r="W92" s="46">
        <f>V$92*'Population Treasury'!AO$142*'Statistics NZ'!AO$437/('Population Treasury'!AN$142*'Statistics NZ'!AN$437)</f>
        <v>38899.735356693709</v>
      </c>
      <c r="X92" s="46">
        <f>W$92*'Population Treasury'!AP$142*'Statistics NZ'!AP$437/('Population Treasury'!AO$142*'Statistics NZ'!AO$437)</f>
        <v>39244.742824548783</v>
      </c>
      <c r="Y92" s="46">
        <f>X$92*'Population Treasury'!AQ$142*'Statistics NZ'!AQ$437/('Population Treasury'!AP$142*'Statistics NZ'!AP$437)</f>
        <v>38554.779923185</v>
      </c>
      <c r="Z92" s="46">
        <f>Y$92*'Population Treasury'!AR$142*'Statistics NZ'!AR$437/('Population Treasury'!AQ$142*'Statistics NZ'!AQ$437)</f>
        <v>39214.263092996291</v>
      </c>
      <c r="AA92" s="46">
        <f>Z$92*'Population Treasury'!AS$142*'Statistics NZ'!AS$437/('Population Treasury'!AR$142*'Statistics NZ'!AR$437)</f>
        <v>38615.63589772032</v>
      </c>
      <c r="AB92" s="46">
        <f>AA$92*'Population Treasury'!AT$142*'Statistics NZ'!AT$437/('Population Treasury'!AS$142*'Statistics NZ'!AS$437)</f>
        <v>37195.139952729252</v>
      </c>
      <c r="AC92" s="46">
        <f>AB$92*'Population Treasury'!AU$142*'Statistics NZ'!AU$437/('Population Treasury'!AT$142*'Statistics NZ'!AT$437)</f>
        <v>37093.660482374653</v>
      </c>
      <c r="AD92" s="46">
        <f>AC$92*'Population Treasury'!AV$142*'Statistics NZ'!AV$437/('Population Treasury'!AU$142*'Statistics NZ'!AU$437)</f>
        <v>37773.42710908952</v>
      </c>
      <c r="AE92" s="46">
        <f>AD$92*'Population Treasury'!AW$142*'Statistics NZ'!AW$437/('Population Treasury'!AV$142*'Statistics NZ'!AV$437)</f>
        <v>37885.049100006596</v>
      </c>
      <c r="AF92" s="46">
        <f>AE$92*'Population Treasury'!AX$142*'Statistics NZ'!AX$437/('Population Treasury'!AW$142*'Statistics NZ'!AW$437)</f>
        <v>37966.243218802294</v>
      </c>
      <c r="AG92" s="46">
        <f>AF$92*'Population Treasury'!AY$142*'Statistics NZ'!AY$437/('Population Treasury'!AX$142*'Statistics NZ'!AX$437)</f>
        <v>38037.294638036161</v>
      </c>
      <c r="AH92" s="46">
        <f>AG$92*'Population Treasury'!AZ$142*'Statistics NZ'!AZ$437/('Population Treasury'!AY$142*'Statistics NZ'!AY$437)</f>
        <v>38098.150302035421</v>
      </c>
      <c r="AI92" s="46">
        <f>AH$92*'Population Treasury'!BA$142*'Statistics NZ'!BA$437/('Population Treasury'!AZ$142*'Statistics NZ'!AZ$437)</f>
        <v>38159.006037043771</v>
      </c>
      <c r="AJ92" s="46">
        <f>AI$92*'Population Treasury'!BB$142*'Statistics NZ'!BB$437/('Population Treasury'!BA$142*'Statistics NZ'!BA$437)</f>
        <v>38230.05737838905</v>
      </c>
      <c r="AK92" s="46">
        <f>AJ$92*'Population Treasury'!BC$142*'Statistics NZ'!BC$437/('Population Treasury'!BB$142*'Statistics NZ'!BB$437)</f>
        <v>38321.393889381281</v>
      </c>
      <c r="AL92" s="46">
        <f>AK$92*'Population Treasury'!BD$142*'Statistics NZ'!BD$437/('Population Treasury'!BC$142*'Statistics NZ'!BC$437)</f>
        <v>38443.158250584485</v>
      </c>
      <c r="AM92" s="46">
        <f>AL$92*'Population Treasury'!BE$142*'Statistics NZ'!BE$437/('Population Treasury'!BD$142*'Statistics NZ'!BD$437)</f>
        <v>38595.350565176108</v>
      </c>
      <c r="AN92" s="46">
        <f>AM$92*'Population Treasury'!BF$142*'Statistics NZ'!BF$437/('Population Treasury'!BE$142*'Statistics NZ'!BE$437)</f>
        <v>38788.113674798049</v>
      </c>
      <c r="AO92" s="46">
        <f>AN$92*'Population Treasury'!BG$142*'Statistics NZ'!BG$437/('Population Treasury'!BF$142*'Statistics NZ'!BF$437)</f>
        <v>39011.305151490997</v>
      </c>
      <c r="AP92" s="46">
        <f>AO$92*'Population Treasury'!BH$142*'Statistics NZ'!BH$437/('Population Treasury'!BG$142*'Statistics NZ'!BG$437)</f>
        <v>39254.885553081345</v>
      </c>
      <c r="AQ92" s="46">
        <f>AP$92*'Population Treasury'!BI$142*'Statistics NZ'!BI$437/('Population Treasury'!BH$142*'Statistics NZ'!BH$437)</f>
        <v>39528.842261469486</v>
      </c>
    </row>
    <row r="93" spans="1:43" x14ac:dyDescent="0.25">
      <c r="A93" s="11">
        <f>$A$23</f>
        <v>28</v>
      </c>
      <c r="B93" s="45">
        <f>'Population Treasury'!T$143*'Statistics NZ'!T$438*'Economic Forecasts'!V$8/B$7</f>
        <v>34654.983556380452</v>
      </c>
      <c r="C93" s="45">
        <f>'Population Treasury'!U$143*'Statistics NZ'!U$438*'Economic Forecasts'!W$8/C$7</f>
        <v>32888.297428978112</v>
      </c>
      <c r="D93" s="45">
        <f>'Population Treasury'!V$143*'Statistics NZ'!V$438*'Economic Forecasts'!X$8/D$7</f>
        <v>32738.349120407955</v>
      </c>
      <c r="E93" s="45">
        <f>'Population Treasury'!W$143*'Statistics NZ'!W$438*'Economic Forecasts'!Y$8/E$7</f>
        <v>32194.387353876322</v>
      </c>
      <c r="F93" s="45">
        <f>'Population Treasury'!X$143*'Statistics NZ'!X$438*'Economic Forecasts'!Z$8/F$7</f>
        <v>33190.79130360829</v>
      </c>
      <c r="G93" s="45">
        <f>'Population Treasury'!Y$143*'Statistics NZ'!Y$438*'Economic Forecasts'!AA$8/G$7</f>
        <v>32891.602139210481</v>
      </c>
      <c r="H93" s="46">
        <f>G$93*'Population Treasury'!Z$143*'Statistics NZ'!Z$438/('Population Treasury'!Y$143*'Statistics NZ'!Y$438)</f>
        <v>32182.817424320601</v>
      </c>
      <c r="I93" s="46">
        <f>H$93*'Population Treasury'!AA$143*'Statistics NZ'!AA$438/('Population Treasury'!Z$143*'Statistics NZ'!Z$438)</f>
        <v>32855.445765076147</v>
      </c>
      <c r="J93" s="46">
        <f>I$93*'Population Treasury'!AB$143*'Statistics NZ'!AB$438/('Population Treasury'!AA$143*'Statistics NZ'!AA$438)</f>
        <v>33805.149193300538</v>
      </c>
      <c r="K93" s="46">
        <f>J$93*'Population Treasury'!AC$143*'Statistics NZ'!AC$438/('Population Treasury'!AB$143*'Statistics NZ'!AB$438)</f>
        <v>34160.317159884718</v>
      </c>
      <c r="L93" s="46">
        <f>K$93*'Population Treasury'!AD$143*'Statistics NZ'!AD$438/('Population Treasury'!AC$143*'Statistics NZ'!AC$438)</f>
        <v>35022.786464755656</v>
      </c>
      <c r="M93" s="46">
        <f>L$93*'Population Treasury'!AE$143*'Statistics NZ'!AE$438/('Population Treasury'!AD$143*'Statistics NZ'!AD$438)</f>
        <v>37670.99195604027</v>
      </c>
      <c r="N93" s="46">
        <f>M$93*'Population Treasury'!AF$143*'Statistics NZ'!AF$438/('Population Treasury'!AE$143*'Statistics NZ'!AE$438)</f>
        <v>39345.217276564639</v>
      </c>
      <c r="O93" s="46">
        <f>N$93*'Population Treasury'!AG$143*'Statistics NZ'!AG$438/('Population Treasury'!AF$143*'Statistics NZ'!AF$438)</f>
        <v>39517.754370368508</v>
      </c>
      <c r="P93" s="46">
        <f>O$93*'Population Treasury'!AH$143*'Statistics NZ'!AH$438/('Population Treasury'!AG$143*'Statistics NZ'!AG$438)</f>
        <v>40096.060717977693</v>
      </c>
      <c r="Q93" s="46">
        <f>P$93*'Population Treasury'!AI$143*'Statistics NZ'!AI$438/('Population Treasury'!AH$143*'Statistics NZ'!AH$438)</f>
        <v>40096.114038893742</v>
      </c>
      <c r="R93" s="46">
        <f>Q$93*'Population Treasury'!AJ$143*'Statistics NZ'!AJ$438/('Population Treasury'!AI$143*'Statistics NZ'!AI$438)</f>
        <v>40075.774859396202</v>
      </c>
      <c r="S93" s="46">
        <f>R$93*'Population Treasury'!AK$143*'Statistics NZ'!AK$438/('Population Treasury'!AJ$143*'Statistics NZ'!AJ$438)</f>
        <v>40136.632455977204</v>
      </c>
      <c r="T93" s="46">
        <f>S$93*'Population Treasury'!AL$143*'Statistics NZ'!AL$438/('Population Treasury'!AK$143*'Statistics NZ'!AK$438)</f>
        <v>39903.291774366386</v>
      </c>
      <c r="U93" s="46">
        <f>T$93*'Population Treasury'!AM$143*'Statistics NZ'!AM$438/('Population Treasury'!AL$143*'Statistics NZ'!AL$438)</f>
        <v>40035.203163118837</v>
      </c>
      <c r="V93" s="46">
        <f>U$93*'Population Treasury'!AN$143*'Statistics NZ'!AN$438/('Population Treasury'!AM$143*'Statistics NZ'!AM$438)</f>
        <v>39883.005958707356</v>
      </c>
      <c r="W93" s="46">
        <f>V$93*'Population Treasury'!AO$143*'Statistics NZ'!AO$438/('Population Treasury'!AN$143*'Statistics NZ'!AN$438)</f>
        <v>39690.237218812363</v>
      </c>
      <c r="X93" s="46">
        <f>W$93*'Population Treasury'!AP$143*'Statistics NZ'!AP$438/('Population Treasury'!AO$143*'Statistics NZ'!AO$438)</f>
        <v>39517.700272277718</v>
      </c>
      <c r="Y93" s="46">
        <f>X$93*'Population Treasury'!AQ$143*'Statistics NZ'!AQ$438/('Population Treasury'!AP$143*'Statistics NZ'!AP$438)</f>
        <v>39872.809423720108</v>
      </c>
      <c r="Z93" s="46">
        <f>Y$93*'Population Treasury'!AR$143*'Statistics NZ'!AR$438/('Population Treasury'!AQ$143*'Statistics NZ'!AQ$438)</f>
        <v>39182.87720566558</v>
      </c>
      <c r="AA93" s="46">
        <f>Z$93*'Population Treasury'!AS$143*'Statistics NZ'!AS$438/('Population Treasury'!AR$143*'Statistics NZ'!AR$438)</f>
        <v>39852.523594975544</v>
      </c>
      <c r="AB93" s="46">
        <f>AA$93*'Population Treasury'!AT$143*'Statistics NZ'!AT$438/('Population Treasury'!AS$143*'Statistics NZ'!AS$438)</f>
        <v>39253.877149221393</v>
      </c>
      <c r="AC93" s="46">
        <f>AB$93*'Population Treasury'!AU$143*'Statistics NZ'!AU$438/('Population Treasury'!AT$143*'Statistics NZ'!AT$438)</f>
        <v>37823.245757322824</v>
      </c>
      <c r="AD93" s="46">
        <f>AC$93*'Population Treasury'!AV$143*'Statistics NZ'!AV$438/('Population Treasury'!AU$143*'Statistics NZ'!AU$438)</f>
        <v>37731.904863032687</v>
      </c>
      <c r="AE93" s="46">
        <f>AD$93*'Population Treasury'!AW$143*'Statistics NZ'!AW$438/('Population Treasury'!AV$143*'Statistics NZ'!AV$438)</f>
        <v>38401.60586547594</v>
      </c>
      <c r="AF93" s="46">
        <f>AE$93*'Population Treasury'!AX$143*'Statistics NZ'!AX$438/('Population Treasury'!AW$143*'Statistics NZ'!AW$438)</f>
        <v>38523.374638154462</v>
      </c>
      <c r="AG93" s="46">
        <f>AF$93*'Population Treasury'!AY$143*'Statistics NZ'!AY$438/('Population Treasury'!AX$143*'Statistics NZ'!AX$438)</f>
        <v>38614.6596628474</v>
      </c>
      <c r="AH93" s="46">
        <f>AG$93*'Population Treasury'!AZ$143*'Statistics NZ'!AZ$438/('Population Treasury'!AY$143*'Statistics NZ'!AY$438)</f>
        <v>38685.714494768756</v>
      </c>
      <c r="AI93" s="46">
        <f>AH$93*'Population Treasury'!BA$143*'Statistics NZ'!BA$438/('Population Treasury'!AZ$143*'Statistics NZ'!AZ$438)</f>
        <v>38746.57126535815</v>
      </c>
      <c r="AJ93" s="46">
        <f>AI$93*'Population Treasury'!BB$143*'Statistics NZ'!BB$438/('Population Treasury'!BA$143*'Statistics NZ'!BA$438)</f>
        <v>38817.570915688513</v>
      </c>
      <c r="AK93" s="46">
        <f>AJ$93*'Population Treasury'!BC$143*'Statistics NZ'!BC$438/('Population Treasury'!BB$143*'Statistics NZ'!BB$438)</f>
        <v>38888.625643623192</v>
      </c>
      <c r="AL93" s="46">
        <f>AK$93*'Population Treasury'!BD$143*'Statistics NZ'!BD$438/('Population Treasury'!BC$143*'Statistics NZ'!BC$438)</f>
        <v>38990.053877640159</v>
      </c>
      <c r="AM93" s="46">
        <f>AL$93*'Population Treasury'!BE$143*'Statistics NZ'!BE$438/('Population Treasury'!BD$143*'Statistics NZ'!BD$438)</f>
        <v>39111.822689050998</v>
      </c>
      <c r="AN93" s="46">
        <f>AM$93*'Population Treasury'!BF$143*'Statistics NZ'!BF$438/('Population Treasury'!BE$143*'Statistics NZ'!BE$438)</f>
        <v>39264.074458131377</v>
      </c>
      <c r="AO93" s="46">
        <f>AN$93*'Population Treasury'!BG$143*'Statistics NZ'!BG$438/('Population Treasury'!BF$143*'Statistics NZ'!BF$438)</f>
        <v>39456.843036557679</v>
      </c>
      <c r="AP93" s="46">
        <f>AO$93*'Population Treasury'!BH$143*'Statistics NZ'!BH$438/('Population Treasury'!BG$143*'Statistics NZ'!BG$438)</f>
        <v>39690.183349928717</v>
      </c>
      <c r="AQ93" s="46">
        <f>AP$93*'Population Treasury'!BI$143*'Statistics NZ'!BI$438/('Population Treasury'!BH$143*'Statistics NZ'!BH$438)</f>
        <v>39943.863426741089</v>
      </c>
    </row>
    <row r="94" spans="1:43" x14ac:dyDescent="0.25">
      <c r="A94" s="11">
        <f>$A$24</f>
        <v>29</v>
      </c>
      <c r="B94" s="45">
        <f>'Population Treasury'!T$144*'Statistics NZ'!T$439*'Economic Forecasts'!V$8/B$7</f>
        <v>35584.044804793069</v>
      </c>
      <c r="C94" s="45">
        <f>'Population Treasury'!U$144*'Statistics NZ'!U$439*'Economic Forecasts'!W$8/C$7</f>
        <v>34709.052867316052</v>
      </c>
      <c r="D94" s="45">
        <f>'Population Treasury'!V$144*'Statistics NZ'!V$439*'Economic Forecasts'!X$8/D$7</f>
        <v>33363.790725327533</v>
      </c>
      <c r="E94" s="45">
        <f>'Population Treasury'!W$144*'Statistics NZ'!W$439*'Economic Forecasts'!Y$8/E$7</f>
        <v>33312.550418542531</v>
      </c>
      <c r="F94" s="45">
        <f>'Population Treasury'!X$144*'Statistics NZ'!X$439*'Economic Forecasts'!Z$8/F$7</f>
        <v>32749.748415486843</v>
      </c>
      <c r="G94" s="45">
        <f>'Population Treasury'!Y$144*'Statistics NZ'!Y$439*'Economic Forecasts'!AA$8/G$7</f>
        <v>33726.1453580097</v>
      </c>
      <c r="H94" s="46">
        <f>G$94*'Population Treasury'!Z$144*'Statistics NZ'!Z$439/('Population Treasury'!Y$144*'Statistics NZ'!Y$439)</f>
        <v>33362.417241086492</v>
      </c>
      <c r="I94" s="46">
        <f>H$94*'Population Treasury'!AA$144*'Statistics NZ'!AA$439/('Population Treasury'!Z$144*'Statistics NZ'!Z$439)</f>
        <v>32655.004628457005</v>
      </c>
      <c r="J94" s="46">
        <f>I$94*'Population Treasury'!AB$144*'Statistics NZ'!AB$439/('Population Treasury'!AA$144*'Statistics NZ'!AA$439)</f>
        <v>33330.82333666156</v>
      </c>
      <c r="K94" s="46">
        <f>J$94*'Population Treasury'!AC$144*'Statistics NZ'!AC$439/('Population Treasury'!AB$144*'Statistics NZ'!AB$439)</f>
        <v>34274.439967828919</v>
      </c>
      <c r="L94" s="46">
        <f>K$94*'Population Treasury'!AD$144*'Statistics NZ'!AD$439/('Population Treasury'!AC$144*'Statistics NZ'!AC$439)</f>
        <v>34629.612139492172</v>
      </c>
      <c r="M94" s="46">
        <f>L$94*'Population Treasury'!AE$144*'Statistics NZ'!AE$439/('Population Treasury'!AD$144*'Statistics NZ'!AD$439)</f>
        <v>35502.169800237236</v>
      </c>
      <c r="N94" s="46">
        <f>M$94*'Population Treasury'!AF$144*'Statistics NZ'!AF$439/('Population Treasury'!AE$144*'Statistics NZ'!AE$439)</f>
        <v>38150.459105604728</v>
      </c>
      <c r="O94" s="46">
        <f>N$94*'Population Treasury'!AG$144*'Statistics NZ'!AG$439/('Population Treasury'!AF$144*'Statistics NZ'!AF$439)</f>
        <v>39834.785340042494</v>
      </c>
      <c r="P94" s="46">
        <f>O$94*'Population Treasury'!AH$144*'Statistics NZ'!AH$439/('Population Treasury'!AG$144*'Statistics NZ'!AG$439)</f>
        <v>40007.324952415263</v>
      </c>
      <c r="Q94" s="46">
        <f>P$94*'Population Treasury'!AI$144*'Statistics NZ'!AI$439/('Population Treasury'!AH$144*'Statistics NZ'!AH$439)</f>
        <v>40585.689687253536</v>
      </c>
      <c r="R94" s="46">
        <f>Q$94*'Population Treasury'!AJ$144*'Statistics NZ'!AJ$439/('Population Treasury'!AI$144*'Statistics NZ'!AI$439)</f>
        <v>40595.83261085816</v>
      </c>
      <c r="S94" s="46">
        <f>R$94*'Population Treasury'!AK$144*'Statistics NZ'!AK$439/('Population Treasury'!AJ$144*'Statistics NZ'!AJ$439)</f>
        <v>40575.492232141529</v>
      </c>
      <c r="T94" s="46">
        <f>S$94*'Population Treasury'!AL$144*'Statistics NZ'!AL$439/('Population Treasury'!AK$144*'Statistics NZ'!AK$439)</f>
        <v>40636.404322473092</v>
      </c>
      <c r="U94" s="46">
        <f>T$94*'Population Treasury'!AM$144*'Statistics NZ'!AM$439/('Population Treasury'!AL$144*'Statistics NZ'!AL$439)</f>
        <v>40403.062622792262</v>
      </c>
      <c r="V94" s="46">
        <f>U$94*'Population Treasury'!AN$144*'Statistics NZ'!AN$439/('Population Treasury'!AM$144*'Statistics NZ'!AM$439)</f>
        <v>40555.206369860978</v>
      </c>
      <c r="W94" s="46">
        <f>V$94*'Population Treasury'!AO$144*'Statistics NZ'!AO$439/('Population Treasury'!AN$144*'Statistics NZ'!AN$439)</f>
        <v>40403.007861973529</v>
      </c>
      <c r="X94" s="46">
        <f>W$94*'Population Treasury'!AP$144*'Statistics NZ'!AP$439/('Population Treasury'!AO$144*'Statistics NZ'!AO$439)</f>
        <v>40210.237769013933</v>
      </c>
      <c r="Y94" s="46">
        <f>X$94*'Population Treasury'!AQ$144*'Statistics NZ'!AQ$439/('Population Treasury'!AP$144*'Statistics NZ'!AP$439)</f>
        <v>40037.698301835138</v>
      </c>
      <c r="Z94" s="46">
        <f>Y$94*'Population Treasury'!AR$144*'Statistics NZ'!AR$439/('Population Treasury'!AQ$144*'Statistics NZ'!AQ$439)</f>
        <v>40392.864947426948</v>
      </c>
      <c r="AA94" s="46">
        <f>Z$94*'Population Treasury'!AS$144*'Statistics NZ'!AS$439/('Population Treasury'!AR$144*'Statistics NZ'!AR$439)</f>
        <v>39713.015366378495</v>
      </c>
      <c r="AB94" s="46">
        <f>AA$94*'Population Treasury'!AT$144*'Statistics NZ'!AT$439/('Population Treasury'!AS$144*'Statistics NZ'!AS$439)</f>
        <v>40382.66722426976</v>
      </c>
      <c r="AC94" s="46">
        <f>AB$94*'Population Treasury'!AU$144*'Statistics NZ'!AU$439/('Population Treasury'!AT$144*'Statistics NZ'!AT$439)</f>
        <v>39784.071035120498</v>
      </c>
      <c r="AD94" s="46">
        <f>AC$94*'Population Treasury'!AV$144*'Statistics NZ'!AV$439/('Population Treasury'!AU$144*'Statistics NZ'!AU$439)</f>
        <v>38363.51387532556</v>
      </c>
      <c r="AE94" s="46">
        <f>AD$94*'Population Treasury'!AW$144*'Statistics NZ'!AW$439/('Population Treasury'!AV$144*'Statistics NZ'!AV$439)</f>
        <v>38262.086722885673</v>
      </c>
      <c r="AF94" s="46">
        <f>AE$94*'Population Treasury'!AX$144*'Statistics NZ'!AX$439/('Population Treasury'!AW$144*'Statistics NZ'!AW$439)</f>
        <v>38952.022563339684</v>
      </c>
      <c r="AG94" s="46">
        <f>AF$94*'Population Treasury'!AY$144*'Statistics NZ'!AY$439/('Population Treasury'!AX$144*'Statistics NZ'!AX$439)</f>
        <v>39073.79272833711</v>
      </c>
      <c r="AH94" s="46">
        <f>AG$94*'Population Treasury'!AZ$144*'Statistics NZ'!AZ$439/('Population Treasury'!AY$144*'Statistics NZ'!AY$439)</f>
        <v>39165.134430780978</v>
      </c>
      <c r="AI94" s="46">
        <f>AH$94*'Population Treasury'!BA$144*'Statistics NZ'!BA$439/('Population Treasury'!AZ$144*'Statistics NZ'!AZ$439)</f>
        <v>39236.134045992068</v>
      </c>
      <c r="AJ94" s="46">
        <f>AI$94*'Population Treasury'!BB$144*'Statistics NZ'!BB$439/('Population Treasury'!BA$144*'Statistics NZ'!BA$439)</f>
        <v>39307.133751182257</v>
      </c>
      <c r="AK94" s="46">
        <f>AJ$94*'Population Treasury'!BC$144*'Statistics NZ'!BC$439/('Population Treasury'!BB$144*'Statistics NZ'!BB$439)</f>
        <v>39368.103128048526</v>
      </c>
      <c r="AL94" s="46">
        <f>AK$94*'Population Treasury'!BD$144*'Statistics NZ'!BD$439/('Population Treasury'!BC$144*'Statistics NZ'!BC$439)</f>
        <v>39449.245644255592</v>
      </c>
      <c r="AM94" s="46">
        <f>AL$94*'Population Treasury'!BE$144*'Statistics NZ'!BE$439/('Population Treasury'!BD$144*'Statistics NZ'!BD$439)</f>
        <v>39550.673953224476</v>
      </c>
      <c r="AN94" s="46">
        <f>AM$94*'Population Treasury'!BF$144*'Statistics NZ'!BF$439/('Population Treasury'!BE$144*'Statistics NZ'!BE$439)</f>
        <v>39682.58680546422</v>
      </c>
      <c r="AO94" s="46">
        <f>AN$94*'Population Treasury'!BG$144*'Statistics NZ'!BG$439/('Population Treasury'!BF$144*'Statistics NZ'!BF$439)</f>
        <v>39834.785340042494</v>
      </c>
      <c r="AP94" s="46">
        <f>AO$94*'Population Treasury'!BH$144*'Statistics NZ'!BH$439/('Population Treasury'!BG$144*'Statistics NZ'!BG$439)</f>
        <v>40037.698301835153</v>
      </c>
      <c r="AQ94" s="46">
        <f>AP$94*'Population Treasury'!BI$144*'Statistics NZ'!BI$439/('Population Treasury'!BH$144*'Statistics NZ'!BH$439)</f>
        <v>40260.952262400111</v>
      </c>
    </row>
    <row r="95" spans="1:43" x14ac:dyDescent="0.25">
      <c r="A95" s="11">
        <f>$A$25</f>
        <v>30</v>
      </c>
      <c r="B95" s="45">
        <f>'Population Treasury'!T$145*'Statistics NZ'!T$440*'Economic Forecasts'!V$8/B$7</f>
        <v>36413.2069942366</v>
      </c>
      <c r="C95" s="45">
        <f>'Population Treasury'!U$145*'Statistics NZ'!U$440*'Economic Forecasts'!W$8/C$7</f>
        <v>35709.367462364695</v>
      </c>
      <c r="D95" s="45">
        <f>'Population Treasury'!V$145*'Statistics NZ'!V$440*'Economic Forecasts'!X$8/D$7</f>
        <v>35263.371492626116</v>
      </c>
      <c r="E95" s="45">
        <f>'Population Treasury'!W$145*'Statistics NZ'!W$440*'Economic Forecasts'!Y$8/E$7</f>
        <v>34014.173326664073</v>
      </c>
      <c r="F95" s="45">
        <f>'Population Treasury'!X$145*'Statistics NZ'!X$440*'Economic Forecasts'!Z$8/F$7</f>
        <v>33921.213522350299</v>
      </c>
      <c r="G95" s="45">
        <f>'Population Treasury'!Y$145*'Statistics NZ'!Y$440*'Economic Forecasts'!AA$8/G$7</f>
        <v>33309.813834648012</v>
      </c>
      <c r="H95" s="46">
        <f>G$95*'Population Treasury'!Z$145*'Statistics NZ'!Z$440/('Population Treasury'!Y$145*'Statistics NZ'!Y$440)</f>
        <v>34277.724366301154</v>
      </c>
      <c r="I95" s="46">
        <f>H$95*'Population Treasury'!AA$145*'Statistics NZ'!AA$440/('Population Treasury'!Z$145*'Statistics NZ'!Z$440)</f>
        <v>33929.024009854067</v>
      </c>
      <c r="J95" s="46">
        <f>I$95*'Population Treasury'!AB$145*'Statistics NZ'!AB$440/('Population Treasury'!AA$145*'Statistics NZ'!AA$440)</f>
        <v>33210.988209749936</v>
      </c>
      <c r="K95" s="46">
        <f>J$95*'Population Treasury'!AC$145*'Statistics NZ'!AC$440/('Population Treasury'!AB$145*'Statistics NZ'!AB$440)</f>
        <v>33890.788910804549</v>
      </c>
      <c r="L95" s="46">
        <f>K$95*'Population Treasury'!AD$145*'Statistics NZ'!AD$440/('Population Treasury'!AC$145*'Statistics NZ'!AC$440)</f>
        <v>34834.412723599635</v>
      </c>
      <c r="M95" s="46">
        <f>L$95*'Population Treasury'!AE$145*'Statistics NZ'!AE$440/('Population Treasury'!AD$145*'Statistics NZ'!AD$440)</f>
        <v>35199.714152661487</v>
      </c>
      <c r="N95" s="46">
        <f>M$95*'Population Treasury'!AF$145*'Statistics NZ'!AF$440/('Population Treasury'!AE$145*'Statistics NZ'!AE$440)</f>
        <v>36062.186602474183</v>
      </c>
      <c r="O95" s="46">
        <f>N$95*'Population Treasury'!AG$145*'Statistics NZ'!AG$440/('Population Treasury'!AF$145*'Statistics NZ'!AF$440)</f>
        <v>38720.573215705728</v>
      </c>
      <c r="P95" s="46">
        <f>O$95*'Population Treasury'!AH$145*'Statistics NZ'!AH$440/('Population Treasury'!AG$145*'Statistics NZ'!AG$440)</f>
        <v>40404.93994342396</v>
      </c>
      <c r="Q95" s="46">
        <f>P$95*'Population Treasury'!AI$145*'Statistics NZ'!AI$440/('Population Treasury'!AH$145*'Statistics NZ'!AH$440)</f>
        <v>40587.571364775751</v>
      </c>
      <c r="R95" s="46">
        <f>Q$95*'Population Treasury'!AJ$145*'Statistics NZ'!AJ$440/('Population Treasury'!AI$145*'Statistics NZ'!AI$440)</f>
        <v>41165.933614219248</v>
      </c>
      <c r="S95" s="46">
        <f>R$95*'Population Treasury'!AK$145*'Statistics NZ'!AK$440/('Population Treasury'!AJ$145*'Statistics NZ'!AJ$440)</f>
        <v>41176.077880837256</v>
      </c>
      <c r="T95" s="46">
        <f>S$95*'Population Treasury'!AL$145*'Statistics NZ'!AL$440/('Population Treasury'!AK$145*'Statistics NZ'!AK$440)</f>
        <v>41155.789348684775</v>
      </c>
      <c r="U95" s="46">
        <f>T$95*'Population Treasury'!AM$145*'Statistics NZ'!AM$440/('Population Treasury'!AL$145*'Statistics NZ'!AL$440)</f>
        <v>41226.799230154291</v>
      </c>
      <c r="V95" s="46">
        <f>U$95*'Population Treasury'!AN$145*'Statistics NZ'!AN$440/('Population Treasury'!AM$145*'Statistics NZ'!AM$440)</f>
        <v>40993.446359026362</v>
      </c>
      <c r="W95" s="46">
        <f>V$95*'Population Treasury'!AO$145*'Statistics NZ'!AO$440/('Population Treasury'!AN$145*'Statistics NZ'!AN$440)</f>
        <v>41145.610307431481</v>
      </c>
      <c r="X95" s="46">
        <f>W$95*'Population Treasury'!AP$145*'Statistics NZ'!AP$440/('Population Treasury'!AO$145*'Statistics NZ'!AO$440)</f>
        <v>40993.446359026362</v>
      </c>
      <c r="Y95" s="46">
        <f>X$95*'Population Treasury'!AQ$145*'Statistics NZ'!AQ$440/('Population Treasury'!AP$145*'Statistics NZ'!AP$440)</f>
        <v>40810.779847533122</v>
      </c>
      <c r="Z95" s="46">
        <f>Y$95*'Population Treasury'!AR$145*'Statistics NZ'!AR$440/('Population Treasury'!AQ$145*'Statistics NZ'!AQ$440)</f>
        <v>40638.292547089441</v>
      </c>
      <c r="AA95" s="46">
        <f>Z$95*'Population Treasury'!AS$145*'Statistics NZ'!AS$440/('Population Treasury'!AR$145*'Statistics NZ'!AR$440)</f>
        <v>41003.555716944735</v>
      </c>
      <c r="AB95" s="46">
        <f>AA$95*'Population Treasury'!AT$145*'Statistics NZ'!AT$440/('Population Treasury'!AS$145*'Statistics NZ'!AS$440)</f>
        <v>40313.641998010142</v>
      </c>
      <c r="AC95" s="46">
        <f>AB$95*'Population Treasury'!AU$145*'Statistics NZ'!AU$440/('Population Treasury'!AT$145*'Statistics NZ'!AT$440)</f>
        <v>40993.41145382668</v>
      </c>
      <c r="AD95" s="46">
        <f>AC$95*'Population Treasury'!AV$145*'Statistics NZ'!AV$440/('Population Treasury'!AU$145*'Statistics NZ'!AU$440)</f>
        <v>40394.795722756819</v>
      </c>
      <c r="AE95" s="46">
        <f>AD$95*'Population Treasury'!AW$145*'Statistics NZ'!AW$440/('Population Treasury'!AV$145*'Statistics NZ'!AV$440)</f>
        <v>38974.250132262234</v>
      </c>
      <c r="AF95" s="46">
        <f>AE$95*'Population Treasury'!AX$145*'Statistics NZ'!AX$440/('Population Treasury'!AW$145*'Statistics NZ'!AW$440)</f>
        <v>38882.952947255777</v>
      </c>
      <c r="AG95" s="46">
        <f>AF$95*'Population Treasury'!AY$145*'Statistics NZ'!AY$440/('Population Treasury'!AX$145*'Statistics NZ'!AX$440)</f>
        <v>39572.901046596824</v>
      </c>
      <c r="AH95" s="46">
        <f>AG$95*'Population Treasury'!AZ$145*'Statistics NZ'!AZ$440/('Population Treasury'!AY$145*'Statistics NZ'!AY$440)</f>
        <v>39694.667273373569</v>
      </c>
      <c r="AI95" s="46">
        <f>AH$95*'Population Treasury'!BA$145*'Statistics NZ'!BA$440/('Population Treasury'!AZ$145*'Statistics NZ'!AZ$440)</f>
        <v>39796.109136208855</v>
      </c>
      <c r="AJ95" s="46">
        <f>AI$95*'Population Treasury'!BB$145*'Statistics NZ'!BB$440/('Population Treasury'!BA$145*'Statistics NZ'!BA$440)</f>
        <v>39867.154404889348</v>
      </c>
      <c r="AK95" s="46">
        <f>AJ$95*'Population Treasury'!BC$145*'Statistics NZ'!BC$440/('Population Treasury'!BB$145*'Statistics NZ'!BB$440)</f>
        <v>39938.199601830296</v>
      </c>
      <c r="AL95" s="46">
        <f>AK$95*'Population Treasury'!BD$145*'Statistics NZ'!BD$440/('Population Treasury'!BC$145*'Statistics NZ'!BC$440)</f>
        <v>40009.208976389171</v>
      </c>
      <c r="AM95" s="46">
        <f>AL$95*'Population Treasury'!BE$145*'Statistics NZ'!BE$440/('Population Treasury'!BD$145*'Statistics NZ'!BD$440)</f>
        <v>40090.398304132876</v>
      </c>
      <c r="AN95" s="46">
        <f>AM$95*'Population Treasury'!BF$145*'Statistics NZ'!BF$440/('Population Treasury'!BE$145*'Statistics NZ'!BE$440)</f>
        <v>40191.875970715904</v>
      </c>
      <c r="AO95" s="46">
        <f>AN$95*'Population Treasury'!BG$145*'Statistics NZ'!BG$440/('Population Treasury'!BF$145*'Statistics NZ'!BF$440)</f>
        <v>40323.750734719739</v>
      </c>
      <c r="AP95" s="46">
        <f>AO$95*'Population Treasury'!BH$145*'Statistics NZ'!BH$440/('Population Treasury'!BG$145*'Statistics NZ'!BG$440)</f>
        <v>40486.093749189742</v>
      </c>
      <c r="AQ95" s="46">
        <f>AP$95*'Population Treasury'!BI$145*'Statistics NZ'!BI$440/('Population Treasury'!BH$145*'Statistics NZ'!BH$440)</f>
        <v>40689.013757157707</v>
      </c>
    </row>
    <row r="96" spans="1:43" x14ac:dyDescent="0.25">
      <c r="A96" s="11">
        <f>$A$26</f>
        <v>31</v>
      </c>
      <c r="B96" s="45">
        <f>'Population Treasury'!T$146*'Statistics NZ'!T$441*'Economic Forecasts'!V$8/B$7</f>
        <v>37991.612125948363</v>
      </c>
      <c r="C96" s="45">
        <f>'Population Treasury'!U$146*'Statistics NZ'!U$441*'Economic Forecasts'!W$8/C$7</f>
        <v>36570.355032938809</v>
      </c>
      <c r="D96" s="45">
        <f>'Population Treasury'!V$146*'Statistics NZ'!V$441*'Economic Forecasts'!X$8/D$7</f>
        <v>36246.316546932547</v>
      </c>
      <c r="E96" s="45">
        <f>'Population Treasury'!W$146*'Statistics NZ'!W$441*'Economic Forecasts'!Y$8/E$7</f>
        <v>35891.079080657655</v>
      </c>
      <c r="F96" s="45">
        <f>'Population Treasury'!X$146*'Statistics NZ'!X$441*'Economic Forecasts'!Z$8/F$7</f>
        <v>34603.067148721821</v>
      </c>
      <c r="G96" s="45">
        <f>'Population Treasury'!Y$146*'Statistics NZ'!Y$441*'Economic Forecasts'!AA$8/G$7</f>
        <v>34476.193601740437</v>
      </c>
      <c r="H96" s="46">
        <f>G$96*'Population Treasury'!Z$146*'Statistics NZ'!Z$441/('Population Treasury'!Y$146*'Statistics NZ'!Y$441)</f>
        <v>33841.030928744003</v>
      </c>
      <c r="I96" s="46">
        <f>H$96*'Population Treasury'!AA$146*'Statistics NZ'!AA$441/('Population Treasury'!Z$146*'Statistics NZ'!Z$441)</f>
        <v>34791.149487698305</v>
      </c>
      <c r="J96" s="46">
        <f>I$96*'Population Treasury'!AB$146*'Statistics NZ'!AB$441/('Population Treasury'!AA$146*'Statistics NZ'!AA$441)</f>
        <v>34438.340796454497</v>
      </c>
      <c r="K96" s="46">
        <f>J$96*'Population Treasury'!AC$146*'Statistics NZ'!AC$441/('Population Treasury'!AB$146*'Statistics NZ'!AB$441)</f>
        <v>33717.917287900687</v>
      </c>
      <c r="L96" s="46">
        <f>K$96*'Population Treasury'!AD$146*'Statistics NZ'!AD$441/('Population Treasury'!AC$146*'Statistics NZ'!AC$441)</f>
        <v>34387.622439766339</v>
      </c>
      <c r="M96" s="46">
        <f>L$96*'Population Treasury'!AE$146*'Statistics NZ'!AE$441/('Population Treasury'!AD$146*'Statistics NZ'!AD$441)</f>
        <v>35341.394523055766</v>
      </c>
      <c r="N96" s="46">
        <f>M$96*'Population Treasury'!AF$146*'Statistics NZ'!AF$441/('Population Treasury'!AE$146*'Statistics NZ'!AE$441)</f>
        <v>35706.656308797661</v>
      </c>
      <c r="O96" s="46">
        <f>N$96*'Population Treasury'!AG$146*'Statistics NZ'!AG$441/('Population Treasury'!AF$146*'Statistics NZ'!AF$441)</f>
        <v>36579.278636806033</v>
      </c>
      <c r="P96" s="46">
        <f>O$96*'Population Treasury'!AH$146*'Statistics NZ'!AH$441/('Population Treasury'!AG$146*'Statistics NZ'!AG$441)</f>
        <v>39237.718292586469</v>
      </c>
      <c r="Q96" s="46">
        <f>P$96*'Population Treasury'!AI$146*'Statistics NZ'!AI$441/('Population Treasury'!AH$146*'Statistics NZ'!AH$441)</f>
        <v>40932.163092219227</v>
      </c>
      <c r="R96" s="46">
        <f>Q$96*'Population Treasury'!AJ$146*'Statistics NZ'!AJ$441/('Population Treasury'!AI$146*'Statistics NZ'!AI$441)</f>
        <v>41114.795159345456</v>
      </c>
      <c r="S96" s="46">
        <f>R$96*'Population Treasury'!AK$146*'Statistics NZ'!AK$441/('Population Treasury'!AJ$146*'Statistics NZ'!AJ$441)</f>
        <v>41693.19782836621</v>
      </c>
      <c r="T96" s="46">
        <f>S$96*'Population Treasury'!AL$146*'Statistics NZ'!AL$441/('Population Treasury'!AK$146*'Statistics NZ'!AK$441)</f>
        <v>41713.449461029551</v>
      </c>
      <c r="U96" s="46">
        <f>T$96*'Population Treasury'!AM$146*'Statistics NZ'!AM$441/('Population Treasury'!AL$146*'Statistics NZ'!AL$441)</f>
        <v>41693.197828366217</v>
      </c>
      <c r="V96" s="46">
        <f>U$96*'Population Treasury'!AN$146*'Statistics NZ'!AN$441/('Population Treasury'!AM$146*'Statistics NZ'!AM$441)</f>
        <v>41764.207124651199</v>
      </c>
      <c r="W96" s="46">
        <f>V$96*'Population Treasury'!AO$146*'Statistics NZ'!AO$441/('Population Treasury'!AN$146*'Statistics NZ'!AN$441)</f>
        <v>41540.961486903536</v>
      </c>
      <c r="X96" s="46">
        <f>W$96*'Population Treasury'!AP$146*'Statistics NZ'!AP$441/('Population Treasury'!AO$146*'Statistics NZ'!AO$441)</f>
        <v>41683.053647614681</v>
      </c>
      <c r="Y96" s="46">
        <f>X$96*'Population Treasury'!AQ$146*'Statistics NZ'!AQ$441/('Population Treasury'!AP$146*'Statistics NZ'!AP$441)</f>
        <v>41540.998368873574</v>
      </c>
      <c r="Z96" s="46">
        <f>Y$96*'Population Treasury'!AR$146*'Statistics NZ'!AR$441/('Population Treasury'!AQ$146*'Statistics NZ'!AQ$441)</f>
        <v>41358.329382087803</v>
      </c>
      <c r="AA96" s="46">
        <f>Z$96*'Population Treasury'!AS$146*'Statistics NZ'!AS$441/('Population Treasury'!AR$146*'Statistics NZ'!AR$441)</f>
        <v>41185.87868873564</v>
      </c>
      <c r="AB96" s="46">
        <f>AA$96*'Population Treasury'!AT$146*'Statistics NZ'!AT$441/('Population Treasury'!AS$146*'Statistics NZ'!AS$441)</f>
        <v>41551.142541860718</v>
      </c>
      <c r="AC96" s="46">
        <f>AB$96*'Population Treasury'!AU$146*'Statistics NZ'!AU$441/('Population Treasury'!AT$146*'Statistics NZ'!AT$441)</f>
        <v>40871.335724147226</v>
      </c>
      <c r="AD96" s="46">
        <f>AC$96*'Population Treasury'!AV$146*'Statistics NZ'!AV$441/('Population Treasury'!AU$146*'Statistics NZ'!AU$441)</f>
        <v>41551.105667746786</v>
      </c>
      <c r="AE96" s="46">
        <f>AD$96*'Population Treasury'!AW$146*'Statistics NZ'!AW$441/('Population Treasury'!AV$146*'Statistics NZ'!AV$441)</f>
        <v>40962.632934927402</v>
      </c>
      <c r="AF96" s="46">
        <f>AE$96*'Population Treasury'!AX$146*'Statistics NZ'!AX$441/('Population Treasury'!AW$146*'Statistics NZ'!AW$441)</f>
        <v>39542.078465068371</v>
      </c>
      <c r="AG96" s="46">
        <f>AF$96*'Population Treasury'!AY$146*'Statistics NZ'!AY$441/('Population Treasury'!AX$146*'Statistics NZ'!AX$441)</f>
        <v>39450.782001531799</v>
      </c>
      <c r="AH96" s="46">
        <f>AG$96*'Population Treasury'!AZ$146*'Statistics NZ'!AZ$441/('Population Treasury'!AY$146*'Statistics NZ'!AY$441)</f>
        <v>40140.770924705517</v>
      </c>
      <c r="AI96" s="46">
        <f>AH$96*'Population Treasury'!BA$146*'Statistics NZ'!BA$441/('Population Treasury'!AZ$146*'Statistics NZ'!AZ$441)</f>
        <v>40272.644142701749</v>
      </c>
      <c r="AJ96" s="46">
        <f>AI$96*'Population Treasury'!BB$146*'Statistics NZ'!BB$441/('Population Treasury'!BA$146*'Statistics NZ'!BA$441)</f>
        <v>40363.979062145801</v>
      </c>
      <c r="AK96" s="46">
        <f>AJ$96*'Population Treasury'!BC$146*'Statistics NZ'!BC$441/('Population Treasury'!BB$146*'Statistics NZ'!BB$441)</f>
        <v>40445.169804314974</v>
      </c>
      <c r="AL96" s="46">
        <f>AK$96*'Population Treasury'!BD$146*'Statistics NZ'!BD$441/('Population Treasury'!BC$146*'Statistics NZ'!BC$441)</f>
        <v>40526.322681123813</v>
      </c>
      <c r="AM96" s="46">
        <f>AL$96*'Population Treasury'!BE$146*'Statistics NZ'!BE$441/('Population Treasury'!BD$146*'Statistics NZ'!BD$441)</f>
        <v>40597.33150991681</v>
      </c>
      <c r="AN96" s="46">
        <f>AM$96*'Population Treasury'!BF$146*'Statistics NZ'!BF$441/('Population Treasury'!BE$146*'Statistics NZ'!BE$441)</f>
        <v>40678.522194353885</v>
      </c>
      <c r="AO96" s="46">
        <f>AN$96*'Population Treasury'!BG$146*'Statistics NZ'!BG$441/('Population Treasury'!BF$146*'Statistics NZ'!BF$441)</f>
        <v>40790.107624249002</v>
      </c>
      <c r="AP96" s="46">
        <f>AO$96*'Population Treasury'!BH$146*'Statistics NZ'!BH$441/('Population Treasury'!BG$146*'Statistics NZ'!BG$441)</f>
        <v>40922.018948439516</v>
      </c>
      <c r="AQ96" s="46">
        <f>AP$96*'Population Treasury'!BI$146*'Statistics NZ'!BI$441/('Population Treasury'!BH$146*'Statistics NZ'!BH$441)</f>
        <v>41084.399984456919</v>
      </c>
    </row>
    <row r="97" spans="1:43" x14ac:dyDescent="0.25">
      <c r="A97" s="11">
        <f>$A$27</f>
        <v>32</v>
      </c>
      <c r="B97" s="45">
        <f>'Population Treasury'!T$147*'Statistics NZ'!T$442*'Economic Forecasts'!V$8/B$7</f>
        <v>39370.219139721929</v>
      </c>
      <c r="C97" s="45">
        <f>'Population Treasury'!U$147*'Statistics NZ'!U$442*'Economic Forecasts'!W$8/C$7</f>
        <v>38173.683001714111</v>
      </c>
      <c r="D97" s="45">
        <f>'Population Treasury'!V$147*'Statistics NZ'!V$442*'Economic Forecasts'!X$8/D$7</f>
        <v>37149.964063127525</v>
      </c>
      <c r="E97" s="45">
        <f>'Population Treasury'!W$147*'Statistics NZ'!W$442*'Economic Forecasts'!Y$8/E$7</f>
        <v>36909.624306978003</v>
      </c>
      <c r="F97" s="45">
        <f>'Population Treasury'!X$147*'Statistics NZ'!X$442*'Economic Forecasts'!Z$8/F$7</f>
        <v>36518.176999251911</v>
      </c>
      <c r="G97" s="45">
        <f>'Population Treasury'!Y$147*'Statistics NZ'!Y$442*'Economic Forecasts'!AA$8/G$7</f>
        <v>35190.225813293029</v>
      </c>
      <c r="H97" s="46">
        <f>G$97*'Population Treasury'!Z$147*'Statistics NZ'!Z$442/('Population Treasury'!Y$147*'Statistics NZ'!Y$442)</f>
        <v>35042.2043251863</v>
      </c>
      <c r="I97" s="46">
        <f>H$97*'Population Treasury'!AA$147*'Statistics NZ'!AA$442/('Population Treasury'!Z$147*'Statistics NZ'!Z$442)</f>
        <v>34399.387276479079</v>
      </c>
      <c r="J97" s="46">
        <f>I$97*'Population Treasury'!AB$147*'Statistics NZ'!AB$442/('Population Treasury'!AA$147*'Statistics NZ'!AA$442)</f>
        <v>35335.268484116939</v>
      </c>
      <c r="K97" s="46">
        <f>J$97*'Population Treasury'!AC$147*'Statistics NZ'!AC$442/('Population Treasury'!AB$147*'Statistics NZ'!AB$442)</f>
        <v>34970.003508059308</v>
      </c>
      <c r="L97" s="46">
        <f>K$97*'Population Treasury'!AD$147*'Statistics NZ'!AD$442/('Population Treasury'!AC$147*'Statistics NZ'!AC$442)</f>
        <v>34249.571564468046</v>
      </c>
      <c r="M97" s="46">
        <f>L$97*'Population Treasury'!AE$147*'Statistics NZ'!AE$442/('Population Treasury'!AD$147*'Statistics NZ'!AD$442)</f>
        <v>34929.38306462879</v>
      </c>
      <c r="N97" s="46">
        <f>M$97*'Population Treasury'!AF$147*'Statistics NZ'!AF$442/('Population Treasury'!AE$147*'Statistics NZ'!AE$442)</f>
        <v>35883.16645368129</v>
      </c>
      <c r="O97" s="46">
        <f>N$97*'Population Treasury'!AG$147*'Statistics NZ'!AG$442/('Population Treasury'!AF$147*'Statistics NZ'!AF$442)</f>
        <v>36258.575921762109</v>
      </c>
      <c r="P97" s="46">
        <f>O$97*'Population Treasury'!AH$147*'Statistics NZ'!AH$442/('Population Treasury'!AG$147*'Statistics NZ'!AG$442)</f>
        <v>37131.208482400092</v>
      </c>
      <c r="Q97" s="46">
        <f>P$97*'Population Treasury'!AI$147*'Statistics NZ'!AI$442/('Population Treasury'!AH$147*'Statistics NZ'!AH$442)</f>
        <v>39799.780335856463</v>
      </c>
      <c r="R97" s="46">
        <f>Q$97*'Population Treasury'!AJ$147*'Statistics NZ'!AJ$442/('Population Treasury'!AI$147*'Statistics NZ'!AI$442)</f>
        <v>41494.24151359863</v>
      </c>
      <c r="S97" s="46">
        <f>R$97*'Population Treasury'!AK$147*'Statistics NZ'!AK$442/('Population Treasury'!AJ$147*'Statistics NZ'!AJ$442)</f>
        <v>41676.91343618976</v>
      </c>
      <c r="T97" s="46">
        <f>S$97*'Population Treasury'!AL$147*'Statistics NZ'!AL$442/('Population Treasury'!AK$147*'Statistics NZ'!AK$442)</f>
        <v>42265.391138124825</v>
      </c>
      <c r="U97" s="46">
        <f>T$97*'Population Treasury'!AM$147*'Statistics NZ'!AM$442/('Population Treasury'!AL$147*'Statistics NZ'!AL$442)</f>
        <v>42285.679585174046</v>
      </c>
      <c r="V97" s="46">
        <f>U$97*'Population Treasury'!AN$147*'Statistics NZ'!AN$442/('Population Treasury'!AM$147*'Statistics NZ'!AM$442)</f>
        <v>42275.5353611104</v>
      </c>
      <c r="W97" s="46">
        <f>V$97*'Population Treasury'!AO$147*'Statistics NZ'!AO$442/('Population Treasury'!AN$147*'Statistics NZ'!AN$442)</f>
        <v>42346.544952154778</v>
      </c>
      <c r="X97" s="46">
        <f>W$97*'Population Treasury'!AP$147*'Statistics NZ'!AP$442/('Population Treasury'!AO$147*'Statistics NZ'!AO$442)</f>
        <v>42123.334289398103</v>
      </c>
      <c r="Y97" s="46">
        <f>X$97*'Population Treasury'!AQ$147*'Statistics NZ'!AQ$442/('Population Treasury'!AP$147*'Statistics NZ'!AP$442)</f>
        <v>42275.5353611104</v>
      </c>
      <c r="Z97" s="46">
        <f>Y$97*'Population Treasury'!AR$147*'Statistics NZ'!AR$442/('Population Treasury'!AQ$147*'Statistics NZ'!AQ$442)</f>
        <v>42133.478505203791</v>
      </c>
      <c r="AA97" s="46">
        <f>Z$97*'Population Treasury'!AS$147*'Statistics NZ'!AS$442/('Population Treasury'!AR$147*'Statistics NZ'!AR$442)</f>
        <v>41950.844793333628</v>
      </c>
      <c r="AB97" s="46">
        <f>AA$97*'Population Treasury'!AT$147*'Statistics NZ'!AT$442/('Population Treasury'!AS$147*'Statistics NZ'!AS$442)</f>
        <v>41778.393471303541</v>
      </c>
      <c r="AC97" s="46">
        <f>AB$97*'Population Treasury'!AU$147*'Statistics NZ'!AU$442/('Population Treasury'!AT$147*'Statistics NZ'!AT$442)</f>
        <v>42153.766940069312</v>
      </c>
      <c r="AD97" s="46">
        <f>AC$97*'Population Treasury'!AV$147*'Statistics NZ'!AV$442/('Population Treasury'!AU$147*'Statistics NZ'!AU$442)</f>
        <v>41473.953157027558</v>
      </c>
      <c r="AE97" s="46">
        <f>AD$97*'Population Treasury'!AW$147*'Statistics NZ'!AW$442/('Population Treasury'!AV$147*'Statistics NZ'!AV$442)</f>
        <v>42153.766940069312</v>
      </c>
      <c r="AF97" s="46">
        <f>AE$97*'Population Treasury'!AX$147*'Statistics NZ'!AX$442/('Population Treasury'!AW$147*'Statistics NZ'!AW$442)</f>
        <v>41565.289152042998</v>
      </c>
      <c r="AG97" s="46">
        <f>AF$97*'Population Treasury'!AY$147*'Statistics NZ'!AY$442/('Population Treasury'!AX$147*'Statistics NZ'!AX$442)</f>
        <v>40144.758862200208</v>
      </c>
      <c r="AH97" s="46">
        <f>AG$97*'Population Treasury'!AZ$147*'Statistics NZ'!AZ$442/('Population Treasury'!AY$147*'Statistics NZ'!AY$442)</f>
        <v>40063.566372159534</v>
      </c>
      <c r="AI97" s="46">
        <f>AH$97*'Population Treasury'!BA$147*'Statistics NZ'!BA$442/('Population Treasury'!AZ$147*'Statistics NZ'!AZ$442)</f>
        <v>40753.563172185059</v>
      </c>
      <c r="AJ97" s="46">
        <f>AI$97*'Population Treasury'!BB$147*'Statistics NZ'!BB$442/('Population Treasury'!BA$147*'Statistics NZ'!BA$442)</f>
        <v>40885.436956562982</v>
      </c>
      <c r="AK97" s="46">
        <f>AJ$97*'Population Treasury'!BC$147*'Statistics NZ'!BC$442/('Population Treasury'!BB$147*'Statistics NZ'!BB$442)</f>
        <v>40986.917362698878</v>
      </c>
      <c r="AL97" s="46">
        <f>AK$97*'Population Treasury'!BD$147*'Statistics NZ'!BD$442/('Population Treasury'!BC$147*'Statistics NZ'!BC$442)</f>
        <v>41068.109397304172</v>
      </c>
      <c r="AM97" s="46">
        <f>AL$97*'Population Treasury'!BE$147*'Statistics NZ'!BE$442/('Population Treasury'!BD$147*'Statistics NZ'!BD$442)</f>
        <v>41139.157203989394</v>
      </c>
      <c r="AN97" s="46">
        <f>AM$97*'Population Treasury'!BF$147*'Statistics NZ'!BF$442/('Population Treasury'!BE$147*'Statistics NZ'!BE$442)</f>
        <v>41220.310425658223</v>
      </c>
      <c r="AO97" s="46">
        <f>AN$97*'Population Treasury'!BG$147*'Statistics NZ'!BG$442/('Population Treasury'!BF$147*'Statistics NZ'!BF$442)</f>
        <v>41311.607886915765</v>
      </c>
      <c r="AP97" s="46">
        <f>AO$97*'Population Treasury'!BH$147*'Statistics NZ'!BH$442/('Population Treasury'!BG$147*'Statistics NZ'!BG$442)</f>
        <v>41413.088114220453</v>
      </c>
      <c r="AQ97" s="46">
        <f>AP$97*'Population Treasury'!BI$147*'Statistics NZ'!BI$442/('Population Treasury'!BH$147*'Statistics NZ'!BH$442)</f>
        <v>41555.106610131748</v>
      </c>
    </row>
    <row r="98" spans="1:43" x14ac:dyDescent="0.25">
      <c r="A98" s="11">
        <f>$A$28</f>
        <v>33</v>
      </c>
      <c r="B98" s="45">
        <f>'Population Treasury'!T$148*'Statistics NZ'!T$443*'Economic Forecasts'!V$8/B$7</f>
        <v>39969.613493536519</v>
      </c>
      <c r="C98" s="45">
        <f>'Population Treasury'!U$148*'Statistics NZ'!U$443*'Economic Forecasts'!W$8/C$7</f>
        <v>39559.31807799029</v>
      </c>
      <c r="D98" s="45">
        <f>'Population Treasury'!V$148*'Statistics NZ'!V$443*'Economic Forecasts'!X$8/D$7</f>
        <v>38778.326681324215</v>
      </c>
      <c r="E98" s="45">
        <f>'Population Treasury'!W$148*'Statistics NZ'!W$443*'Economic Forecasts'!Y$8/E$7</f>
        <v>37848.339107864151</v>
      </c>
      <c r="F98" s="45">
        <f>'Population Treasury'!X$148*'Statistics NZ'!X$443*'Economic Forecasts'!Z$8/F$7</f>
        <v>37561.085450457023</v>
      </c>
      <c r="G98" s="45">
        <f>'Population Treasury'!Y$148*'Statistics NZ'!Y$443*'Economic Forecasts'!AA$8/G$7</f>
        <v>37140.9254150837</v>
      </c>
      <c r="H98" s="46">
        <f>G$98*'Population Treasury'!Z$148*'Statistics NZ'!Z$443/('Population Treasury'!Y$148*'Statistics NZ'!Y$443)</f>
        <v>35765.299467921643</v>
      </c>
      <c r="I98" s="46">
        <f>H$98*'Population Treasury'!AA$148*'Statistics NZ'!AA$443/('Population Treasury'!Z$148*'Statistics NZ'!Z$443)</f>
        <v>35609.584273687593</v>
      </c>
      <c r="J98" s="46">
        <f>I$98*'Population Treasury'!AB$148*'Statistics NZ'!AB$443/('Population Treasury'!AA$148*'Statistics NZ'!AA$443)</f>
        <v>34952.41969358996</v>
      </c>
      <c r="K98" s="46">
        <f>J$98*'Population Treasury'!AC$148*'Statistics NZ'!AC$443/('Population Treasury'!AB$148*'Statistics NZ'!AB$443)</f>
        <v>35885.929581164964</v>
      </c>
      <c r="L98" s="46">
        <f>K$98*'Population Treasury'!AD$148*'Statistics NZ'!AD$443/('Population Treasury'!AC$148*'Statistics NZ'!AC$443)</f>
        <v>35520.660500055325</v>
      </c>
      <c r="M98" s="46">
        <f>L$98*'Population Treasury'!AE$148*'Statistics NZ'!AE$443/('Population Treasury'!AD$148*'Statistics NZ'!AD$443)</f>
        <v>34800.266453541764</v>
      </c>
      <c r="N98" s="46">
        <f>M$98*'Population Treasury'!AF$148*'Statistics NZ'!AF$443/('Population Treasury'!AE$148*'Statistics NZ'!AE$443)</f>
        <v>35480.086100890148</v>
      </c>
      <c r="O98" s="46">
        <f>N$98*'Population Treasury'!AG$148*'Statistics NZ'!AG$443/('Population Treasury'!AF$148*'Statistics NZ'!AF$443)</f>
        <v>36443.977233717887</v>
      </c>
      <c r="P98" s="46">
        <f>O$98*'Population Treasury'!AH$148*'Statistics NZ'!AH$443/('Population Treasury'!AG$148*'Statistics NZ'!AG$443)</f>
        <v>36819.390516974068</v>
      </c>
      <c r="Q98" s="46">
        <f>P$98*'Population Treasury'!AI$148*'Statistics NZ'!AI$443/('Population Treasury'!AH$148*'Statistics NZ'!AH$443)</f>
        <v>37702.180667913526</v>
      </c>
      <c r="R98" s="46">
        <f>Q$98*'Population Treasury'!AJ$148*'Statistics NZ'!AJ$443/('Population Treasury'!AI$148*'Statistics NZ'!AI$443)</f>
        <v>40370.742676670663</v>
      </c>
      <c r="S98" s="46">
        <f>R$98*'Population Treasury'!AK$148*'Statistics NZ'!AK$443/('Population Treasury'!AJ$148*'Statistics NZ'!AJ$443)</f>
        <v>42075.366159675665</v>
      </c>
      <c r="T98" s="46">
        <f>S$98*'Population Treasury'!AL$148*'Statistics NZ'!AL$443/('Population Treasury'!AK$148*'Statistics NZ'!AK$443)</f>
        <v>42268.145535516647</v>
      </c>
      <c r="U98" s="46">
        <f>T$98*'Population Treasury'!AM$148*'Statistics NZ'!AM$443/('Population Treasury'!AL$148*'Statistics NZ'!AL$443)</f>
        <v>42856.669318664033</v>
      </c>
      <c r="V98" s="46">
        <f>U$98*'Population Treasury'!AN$148*'Statistics NZ'!AN$443/('Population Treasury'!AM$148*'Statistics NZ'!AM$443)</f>
        <v>42876.957555384186</v>
      </c>
      <c r="W98" s="46">
        <f>V$98*'Population Treasury'!AO$148*'Statistics NZ'!AO$443/('Population Treasury'!AN$148*'Statistics NZ'!AN$443)</f>
        <v>42866.813436467935</v>
      </c>
      <c r="X98" s="46">
        <f>W$98*'Population Treasury'!AP$148*'Statistics NZ'!AP$443/('Population Treasury'!AO$148*'Statistics NZ'!AO$443)</f>
        <v>42937.863392200925</v>
      </c>
      <c r="Y98" s="46">
        <f>X$98*'Population Treasury'!AQ$148*'Statistics NZ'!AQ$443/('Population Treasury'!AP$148*'Statistics NZ'!AP$443)</f>
        <v>42714.651786622249</v>
      </c>
      <c r="Z98" s="46">
        <f>Y$98*'Population Treasury'!AR$148*'Statistics NZ'!AR$443/('Population Treasury'!AQ$148*'Statistics NZ'!AQ$443)</f>
        <v>42876.957555384193</v>
      </c>
      <c r="AA98" s="46">
        <f>Z$98*'Population Treasury'!AS$148*'Statistics NZ'!AS$443/('Population Treasury'!AR$148*'Statistics NZ'!AR$443)</f>
        <v>42734.898701706989</v>
      </c>
      <c r="AB98" s="46">
        <f>AA$98*'Population Treasury'!AT$148*'Statistics NZ'!AT$443/('Population Treasury'!AS$148*'Statistics NZ'!AS$443)</f>
        <v>42552.263394000409</v>
      </c>
      <c r="AC98" s="46">
        <f>AB$98*'Population Treasury'!AU$148*'Statistics NZ'!AU$443/('Population Treasury'!AT$148*'Statistics NZ'!AT$443)</f>
        <v>42389.916300319717</v>
      </c>
      <c r="AD98" s="46">
        <f>AC$98*'Population Treasury'!AV$148*'Statistics NZ'!AV$443/('Population Treasury'!AU$148*'Statistics NZ'!AU$443)</f>
        <v>42765.331044170256</v>
      </c>
      <c r="AE98" s="46">
        <f>AD$98*'Population Treasury'!AW$148*'Statistics NZ'!AW$443/('Population Treasury'!AV$148*'Statistics NZ'!AV$443)</f>
        <v>42085.510234023954</v>
      </c>
      <c r="AF98" s="46">
        <f>AE$98*'Population Treasury'!AX$148*'Statistics NZ'!AX$443/('Population Treasury'!AW$148*'Statistics NZ'!AW$443)</f>
        <v>42765.372308607068</v>
      </c>
      <c r="AG98" s="46">
        <f>AF$98*'Population Treasury'!AY$148*'Statistics NZ'!AY$443/('Population Treasury'!AX$148*'Statistics NZ'!AX$443)</f>
        <v>42186.992878505349</v>
      </c>
      <c r="AH98" s="46">
        <f>AG$98*'Population Treasury'!AZ$148*'Statistics NZ'!AZ$443/('Population Treasury'!AY$148*'Statistics NZ'!AY$443)</f>
        <v>40766.444862670884</v>
      </c>
      <c r="AI98" s="46">
        <f>AH$98*'Population Treasury'!BA$148*'Statistics NZ'!BA$443/('Population Treasury'!AZ$148*'Statistics NZ'!AZ$443)</f>
        <v>40675.148967471687</v>
      </c>
      <c r="AJ98" s="46">
        <f>AI$98*'Population Treasury'!BB$148*'Statistics NZ'!BB$443/('Population Treasury'!BA$148*'Statistics NZ'!BA$443)</f>
        <v>41375.257424113093</v>
      </c>
      <c r="AK98" s="46">
        <f>AJ$98*'Population Treasury'!BC$148*'Statistics NZ'!BC$443/('Population Treasury'!BB$148*'Statistics NZ'!BB$443)</f>
        <v>41507.172421383351</v>
      </c>
      <c r="AL98" s="46">
        <f>AK$98*'Population Treasury'!BD$148*'Statistics NZ'!BD$443/('Population Treasury'!BC$148*'Statistics NZ'!BC$443)</f>
        <v>41618.756882037887</v>
      </c>
      <c r="AM98" s="46">
        <f>AL$98*'Population Treasury'!BE$148*'Statistics NZ'!BE$443/('Population Treasury'!BD$148*'Statistics NZ'!BD$443)</f>
        <v>41699.951632511991</v>
      </c>
      <c r="AN98" s="46">
        <f>AM$98*'Population Treasury'!BF$148*'Statistics NZ'!BF$443/('Population Treasury'!BE$148*'Statistics NZ'!BE$443)</f>
        <v>41781.104059547019</v>
      </c>
      <c r="AO98" s="46">
        <f>AN$98*'Population Treasury'!BG$148*'Statistics NZ'!BG$443/('Population Treasury'!BF$148*'Statistics NZ'!BF$443)</f>
        <v>41862.298723287415</v>
      </c>
      <c r="AP98" s="46">
        <f>AO$98*'Population Treasury'!BH$148*'Statistics NZ'!BH$443/('Population Treasury'!BG$148*'Statistics NZ'!BG$443)</f>
        <v>41953.595295818479</v>
      </c>
      <c r="AQ98" s="46">
        <f>AP$98*'Population Treasury'!BI$148*'Statistics NZ'!BI$443/('Population Treasury'!BH$148*'Statistics NZ'!BH$443)</f>
        <v>42065.222086480833</v>
      </c>
    </row>
    <row r="99" spans="1:43" x14ac:dyDescent="0.25">
      <c r="A99" s="11">
        <f>$A$29</f>
        <v>34</v>
      </c>
      <c r="B99" s="45">
        <f>'Population Treasury'!T$149*'Statistics NZ'!T$444*'Economic Forecasts'!V$8/B$7</f>
        <v>39739.845657907594</v>
      </c>
      <c r="C99" s="45">
        <f>'Population Treasury'!U$149*'Statistics NZ'!U$444*'Economic Forecasts'!W$8/C$7</f>
        <v>40113.669162933322</v>
      </c>
      <c r="D99" s="45">
        <f>'Population Treasury'!V$149*'Statistics NZ'!V$444*'Economic Forecasts'!X$8/D$7</f>
        <v>40138.553589764248</v>
      </c>
      <c r="E99" s="45">
        <f>'Population Treasury'!W$149*'Statistics NZ'!W$444*'Economic Forecasts'!Y$8/E$7</f>
        <v>39445.80545550341</v>
      </c>
      <c r="F99" s="45">
        <f>'Population Treasury'!X$149*'Statistics NZ'!X$444*'Economic Forecasts'!Z$8/F$7</f>
        <v>38473.584469387766</v>
      </c>
      <c r="G99" s="45">
        <f>'Population Treasury'!Y$149*'Statistics NZ'!Y$444*'Economic Forecasts'!AA$8/G$7</f>
        <v>38156.524829938615</v>
      </c>
      <c r="H99" s="46">
        <f>G$99*'Population Treasury'!Z$149*'Statistics NZ'!Z$444/('Population Treasury'!Y$149*'Statistics NZ'!Y$444)</f>
        <v>37694.200214820419</v>
      </c>
      <c r="I99" s="46">
        <f>H$99*'Population Treasury'!AA$149*'Statistics NZ'!AA$444/('Population Treasury'!Z$149*'Statistics NZ'!Z$444)</f>
        <v>36310.741349074873</v>
      </c>
      <c r="J99" s="46">
        <f>I$99*'Population Treasury'!AB$149*'Statistics NZ'!AB$444/('Population Treasury'!AA$149*'Statistics NZ'!AA$444)</f>
        <v>36140.691033095347</v>
      </c>
      <c r="K99" s="46">
        <f>J$99*'Population Treasury'!AC$149*'Statistics NZ'!AC$444/('Population Treasury'!AB$149*'Statistics NZ'!AB$444)</f>
        <v>35471.008197509</v>
      </c>
      <c r="L99" s="46">
        <f>K$99*'Population Treasury'!AD$149*'Statistics NZ'!AD$444/('Population Treasury'!AC$149*'Statistics NZ'!AC$444)</f>
        <v>36414.619754073181</v>
      </c>
      <c r="M99" s="46">
        <f>L$99*'Population Treasury'!AE$149*'Statistics NZ'!AE$444/('Population Treasury'!AD$149*'Statistics NZ'!AD$444)</f>
        <v>36049.347299375775</v>
      </c>
      <c r="N99" s="46">
        <f>M$99*'Population Treasury'!AF$149*'Statistics NZ'!AF$444/('Population Treasury'!AE$149*'Statistics NZ'!AE$444)</f>
        <v>35328.946290149717</v>
      </c>
      <c r="O99" s="46">
        <f>N$99*'Population Treasury'!AG$149*'Statistics NZ'!AG$444/('Population Treasury'!AF$149*'Statistics NZ'!AF$444)</f>
        <v>36018.91650656148</v>
      </c>
      <c r="P99" s="46">
        <f>O$99*'Population Treasury'!AH$149*'Statistics NZ'!AH$444/('Population Treasury'!AG$149*'Statistics NZ'!AG$444)</f>
        <v>36982.866117204816</v>
      </c>
      <c r="Q99" s="46">
        <f>P$99*'Population Treasury'!AI$149*'Statistics NZ'!AI$444/('Population Treasury'!AH$149*'Statistics NZ'!AH$444)</f>
        <v>37358.282132460859</v>
      </c>
      <c r="R99" s="46">
        <f>Q$99*'Population Treasury'!AJ$149*'Statistics NZ'!AJ$444/('Population Treasury'!AI$149*'Statistics NZ'!AI$444)</f>
        <v>38241.032183857285</v>
      </c>
      <c r="S99" s="46">
        <f>R$99*'Population Treasury'!AK$149*'Statistics NZ'!AK$444/('Population Treasury'!AJ$149*'Statistics NZ'!AJ$444)</f>
        <v>40919.76107030009</v>
      </c>
      <c r="T99" s="46">
        <f>S$99*'Population Treasury'!AL$149*'Statistics NZ'!AL$444/('Population Treasury'!AK$149*'Statistics NZ'!AK$444)</f>
        <v>42634.498032574913</v>
      </c>
      <c r="U99" s="46">
        <f>T$99*'Population Treasury'!AM$149*'Statistics NZ'!AM$444/('Population Treasury'!AL$149*'Statistics NZ'!AL$444)</f>
        <v>42827.278807487259</v>
      </c>
      <c r="V99" s="46">
        <f>U$99*'Population Treasury'!AN$149*'Statistics NZ'!AN$444/('Population Treasury'!AM$149*'Statistics NZ'!AM$444)</f>
        <v>43415.808232954252</v>
      </c>
      <c r="W99" s="46">
        <f>V$99*'Population Treasury'!AO$149*'Statistics NZ'!AO$444/('Population Treasury'!AN$149*'Statistics NZ'!AN$444)</f>
        <v>43436.139133033619</v>
      </c>
      <c r="X99" s="46">
        <f>W$99*'Population Treasury'!AP$149*'Statistics NZ'!AP$444/('Population Treasury'!AO$149*'Statistics NZ'!AO$444)</f>
        <v>43436.096450373763</v>
      </c>
      <c r="Y99" s="46">
        <f>X$99*'Population Treasury'!AQ$149*'Statistics NZ'!AQ$444/('Population Treasury'!AP$149*'Statistics NZ'!AP$444)</f>
        <v>43507.147867062711</v>
      </c>
      <c r="Z99" s="46">
        <f>Y$99*'Population Treasury'!AR$149*'Statistics NZ'!AR$444/('Population Treasury'!AQ$149*'Statistics NZ'!AQ$444)</f>
        <v>43294.079021449113</v>
      </c>
      <c r="AA99" s="46">
        <f>Z$99*'Population Treasury'!AS$149*'Statistics NZ'!AS$444/('Population Treasury'!AR$149*'Statistics NZ'!AR$444)</f>
        <v>43446.283234579656</v>
      </c>
      <c r="AB99" s="46">
        <f>AA$99*'Population Treasury'!AT$149*'Statistics NZ'!AT$444/('Population Treasury'!AS$149*'Statistics NZ'!AS$444)</f>
        <v>43314.367212264522</v>
      </c>
      <c r="AC99" s="46">
        <f>AB$99*'Population Treasury'!AU$149*'Statistics NZ'!AU$444/('Population Treasury'!AT$149*'Statistics NZ'!AT$444)</f>
        <v>43141.831795746017</v>
      </c>
      <c r="AD99" s="46">
        <f>AC$99*'Population Treasury'!AV$149*'Statistics NZ'!AV$444/('Population Treasury'!AU$149*'Statistics NZ'!AU$444)</f>
        <v>42979.483272392026</v>
      </c>
      <c r="AE99" s="46">
        <f>AD$99*'Population Treasury'!AW$149*'Statistics NZ'!AW$444/('Population Treasury'!AV$149*'Statistics NZ'!AV$444)</f>
        <v>43354.943607235451</v>
      </c>
      <c r="AF99" s="46">
        <f>AE$99*'Population Treasury'!AX$149*'Statistics NZ'!AX$444/('Population Treasury'!AW$149*'Statistics NZ'!AW$444)</f>
        <v>42675.117757390202</v>
      </c>
      <c r="AG99" s="46">
        <f>AF$99*'Population Treasury'!AY$149*'Statistics NZ'!AY$444/('Population Treasury'!AX$149*'Statistics NZ'!AX$444)</f>
        <v>43365.087708753097</v>
      </c>
      <c r="AH99" s="46">
        <f>AG$99*'Population Treasury'!AZ$149*'Statistics NZ'!AZ$444/('Population Treasury'!AY$149*'Statistics NZ'!AY$444)</f>
        <v>42776.601770014859</v>
      </c>
      <c r="AI99" s="46">
        <f>AH$99*'Population Treasury'!BA$149*'Statistics NZ'!BA$444/('Population Treasury'!AZ$149*'Statistics NZ'!AZ$444)</f>
        <v>41356.086583468539</v>
      </c>
      <c r="AJ99" s="46">
        <f>AI$99*'Population Treasury'!BB$149*'Statistics NZ'!BB$444/('Population Treasury'!BA$149*'Statistics NZ'!BA$444)</f>
        <v>41284.989004876625</v>
      </c>
      <c r="AK99" s="46">
        <f>AJ$99*'Population Treasury'!BC$149*'Statistics NZ'!BC$444/('Population Treasury'!BB$149*'Statistics NZ'!BB$444)</f>
        <v>41985.147816620098</v>
      </c>
      <c r="AL99" s="46">
        <f>AK$99*'Population Treasury'!BD$149*'Statistics NZ'!BD$444/('Population Treasury'!BC$149*'Statistics NZ'!BC$444)</f>
        <v>42117.064189717319</v>
      </c>
      <c r="AM99" s="46">
        <f>AL$99*'Population Treasury'!BE$149*'Statistics NZ'!BE$444/('Population Treasury'!BD$149*'Statistics NZ'!BD$444)</f>
        <v>42228.648540287439</v>
      </c>
      <c r="AN99" s="46">
        <f>AM$99*'Population Treasury'!BF$149*'Statistics NZ'!BF$444/('Population Treasury'!BE$149*'Statistics NZ'!BE$444)</f>
        <v>42319.944932205057</v>
      </c>
      <c r="AO99" s="46">
        <f>AN$99*'Population Treasury'!BG$149*'Statistics NZ'!BG$444/('Population Treasury'!BF$149*'Statistics NZ'!BF$444)</f>
        <v>42391.040779161769</v>
      </c>
      <c r="AP99" s="46">
        <f>AO$99*'Population Treasury'!BH$149*'Statistics NZ'!BH$444/('Population Treasury'!BG$149*'Statistics NZ'!BG$444)</f>
        <v>42482.293525752837</v>
      </c>
      <c r="AQ99" s="46">
        <f>AP$99*'Population Treasury'!BI$149*'Statistics NZ'!BI$444/('Population Treasury'!BH$149*'Statistics NZ'!BH$444)</f>
        <v>42573.633657043123</v>
      </c>
    </row>
    <row r="100" spans="1:43" x14ac:dyDescent="0.25">
      <c r="A100" s="11">
        <f>$A$30</f>
        <v>35</v>
      </c>
      <c r="B100" s="45">
        <f>'Population Treasury'!T$150*'Statistics NZ'!T$445*'Economic Forecasts'!V$8/B$7</f>
        <v>38491.107420793858</v>
      </c>
      <c r="C100" s="45">
        <f>'Population Treasury'!U$150*'Statistics NZ'!U$445*'Economic Forecasts'!W$8/C$7</f>
        <v>39773.212834229074</v>
      </c>
      <c r="D100" s="45">
        <f>'Population Treasury'!V$150*'Statistics NZ'!V$445*'Economic Forecasts'!X$8/D$7</f>
        <v>40569.94972126677</v>
      </c>
      <c r="E100" s="45">
        <f>'Population Treasury'!W$150*'Statistics NZ'!W$445*'Economic Forecasts'!Y$8/E$7</f>
        <v>40693.412586338898</v>
      </c>
      <c r="F100" s="45">
        <f>'Population Treasury'!X$150*'Statistics NZ'!X$445*'Economic Forecasts'!Z$8/F$7</f>
        <v>39974.080991486393</v>
      </c>
      <c r="G100" s="45">
        <f>'Population Treasury'!Y$150*'Statistics NZ'!Y$445*'Economic Forecasts'!AA$8/G$7</f>
        <v>38963.59865503716</v>
      </c>
      <c r="H100" s="46">
        <f>G$100*'Population Treasury'!Z$150*'Statistics NZ'!Z$445/('Population Treasury'!Y$150*'Statistics NZ'!Y$445)</f>
        <v>38601.897193200602</v>
      </c>
      <c r="I100" s="46">
        <f>H$100*'Population Treasury'!AA$150*'Statistics NZ'!AA$445/('Population Treasury'!Z$150*'Statistics NZ'!Z$445)</f>
        <v>38125.103659255299</v>
      </c>
      <c r="J100" s="46">
        <f>I$100*'Population Treasury'!AB$150*'Statistics NZ'!AB$445/('Population Treasury'!AA$150*'Statistics NZ'!AA$445)</f>
        <v>36734.341040139661</v>
      </c>
      <c r="K100" s="46">
        <f>J$100*'Population Treasury'!AC$150*'Statistics NZ'!AC$445/('Population Treasury'!AB$150*'Statistics NZ'!AB$445)</f>
        <v>36551.70634003474</v>
      </c>
      <c r="L100" s="46">
        <f>K$100*'Population Treasury'!AD$150*'Statistics NZ'!AD$445/('Population Treasury'!AC$150*'Statistics NZ'!AC$445)</f>
        <v>35882.088553664922</v>
      </c>
      <c r="M100" s="46">
        <f>L$100*'Population Treasury'!AE$150*'Statistics NZ'!AE$445/('Population Treasury'!AD$150*'Statistics NZ'!AD$445)</f>
        <v>36825.689400090501</v>
      </c>
      <c r="N100" s="46">
        <f>M$100*'Population Treasury'!AF$150*'Statistics NZ'!AF$445/('Population Treasury'!AE$150*'Statistics NZ'!AE$445)</f>
        <v>36460.420306138345</v>
      </c>
      <c r="O100" s="46">
        <f>N$100*'Population Treasury'!AG$150*'Statistics NZ'!AG$445/('Population Treasury'!AF$150*'Statistics NZ'!AF$445)</f>
        <v>35750.168292284208</v>
      </c>
      <c r="P100" s="46">
        <f>O$100*'Population Treasury'!AH$150*'Statistics NZ'!AH$445/('Population Treasury'!AG$150*'Statistics NZ'!AG$445)</f>
        <v>36440.134542242507</v>
      </c>
      <c r="Q100" s="46">
        <f>P$100*'Population Treasury'!AI$150*'Statistics NZ'!AI$445/('Population Treasury'!AH$150*'Statistics NZ'!AH$445)</f>
        <v>37404.083350080859</v>
      </c>
      <c r="R100" s="46">
        <f>Q$100*'Population Treasury'!AJ$150*'Statistics NZ'!AJ$445/('Population Treasury'!AI$150*'Statistics NZ'!AI$445)</f>
        <v>37789.578022494607</v>
      </c>
      <c r="S100" s="46">
        <f>R$100*'Population Treasury'!AK$150*'Statistics NZ'!AK$445/('Population Treasury'!AJ$150*'Statistics NZ'!AJ$445)</f>
        <v>38672.382741881142</v>
      </c>
      <c r="T100" s="46">
        <f>S$100*'Population Treasury'!AL$150*'Statistics NZ'!AL$445/('Population Treasury'!AK$150*'Statistics NZ'!AK$445)</f>
        <v>41351.103887644473</v>
      </c>
      <c r="U100" s="46">
        <f>T$100*'Population Treasury'!AM$150*'Statistics NZ'!AM$445/('Population Treasury'!AL$150*'Statistics NZ'!AL$445)</f>
        <v>43055.734131975136</v>
      </c>
      <c r="V100" s="46">
        <f>U$100*'Population Treasury'!AN$150*'Statistics NZ'!AN$445/('Population Treasury'!AM$150*'Statistics NZ'!AM$445)</f>
        <v>43258.603436430909</v>
      </c>
      <c r="W100" s="46">
        <f>V$100*'Population Treasury'!AO$150*'Statistics NZ'!AO$445/('Population Treasury'!AN$150*'Statistics NZ'!AN$445)</f>
        <v>43847.188266057543</v>
      </c>
      <c r="X100" s="46">
        <f>W$100*'Population Treasury'!AP$150*'Statistics NZ'!AP$445/('Population Treasury'!AO$150*'Statistics NZ'!AO$445)</f>
        <v>43877.566714600318</v>
      </c>
      <c r="Y100" s="46">
        <f>X$100*'Population Treasury'!AQ$150*'Statistics NZ'!AQ$445/('Population Treasury'!AP$150*'Statistics NZ'!AP$445)</f>
        <v>43877.566714600318</v>
      </c>
      <c r="Z100" s="46">
        <f>Y$100*'Population Treasury'!AR$150*'Statistics NZ'!AR$445/('Population Treasury'!AQ$150*'Statistics NZ'!AQ$445)</f>
        <v>43958.714911696967</v>
      </c>
      <c r="AA100" s="46">
        <f>Z$100*'Population Treasury'!AS$150*'Statistics NZ'!AS$445/('Population Treasury'!AR$150*'Statistics NZ'!AR$445)</f>
        <v>43745.648845841926</v>
      </c>
      <c r="AB100" s="46">
        <f>AA$100*'Population Treasury'!AT$150*'Statistics NZ'!AT$445/('Population Treasury'!AS$150*'Statistics NZ'!AS$445)</f>
        <v>43897.905805835326</v>
      </c>
      <c r="AC100" s="46">
        <f>AB$100*'Population Treasury'!AU$150*'Statistics NZ'!AU$445/('Population Treasury'!AT$150*'Statistics NZ'!AT$445)</f>
        <v>43765.988084428995</v>
      </c>
      <c r="AD100" s="46">
        <f>AC$100*'Population Treasury'!AV$150*'Statistics NZ'!AV$445/('Population Treasury'!AU$150*'Statistics NZ'!AU$445)</f>
        <v>43593.496313128308</v>
      </c>
      <c r="AE100" s="46">
        <f>AD$100*'Population Treasury'!AW$150*'Statistics NZ'!AW$445/('Population Treasury'!AV$150*'Statistics NZ'!AV$445)</f>
        <v>43431.148028241783</v>
      </c>
      <c r="AF100" s="46">
        <f>AE$100*'Population Treasury'!AX$150*'Statistics NZ'!AX$445/('Population Treasury'!AW$150*'Statistics NZ'!AW$445)</f>
        <v>43816.705623320478</v>
      </c>
      <c r="AG100" s="46">
        <f>AF$100*'Population Treasury'!AY$150*'Statistics NZ'!AY$445/('Population Treasury'!AX$150*'Statistics NZ'!AX$445)</f>
        <v>43147.025250012957</v>
      </c>
      <c r="AH100" s="46">
        <f>AG$100*'Population Treasury'!AZ$150*'Statistics NZ'!AZ$445/('Population Treasury'!AY$150*'Statistics NZ'!AY$445)</f>
        <v>43826.849135158642</v>
      </c>
      <c r="AI100" s="46">
        <f>AH$100*'Population Treasury'!BA$150*'Statistics NZ'!BA$445/('Population Treasury'!AZ$150*'Statistics NZ'!AZ$445)</f>
        <v>43248.512789489796</v>
      </c>
      <c r="AJ100" s="46">
        <f>AI$100*'Population Treasury'!BB$150*'Statistics NZ'!BB$445/('Population Treasury'!BA$150*'Statistics NZ'!BA$445)</f>
        <v>41838.094284721876</v>
      </c>
      <c r="AK100" s="46">
        <f>AJ$100*'Population Treasury'!BC$150*'Statistics NZ'!BC$445/('Population Treasury'!BB$150*'Statistics NZ'!BB$445)</f>
        <v>41756.947378562872</v>
      </c>
      <c r="AL100" s="46">
        <f>AK$100*'Population Treasury'!BD$150*'Statistics NZ'!BD$445/('Population Treasury'!BC$150*'Statistics NZ'!BC$445)</f>
        <v>42457.057944583335</v>
      </c>
      <c r="AM100" s="46">
        <f>AL$100*'Population Treasury'!BE$150*'Statistics NZ'!BE$445/('Population Treasury'!BD$150*'Statistics NZ'!BD$445)</f>
        <v>42599.119492634636</v>
      </c>
      <c r="AN100" s="46">
        <f>AM$100*'Population Treasury'!BF$150*'Statistics NZ'!BF$445/('Population Treasury'!BE$150*'Statistics NZ'!BE$445)</f>
        <v>42710.750698851873</v>
      </c>
      <c r="AO100" s="46">
        <f>AN$100*'Population Treasury'!BG$150*'Statistics NZ'!BG$445/('Population Treasury'!BF$150*'Statistics NZ'!BF$445)</f>
        <v>42802.041585405925</v>
      </c>
      <c r="AP100" s="46">
        <f>AO$100*'Population Treasury'!BH$150*'Statistics NZ'!BH$445/('Population Treasury'!BG$150*'Statistics NZ'!BG$445)</f>
        <v>42883.242412007581</v>
      </c>
      <c r="AQ100" s="46">
        <f>AP$100*'Population Treasury'!BI$150*'Statistics NZ'!BI$445/('Population Treasury'!BH$150*'Statistics NZ'!BH$445)</f>
        <v>42974.533414771955</v>
      </c>
    </row>
    <row r="101" spans="1:43" x14ac:dyDescent="0.25">
      <c r="A101" s="11">
        <f>$A$31</f>
        <v>36</v>
      </c>
      <c r="B101" s="45">
        <f>'Population Treasury'!T$151*'Statistics NZ'!T$446*'Economic Forecasts'!V$8/B$7</f>
        <v>38101.501090814374</v>
      </c>
      <c r="C101" s="45">
        <f>'Population Treasury'!U$151*'Statistics NZ'!U$446*'Economic Forecasts'!W$8/C$7</f>
        <v>38476.763577625854</v>
      </c>
      <c r="D101" s="45">
        <f>'Population Treasury'!V$151*'Statistics NZ'!V$446*'Economic Forecasts'!X$8/D$7</f>
        <v>40192.502869026124</v>
      </c>
      <c r="E101" s="45">
        <f>'Population Treasury'!W$151*'Statistics NZ'!W$446*'Economic Forecasts'!Y$8/E$7</f>
        <v>41102.499602698284</v>
      </c>
      <c r="F101" s="45">
        <f>'Population Treasury'!X$151*'Statistics NZ'!X$446*'Economic Forecasts'!Z$8/F$7</f>
        <v>41187.004161299345</v>
      </c>
      <c r="G101" s="45">
        <f>'Population Treasury'!Y$151*'Statistics NZ'!Y$446*'Economic Forecasts'!AA$8/G$7</f>
        <v>40431.39256268672</v>
      </c>
      <c r="H101" s="46">
        <f>G$101*'Population Treasury'!Z$151*'Statistics NZ'!Z$446/('Population Treasury'!Y$151*'Statistics NZ'!Y$446)</f>
        <v>39359.383578972884</v>
      </c>
      <c r="I101" s="46">
        <f>H$101*'Population Treasury'!AA$151*'Statistics NZ'!AA$446/('Population Treasury'!Z$151*'Statistics NZ'!Z$446)</f>
        <v>38994.120063544884</v>
      </c>
      <c r="J101" s="46">
        <f>I$101*'Population Treasury'!AB$151*'Statistics NZ'!AB$446/('Population Treasury'!AA$151*'Statistics NZ'!AA$446)</f>
        <v>38516.515902379389</v>
      </c>
      <c r="K101" s="46">
        <f>J$101*'Population Treasury'!AC$151*'Statistics NZ'!AC$446/('Population Treasury'!AB$151*'Statistics NZ'!AB$446)</f>
        <v>37116.316065641702</v>
      </c>
      <c r="L101" s="46">
        <f>K$101*'Population Treasury'!AD$151*'Statistics NZ'!AD$446/('Population Treasury'!AC$151*'Statistics NZ'!AC$446)</f>
        <v>36933.749490325601</v>
      </c>
      <c r="M101" s="46">
        <f>L$101*'Population Treasury'!AE$151*'Statistics NZ'!AE$446/('Population Treasury'!AD$151*'Statistics NZ'!AD$446)</f>
        <v>36274.221975637258</v>
      </c>
      <c r="N101" s="46">
        <f>M$101*'Population Treasury'!AF$151*'Statistics NZ'!AF$446/('Population Treasury'!AE$151*'Statistics NZ'!AE$446)</f>
        <v>37217.806923362878</v>
      </c>
      <c r="O101" s="46">
        <f>N$101*'Population Treasury'!AG$151*'Statistics NZ'!AG$446/('Population Treasury'!AF$151*'Statistics NZ'!AF$446)</f>
        <v>36862.686285090713</v>
      </c>
      <c r="P101" s="46">
        <f>O$101*'Population Treasury'!AH$151*'Statistics NZ'!AH$446/('Population Treasury'!AG$151*'Statistics NZ'!AG$446)</f>
        <v>36152.445656372285</v>
      </c>
      <c r="Q101" s="46">
        <f>P$101*'Population Treasury'!AI$151*'Statistics NZ'!AI$446/('Population Treasury'!AH$151*'Statistics NZ'!AH$446)</f>
        <v>36842.401149253914</v>
      </c>
      <c r="R101" s="46">
        <f>Q$101*'Population Treasury'!AJ$151*'Statistics NZ'!AJ$446/('Population Treasury'!AI$151*'Statistics NZ'!AI$446)</f>
        <v>37806.336670863398</v>
      </c>
      <c r="S101" s="46">
        <f>R$101*'Population Treasury'!AK$151*'Statistics NZ'!AK$446/('Population Treasury'!AJ$151*'Statistics NZ'!AJ$446)</f>
        <v>38191.885576101515</v>
      </c>
      <c r="T101" s="46">
        <f>S$101*'Population Treasury'!AL$151*'Statistics NZ'!AL$446/('Population Treasury'!AK$151*'Statistics NZ'!AK$446)</f>
        <v>39074.678885418944</v>
      </c>
      <c r="U101" s="46">
        <f>T$101*'Population Treasury'!AM$151*'Statistics NZ'!AM$446/('Population Treasury'!AL$151*'Statistics NZ'!AL$446)</f>
        <v>41753.36308268016</v>
      </c>
      <c r="V101" s="46">
        <f>U$101*'Population Treasury'!AN$151*'Statistics NZ'!AN$446/('Population Treasury'!AM$151*'Statistics NZ'!AM$446)</f>
        <v>43457.971743089547</v>
      </c>
      <c r="W101" s="46">
        <f>V$101*'Population Treasury'!AO$151*'Statistics NZ'!AO$446/('Population Treasury'!AN$151*'Statistics NZ'!AN$446)</f>
        <v>43660.890954854047</v>
      </c>
      <c r="X101" s="46">
        <f>W$101*'Population Treasury'!AP$151*'Statistics NZ'!AP$446/('Population Treasury'!AO$151*'Statistics NZ'!AO$446)</f>
        <v>44249.417261300841</v>
      </c>
      <c r="Y101" s="46">
        <f>X$101*'Population Treasury'!AQ$151*'Statistics NZ'!AQ$446/('Population Treasury'!AP$151*'Statistics NZ'!AP$446)</f>
        <v>44279.901414650951</v>
      </c>
      <c r="Z101" s="46">
        <f>Y$101*'Population Treasury'!AR$151*'Statistics NZ'!AR$446/('Population Treasury'!AQ$151*'Statistics NZ'!AQ$446)</f>
        <v>44279.847001177557</v>
      </c>
      <c r="AA101" s="46">
        <f>Z$101*'Population Treasury'!AS$151*'Statistics NZ'!AS$446/('Population Treasury'!AR$151*'Statistics NZ'!AR$446)</f>
        <v>44361.04736382229</v>
      </c>
      <c r="AB101" s="46">
        <f>AA$101*'Population Treasury'!AT$151*'Statistics NZ'!AT$446/('Population Treasury'!AS$151*'Statistics NZ'!AS$446)</f>
        <v>44158.073551437301</v>
      </c>
      <c r="AC101" s="46">
        <f>AB$101*'Population Treasury'!AU$151*'Statistics NZ'!AU$446/('Population Treasury'!AT$151*'Statistics NZ'!AT$446)</f>
        <v>44320.4200079375</v>
      </c>
      <c r="AD101" s="46">
        <f>AC$101*'Population Treasury'!AV$151*'Statistics NZ'!AV$446/('Population Treasury'!AU$151*'Statistics NZ'!AU$446)</f>
        <v>44188.557820724898</v>
      </c>
      <c r="AE101" s="46">
        <f>AD$101*'Population Treasury'!AW$151*'Statistics NZ'!AW$446/('Population Treasury'!AV$151*'Statistics NZ'!AV$446)</f>
        <v>44016.068301133142</v>
      </c>
      <c r="AF101" s="46">
        <f>AE$101*'Population Treasury'!AX$151*'Statistics NZ'!AX$446/('Population Treasury'!AW$151*'Statistics NZ'!AW$446)</f>
        <v>43863.865224281348</v>
      </c>
      <c r="AG101" s="46">
        <f>AF$101*'Population Treasury'!AY$151*'Statistics NZ'!AY$446/('Population Treasury'!AX$151*'Statistics NZ'!AX$446)</f>
        <v>44239.274017574186</v>
      </c>
      <c r="AH101" s="46">
        <f>AG$101*'Population Treasury'!AZ$151*'Statistics NZ'!AZ$446/('Population Treasury'!AY$151*'Statistics NZ'!AY$446)</f>
        <v>43579.745372663376</v>
      </c>
      <c r="AI101" s="46">
        <f>AH$101*'Population Treasury'!BA$151*'Statistics NZ'!BA$446/('Population Treasury'!AZ$151*'Statistics NZ'!AZ$446)</f>
        <v>44269.703753103466</v>
      </c>
      <c r="AJ101" s="46">
        <f>AI$101*'Population Treasury'!BB$151*'Statistics NZ'!BB$446/('Population Treasury'!BA$151*'Statistics NZ'!BA$446)</f>
        <v>43691.375724479272</v>
      </c>
      <c r="AK101" s="46">
        <f>AJ$101*'Population Treasury'!BC$151*'Statistics NZ'!BC$446/('Population Treasury'!BB$151*'Statistics NZ'!BB$446)</f>
        <v>42280.974419458063</v>
      </c>
      <c r="AL101" s="46">
        <f>AK$101*'Population Treasury'!BD$151*'Statistics NZ'!BD$446/('Population Treasury'!BC$151*'Statistics NZ'!BC$446)</f>
        <v>42209.915769446059</v>
      </c>
      <c r="AM101" s="46">
        <f>AL$101*'Population Treasury'!BE$151*'Statistics NZ'!BE$446/('Population Treasury'!BD$151*'Statistics NZ'!BD$446)</f>
        <v>42910.073643397671</v>
      </c>
      <c r="AN101" s="46">
        <f>AM$101*'Population Treasury'!BF$151*'Statistics NZ'!BF$446/('Population Treasury'!BE$151*'Statistics NZ'!BE$446)</f>
        <v>43052.133687084497</v>
      </c>
      <c r="AO101" s="46">
        <f>AN$101*'Population Treasury'!BG$151*'Statistics NZ'!BG$446/('Population Treasury'!BF$151*'Statistics NZ'!BF$446)</f>
        <v>43163.764217451571</v>
      </c>
      <c r="AP101" s="46">
        <f>AO$101*'Population Treasury'!BH$151*'Statistics NZ'!BH$446/('Population Treasury'!BG$151*'Statistics NZ'!BG$446)</f>
        <v>43265.195820404078</v>
      </c>
      <c r="AQ101" s="46">
        <f>AP$101*'Population Treasury'!BI$151*'Statistics NZ'!BI$446/('Population Treasury'!BH$151*'Statistics NZ'!BH$446)</f>
        <v>43346.396797498091</v>
      </c>
    </row>
    <row r="102" spans="1:43" x14ac:dyDescent="0.25">
      <c r="A102" s="11">
        <f>$A$32</f>
        <v>37</v>
      </c>
      <c r="B102" s="45">
        <f>'Population Treasury'!T$152*'Statistics NZ'!T$447*'Economic Forecasts'!V$8/B$7</f>
        <v>37282.328807267753</v>
      </c>
      <c r="C102" s="45">
        <f>'Population Treasury'!U$152*'Statistics NZ'!U$447*'Economic Forecasts'!W$8/C$7</f>
        <v>38100.622314987289</v>
      </c>
      <c r="D102" s="45">
        <f>'Population Treasury'!V$152*'Statistics NZ'!V$447*'Economic Forecasts'!X$8/D$7</f>
        <v>38911.83975213558</v>
      </c>
      <c r="E102" s="45">
        <f>'Population Treasury'!W$152*'Statistics NZ'!W$447*'Economic Forecasts'!Y$8/E$7</f>
        <v>40743.029863912794</v>
      </c>
      <c r="F102" s="45">
        <f>'Population Treasury'!X$152*'Statistics NZ'!X$447*'Economic Forecasts'!Z$8/F$7</f>
        <v>41607.970319722794</v>
      </c>
      <c r="G102" s="45">
        <f>'Population Treasury'!Y$152*'Statistics NZ'!Y$447*'Economic Forecasts'!AA$8/G$7</f>
        <v>41657.936890269157</v>
      </c>
      <c r="H102" s="46">
        <f>G$102*'Population Treasury'!Z$152*'Statistics NZ'!Z$447/('Population Treasury'!Y$152*'Statistics NZ'!Y$447)</f>
        <v>40839.521531717241</v>
      </c>
      <c r="I102" s="46">
        <f>H$102*'Population Treasury'!AA$152*'Statistics NZ'!AA$447/('Population Treasury'!Z$152*'Statistics NZ'!Z$447)</f>
        <v>39764.002292727157</v>
      </c>
      <c r="J102" s="46">
        <f>I$102*'Population Treasury'!AB$152*'Statistics NZ'!AB$447/('Population Treasury'!AA$152*'Statistics NZ'!AA$447)</f>
        <v>39398.021244899581</v>
      </c>
      <c r="K102" s="46">
        <f>J$102*'Population Treasury'!AC$152*'Statistics NZ'!AC$447/('Population Treasury'!AB$152*'Statistics NZ'!AB$447)</f>
        <v>38910.985534963736</v>
      </c>
      <c r="L102" s="46">
        <f>K$102*'Population Treasury'!AD$152*'Statistics NZ'!AD$447/('Population Treasury'!AC$152*'Statistics NZ'!AC$447)</f>
        <v>37510.800027945508</v>
      </c>
      <c r="M102" s="46">
        <f>L$102*'Population Treasury'!AE$152*'Statistics NZ'!AE$447/('Population Treasury'!AD$152*'Statistics NZ'!AD$447)</f>
        <v>37338.312680263982</v>
      </c>
      <c r="N102" s="46">
        <f>M$102*'Population Treasury'!AF$152*'Statistics NZ'!AF$447/('Population Treasury'!AE$152*'Statistics NZ'!AE$447)</f>
        <v>36688.864424357882</v>
      </c>
      <c r="O102" s="46">
        <f>N$102*'Population Treasury'!AG$152*'Statistics NZ'!AG$447/('Population Treasury'!AF$152*'Statistics NZ'!AF$447)</f>
        <v>37622.433073292988</v>
      </c>
      <c r="P102" s="46">
        <f>O$102*'Population Treasury'!AH$152*'Statistics NZ'!AH$447/('Population Treasury'!AG$152*'Statistics NZ'!AG$447)</f>
        <v>37277.391206655389</v>
      </c>
      <c r="Q102" s="46">
        <f>P$102*'Population Treasury'!AI$152*'Statistics NZ'!AI$447/('Population Treasury'!AH$152*'Statistics NZ'!AH$447)</f>
        <v>36567.157016776458</v>
      </c>
      <c r="R102" s="46">
        <f>Q$102*'Population Treasury'!AJ$152*'Statistics NZ'!AJ$447/('Population Treasury'!AI$152*'Statistics NZ'!AI$447)</f>
        <v>37267.248847955932</v>
      </c>
      <c r="S102" s="46">
        <f>R$102*'Population Treasury'!AK$152*'Statistics NZ'!AK$447/('Population Treasury'!AJ$152*'Statistics NZ'!AJ$447)</f>
        <v>38231.177269280233</v>
      </c>
      <c r="T102" s="46">
        <f>S$102*'Population Treasury'!AL$152*'Statistics NZ'!AL$447/('Population Treasury'!AK$152*'Statistics NZ'!AK$447)</f>
        <v>38606.645184823843</v>
      </c>
      <c r="U102" s="46">
        <f>T$102*'Population Treasury'!AM$152*'Statistics NZ'!AM$447/('Population Treasury'!AL$152*'Statistics NZ'!AL$447)</f>
        <v>39499.510883566916</v>
      </c>
      <c r="V102" s="46">
        <f>U$102*'Population Treasury'!AN$152*'Statistics NZ'!AN$447/('Population Treasury'!AM$152*'Statistics NZ'!AM$447)</f>
        <v>42168.093669658585</v>
      </c>
      <c r="W102" s="46">
        <f>V$102*'Population Treasury'!AO$152*'Statistics NZ'!AO$447/('Population Treasury'!AN$152*'Statistics NZ'!AN$447)</f>
        <v>43882.832109436938</v>
      </c>
      <c r="X102" s="46">
        <f>W$102*'Population Treasury'!AP$152*'Statistics NZ'!AP$447/('Population Treasury'!AO$152*'Statistics NZ'!AO$447)</f>
        <v>44075.663513088897</v>
      </c>
      <c r="Y102" s="46">
        <f>X$102*'Population Treasury'!AQ$152*'Statistics NZ'!AQ$447/('Population Treasury'!AP$152*'Statistics NZ'!AP$447)</f>
        <v>44684.415611355078</v>
      </c>
      <c r="Z102" s="46">
        <f>Y$102*'Population Treasury'!AR$152*'Statistics NZ'!AR$447/('Population Treasury'!AQ$152*'Statistics NZ'!AQ$447)</f>
        <v>44714.844810029746</v>
      </c>
      <c r="AA102" s="46">
        <f>Z$102*'Population Treasury'!AS$152*'Statistics NZ'!AS$447/('Population Treasury'!AR$152*'Statistics NZ'!AR$447)</f>
        <v>44714.844810029746</v>
      </c>
      <c r="AB102" s="46">
        <f>AA$102*'Population Treasury'!AT$152*'Statistics NZ'!AT$447/('Population Treasury'!AS$152*'Statistics NZ'!AS$447)</f>
        <v>44796.04555975338</v>
      </c>
      <c r="AC102" s="46">
        <f>AB$102*'Population Treasury'!AU$152*'Statistics NZ'!AU$447/('Population Treasury'!AT$152*'Statistics NZ'!AT$447)</f>
        <v>44593.128097013854</v>
      </c>
      <c r="AD102" s="46">
        <f>AC$102*'Population Treasury'!AV$152*'Statistics NZ'!AV$447/('Population Treasury'!AU$152*'Statistics NZ'!AU$447)</f>
        <v>44755.473294287847</v>
      </c>
      <c r="AE102" s="46">
        <f>AD$102*'Population Treasury'!AW$152*'Statistics NZ'!AW$447/('Population Treasury'!AV$152*'Statistics NZ'!AV$447)</f>
        <v>44633.700310457796</v>
      </c>
      <c r="AF102" s="46">
        <f>AE$102*'Population Treasury'!AX$152*'Statistics NZ'!AX$447/('Population Treasury'!AW$152*'Statistics NZ'!AW$447)</f>
        <v>44461.212023670618</v>
      </c>
      <c r="AG102" s="46">
        <f>AF$102*'Population Treasury'!AY$152*'Statistics NZ'!AY$447/('Population Treasury'!AX$152*'Statistics NZ'!AX$447)</f>
        <v>44309.009827104514</v>
      </c>
      <c r="AH102" s="46">
        <f>AG$102*'Population Treasury'!AZ$152*'Statistics NZ'!AZ$447/('Population Treasury'!AY$152*'Statistics NZ'!AY$447)</f>
        <v>44694.558676070534</v>
      </c>
      <c r="AI102" s="46">
        <f>AH$102*'Population Treasury'!BA$152*'Statistics NZ'!BA$447/('Population Treasury'!AZ$152*'Statistics NZ'!AZ$447)</f>
        <v>44035.034401415927</v>
      </c>
      <c r="AJ102" s="46">
        <f>AI$102*'Population Treasury'!BB$152*'Statistics NZ'!BB$447/('Population Treasury'!BA$152*'Statistics NZ'!BA$447)</f>
        <v>44724.987879271568</v>
      </c>
      <c r="AK102" s="46">
        <f>AJ$102*'Population Treasury'!BC$152*'Statistics NZ'!BC$447/('Population Treasury'!BB$152*'Statistics NZ'!BB$447)</f>
        <v>44156.807610801116</v>
      </c>
      <c r="AL102" s="46">
        <f>AK$102*'Population Treasury'!BD$152*'Statistics NZ'!BD$447/('Population Treasury'!BC$152*'Statistics NZ'!BC$447)</f>
        <v>42746.473926680854</v>
      </c>
      <c r="AM102" s="46">
        <f>AL$102*'Population Treasury'!BE$152*'Statistics NZ'!BE$447/('Population Treasury'!BD$152*'Statistics NZ'!BD$447)</f>
        <v>42675.414838036129</v>
      </c>
      <c r="AN102" s="46">
        <f>AM$102*'Population Treasury'!BF$152*'Statistics NZ'!BF$447/('Population Treasury'!BE$152*'Statistics NZ'!BE$447)</f>
        <v>43385.653268142989</v>
      </c>
      <c r="AO102" s="46">
        <f>AN$102*'Population Treasury'!BG$152*'Statistics NZ'!BG$447/('Population Treasury'!BF$152*'Statistics NZ'!BF$447)</f>
        <v>43527.712605771747</v>
      </c>
      <c r="AP102" s="46">
        <f>AO$102*'Population Treasury'!BH$152*'Statistics NZ'!BH$447/('Population Treasury'!BG$152*'Statistics NZ'!BG$447)</f>
        <v>43649.428330928924</v>
      </c>
      <c r="AQ102" s="46">
        <f>AP$102*'Population Treasury'!BI$152*'Statistics NZ'!BI$447/('Population Treasury'!BH$152*'Statistics NZ'!BH$447)</f>
        <v>43740.830271186947</v>
      </c>
    </row>
    <row r="103" spans="1:43" x14ac:dyDescent="0.25">
      <c r="A103" s="11">
        <f>$A$33</f>
        <v>38</v>
      </c>
      <c r="B103" s="45">
        <f>'Population Treasury'!T$153*'Statistics NZ'!T$448*'Economic Forecasts'!V$8/B$7</f>
        <v>35614.014522483805</v>
      </c>
      <c r="C103" s="45">
        <f>'Population Treasury'!U$153*'Statistics NZ'!U$448*'Economic Forecasts'!W$8/C$7</f>
        <v>37279.238885489642</v>
      </c>
      <c r="D103" s="45">
        <f>'Population Treasury'!V$153*'Statistics NZ'!V$448*'Economic Forecasts'!X$8/D$7</f>
        <v>38524.557815318185</v>
      </c>
      <c r="E103" s="45">
        <f>'Population Treasury'!W$153*'Statistics NZ'!W$448*'Economic Forecasts'!Y$8/E$7</f>
        <v>39435.152587419172</v>
      </c>
      <c r="F103" s="45">
        <f>'Population Treasury'!X$153*'Statistics NZ'!X$448*'Economic Forecasts'!Z$8/F$7</f>
        <v>41226.911531039092</v>
      </c>
      <c r="G103" s="45">
        <f>'Population Treasury'!Y$153*'Statistics NZ'!Y$448*'Economic Forecasts'!AA$8/G$7</f>
        <v>42070.093298112741</v>
      </c>
      <c r="H103" s="46">
        <f>G$103*'Population Treasury'!Z$153*'Statistics NZ'!Z$448/('Population Treasury'!Y$153*'Statistics NZ'!Y$448)</f>
        <v>42053.219833438554</v>
      </c>
      <c r="I103" s="46">
        <f>H$103*'Population Treasury'!AA$153*'Statistics NZ'!AA$448/('Population Treasury'!Z$153*'Statistics NZ'!Z$448)</f>
        <v>41231.311158930243</v>
      </c>
      <c r="J103" s="46">
        <f>I$103*'Population Treasury'!AB$153*'Statistics NZ'!AB$448/('Population Treasury'!AA$153*'Statistics NZ'!AA$448)</f>
        <v>40155.091908121351</v>
      </c>
      <c r="K103" s="46">
        <f>J$103*'Population Treasury'!AC$153*'Statistics NZ'!AC$448/('Population Treasury'!AB$153*'Statistics NZ'!AB$448)</f>
        <v>39779.691671601358</v>
      </c>
      <c r="L103" s="46">
        <f>K$103*'Population Treasury'!AD$153*'Statistics NZ'!AD$448/('Population Treasury'!AC$153*'Statistics NZ'!AC$448)</f>
        <v>39292.660381852402</v>
      </c>
      <c r="M103" s="46">
        <f>L$103*'Population Treasury'!AE$153*'Statistics NZ'!AE$448/('Population Treasury'!AD$153*'Statistics NZ'!AD$448)</f>
        <v>37902.563441748018</v>
      </c>
      <c r="N103" s="46">
        <f>M$103*'Population Treasury'!AF$153*'Statistics NZ'!AF$448/('Population Treasury'!AE$153*'Statistics NZ'!AE$448)</f>
        <v>37740.219754046833</v>
      </c>
      <c r="O103" s="46">
        <f>N$103*'Population Treasury'!AG$153*'Statistics NZ'!AG$448/('Population Treasury'!AF$153*'Statistics NZ'!AF$448)</f>
        <v>37080.703014581937</v>
      </c>
      <c r="P103" s="46">
        <f>O$103*'Population Treasury'!AH$153*'Statistics NZ'!AH$448/('Population Treasury'!AG$153*'Statistics NZ'!AG$448)</f>
        <v>38024.337959061755</v>
      </c>
      <c r="Q103" s="46">
        <f>P$103*'Population Treasury'!AI$153*'Statistics NZ'!AI$448/('Population Treasury'!AH$153*'Statistics NZ'!AH$448)</f>
        <v>37679.298640473186</v>
      </c>
      <c r="R103" s="46">
        <f>Q$103*'Population Treasury'!AJ$153*'Statistics NZ'!AJ$448/('Population Treasury'!AI$153*'Statistics NZ'!AI$448)</f>
        <v>36979.212468452541</v>
      </c>
      <c r="S103" s="46">
        <f>R$103*'Population Treasury'!AK$153*'Statistics NZ'!AK$448/('Population Treasury'!AJ$153*'Statistics NZ'!AJ$448)</f>
        <v>37669.223961692325</v>
      </c>
      <c r="T103" s="46">
        <f>S$103*'Population Treasury'!AL$153*'Statistics NZ'!AL$448/('Population Treasury'!AK$153*'Statistics NZ'!AK$448)</f>
        <v>38643.219682270341</v>
      </c>
      <c r="U103" s="46">
        <f>T$103*'Population Treasury'!AM$153*'Statistics NZ'!AM$448/('Population Treasury'!AL$153*'Statistics NZ'!AL$448)</f>
        <v>39028.827366559854</v>
      </c>
      <c r="V103" s="46">
        <f>U$103*'Population Treasury'!AN$153*'Statistics NZ'!AN$448/('Population Treasury'!AM$153*'Statistics NZ'!AM$448)</f>
        <v>39911.607971026213</v>
      </c>
      <c r="W103" s="46">
        <f>V$103*'Population Treasury'!AO$153*'Statistics NZ'!AO$448/('Population Treasury'!AN$153*'Statistics NZ'!AN$448)</f>
        <v>42580.169355620514</v>
      </c>
      <c r="X103" s="46">
        <f>W$103*'Population Treasury'!AP$153*'Statistics NZ'!AP$448/('Population Treasury'!AO$153*'Statistics NZ'!AO$448)</f>
        <v>44294.895184614594</v>
      </c>
      <c r="Y103" s="46">
        <f>X$103*'Population Treasury'!AQ$153*'Statistics NZ'!AQ$448/('Population Treasury'!AP$153*'Statistics NZ'!AP$448)</f>
        <v>44497.868364872091</v>
      </c>
      <c r="Z103" s="46">
        <f>Y$103*'Population Treasury'!AR$153*'Statistics NZ'!AR$448/('Population Treasury'!AQ$153*'Statistics NZ'!AQ$448)</f>
        <v>45096.52971562399</v>
      </c>
      <c r="AA103" s="46">
        <f>Z$103*'Population Treasury'!AS$153*'Statistics NZ'!AS$448/('Population Treasury'!AR$153*'Statistics NZ'!AR$448)</f>
        <v>45127.015099030432</v>
      </c>
      <c r="AB103" s="46">
        <f>AA$103*'Population Treasury'!AT$153*'Statistics NZ'!AT$448/('Population Treasury'!AS$153*'Statistics NZ'!AS$448)</f>
        <v>45137.101602181763</v>
      </c>
      <c r="AC103" s="46">
        <f>AB$103*'Population Treasury'!AU$153*'Statistics NZ'!AU$448/('Population Treasury'!AT$153*'Statistics NZ'!AT$448)</f>
        <v>45228.388436410103</v>
      </c>
      <c r="AD103" s="46">
        <f>AC$103*'Population Treasury'!AV$153*'Statistics NZ'!AV$448/('Population Treasury'!AU$153*'Statistics NZ'!AU$448)</f>
        <v>45025.472367583759</v>
      </c>
      <c r="AE103" s="46">
        <f>AD$103*'Population Treasury'!AW$153*'Statistics NZ'!AW$448/('Population Treasury'!AV$153*'Statistics NZ'!AV$448)</f>
        <v>45187.872899158916</v>
      </c>
      <c r="AF103" s="46">
        <f>AE$103*'Population Treasury'!AX$153*'Statistics NZ'!AX$448/('Population Treasury'!AW$153*'Statistics NZ'!AW$448)</f>
        <v>45066.100816819009</v>
      </c>
      <c r="AG103" s="46">
        <f>AF$103*'Population Treasury'!AY$153*'Statistics NZ'!AY$448/('Population Treasury'!AX$153*'Statistics NZ'!AX$448)</f>
        <v>44903.756851214566</v>
      </c>
      <c r="AH103" s="46">
        <f>AG$103*'Population Treasury'!AZ$153*'Statistics NZ'!AZ$448/('Population Treasury'!AY$153*'Statistics NZ'!AY$448)</f>
        <v>44751.55583744419</v>
      </c>
      <c r="AI103" s="46">
        <f>AH$103*'Population Treasury'!BA$153*'Statistics NZ'!BA$448/('Population Treasury'!AZ$153*'Statistics NZ'!AZ$448)</f>
        <v>45137.10160218177</v>
      </c>
      <c r="AJ103" s="46">
        <f>AI$103*'Population Treasury'!BB$153*'Statistics NZ'!BB$448/('Population Treasury'!BA$153*'Statistics NZ'!BA$448)</f>
        <v>44477.582524333542</v>
      </c>
      <c r="AK103" s="46">
        <f>AJ$103*'Population Treasury'!BC$153*'Statistics NZ'!BC$448/('Population Treasury'!BB$153*'Statistics NZ'!BB$448)</f>
        <v>45167.586959650194</v>
      </c>
      <c r="AL103" s="46">
        <f>AK$103*'Population Treasury'!BD$153*'Statistics NZ'!BD$448/('Population Treasury'!BC$153*'Statistics NZ'!BC$448)</f>
        <v>44609.440600260561</v>
      </c>
      <c r="AM103" s="46">
        <f>AL$103*'Population Treasury'!BE$153*'Statistics NZ'!BE$448/('Population Treasury'!BD$153*'Statistics NZ'!BD$448)</f>
        <v>43209.259425872806</v>
      </c>
      <c r="AN103" s="46">
        <f>AM$103*'Population Treasury'!BF$153*'Statistics NZ'!BF$448/('Population Treasury'!BE$153*'Statistics NZ'!BE$448)</f>
        <v>43138.2597988087</v>
      </c>
      <c r="AO103" s="46">
        <f>AN$103*'Population Treasury'!BG$153*'Statistics NZ'!BG$448/('Population Treasury'!BF$153*'Statistics NZ'!BF$448)</f>
        <v>43848.492374664726</v>
      </c>
      <c r="AP103" s="46">
        <f>AO$103*'Population Treasury'!BH$153*'Statistics NZ'!BH$448/('Population Treasury'!BG$153*'Statistics NZ'!BG$448)</f>
        <v>43990.550594084481</v>
      </c>
      <c r="AQ103" s="46">
        <f>AP$103*'Population Treasury'!BI$153*'Statistics NZ'!BI$448/('Population Treasury'!BH$153*'Statistics NZ'!BH$448)</f>
        <v>44112.32300592601</v>
      </c>
    </row>
    <row r="104" spans="1:43" x14ac:dyDescent="0.25">
      <c r="A104" s="11">
        <f>$A$34</f>
        <v>39</v>
      </c>
      <c r="B104" s="45">
        <f>'Population Treasury'!T$154*'Statistics NZ'!T$449*'Economic Forecasts'!V$8/B$7</f>
        <v>34784.852333040282</v>
      </c>
      <c r="C104" s="45">
        <f>'Population Treasury'!U$154*'Statistics NZ'!U$449*'Economic Forecasts'!W$8/C$7</f>
        <v>35596.952387892015</v>
      </c>
      <c r="D104" s="45">
        <f>'Population Treasury'!V$154*'Statistics NZ'!V$449*'Economic Forecasts'!X$8/D$7</f>
        <v>37660.791556942815</v>
      </c>
      <c r="E104" s="45">
        <f>'Population Treasury'!W$154*'Statistics NZ'!W$449*'Economic Forecasts'!Y$8/E$7</f>
        <v>39005.765449179053</v>
      </c>
      <c r="F104" s="45">
        <f>'Population Treasury'!X$154*'Statistics NZ'!X$449*'Economic Forecasts'!Z$8/F$7</f>
        <v>39893.440318996501</v>
      </c>
      <c r="G104" s="45">
        <f>'Population Treasury'!Y$154*'Statistics NZ'!Y$449*'Economic Forecasts'!AA$8/G$7</f>
        <v>41647.747955229832</v>
      </c>
      <c r="H104" s="46">
        <f>G$104*'Population Treasury'!Z$154*'Statistics NZ'!Z$449/('Population Treasury'!Y$154*'Statistics NZ'!Y$449)</f>
        <v>42432.399716981163</v>
      </c>
      <c r="I104" s="46">
        <f>H$104*'Population Treasury'!AA$154*'Statistics NZ'!AA$449/('Population Treasury'!Z$154*'Statistics NZ'!Z$449)</f>
        <v>42412.105329510232</v>
      </c>
      <c r="J104" s="46">
        <f>I$104*'Population Treasury'!AB$154*'Statistics NZ'!AB$449/('Population Treasury'!AA$154*'Statistics NZ'!AA$449)</f>
        <v>41589.508814153414</v>
      </c>
      <c r="K104" s="46">
        <f>J$104*'Population Treasury'!AC$154*'Statistics NZ'!AC$449/('Population Treasury'!AB$154*'Statistics NZ'!AB$449)</f>
        <v>40503.823731740413</v>
      </c>
      <c r="L104" s="46">
        <f>K$104*'Population Treasury'!AD$154*'Statistics NZ'!AD$449/('Population Treasury'!AC$154*'Statistics NZ'!AC$449)</f>
        <v>40128.426251287674</v>
      </c>
      <c r="M104" s="46">
        <f>L$104*'Population Treasury'!AE$154*'Statistics NZ'!AE$449/('Population Treasury'!AD$154*'Statistics NZ'!AD$449)</f>
        <v>39651.478408449511</v>
      </c>
      <c r="N104" s="46">
        <f>M$104*'Population Treasury'!AF$154*'Statistics NZ'!AF$449/('Population Treasury'!AE$154*'Statistics NZ'!AE$449)</f>
        <v>38271.600356540752</v>
      </c>
      <c r="O104" s="46">
        <f>N$104*'Population Treasury'!AG$154*'Statistics NZ'!AG$449/('Population Treasury'!AF$154*'Statistics NZ'!AF$449)</f>
        <v>38099.115914017326</v>
      </c>
      <c r="P104" s="46">
        <f>O$104*'Population Treasury'!AH$154*'Statistics NZ'!AH$449/('Population Treasury'!AG$154*'Statistics NZ'!AG$449)</f>
        <v>37459.82289494577</v>
      </c>
      <c r="Q104" s="46">
        <f>P$104*'Population Treasury'!AI$154*'Statistics NZ'!AI$449/('Population Treasury'!AH$154*'Statistics NZ'!AH$449)</f>
        <v>38393.373331799492</v>
      </c>
      <c r="R104" s="46">
        <f>Q$104*'Population Treasury'!AJ$154*'Statistics NZ'!AJ$449/('Population Treasury'!AI$154*'Statistics NZ'!AI$449)</f>
        <v>38048.40458778599</v>
      </c>
      <c r="S104" s="46">
        <f>R$104*'Population Treasury'!AK$154*'Statistics NZ'!AK$449/('Population Treasury'!AJ$154*'Statistics NZ'!AJ$449)</f>
        <v>37358.400905696646</v>
      </c>
      <c r="T104" s="46">
        <f>S$104*'Population Treasury'!AL$154*'Statistics NZ'!AL$449/('Population Treasury'!AK$154*'Statistics NZ'!AK$449)</f>
        <v>38058.480966119612</v>
      </c>
      <c r="U104" s="46">
        <f>T$104*'Population Treasury'!AM$154*'Statistics NZ'!AM$449/('Population Treasury'!AL$154*'Statistics NZ'!AL$449)</f>
        <v>39022.457400460211</v>
      </c>
      <c r="V104" s="46">
        <f>U$104*'Population Treasury'!AN$154*'Statistics NZ'!AN$449/('Population Treasury'!AM$154*'Statistics NZ'!AM$449)</f>
        <v>39407.996414635716</v>
      </c>
      <c r="W104" s="46">
        <f>V$104*'Population Treasury'!AO$154*'Statistics NZ'!AO$449/('Population Treasury'!AN$154*'Statistics NZ'!AN$449)</f>
        <v>40300.911159067429</v>
      </c>
      <c r="X104" s="46">
        <f>W$104*'Population Treasury'!AP$154*'Statistics NZ'!AP$449/('Population Treasury'!AO$154*'Statistics NZ'!AO$449)</f>
        <v>42969.451247843994</v>
      </c>
      <c r="Y104" s="46">
        <f>X$104*'Population Treasury'!AQ$154*'Statistics NZ'!AQ$449/('Population Treasury'!AP$154*'Statistics NZ'!AP$449)</f>
        <v>44674.079247853297</v>
      </c>
      <c r="Z104" s="46">
        <f>Y$104*'Population Treasury'!AR$154*'Statistics NZ'!AR$449/('Population Treasury'!AQ$154*'Statistics NZ'!AQ$449)</f>
        <v>44877.049798066546</v>
      </c>
      <c r="AA104" s="46">
        <f>Z$104*'Population Treasury'!AS$154*'Statistics NZ'!AS$449/('Population Treasury'!AR$154*'Statistics NZ'!AR$449)</f>
        <v>45485.793839463877</v>
      </c>
      <c r="AB104" s="46">
        <f>AA$104*'Population Treasury'!AT$154*'Statistics NZ'!AT$449/('Population Treasury'!AS$154*'Statistics NZ'!AS$449)</f>
        <v>45516.277965295281</v>
      </c>
      <c r="AC104" s="46">
        <f>AB$104*'Population Treasury'!AU$154*'Statistics NZ'!AU$449/('Population Treasury'!AT$154*'Statistics NZ'!AT$449)</f>
        <v>45526.42094519925</v>
      </c>
      <c r="AD104" s="46">
        <f>AC$104*'Population Treasury'!AV$154*'Statistics NZ'!AV$449/('Population Treasury'!AU$154*'Statistics NZ'!AU$449)</f>
        <v>45617.7628656202</v>
      </c>
      <c r="AE104" s="46">
        <f>AD$104*'Population Treasury'!AW$154*'Statistics NZ'!AW$449/('Population Treasury'!AV$154*'Statistics NZ'!AV$449)</f>
        <v>45414.848249713279</v>
      </c>
      <c r="AF104" s="46">
        <f>AE$104*'Population Treasury'!AX$154*'Statistics NZ'!AX$449/('Population Treasury'!AW$154*'Statistics NZ'!AW$449)</f>
        <v>45587.333921668484</v>
      </c>
      <c r="AG104" s="46">
        <f>AF$104*'Population Treasury'!AY$154*'Statistics NZ'!AY$449/('Population Treasury'!AX$154*'Statistics NZ'!AX$449)</f>
        <v>45465.563088512936</v>
      </c>
      <c r="AH104" s="46">
        <f>AG$104*'Population Treasury'!AZ$154*'Statistics NZ'!AZ$449/('Population Treasury'!AY$154*'Statistics NZ'!AY$449)</f>
        <v>45313.307907105002</v>
      </c>
      <c r="AI104" s="46">
        <f>AH$104*'Population Treasury'!BA$154*'Statistics NZ'!BA$449/('Population Treasury'!AZ$154*'Statistics NZ'!AZ$449)</f>
        <v>45161.163525213291</v>
      </c>
      <c r="AJ104" s="46">
        <f>AI$104*'Population Treasury'!BB$154*'Statistics NZ'!BB$449/('Population Treasury'!BA$154*'Statistics NZ'!BA$449)</f>
        <v>45546.706909547123</v>
      </c>
      <c r="AK104" s="46">
        <f>AJ$104*'Population Treasury'!BC$154*'Statistics NZ'!BC$449/('Population Treasury'!BB$154*'Statistics NZ'!BB$449)</f>
        <v>44897.335652771166</v>
      </c>
      <c r="AL104" s="46">
        <f>AK$104*'Population Treasury'!BD$154*'Statistics NZ'!BD$449/('Population Treasury'!BC$154*'Statistics NZ'!BC$449)</f>
        <v>45587.333921668491</v>
      </c>
      <c r="AM104" s="46">
        <f>AL$104*'Population Treasury'!BE$154*'Statistics NZ'!BE$449/('Population Treasury'!BD$154*'Statistics NZ'!BD$449)</f>
        <v>45029.249612097679</v>
      </c>
      <c r="AN104" s="46">
        <f>AM$104*'Population Treasury'!BF$154*'Statistics NZ'!BF$449/('Population Treasury'!BE$154*'Statistics NZ'!BE$449)</f>
        <v>43639.108002221947</v>
      </c>
      <c r="AO104" s="46">
        <f>AN$104*'Population Treasury'!BG$154*'Statistics NZ'!BG$449/('Population Treasury'!BF$154*'Statistics NZ'!BF$449)</f>
        <v>43568.165813191015</v>
      </c>
      <c r="AP104" s="46">
        <f>AO$104*'Population Treasury'!BH$154*'Statistics NZ'!BH$449/('Population Treasury'!BG$154*'Statistics NZ'!BG$449)</f>
        <v>44278.393384991447</v>
      </c>
      <c r="AQ104" s="46">
        <f>AP$104*'Population Treasury'!BI$154*'Statistics NZ'!BI$449/('Population Treasury'!BH$154*'Statistics NZ'!BH$449)</f>
        <v>44430.593225111508</v>
      </c>
    </row>
    <row r="105" spans="1:43" x14ac:dyDescent="0.25">
      <c r="A105" s="11">
        <f>$A$35</f>
        <v>40</v>
      </c>
      <c r="B105" s="45">
        <f>'Population Treasury'!T$155*'Statistics NZ'!T$450*'Economic Forecasts'!V$8/B$7</f>
        <v>34465.175344339164</v>
      </c>
      <c r="C105" s="45">
        <f>'Population Treasury'!U$155*'Statistics NZ'!U$450*'Economic Forecasts'!W$8/C$7</f>
        <v>34690.641985585396</v>
      </c>
      <c r="D105" s="45">
        <f>'Population Treasury'!V$155*'Statistics NZ'!V$450*'Economic Forecasts'!X$8/D$7</f>
        <v>35896.538604165726</v>
      </c>
      <c r="E105" s="45">
        <f>'Population Treasury'!W$155*'Statistics NZ'!W$450*'Economic Forecasts'!Y$8/E$7</f>
        <v>38055.569090538957</v>
      </c>
      <c r="F105" s="45">
        <f>'Population Treasury'!X$155*'Statistics NZ'!X$450*'Economic Forecasts'!Z$8/F$7</f>
        <v>39387.587040651742</v>
      </c>
      <c r="G105" s="45">
        <f>'Population Treasury'!Y$155*'Statistics NZ'!Y$450*'Economic Forecasts'!AA$8/G$7</f>
        <v>40231.92156525825</v>
      </c>
      <c r="H105" s="46">
        <f>G$105*'Population Treasury'!Z$155*'Statistics NZ'!Z$450/('Population Treasury'!Y$155*'Statistics NZ'!Y$450)</f>
        <v>41938.500913074815</v>
      </c>
      <c r="I105" s="46">
        <f>H$105*'Population Treasury'!AA$155*'Statistics NZ'!AA$450/('Population Treasury'!Z$155*'Statistics NZ'!Z$450)</f>
        <v>42702.770927522237</v>
      </c>
      <c r="J105" s="46">
        <f>I$105*'Population Treasury'!AB$155*'Statistics NZ'!AB$450/('Population Treasury'!AA$155*'Statistics NZ'!AA$450)</f>
        <v>42678.509819335901</v>
      </c>
      <c r="K105" s="46">
        <f>J$105*'Population Treasury'!AC$155*'Statistics NZ'!AC$450/('Population Treasury'!AB$155*'Statistics NZ'!AB$450)</f>
        <v>41846.456341275109</v>
      </c>
      <c r="L105" s="46">
        <f>K$105*'Population Treasury'!AD$155*'Statistics NZ'!AD$450/('Population Treasury'!AC$155*'Statistics NZ'!AC$450)</f>
        <v>40770.924369310931</v>
      </c>
      <c r="M105" s="46">
        <f>L$105*'Population Treasury'!AE$155*'Statistics NZ'!AE$450/('Population Treasury'!AD$155*'Statistics NZ'!AD$450)</f>
        <v>40395.533245278661</v>
      </c>
      <c r="N105" s="46">
        <f>M$105*'Population Treasury'!AF$155*'Statistics NZ'!AF$450/('Population Treasury'!AE$155*'Statistics NZ'!AE$450)</f>
        <v>39918.654211039524</v>
      </c>
      <c r="O105" s="46">
        <f>N$105*'Population Treasury'!AG$155*'Statistics NZ'!AG$450/('Population Treasury'!AF$155*'Statistics NZ'!AF$450)</f>
        <v>38548.797982775417</v>
      </c>
      <c r="P105" s="46">
        <f>O$105*'Population Treasury'!AH$155*'Statistics NZ'!AH$450/('Population Treasury'!AG$155*'Statistics NZ'!AG$450)</f>
        <v>38376.387769010231</v>
      </c>
      <c r="Q105" s="46">
        <f>P$105*'Population Treasury'!AI$155*'Statistics NZ'!AI$450/('Population Treasury'!AH$155*'Statistics NZ'!AH$450)</f>
        <v>37737.096891154288</v>
      </c>
      <c r="R105" s="46">
        <f>Q$105*'Population Treasury'!AJ$155*'Statistics NZ'!AJ$450/('Population Treasury'!AI$155*'Statistics NZ'!AI$450)</f>
        <v>38680.784212266546</v>
      </c>
      <c r="S105" s="46">
        <f>R$105*'Population Treasury'!AK$155*'Statistics NZ'!AK$450/('Population Treasury'!AJ$155*'Statistics NZ'!AJ$450)</f>
        <v>38335.820759994967</v>
      </c>
      <c r="T105" s="46">
        <f>S$105*'Population Treasury'!AL$155*'Statistics NZ'!AL$450/('Population Treasury'!AK$155*'Statistics NZ'!AK$450)</f>
        <v>37645.821801186023</v>
      </c>
      <c r="U105" s="46">
        <f>T$105*'Population Treasury'!AM$155*'Statistics NZ'!AM$450/('Population Treasury'!AL$155*'Statistics NZ'!AL$450)</f>
        <v>38345.890584203</v>
      </c>
      <c r="V105" s="46">
        <f>U$105*'Population Treasury'!AN$155*'Statistics NZ'!AN$450/('Population Treasury'!AM$155*'Statistics NZ'!AM$450)</f>
        <v>39319.93265063037</v>
      </c>
      <c r="W105" s="46">
        <f>V$105*'Population Treasury'!AO$155*'Statistics NZ'!AO$450/('Population Treasury'!AN$155*'Statistics NZ'!AN$450)</f>
        <v>39705.534861614498</v>
      </c>
      <c r="X105" s="46">
        <f>W$105*'Population Treasury'!AP$155*'Statistics NZ'!AP$450/('Population Treasury'!AO$155*'Statistics NZ'!AO$450)</f>
        <v>40598.441778432214</v>
      </c>
      <c r="Y105" s="46">
        <f>X$105*'Population Treasury'!AQ$155*'Statistics NZ'!AQ$450/('Population Treasury'!AP$155*'Statistics NZ'!AP$450)</f>
        <v>43256.876870647095</v>
      </c>
      <c r="Z105" s="46">
        <f>Y$105*'Population Treasury'!AR$155*'Statistics NZ'!AR$450/('Population Treasury'!AQ$155*'Statistics NZ'!AQ$450)</f>
        <v>44961.54914722441</v>
      </c>
      <c r="AA105" s="46">
        <f>Z$105*'Population Treasury'!AS$155*'Statistics NZ'!AS$450/('Population Treasury'!AR$155*'Statistics NZ'!AR$450)</f>
        <v>45174.602413075409</v>
      </c>
      <c r="AB105" s="46">
        <f>AA$105*'Population Treasury'!AT$155*'Statistics NZ'!AT$450/('Population Treasury'!AS$155*'Statistics NZ'!AS$450)</f>
        <v>45783.335940250268</v>
      </c>
      <c r="AC105" s="46">
        <f>AB$105*'Population Treasury'!AU$155*'Statistics NZ'!AU$450/('Population Treasury'!AT$155*'Statistics NZ'!AT$450)</f>
        <v>45823.966458092684</v>
      </c>
      <c r="AD105" s="46">
        <f>AC$105*'Population Treasury'!AV$155*'Statistics NZ'!AV$450/('Population Treasury'!AU$155*'Statistics NZ'!AU$450)</f>
        <v>45834.109009594977</v>
      </c>
      <c r="AE105" s="46">
        <f>AD$105*'Population Treasury'!AW$155*'Statistics NZ'!AW$450/('Population Treasury'!AV$155*'Statistics NZ'!AV$450)</f>
        <v>45925.45219029834</v>
      </c>
      <c r="AF105" s="46">
        <f>AE$105*'Population Treasury'!AX$155*'Statistics NZ'!AX$450/('Population Treasury'!AW$155*'Statistics NZ'!AW$450)</f>
        <v>45722.541035535854</v>
      </c>
      <c r="AG105" s="46">
        <f>AF$105*'Population Treasury'!AY$155*'Statistics NZ'!AY$450/('Population Treasury'!AX$155*'Statistics NZ'!AX$450)</f>
        <v>45905.10691701038</v>
      </c>
      <c r="AH105" s="46">
        <f>AG$105*'Population Treasury'!AZ$155*'Statistics NZ'!AZ$450/('Population Treasury'!AY$155*'Statistics NZ'!AY$450)</f>
        <v>45783.396268874712</v>
      </c>
      <c r="AI105" s="46">
        <f>AH$105*'Population Treasury'!BA$155*'Statistics NZ'!BA$450/('Population Treasury'!AZ$155*'Statistics NZ'!AZ$450)</f>
        <v>45631.137268114464</v>
      </c>
      <c r="AJ105" s="46">
        <f>AI$105*'Population Treasury'!BB$155*'Statistics NZ'!BB$450/('Population Treasury'!BA$155*'Statistics NZ'!BA$450)</f>
        <v>45478.999329527127</v>
      </c>
      <c r="AK105" s="46">
        <f>AJ$105*'Population Treasury'!BC$155*'Statistics NZ'!BC$450/('Population Treasury'!BB$155*'Statistics NZ'!BB$450)</f>
        <v>45874.679232364273</v>
      </c>
      <c r="AL105" s="46">
        <f>AK$105*'Population Treasury'!BD$155*'Statistics NZ'!BD$450/('Population Treasury'!BC$155*'Statistics NZ'!BC$450)</f>
        <v>45225.314878004268</v>
      </c>
      <c r="AM105" s="46">
        <f>AL$105*'Population Treasury'!BE$155*'Statistics NZ'!BE$450/('Population Treasury'!BD$155*'Statistics NZ'!BD$450)</f>
        <v>45915.309635275597</v>
      </c>
      <c r="AN105" s="46">
        <f>AM$105*'Population Treasury'!BF$155*'Statistics NZ'!BF$450/('Population Treasury'!BE$155*'Statistics NZ'!BE$450)</f>
        <v>45357.228384015078</v>
      </c>
      <c r="AO105" s="46">
        <f>AN$105*'Population Treasury'!BG$155*'Statistics NZ'!BG$450/('Population Treasury'!BF$155*'Statistics NZ'!BF$450)</f>
        <v>43977.236946828001</v>
      </c>
      <c r="AP105" s="46">
        <f>AO$105*'Population Treasury'!BH$155*'Statistics NZ'!BH$450/('Population Treasury'!BG$155*'Statistics NZ'!BG$450)</f>
        <v>43906.303140969656</v>
      </c>
      <c r="AQ105" s="46">
        <f>AP$105*'Population Treasury'!BI$155*'Statistics NZ'!BI$450/('Population Treasury'!BH$155*'Statistics NZ'!BH$450)</f>
        <v>44616.520832289738</v>
      </c>
    </row>
    <row r="106" spans="1:43" x14ac:dyDescent="0.25">
      <c r="A106" s="11">
        <f>$A$36</f>
        <v>41</v>
      </c>
      <c r="B106" s="45">
        <f>'Population Treasury'!T$156*'Statistics NZ'!T$451*'Economic Forecasts'!V$8/B$7</f>
        <v>33725.922307967834</v>
      </c>
      <c r="C106" s="45">
        <f>'Population Treasury'!U$156*'Statistics NZ'!U$451*'Economic Forecasts'!W$8/C$7</f>
        <v>34354.119002178995</v>
      </c>
      <c r="D106" s="45">
        <f>'Population Treasury'!V$156*'Statistics NZ'!V$451*'Economic Forecasts'!X$8/D$7</f>
        <v>35003.047317909142</v>
      </c>
      <c r="E106" s="45">
        <f>'Population Treasury'!W$156*'Statistics NZ'!W$451*'Economic Forecasts'!Y$8/E$7</f>
        <v>36298.530463889918</v>
      </c>
      <c r="F106" s="45">
        <f>'Population Treasury'!X$156*'Statistics NZ'!X$451*'Economic Forecasts'!Z$8/F$7</f>
        <v>38435.089427333784</v>
      </c>
      <c r="G106" s="45">
        <f>'Population Treasury'!Y$156*'Statistics NZ'!Y$451*'Economic Forecasts'!AA$8/G$7</f>
        <v>39719.104167932892</v>
      </c>
      <c r="H106" s="46">
        <f>G$106*'Population Treasury'!Z$156*'Statistics NZ'!Z$451/('Population Treasury'!Y$156*'Statistics NZ'!Y$451)</f>
        <v>40502.308337765826</v>
      </c>
      <c r="I106" s="46">
        <f>H$106*'Population Treasury'!AA$156*'Statistics NZ'!AA$451/('Population Treasury'!Z$156*'Statistics NZ'!Z$451)</f>
        <v>42200.015236939958</v>
      </c>
      <c r="J106" s="46">
        <f>I$106*'Population Treasury'!AB$156*'Statistics NZ'!AB$451/('Population Treasury'!AA$156*'Statistics NZ'!AA$451)</f>
        <v>42967.157894506134</v>
      </c>
      <c r="K106" s="46">
        <f>J$106*'Population Treasury'!AC$156*'Statistics NZ'!AC$451/('Population Treasury'!AB$156*'Statistics NZ'!AB$451)</f>
        <v>42936.731108811669</v>
      </c>
      <c r="L106" s="46">
        <f>K$106*'Population Treasury'!AD$156*'Statistics NZ'!AD$451/('Population Treasury'!AC$156*'Statistics NZ'!AC$451)</f>
        <v>42104.750609379087</v>
      </c>
      <c r="M106" s="46">
        <f>L$106*'Population Treasury'!AE$156*'Statistics NZ'!AE$451/('Population Treasury'!AD$156*'Statistics NZ'!AD$451)</f>
        <v>41029.230672040881</v>
      </c>
      <c r="N106" s="46">
        <f>M$106*'Population Treasury'!AF$156*'Statistics NZ'!AF$451/('Population Treasury'!AE$156*'Statistics NZ'!AE$451)</f>
        <v>40663.918482141598</v>
      </c>
      <c r="O106" s="46">
        <f>N$106*'Population Treasury'!AG$156*'Statistics NZ'!AG$451/('Population Treasury'!AF$156*'Statistics NZ'!AF$451)</f>
        <v>40187.044068251162</v>
      </c>
      <c r="P106" s="46">
        <f>O$106*'Population Treasury'!AH$156*'Statistics NZ'!AH$451/('Population Treasury'!AG$156*'Statistics NZ'!AG$451)</f>
        <v>38827.345879205546</v>
      </c>
      <c r="Q106" s="46">
        <f>P$106*'Population Treasury'!AI$156*'Statistics NZ'!AI$451/('Population Treasury'!AH$156*'Statistics NZ'!AH$451)</f>
        <v>38665.00722878403</v>
      </c>
      <c r="R106" s="46">
        <f>Q$106*'Population Treasury'!AJ$156*'Statistics NZ'!AJ$451/('Population Treasury'!AI$156*'Statistics NZ'!AI$451)</f>
        <v>38025.794933766359</v>
      </c>
      <c r="S106" s="46">
        <f>R$106*'Population Treasury'!AK$156*'Statistics NZ'!AK$451/('Population Treasury'!AJ$156*'Statistics NZ'!AJ$451)</f>
        <v>38969.4009481795</v>
      </c>
      <c r="T106" s="46">
        <f>S$106*'Population Treasury'!AL$156*'Statistics NZ'!AL$451/('Population Treasury'!AK$156*'Statistics NZ'!AK$451)</f>
        <v>38634.58190023651</v>
      </c>
      <c r="U106" s="46">
        <f>T$106*'Population Treasury'!AM$156*'Statistics NZ'!AM$451/('Population Treasury'!AL$156*'Statistics NZ'!AL$451)</f>
        <v>37944.661466422978</v>
      </c>
      <c r="V106" s="46">
        <f>U$106*'Population Treasury'!AN$156*'Statistics NZ'!AN$451/('Population Treasury'!AM$156*'Statistics NZ'!AM$451)</f>
        <v>38644.723674056513</v>
      </c>
      <c r="W106" s="46">
        <f>V$106*'Population Treasury'!AO$156*'Statistics NZ'!AO$451/('Population Treasury'!AN$156*'Statistics NZ'!AN$451)</f>
        <v>39608.682787051323</v>
      </c>
      <c r="X106" s="46">
        <f>W$106*'Population Treasury'!AP$156*'Statistics NZ'!AP$451/('Population Treasury'!AO$156*'Statistics NZ'!AO$451)</f>
        <v>40004.353714218167</v>
      </c>
      <c r="Y106" s="46">
        <f>X$106*'Population Treasury'!AQ$156*'Statistics NZ'!AQ$451/('Population Treasury'!AP$156*'Statistics NZ'!AP$451)</f>
        <v>40897.317977931685</v>
      </c>
      <c r="Z106" s="46">
        <f>Y$106*'Population Treasury'!AR$156*'Statistics NZ'!AR$451/('Population Treasury'!AQ$156*'Statistics NZ'!AQ$451)</f>
        <v>43555.724266683355</v>
      </c>
      <c r="AA106" s="46">
        <f>Z$106*'Population Treasury'!AS$156*'Statistics NZ'!AS$451/('Population Treasury'!AR$156*'Statistics NZ'!AR$451)</f>
        <v>45260.319220614758</v>
      </c>
      <c r="AB106" s="46">
        <f>AA$106*'Population Treasury'!AT$156*'Statistics NZ'!AT$451/('Population Treasury'!AS$156*'Statistics NZ'!AS$451)</f>
        <v>45473.431097656918</v>
      </c>
      <c r="AC106" s="46">
        <f>AB$106*'Population Treasury'!AU$156*'Statistics NZ'!AU$451/('Population Treasury'!AT$156*'Statistics NZ'!AT$451)</f>
        <v>46072.076969785878</v>
      </c>
      <c r="AD106" s="46">
        <f>AC$106*'Population Treasury'!AV$156*'Statistics NZ'!AV$451/('Population Treasury'!AU$156*'Statistics NZ'!AU$451)</f>
        <v>46122.789723095026</v>
      </c>
      <c r="AE106" s="46">
        <f>AD$106*'Population Treasury'!AW$156*'Statistics NZ'!AW$451/('Population Treasury'!AV$156*'Statistics NZ'!AV$451)</f>
        <v>46132.932278750966</v>
      </c>
      <c r="AF106" s="46">
        <f>AE$106*'Population Treasury'!AX$156*'Statistics NZ'!AX$451/('Population Treasury'!AW$156*'Statistics NZ'!AW$451)</f>
        <v>46234.416658218353</v>
      </c>
      <c r="AG106" s="46">
        <f>AF$106*'Population Treasury'!AY$156*'Statistics NZ'!AY$451/('Population Treasury'!AX$156*'Statistics NZ'!AX$451)</f>
        <v>46031.506797164606</v>
      </c>
      <c r="AH106" s="46">
        <f>AG$106*'Population Treasury'!AZ$156*'Statistics NZ'!AZ$451/('Population Treasury'!AY$156*'Statistics NZ'!AY$451)</f>
        <v>46214.131537723682</v>
      </c>
      <c r="AI106" s="46">
        <f>AH$106*'Population Treasury'!BA$156*'Statistics NZ'!BA$451/('Population Treasury'!AZ$156*'Statistics NZ'!AZ$451)</f>
        <v>46092.420954347079</v>
      </c>
      <c r="AJ106" s="46">
        <f>AI$106*'Population Treasury'!BB$156*'Statistics NZ'!BB$451/('Population Treasury'!BA$156*'Statistics NZ'!BA$451)</f>
        <v>45940.164925531448</v>
      </c>
      <c r="AK106" s="46">
        <f>AJ$106*'Population Treasury'!BC$156*'Statistics NZ'!BC$451/('Population Treasury'!BB$156*'Statistics NZ'!BB$451)</f>
        <v>45808.252846905467</v>
      </c>
      <c r="AL106" s="46">
        <f>AK$106*'Population Treasury'!BD$156*'Statistics NZ'!BD$451/('Population Treasury'!BC$156*'Statistics NZ'!BC$451)</f>
        <v>46193.846423862655</v>
      </c>
      <c r="AM106" s="46">
        <f>AL$106*'Population Treasury'!BE$156*'Statistics NZ'!BE$451/('Population Treasury'!BD$156*'Statistics NZ'!BD$451)</f>
        <v>45544.48818401921</v>
      </c>
      <c r="AN106" s="46">
        <f>AM$106*'Population Treasury'!BF$156*'Statistics NZ'!BF$451/('Population Treasury'!BE$156*'Statistics NZ'!BE$451)</f>
        <v>46244.559220950774</v>
      </c>
      <c r="AO106" s="46">
        <f>AN$106*'Population Treasury'!BG$156*'Statistics NZ'!BG$451/('Population Treasury'!BF$156*'Statistics NZ'!BF$451)</f>
        <v>45686.542663081396</v>
      </c>
      <c r="AP106" s="46">
        <f>AO$106*'Population Treasury'!BH$156*'Statistics NZ'!BH$451/('Population Treasury'!BG$156*'Statistics NZ'!BG$451)</f>
        <v>44306.566886503664</v>
      </c>
      <c r="AQ106" s="46">
        <f>AP$106*'Population Treasury'!BI$156*'Statistics NZ'!BI$451/('Population Treasury'!BH$156*'Statistics NZ'!BH$451)</f>
        <v>44245.71261055494</v>
      </c>
    </row>
    <row r="107" spans="1:43" x14ac:dyDescent="0.25">
      <c r="A107" s="11">
        <f>$A$37</f>
        <v>42</v>
      </c>
      <c r="B107" s="45">
        <f>'Population Treasury'!T$157*'Statistics NZ'!T$452*'Economic Forecasts'!V$8/B$7</f>
        <v>32547.113412132458</v>
      </c>
      <c r="C107" s="45">
        <f>'Population Treasury'!U$157*'Statistics NZ'!U$452*'Economic Forecasts'!W$8/C$7</f>
        <v>33582.218844425966</v>
      </c>
      <c r="D107" s="45">
        <f>'Population Treasury'!V$157*'Statistics NZ'!V$452*'Economic Forecasts'!X$8/D$7</f>
        <v>34615.800624477124</v>
      </c>
      <c r="E107" s="45">
        <f>'Population Treasury'!W$157*'Statistics NZ'!W$452*'Economic Forecasts'!Y$8/E$7</f>
        <v>35350.064754008134</v>
      </c>
      <c r="F107" s="45">
        <f>'Population Treasury'!X$157*'Statistics NZ'!X$452*'Economic Forecasts'!Z$8/F$7</f>
        <v>36620.393407881085</v>
      </c>
      <c r="G107" s="45">
        <f>'Population Treasury'!Y$157*'Statistics NZ'!Y$452*'Economic Forecasts'!AA$8/G$7</f>
        <v>38723.689692555999</v>
      </c>
      <c r="H107" s="46">
        <f>G$107*'Population Treasury'!Z$157*'Statistics NZ'!Z$452/('Population Treasury'!Y$157*'Statistics NZ'!Y$452)</f>
        <v>39943.226752839662</v>
      </c>
      <c r="I107" s="46">
        <f>H$107*'Population Treasury'!AA$157*'Statistics NZ'!AA$452/('Population Treasury'!Z$157*'Statistics NZ'!Z$452)</f>
        <v>40727.656245995531</v>
      </c>
      <c r="J107" s="46">
        <f>I$107*'Population Treasury'!AB$157*'Statistics NZ'!AB$452/('Population Treasury'!AA$157*'Statistics NZ'!AA$452)</f>
        <v>42408.081564504268</v>
      </c>
      <c r="K107" s="46">
        <f>J$107*'Population Treasury'!AC$157*'Statistics NZ'!AC$452/('Population Treasury'!AB$157*'Statistics NZ'!AB$452)</f>
        <v>43169.059187848303</v>
      </c>
      <c r="L107" s="46">
        <f>K$107*'Population Treasury'!AD$157*'Statistics NZ'!AD$452/('Population Treasury'!AC$157*'Statistics NZ'!AC$452)</f>
        <v>43138.632238403326</v>
      </c>
      <c r="M107" s="46">
        <f>L$107*'Population Treasury'!AE$157*'Statistics NZ'!AE$452/('Population Treasury'!AD$157*'Statistics NZ'!AD$452)</f>
        <v>42316.739489498155</v>
      </c>
      <c r="N107" s="46">
        <f>M$107*'Population Treasury'!AF$157*'Statistics NZ'!AF$452/('Population Treasury'!AE$157*'Statistics NZ'!AE$452)</f>
        <v>41251.371468541496</v>
      </c>
      <c r="O107" s="46">
        <f>N$107*'Population Treasury'!AG$157*'Statistics NZ'!AG$452/('Population Treasury'!AF$157*'Statistics NZ'!AF$452)</f>
        <v>40886.064256093807</v>
      </c>
      <c r="P107" s="46">
        <f>O$107*'Population Treasury'!AH$157*'Statistics NZ'!AH$452/('Population Treasury'!AG$157*'Statistics NZ'!AG$452)</f>
        <v>40419.336153167846</v>
      </c>
      <c r="Q107" s="46">
        <f>P$107*'Population Treasury'!AI$157*'Statistics NZ'!AI$452/('Population Treasury'!AH$157*'Statistics NZ'!AH$452)</f>
        <v>39059.654456299453</v>
      </c>
      <c r="R107" s="46">
        <f>Q$107*'Population Treasury'!AJ$157*'Statistics NZ'!AJ$452/('Population Treasury'!AI$157*'Statistics NZ'!AI$452)</f>
        <v>38897.38475021044</v>
      </c>
      <c r="S107" s="46">
        <f>R$107*'Population Treasury'!AK$157*'Statistics NZ'!AK$452/('Population Treasury'!AJ$157*'Statistics NZ'!AJ$452)</f>
        <v>38268.253088714249</v>
      </c>
      <c r="T107" s="46">
        <f>S$107*'Population Treasury'!AL$157*'Statistics NZ'!AL$452/('Population Treasury'!AK$157*'Statistics NZ'!AK$452)</f>
        <v>39211.849760780926</v>
      </c>
      <c r="U107" s="46">
        <f>T$107*'Population Treasury'!AM$157*'Statistics NZ'!AM$452/('Population Treasury'!AL$157*'Statistics NZ'!AL$452)</f>
        <v>38877.033626364333</v>
      </c>
      <c r="V107" s="46">
        <f>U$107*'Population Treasury'!AN$157*'Statistics NZ'!AN$452/('Population Treasury'!AM$157*'Statistics NZ'!AM$452)</f>
        <v>38197.192108261857</v>
      </c>
      <c r="W107" s="46">
        <f>V$107*'Population Treasury'!AO$157*'Statistics NZ'!AO$452/('Population Treasury'!AN$157*'Statistics NZ'!AN$452)</f>
        <v>38897.31732843745</v>
      </c>
      <c r="X107" s="46">
        <f>W$107*'Population Treasury'!AP$157*'Statistics NZ'!AP$452/('Population Treasury'!AO$157*'Statistics NZ'!AO$452)</f>
        <v>39861.265003471621</v>
      </c>
      <c r="Y107" s="46">
        <f>X$107*'Population Treasury'!AQ$157*'Statistics NZ'!AQ$452/('Population Treasury'!AP$157*'Statistics NZ'!AP$452)</f>
        <v>40256.998865104317</v>
      </c>
      <c r="Z107" s="46">
        <f>Y$107*'Population Treasury'!AR$157*'Statistics NZ'!AR$452/('Population Treasury'!AQ$157*'Statistics NZ'!AQ$452)</f>
        <v>41149.886667775609</v>
      </c>
      <c r="AA107" s="46">
        <f>Z$107*'Population Treasury'!AS$157*'Statistics NZ'!AS$452/('Population Treasury'!AR$157*'Statistics NZ'!AR$452)</f>
        <v>43808.26891071671</v>
      </c>
      <c r="AB107" s="46">
        <f>AA$107*'Population Treasury'!AT$157*'Statistics NZ'!AT$452/('Population Treasury'!AS$157*'Statistics NZ'!AS$452)</f>
        <v>45502.823999135246</v>
      </c>
      <c r="AC107" s="46">
        <f>AB$107*'Population Treasury'!AU$157*'Statistics NZ'!AU$452/('Population Treasury'!AT$157*'Statistics NZ'!AT$452)</f>
        <v>45715.874953902523</v>
      </c>
      <c r="AD107" s="46">
        <f>AC$107*'Population Treasury'!AV$157*'Statistics NZ'!AV$452/('Population Treasury'!AU$157*'Statistics NZ'!AU$452)</f>
        <v>46324.658150723648</v>
      </c>
      <c r="AE107" s="46">
        <f>AD$107*'Population Treasury'!AW$157*'Statistics NZ'!AW$452/('Population Treasury'!AV$157*'Statistics NZ'!AV$452)</f>
        <v>46375.371224561182</v>
      </c>
      <c r="AF107" s="46">
        <f>AE$107*'Population Treasury'!AX$157*'Statistics NZ'!AX$452/('Population Treasury'!AW$157*'Statistics NZ'!AW$452)</f>
        <v>46385.570453211338</v>
      </c>
      <c r="AG107" s="46">
        <f>AF$107*'Population Treasury'!AY$157*'Statistics NZ'!AY$452/('Population Treasury'!AX$157*'Statistics NZ'!AX$452)</f>
        <v>46486.996632316586</v>
      </c>
      <c r="AH107" s="46">
        <f>AG$107*'Population Treasury'!AZ$157*'Statistics NZ'!AZ$452/('Population Treasury'!AY$157*'Statistics NZ'!AY$452)</f>
        <v>46294.230325986988</v>
      </c>
      <c r="AI107" s="46">
        <f>AH$107*'Population Treasury'!BA$157*'Statistics NZ'!BA$452/('Population Treasury'!AZ$157*'Statistics NZ'!AZ$452)</f>
        <v>46476.85400710284</v>
      </c>
      <c r="AJ107" s="46">
        <f>AI$107*'Population Treasury'!BB$157*'Statistics NZ'!BB$452/('Population Treasury'!BA$157*'Statistics NZ'!BA$452)</f>
        <v>46365.228606537326</v>
      </c>
      <c r="AK107" s="46">
        <f>AJ$107*'Population Treasury'!BC$157*'Statistics NZ'!BC$452/('Population Treasury'!BB$157*'Statistics NZ'!BB$452)</f>
        <v>46213.03271767492</v>
      </c>
      <c r="AL107" s="46">
        <f>AK$107*'Population Treasury'!BD$157*'Statistics NZ'!BD$452/('Population Treasury'!BC$157*'Statistics NZ'!BC$452)</f>
        <v>46071.036430366476</v>
      </c>
      <c r="AM107" s="46">
        <f>AL$107*'Population Treasury'!BE$157*'Statistics NZ'!BE$452/('Population Treasury'!BD$157*'Statistics NZ'!BD$452)</f>
        <v>46466.711383509399</v>
      </c>
      <c r="AN107" s="46">
        <f>AM$107*'Population Treasury'!BF$157*'Statistics NZ'!BF$452/('Population Treasury'!BE$157*'Statistics NZ'!BE$452)</f>
        <v>45827.500455697424</v>
      </c>
      <c r="AO107" s="46">
        <f>AN$107*'Population Treasury'!BG$157*'Statistics NZ'!BG$452/('Population Treasury'!BF$157*'Statistics NZ'!BF$452)</f>
        <v>46517.480965277406</v>
      </c>
      <c r="AP107" s="46">
        <f>AO$107*'Population Treasury'!BH$157*'Statistics NZ'!BH$452/('Population Treasury'!BG$157*'Statistics NZ'!BG$452)</f>
        <v>45969.553611857962</v>
      </c>
      <c r="AQ107" s="46">
        <f>AP$107*'Population Treasury'!BI$157*'Statistics NZ'!BI$452/('Population Treasury'!BH$157*'Statistics NZ'!BH$452)</f>
        <v>44599.734180095315</v>
      </c>
    </row>
    <row r="108" spans="1:43" x14ac:dyDescent="0.25">
      <c r="A108" s="11">
        <f>$A$38</f>
        <v>43</v>
      </c>
      <c r="B108" s="45">
        <f>'Population Treasury'!T$158*'Statistics NZ'!T$453*'Economic Forecasts'!V$8/B$7</f>
        <v>31777.890658070406</v>
      </c>
      <c r="C108" s="45">
        <f>'Population Treasury'!U$158*'Statistics NZ'!U$453*'Economic Forecasts'!W$8/C$7</f>
        <v>32384.833411567135</v>
      </c>
      <c r="D108" s="45">
        <f>'Population Treasury'!V$158*'Statistics NZ'!V$453*'Economic Forecasts'!X$8/D$7</f>
        <v>33801.705460236088</v>
      </c>
      <c r="E108" s="45">
        <f>'Population Treasury'!W$158*'Statistics NZ'!W$453*'Economic Forecasts'!Y$8/E$7</f>
        <v>34920.708550535055</v>
      </c>
      <c r="F108" s="45">
        <f>'Population Treasury'!X$158*'Statistics NZ'!X$453*'Economic Forecasts'!Z$8/F$7</f>
        <v>35627.79322457024</v>
      </c>
      <c r="G108" s="45">
        <f>'Population Treasury'!Y$158*'Statistics NZ'!Y$453*'Economic Forecasts'!AA$8/G$7</f>
        <v>36863.601804285921</v>
      </c>
      <c r="H108" s="46">
        <f>G$108*'Population Treasury'!Z$158*'Statistics NZ'!Z$453/('Population Treasury'!Y$158*'Statistics NZ'!Y$453)</f>
        <v>38904.966240326394</v>
      </c>
      <c r="I108" s="46">
        <f>H$108*'Population Treasury'!AA$158*'Statistics NZ'!AA$453/('Population Treasury'!Z$158*'Statistics NZ'!Z$453)</f>
        <v>40125.660797170429</v>
      </c>
      <c r="J108" s="46">
        <f>I$108*'Population Treasury'!AB$158*'Statistics NZ'!AB$453/('Population Treasury'!AA$158*'Statistics NZ'!AA$453)</f>
        <v>40892.8928243673</v>
      </c>
      <c r="K108" s="46">
        <f>J$108*'Population Treasury'!AC$158*'Statistics NZ'!AC$453/('Population Treasury'!AB$158*'Statistics NZ'!AB$453)</f>
        <v>42577.227778428882</v>
      </c>
      <c r="L108" s="46">
        <f>K$108*'Population Treasury'!AD$158*'Statistics NZ'!AD$453/('Population Treasury'!AC$158*'Statistics NZ'!AC$453)</f>
        <v>43338.198640565992</v>
      </c>
      <c r="M108" s="46">
        <f>L$108*'Population Treasury'!AE$158*'Statistics NZ'!AE$453/('Population Treasury'!AD$158*'Statistics NZ'!AD$453)</f>
        <v>43307.771158142961</v>
      </c>
      <c r="N108" s="46">
        <f>M$108*'Population Treasury'!AF$158*'Statistics NZ'!AF$453/('Population Treasury'!AE$158*'Statistics NZ'!AE$453)</f>
        <v>42485.888162482006</v>
      </c>
      <c r="O108" s="46">
        <f>N$108*'Population Treasury'!AG$158*'Statistics NZ'!AG$453/('Population Treasury'!AF$158*'Statistics NZ'!AF$453)</f>
        <v>41430.612994408431</v>
      </c>
      <c r="P108" s="46">
        <f>O$108*'Population Treasury'!AH$158*'Statistics NZ'!AH$453/('Population Treasury'!AG$158*'Statistics NZ'!AG$453)</f>
        <v>41065.371224913557</v>
      </c>
      <c r="Q108" s="46">
        <f>P$108*'Population Treasury'!AI$158*'Statistics NZ'!AI$453/('Population Treasury'!AH$158*'Statistics NZ'!AH$453)</f>
        <v>40608.729025336106</v>
      </c>
      <c r="R108" s="46">
        <f>Q$108*'Population Treasury'!AJ$158*'Statistics NZ'!AJ$453/('Population Treasury'!AI$158*'Statistics NZ'!AI$453)</f>
        <v>39249.126480351726</v>
      </c>
      <c r="S108" s="46">
        <f>R$108*'Population Treasury'!AK$158*'Statistics NZ'!AK$453/('Population Treasury'!AJ$158*'Statistics NZ'!AJ$453)</f>
        <v>39096.869890898444</v>
      </c>
      <c r="T108" s="46">
        <f>S$108*'Population Treasury'!AL$158*'Statistics NZ'!AL$453/('Population Treasury'!AK$158*'Statistics NZ'!AK$453)</f>
        <v>38467.810776318904</v>
      </c>
      <c r="U108" s="46">
        <f>T$108*'Population Treasury'!AM$158*'Statistics NZ'!AM$453/('Population Treasury'!AL$158*'Statistics NZ'!AL$453)</f>
        <v>39411.462263443631</v>
      </c>
      <c r="V108" s="46">
        <f>U$108*'Population Treasury'!AN$158*'Statistics NZ'!AN$453/('Population Treasury'!AM$158*'Statistics NZ'!AM$453)</f>
        <v>39076.648736213028</v>
      </c>
      <c r="W108" s="46">
        <f>V$108*'Population Treasury'!AO$158*'Statistics NZ'!AO$453/('Population Treasury'!AN$158*'Statistics NZ'!AN$453)</f>
        <v>38396.816970192303</v>
      </c>
      <c r="X108" s="46">
        <f>W$108*'Population Treasury'!AP$158*'Statistics NZ'!AP$453/('Population Treasury'!AO$158*'Statistics NZ'!AO$453)</f>
        <v>39096.93282664931</v>
      </c>
      <c r="Y108" s="46">
        <f>X$108*'Population Treasury'!AQ$158*'Statistics NZ'!AQ$453/('Population Treasury'!AP$158*'Statistics NZ'!AP$453)</f>
        <v>40070.948376569664</v>
      </c>
      <c r="Z108" s="46">
        <f>Y$108*'Population Treasury'!AR$158*'Statistics NZ'!AR$453/('Population Treasury'!AQ$158*'Statistics NZ'!AQ$453)</f>
        <v>40466.67722769548</v>
      </c>
      <c r="AA108" s="46">
        <f>Z$108*'Population Treasury'!AS$158*'Statistics NZ'!AS$453/('Population Treasury'!AR$158*'Statistics NZ'!AR$453)</f>
        <v>41359.557335808822</v>
      </c>
      <c r="AB108" s="46">
        <f>AA$108*'Population Treasury'!AT$158*'Statistics NZ'!AT$453/('Population Treasury'!AS$158*'Statistics NZ'!AS$453)</f>
        <v>44007.887299354814</v>
      </c>
      <c r="AC108" s="46">
        <f>AB$108*'Population Treasury'!AU$158*'Statistics NZ'!AU$453/('Population Treasury'!AT$158*'Statistics NZ'!AT$453)</f>
        <v>45712.508630971737</v>
      </c>
      <c r="AD108" s="46">
        <f>AC$108*'Population Treasury'!AV$158*'Statistics NZ'!AV$453/('Population Treasury'!AU$158*'Statistics NZ'!AU$453)</f>
        <v>45925.559538609836</v>
      </c>
      <c r="AE108" s="46">
        <f>AD$108*'Population Treasury'!AW$158*'Statistics NZ'!AW$453/('Population Treasury'!AV$158*'Statistics NZ'!AV$453)</f>
        <v>46534.391261018471</v>
      </c>
      <c r="AF108" s="46">
        <f>AE$108*'Population Treasury'!AX$158*'Statistics NZ'!AX$453/('Population Treasury'!AW$158*'Statistics NZ'!AW$453)</f>
        <v>46585.105166847083</v>
      </c>
      <c r="AG108" s="46">
        <f>AF$108*'Population Treasury'!AY$158*'Statistics NZ'!AY$453/('Population Treasury'!AX$158*'Statistics NZ'!AX$453)</f>
        <v>46595.300809150707</v>
      </c>
      <c r="AH108" s="46">
        <f>AG$108*'Population Treasury'!AZ$158*'Statistics NZ'!AZ$453/('Population Treasury'!AY$158*'Statistics NZ'!AY$453)</f>
        <v>46696.728653580612</v>
      </c>
      <c r="AI108" s="46">
        <f>AH$108*'Population Treasury'!BA$158*'Statistics NZ'!BA$453/('Population Treasury'!AZ$158*'Statistics NZ'!AZ$453)</f>
        <v>46514.052752379932</v>
      </c>
      <c r="AJ108" s="46">
        <f>AI$108*'Population Treasury'!BB$158*'Statistics NZ'!BB$453/('Population Treasury'!BA$158*'Statistics NZ'!BA$453)</f>
        <v>46696.675895864442</v>
      </c>
      <c r="AK108" s="46">
        <f>AJ$108*'Population Treasury'!BC$158*'Statistics NZ'!BC$453/('Population Treasury'!BB$158*'Statistics NZ'!BB$453)</f>
        <v>46585.105166847097</v>
      </c>
      <c r="AL108" s="46">
        <f>AK$108*'Population Treasury'!BD$158*'Statistics NZ'!BD$453/('Population Treasury'!BC$158*'Statistics NZ'!BC$453)</f>
        <v>46432.910529283021</v>
      </c>
      <c r="AM108" s="46">
        <f>AL$108*'Population Treasury'!BE$158*'Statistics NZ'!BE$453/('Population Treasury'!BD$158*'Statistics NZ'!BD$453)</f>
        <v>46301.001441704429</v>
      </c>
      <c r="AN108" s="46">
        <f>AM$108*'Population Treasury'!BF$158*'Statistics NZ'!BF$453/('Population Treasury'!BE$158*'Statistics NZ'!BE$453)</f>
        <v>46696.72865358062</v>
      </c>
      <c r="AO108" s="46">
        <f>AN$108*'Population Treasury'!BG$158*'Statistics NZ'!BG$453/('Population Treasury'!BF$158*'Statistics NZ'!BF$453)</f>
        <v>46057.468699070043</v>
      </c>
      <c r="AP108" s="46">
        <f>AO$108*'Population Treasury'!BH$158*'Statistics NZ'!BH$453/('Population Treasury'!BG$158*'Statistics NZ'!BG$453)</f>
        <v>46757.585434358502</v>
      </c>
      <c r="AQ108" s="46">
        <f>AP$108*'Population Treasury'!BI$158*'Statistics NZ'!BI$453/('Population Treasury'!BH$158*'Statistics NZ'!BH$453)</f>
        <v>46209.663353272343</v>
      </c>
    </row>
    <row r="109" spans="1:43" x14ac:dyDescent="0.25">
      <c r="A109" s="11">
        <f>$A$39</f>
        <v>44</v>
      </c>
      <c r="B109" s="45">
        <f>'Population Treasury'!T$159*'Statistics NZ'!T$454*'Economic Forecasts'!V$8/B$7</f>
        <v>30938.738562729966</v>
      </c>
      <c r="C109" s="45">
        <f>'Population Treasury'!U$159*'Statistics NZ'!U$454*'Economic Forecasts'!W$8/C$7</f>
        <v>31593.169620002205</v>
      </c>
      <c r="D109" s="45">
        <f>'Population Treasury'!V$159*'Statistics NZ'!V$454*'Economic Forecasts'!X$8/D$7</f>
        <v>32570.725565830409</v>
      </c>
      <c r="E109" s="45">
        <f>'Population Treasury'!W$159*'Statistics NZ'!W$454*'Economic Forecasts'!Y$8/E$7</f>
        <v>34072.123284087131</v>
      </c>
      <c r="F109" s="45">
        <f>'Population Treasury'!X$159*'Statistics NZ'!X$454*'Economic Forecasts'!Z$8/F$7</f>
        <v>35166.577866597421</v>
      </c>
      <c r="G109" s="45">
        <f>'Population Treasury'!Y$159*'Statistics NZ'!Y$454*'Economic Forecasts'!AA$8/G$7</f>
        <v>35827.979435525536</v>
      </c>
      <c r="H109" s="46">
        <f>G$109*'Population Treasury'!Z$159*'Statistics NZ'!Z$454/('Population Treasury'!Y$159*'Statistics NZ'!Y$454)</f>
        <v>37016.8613337188</v>
      </c>
      <c r="I109" s="46">
        <f>H$109*'Population Treasury'!AA$159*'Statistics NZ'!AA$454/('Population Treasury'!Z$159*'Statistics NZ'!Z$454)</f>
        <v>39049.403966722013</v>
      </c>
      <c r="J109" s="46">
        <f>I$109*'Population Treasury'!AB$159*'Statistics NZ'!AB$454/('Population Treasury'!AA$159*'Statistics NZ'!AA$454)</f>
        <v>40263.000584211601</v>
      </c>
      <c r="K109" s="46">
        <f>J$109*'Population Treasury'!AC$159*'Statistics NZ'!AC$454/('Population Treasury'!AB$159*'Statistics NZ'!AB$454)</f>
        <v>41024.024829024944</v>
      </c>
      <c r="L109" s="46">
        <f>K$109*'Population Treasury'!AD$159*'Statistics NZ'!AD$454/('Population Treasury'!AC$159*'Statistics NZ'!AC$454)</f>
        <v>42708.350598542376</v>
      </c>
      <c r="M109" s="46">
        <f>L$109*'Population Treasury'!AE$159*'Statistics NZ'!AE$454/('Population Treasury'!AD$159*'Statistics NZ'!AD$454)</f>
        <v>43459.230454271339</v>
      </c>
      <c r="N109" s="46">
        <f>M$109*'Population Treasury'!AF$159*'Statistics NZ'!AF$454/('Population Treasury'!AE$159*'Statistics NZ'!AE$454)</f>
        <v>43438.945269864809</v>
      </c>
      <c r="O109" s="46">
        <f>N$109*'Population Treasury'!AG$159*'Statistics NZ'!AG$454/('Population Treasury'!AF$159*'Statistics NZ'!AF$454)</f>
        <v>42627.154784890088</v>
      </c>
      <c r="P109" s="46">
        <f>O$109*'Population Treasury'!AH$159*'Statistics NZ'!AH$454/('Population Treasury'!AG$159*'Statistics NZ'!AG$454)</f>
        <v>41571.943409940788</v>
      </c>
      <c r="Q109" s="46">
        <f>P$109*'Population Treasury'!AI$159*'Statistics NZ'!AI$454/('Population Treasury'!AH$159*'Statistics NZ'!AH$454)</f>
        <v>41206.702710813202</v>
      </c>
      <c r="R109" s="46">
        <f>Q$109*'Population Treasury'!AJ$159*'Statistics NZ'!AJ$454/('Population Treasury'!AI$159*'Statistics NZ'!AI$454)</f>
        <v>40750.065528446925</v>
      </c>
      <c r="S109" s="46">
        <f>R$109*'Population Treasury'!AK$159*'Statistics NZ'!AK$454/('Population Treasury'!AJ$159*'Statistics NZ'!AJ$454)</f>
        <v>39400.553290482057</v>
      </c>
      <c r="T109" s="46">
        <f>S$109*'Population Treasury'!AL$159*'Statistics NZ'!AL$454/('Population Treasury'!AK$159*'Statistics NZ'!AK$454)</f>
        <v>39248.360332032134</v>
      </c>
      <c r="U109" s="46">
        <f>T$109*'Population Treasury'!AM$159*'Statistics NZ'!AM$454/('Population Treasury'!AL$159*'Statistics NZ'!AL$454)</f>
        <v>38629.385547098922</v>
      </c>
      <c r="V109" s="46">
        <f>U$109*'Population Treasury'!AN$159*'Statistics NZ'!AN$454/('Population Treasury'!AM$159*'Statistics NZ'!AM$454)</f>
        <v>39562.948413313832</v>
      </c>
      <c r="W109" s="46">
        <f>V$109*'Population Treasury'!AO$159*'Statistics NZ'!AO$454/('Population Treasury'!AN$159*'Statistics NZ'!AN$454)</f>
        <v>39238.218163615413</v>
      </c>
      <c r="X109" s="46">
        <f>W$109*'Population Treasury'!AP$159*'Statistics NZ'!AP$454/('Population Treasury'!AO$159*'Statistics NZ'!AO$454)</f>
        <v>38568.532953328489</v>
      </c>
      <c r="Y109" s="46">
        <f>X$109*'Population Treasury'!AQ$159*'Statistics NZ'!AQ$454/('Population Treasury'!AP$159*'Statistics NZ'!AP$454)</f>
        <v>39268.644675254771</v>
      </c>
      <c r="Z109" s="46">
        <f>Y$109*'Population Treasury'!AR$159*'Statistics NZ'!AR$454/('Population Treasury'!AQ$159*'Statistics NZ'!AQ$454)</f>
        <v>40232.632650243919</v>
      </c>
      <c r="AA109" s="46">
        <f>Z$109*'Population Treasury'!AS$159*'Statistics NZ'!AS$454/('Population Treasury'!AR$159*'Statistics NZ'!AR$454)</f>
        <v>40628.299353473056</v>
      </c>
      <c r="AB109" s="46">
        <f>AA$109*'Population Treasury'!AT$159*'Statistics NZ'!AT$454/('Population Treasury'!AS$159*'Statistics NZ'!AS$454)</f>
        <v>41521.231356611956</v>
      </c>
      <c r="AC109" s="46">
        <f>AB$109*'Population Treasury'!AU$159*'Statistics NZ'!AU$454/('Population Treasury'!AT$159*'Statistics NZ'!AT$454)</f>
        <v>44179.573963037874</v>
      </c>
      <c r="AD109" s="46">
        <f>AC$109*'Population Treasury'!AV$159*'Statistics NZ'!AV$454/('Population Treasury'!AU$159*'Statistics NZ'!AU$454)</f>
        <v>45874.097031195866</v>
      </c>
      <c r="AE109" s="46">
        <f>AD$109*'Population Treasury'!AW$159*'Statistics NZ'!AW$454/('Population Treasury'!AV$159*'Statistics NZ'!AV$454)</f>
        <v>46087.199379555044</v>
      </c>
      <c r="AF109" s="46">
        <f>AE$109*'Population Treasury'!AX$159*'Statistics NZ'!AX$454/('Population Treasury'!AW$159*'Statistics NZ'!AW$454)</f>
        <v>46696.02576816862</v>
      </c>
      <c r="AG109" s="46">
        <f>AF$109*'Population Treasury'!AY$159*'Statistics NZ'!AY$454/('Population Treasury'!AX$159*'Statistics NZ'!AX$454)</f>
        <v>46746.740123764888</v>
      </c>
      <c r="AH109" s="46">
        <f>AG$109*'Population Treasury'!AZ$159*'Statistics NZ'!AZ$454/('Population Treasury'!AY$159*'Statistics NZ'!AY$454)</f>
        <v>46767.02587655565</v>
      </c>
      <c r="AI109" s="46">
        <f>AH$109*'Population Treasury'!BA$159*'Statistics NZ'!BA$454/('Population Treasury'!AZ$159*'Statistics NZ'!AZ$454)</f>
        <v>46878.597624299618</v>
      </c>
      <c r="AJ109" s="46">
        <f>AI$109*'Population Treasury'!BB$159*'Statistics NZ'!BB$454/('Population Treasury'!BA$159*'Statistics NZ'!BA$454)</f>
        <v>46685.832088401294</v>
      </c>
      <c r="AK109" s="46">
        <f>AJ$109*'Population Treasury'!BC$159*'Statistics NZ'!BC$454/('Population Treasury'!BB$159*'Statistics NZ'!BB$454)</f>
        <v>46868.505353551649</v>
      </c>
      <c r="AL109" s="46">
        <f>AK$109*'Population Treasury'!BD$159*'Statistics NZ'!BD$454/('Population Treasury'!BC$159*'Statistics NZ'!BC$454)</f>
        <v>46766.975139057657</v>
      </c>
      <c r="AM109" s="46">
        <f>AL$109*'Population Treasury'!BE$159*'Statistics NZ'!BE$454/('Population Treasury'!BD$159*'Statistics NZ'!BD$454)</f>
        <v>46614.831998258014</v>
      </c>
      <c r="AN109" s="46">
        <f>AM$109*'Population Treasury'!BF$159*'Statistics NZ'!BF$454/('Population Treasury'!BE$159*'Statistics NZ'!BE$454)</f>
        <v>46482.923861182673</v>
      </c>
      <c r="AO109" s="46">
        <f>AN$109*'Population Treasury'!BG$159*'Statistics NZ'!BG$454/('Population Treasury'!BF$159*'Statistics NZ'!BF$454)</f>
        <v>46878.648237800699</v>
      </c>
      <c r="AP109" s="46">
        <f>AO$109*'Population Treasury'!BH$159*'Statistics NZ'!BH$454/('Population Treasury'!BG$159*'Statistics NZ'!BG$454)</f>
        <v>46249.536060564198</v>
      </c>
      <c r="AQ109" s="46">
        <f>AP$109*'Population Treasury'!BI$159*'Statistics NZ'!BI$454/('Population Treasury'!BH$159*'Statistics NZ'!BH$454)</f>
        <v>46949.648469445361</v>
      </c>
    </row>
    <row r="110" spans="1:43" x14ac:dyDescent="0.25">
      <c r="A110" s="11">
        <f>$A$40</f>
        <v>45</v>
      </c>
      <c r="B110" s="45">
        <f>'Population Treasury'!T$160*'Statistics NZ'!T$455*'Economic Forecasts'!V$8/B$7</f>
        <v>29949.737878935885</v>
      </c>
      <c r="C110" s="45">
        <f>'Population Treasury'!U$160*'Statistics NZ'!U$455*'Economic Forecasts'!W$8/C$7</f>
        <v>30710.556843678653</v>
      </c>
      <c r="D110" s="45">
        <f>'Population Treasury'!V$160*'Statistics NZ'!V$455*'Economic Forecasts'!X$8/D$7</f>
        <v>31723.391715607268</v>
      </c>
      <c r="E110" s="45">
        <f>'Population Treasury'!W$160*'Statistics NZ'!W$455*'Economic Forecasts'!Y$8/E$7</f>
        <v>32787.135249445506</v>
      </c>
      <c r="F110" s="45">
        <f>'Population Treasury'!X$160*'Statistics NZ'!X$455*'Economic Forecasts'!Z$8/F$7</f>
        <v>34275.604380636389</v>
      </c>
      <c r="G110" s="45">
        <f>'Population Treasury'!Y$160*'Statistics NZ'!Y$455*'Economic Forecasts'!AA$8/G$7</f>
        <v>35334.060907912761</v>
      </c>
      <c r="H110" s="46">
        <f>G$110*'Population Treasury'!Z$160*'Statistics NZ'!Z$455/('Population Treasury'!Y$160*'Statistics NZ'!Y$455)</f>
        <v>35931.265376367941</v>
      </c>
      <c r="I110" s="46">
        <f>H$110*'Population Treasury'!AA$160*'Statistics NZ'!AA$455/('Population Treasury'!Z$160*'Statistics NZ'!Z$455)</f>
        <v>37103.274220120904</v>
      </c>
      <c r="J110" s="46">
        <f>I$110*'Population Treasury'!AB$160*'Statistics NZ'!AB$455/('Population Treasury'!AA$160*'Statistics NZ'!AA$455)</f>
        <v>39124.894193073931</v>
      </c>
      <c r="K110" s="46">
        <f>J$110*'Population Treasury'!AC$160*'Statistics NZ'!AC$455/('Population Treasury'!AB$160*'Statistics NZ'!AB$455)</f>
        <v>40332.287945831435</v>
      </c>
      <c r="L110" s="46">
        <f>K$110*'Population Treasury'!AD$160*'Statistics NZ'!AD$455/('Population Treasury'!AC$160*'Statistics NZ'!AC$455)</f>
        <v>41093.383772783753</v>
      </c>
      <c r="M110" s="46">
        <f>L$110*'Population Treasury'!AE$160*'Statistics NZ'!AE$455/('Population Treasury'!AD$160*'Statistics NZ'!AD$455)</f>
        <v>42777.639554948073</v>
      </c>
      <c r="N110" s="46">
        <f>M$110*'Population Treasury'!AF$160*'Statistics NZ'!AF$455/('Population Treasury'!AE$160*'Statistics NZ'!AE$455)</f>
        <v>43538.666044295649</v>
      </c>
      <c r="O110" s="46">
        <f>N$110*'Population Treasury'!AG$160*'Statistics NZ'!AG$455/('Population Treasury'!AF$160*'Statistics NZ'!AF$455)</f>
        <v>43518.382188159092</v>
      </c>
      <c r="P110" s="46">
        <f>O$110*'Population Treasury'!AH$160*'Statistics NZ'!AH$455/('Population Treasury'!AG$160*'Statistics NZ'!AG$455)</f>
        <v>42696.504795866669</v>
      </c>
      <c r="Q110" s="46">
        <f>P$110*'Population Treasury'!AI$160*'Statistics NZ'!AI$455/('Population Treasury'!AH$160*'Statistics NZ'!AH$455)</f>
        <v>41651.376795396383</v>
      </c>
      <c r="R110" s="46">
        <f>Q$110*'Population Treasury'!AJ$160*'Statistics NZ'!AJ$455/('Population Treasury'!AI$160*'Statistics NZ'!AI$455)</f>
        <v>41296.284023141146</v>
      </c>
      <c r="S110" s="46">
        <f>R$110*'Population Treasury'!AK$160*'Statistics NZ'!AK$455/('Population Treasury'!AJ$160*'Statistics NZ'!AJ$455)</f>
        <v>40839.64044250115</v>
      </c>
      <c r="T110" s="46">
        <f>S$110*'Population Treasury'!AL$160*'Statistics NZ'!AL$455/('Population Treasury'!AK$160*'Statistics NZ'!AK$455)</f>
        <v>39490.196408741969</v>
      </c>
      <c r="U110" s="46">
        <f>T$110*'Population Treasury'!AM$160*'Statistics NZ'!AM$455/('Population Treasury'!AL$160*'Statistics NZ'!AL$455)</f>
        <v>39348.075943446027</v>
      </c>
      <c r="V110" s="46">
        <f>U$110*'Population Treasury'!AN$160*'Statistics NZ'!AN$455/('Population Treasury'!AM$160*'Statistics NZ'!AM$455)</f>
        <v>38719.026109972867</v>
      </c>
      <c r="W110" s="46">
        <f>V$110*'Population Treasury'!AO$160*'Statistics NZ'!AO$455/('Population Treasury'!AN$160*'Statistics NZ'!AN$455)</f>
        <v>39662.671044763199</v>
      </c>
      <c r="X110" s="46">
        <f>W$110*'Population Treasury'!AP$160*'Statistics NZ'!AP$455/('Population Treasury'!AO$160*'Statistics NZ'!AO$455)</f>
        <v>39338.00476966986</v>
      </c>
      <c r="Y110" s="46">
        <f>X$110*'Population Treasury'!AQ$160*'Statistics NZ'!AQ$455/('Population Treasury'!AP$160*'Statistics NZ'!AP$455)</f>
        <v>38668.319395431849</v>
      </c>
      <c r="Z110" s="46">
        <f>Y$110*'Population Treasury'!AR$160*'Statistics NZ'!AR$455/('Population Treasury'!AQ$160*'Statistics NZ'!AQ$455)</f>
        <v>39368.429052725412</v>
      </c>
      <c r="AA110" s="46">
        <f>Z$110*'Population Treasury'!AS$160*'Statistics NZ'!AS$455/('Population Treasury'!AR$160*'Statistics NZ'!AR$455)</f>
        <v>40342.498056624936</v>
      </c>
      <c r="AB110" s="46">
        <f>AA$110*'Population Treasury'!AT$160*'Statistics NZ'!AT$455/('Population Treasury'!AS$160*'Statistics NZ'!AS$455)</f>
        <v>40738.22428338106</v>
      </c>
      <c r="AC110" s="46">
        <f>AB$110*'Population Treasury'!AU$160*'Statistics NZ'!AU$455/('Population Treasury'!AT$160*'Statistics NZ'!AT$455)</f>
        <v>41631.159768940328</v>
      </c>
      <c r="AD110" s="46">
        <f>AC$110*'Population Treasury'!AV$160*'Statistics NZ'!AV$455/('Population Treasury'!AU$160*'Statistics NZ'!AU$455)</f>
        <v>44279.407503632719</v>
      </c>
      <c r="AE110" s="46">
        <f>AD$110*'Population Treasury'!AW$160*'Statistics NZ'!AW$455/('Population Treasury'!AV$160*'Statistics NZ'!AV$455)</f>
        <v>45984.014144407876</v>
      </c>
      <c r="AF110" s="46">
        <f>AE$110*'Population Treasury'!AX$160*'Statistics NZ'!AX$455/('Population Treasury'!AW$160*'Statistics NZ'!AW$455)</f>
        <v>46197.120053446357</v>
      </c>
      <c r="AG110" s="46">
        <f>AF$110*'Population Treasury'!AY$160*'Statistics NZ'!AY$455/('Population Treasury'!AX$160*'Statistics NZ'!AX$455)</f>
        <v>46815.974526449201</v>
      </c>
      <c r="AH110" s="46">
        <f>AG$110*'Population Treasury'!AZ$160*'Statistics NZ'!AZ$455/('Population Treasury'!AY$160*'Statistics NZ'!AY$455)</f>
        <v>46866.744946061226</v>
      </c>
      <c r="AI110" s="46">
        <f>AH$110*'Population Treasury'!BA$160*'Statistics NZ'!BA$455/('Population Treasury'!AZ$160*'Statistics NZ'!AZ$455)</f>
        <v>46887.029476719908</v>
      </c>
      <c r="AJ110" s="46">
        <f>AI$110*'Population Treasury'!BB$160*'Statistics NZ'!BB$455/('Population Treasury'!BA$160*'Statistics NZ'!BA$455)</f>
        <v>46988.570038642669</v>
      </c>
      <c r="AK110" s="46">
        <f>AJ$110*'Population Treasury'!BC$160*'Statistics NZ'!BC$455/('Population Treasury'!BB$160*'Statistics NZ'!BB$455)</f>
        <v>46805.891396032137</v>
      </c>
      <c r="AL110" s="46">
        <f>AK$110*'Population Treasury'!BD$160*'Statistics NZ'!BD$455/('Population Treasury'!BC$160*'Statistics NZ'!BC$455)</f>
        <v>46988.570038642669</v>
      </c>
      <c r="AM110" s="46">
        <f>AL$110*'Population Treasury'!BE$160*'Statistics NZ'!BE$455/('Population Treasury'!BD$160*'Statistics NZ'!BD$455)</f>
        <v>46887.088499827536</v>
      </c>
      <c r="AN110" s="46">
        <f>AM$110*'Population Treasury'!BF$160*'Statistics NZ'!BF$455/('Population Treasury'!BE$160*'Statistics NZ'!BE$455)</f>
        <v>46744.978708565337</v>
      </c>
      <c r="AO110" s="46">
        <f>AN$110*'Population Treasury'!BG$160*'Statistics NZ'!BG$455/('Population Treasury'!BF$160*'Statistics NZ'!BF$455)</f>
        <v>46613.12956091806</v>
      </c>
      <c r="AP110" s="46">
        <f>AO$110*'Population Treasury'!BH$160*'Statistics NZ'!BH$455/('Population Treasury'!BG$160*'Statistics NZ'!BG$455)</f>
        <v>47008.85456744668</v>
      </c>
      <c r="AQ110" s="46">
        <f>AP$110*'Population Treasury'!BI$160*'Statistics NZ'!BI$455/('Population Treasury'!BH$160*'Statistics NZ'!BH$455)</f>
        <v>46379.739454085138</v>
      </c>
    </row>
    <row r="111" spans="1:43" x14ac:dyDescent="0.25">
      <c r="A111" s="11">
        <f>$A$41</f>
        <v>46</v>
      </c>
      <c r="B111" s="45">
        <f>'Population Treasury'!T$161*'Statistics NZ'!T$456*'Economic Forecasts'!V$8/B$7</f>
        <v>28720.979453615975</v>
      </c>
      <c r="C111" s="45">
        <f>'Population Treasury'!U$161*'Statistics NZ'!U$456*'Economic Forecasts'!W$8/C$7</f>
        <v>29711.189912467464</v>
      </c>
      <c r="D111" s="45">
        <f>'Population Treasury'!V$161*'Statistics NZ'!V$456*'Economic Forecasts'!X$8/D$7</f>
        <v>30849.862608130865</v>
      </c>
      <c r="E111" s="45">
        <f>'Population Treasury'!W$161*'Statistics NZ'!W$456*'Economic Forecasts'!Y$8/E$7</f>
        <v>31958.581567570985</v>
      </c>
      <c r="F111" s="45">
        <f>'Population Treasury'!X$161*'Statistics NZ'!X$456*'Economic Forecasts'!Z$8/F$7</f>
        <v>32992.347614875005</v>
      </c>
      <c r="G111" s="45">
        <f>'Population Treasury'!Y$161*'Statistics NZ'!Y$456*'Economic Forecasts'!AA$8/G$7</f>
        <v>34439.243663117813</v>
      </c>
      <c r="H111" s="46">
        <f>G$111*'Population Treasury'!Z$161*'Statistics NZ'!Z$456/('Population Treasury'!Y$161*'Statistics NZ'!Y$456)</f>
        <v>35432.104069076682</v>
      </c>
      <c r="I111" s="46">
        <f>H$111*'Population Treasury'!AA$161*'Statistics NZ'!AA$456/('Population Treasury'!Z$161*'Statistics NZ'!Z$456)</f>
        <v>36025.852723634423</v>
      </c>
      <c r="J111" s="46">
        <f>I$111*'Population Treasury'!AB$161*'Statistics NZ'!AB$456/('Population Treasury'!AA$161*'Statistics NZ'!AA$456)</f>
        <v>37195.102333898714</v>
      </c>
      <c r="K111" s="46">
        <f>J$111*'Population Treasury'!AC$161*'Statistics NZ'!AC$456/('Population Treasury'!AB$161*'Statistics NZ'!AB$456)</f>
        <v>39214.307538641755</v>
      </c>
      <c r="L111" s="46">
        <f>K$111*'Population Treasury'!AD$161*'Statistics NZ'!AD$456/('Population Treasury'!AC$161*'Statistics NZ'!AC$456)</f>
        <v>40421.706128960679</v>
      </c>
      <c r="M111" s="46">
        <f>L$111*'Population Treasury'!AE$161*'Statistics NZ'!AE$456/('Population Treasury'!AD$161*'Statistics NZ'!AD$456)</f>
        <v>41192.877503278141</v>
      </c>
      <c r="N111" s="46">
        <f>M$111*'Population Treasury'!AF$161*'Statistics NZ'!AF$456/('Population Treasury'!AE$161*'Statistics NZ'!AE$456)</f>
        <v>42867.126016560935</v>
      </c>
      <c r="O111" s="46">
        <f>N$111*'Population Treasury'!AG$161*'Statistics NZ'!AG$456/('Population Treasury'!AF$161*'Statistics NZ'!AF$456)</f>
        <v>43628.090604837831</v>
      </c>
      <c r="P111" s="46">
        <f>O$111*'Population Treasury'!AH$161*'Statistics NZ'!AH$456/('Population Treasury'!AG$161*'Statistics NZ'!AG$456)</f>
        <v>43617.886825874295</v>
      </c>
      <c r="Q111" s="46">
        <f>P$111*'Population Treasury'!AI$161*'Statistics NZ'!AI$456/('Population Treasury'!AH$161*'Statistics NZ'!AH$456)</f>
        <v>42806.148343986999</v>
      </c>
      <c r="R111" s="46">
        <f>Q$111*'Population Treasury'!AJ$161*'Statistics NZ'!AJ$456/('Population Treasury'!AI$161*'Statistics NZ'!AI$456)</f>
        <v>41761.081259099548</v>
      </c>
      <c r="S111" s="46">
        <f>R$111*'Population Treasury'!AK$161*'Statistics NZ'!AK$456/('Population Treasury'!AJ$161*'Statistics NZ'!AJ$456)</f>
        <v>41405.921404549779</v>
      </c>
      <c r="T111" s="46">
        <f>S$111*'Population Treasury'!AL$161*'Statistics NZ'!AL$456/('Population Treasury'!AK$161*'Statistics NZ'!AK$456)</f>
        <v>40949.342900821495</v>
      </c>
      <c r="U111" s="46">
        <f>T$111*'Population Treasury'!AM$161*'Statistics NZ'!AM$456/('Population Treasury'!AL$161*'Statistics NZ'!AL$456)</f>
        <v>39609.967051213956</v>
      </c>
      <c r="V111" s="46">
        <f>U$111*'Population Treasury'!AN$161*'Statistics NZ'!AN$456/('Population Treasury'!AM$161*'Statistics NZ'!AM$456)</f>
        <v>39457.842595114147</v>
      </c>
      <c r="W111" s="46">
        <f>V$111*'Population Treasury'!AO$161*'Statistics NZ'!AO$456/('Population Treasury'!AN$161*'Statistics NZ'!AN$456)</f>
        <v>38838.863031357352</v>
      </c>
      <c r="X111" s="46">
        <f>W$111*'Population Treasury'!AP$161*'Statistics NZ'!AP$456/('Population Treasury'!AO$161*'Statistics NZ'!AO$456)</f>
        <v>39782.510645423994</v>
      </c>
      <c r="Y111" s="46">
        <f>X$111*'Population Treasury'!AQ$161*'Statistics NZ'!AQ$456/('Population Treasury'!AP$161*'Statistics NZ'!AP$456)</f>
        <v>39467.916080586474</v>
      </c>
      <c r="Z111" s="46">
        <f>Y$111*'Population Treasury'!AR$161*'Statistics NZ'!AR$456/('Population Treasury'!AQ$161*'Statistics NZ'!AQ$456)</f>
        <v>38798.296885662028</v>
      </c>
      <c r="AA111" s="46">
        <f>Z$111*'Population Treasury'!AS$161*'Statistics NZ'!AS$456/('Population Treasury'!AR$161*'Statistics NZ'!AR$456)</f>
        <v>39498.409064562904</v>
      </c>
      <c r="AB111" s="46">
        <f>AA$111*'Population Treasury'!AT$161*'Statistics NZ'!AT$456/('Population Treasury'!AS$161*'Statistics NZ'!AS$456)</f>
        <v>40472.481341229104</v>
      </c>
      <c r="AC111" s="46">
        <f>AB$111*'Population Treasury'!AU$161*'Statistics NZ'!AU$456/('Population Treasury'!AT$161*'Statistics NZ'!AT$456)</f>
        <v>40868.208531126824</v>
      </c>
      <c r="AD111" s="46">
        <f>AC$111*'Population Treasury'!AV$161*'Statistics NZ'!AV$456/('Population Treasury'!AU$161*'Statistics NZ'!AU$456)</f>
        <v>41771.223156412329</v>
      </c>
      <c r="AE111" s="46">
        <f>AD$111*'Population Treasury'!AW$161*'Statistics NZ'!AW$456/('Population Treasury'!AV$161*'Statistics NZ'!AV$456)</f>
        <v>44419.482808913359</v>
      </c>
      <c r="AF111" s="46">
        <f>AE$111*'Population Treasury'!AX$161*'Statistics NZ'!AX$456/('Population Treasury'!AW$161*'Statistics NZ'!AW$456)</f>
        <v>46114.012838915114</v>
      </c>
      <c r="AG111" s="46">
        <f>AF$111*'Population Treasury'!AY$161*'Statistics NZ'!AY$456/('Population Treasury'!AX$161*'Statistics NZ'!AX$456)</f>
        <v>46337.202708390745</v>
      </c>
      <c r="AH111" s="46">
        <f>AG$111*'Population Treasury'!AZ$161*'Statistics NZ'!AZ$456/('Population Treasury'!AY$161*'Statistics NZ'!AY$456)</f>
        <v>46946.034388581007</v>
      </c>
      <c r="AI111" s="46">
        <f>AH$111*'Population Treasury'!BA$161*'Statistics NZ'!BA$456/('Population Treasury'!AZ$161*'Statistics NZ'!AZ$456)</f>
        <v>47006.888876031204</v>
      </c>
      <c r="AJ111" s="46">
        <f>AI$111*'Population Treasury'!BB$161*'Statistics NZ'!BB$456/('Population Treasury'!BA$161*'Statistics NZ'!BA$456)</f>
        <v>47027.173718630605</v>
      </c>
      <c r="AK111" s="46">
        <f>AJ$111*'Population Treasury'!BC$161*'Statistics NZ'!BC$456/('Population Treasury'!BB$161*'Statistics NZ'!BB$456)</f>
        <v>47138.79759233338</v>
      </c>
      <c r="AL111" s="46">
        <f>AK$111*'Population Treasury'!BD$161*'Statistics NZ'!BD$456/('Population Treasury'!BC$161*'Statistics NZ'!BC$456)</f>
        <v>46956.176798947243</v>
      </c>
      <c r="AM111" s="46">
        <f>AL$111*'Population Treasury'!BE$161*'Statistics NZ'!BE$456/('Population Treasury'!BD$161*'Statistics NZ'!BD$456)</f>
        <v>47138.797592333387</v>
      </c>
      <c r="AN111" s="46">
        <f>AM$111*'Population Treasury'!BF$161*'Statistics NZ'!BF$456/('Population Treasury'!BE$161*'Statistics NZ'!BE$456)</f>
        <v>47037.373367819506</v>
      </c>
      <c r="AO111" s="46">
        <f>AN$111*'Population Treasury'!BG$161*'Statistics NZ'!BG$456/('Population Treasury'!BF$161*'Statistics NZ'!BF$456)</f>
        <v>46895.322362058323</v>
      </c>
      <c r="AP111" s="46">
        <f>AO$111*'Population Treasury'!BH$161*'Statistics NZ'!BH$456/('Population Treasury'!BG$161*'Statistics NZ'!BG$456)</f>
        <v>46773.49859770247</v>
      </c>
      <c r="AQ111" s="46">
        <f>AP$111*'Population Treasury'!BI$161*'Statistics NZ'!BI$456/('Population Treasury'!BH$161*'Statistics NZ'!BH$456)</f>
        <v>47169.224892311155</v>
      </c>
    </row>
    <row r="112" spans="1:43" x14ac:dyDescent="0.25">
      <c r="A112" s="11">
        <f>$A$42</f>
        <v>47</v>
      </c>
      <c r="B112" s="45">
        <f>'Population Treasury'!T$162*'Statistics NZ'!T$457*'Economic Forecasts'!V$8/B$7</f>
        <v>28970.727101038723</v>
      </c>
      <c r="C112" s="45">
        <f>'Population Treasury'!U$162*'Statistics NZ'!U$457*'Economic Forecasts'!W$8/C$7</f>
        <v>28464.454235109191</v>
      </c>
      <c r="D112" s="45">
        <f>'Population Treasury'!V$162*'Statistics NZ'!V$457*'Economic Forecasts'!X$8/D$7</f>
        <v>29817.507064889131</v>
      </c>
      <c r="E112" s="45">
        <f>'Population Treasury'!W$162*'Statistics NZ'!W$457*'Economic Forecasts'!Y$8/E$7</f>
        <v>31050.162594712641</v>
      </c>
      <c r="F112" s="45">
        <f>'Population Treasury'!X$162*'Statistics NZ'!X$457*'Economic Forecasts'!Z$8/F$7</f>
        <v>32120.137221544843</v>
      </c>
      <c r="G112" s="45">
        <f>'Population Treasury'!Y$162*'Statistics NZ'!Y$457*'Economic Forecasts'!AA$8/G$7</f>
        <v>33122.150637595529</v>
      </c>
      <c r="H112" s="46">
        <f>G$112*'Population Treasury'!Z$162*'Statistics NZ'!Z$457/('Population Treasury'!Y$162*'Statistics NZ'!Y$457)</f>
        <v>34510.671398031773</v>
      </c>
      <c r="I112" s="46">
        <f>H$112*'Population Treasury'!AA$162*'Statistics NZ'!AA$457/('Population Treasury'!Z$162*'Statistics NZ'!Z$457)</f>
        <v>35500.08186801913</v>
      </c>
      <c r="J112" s="46">
        <f>I$112*'Population Treasury'!AB$162*'Statistics NZ'!AB$457/('Population Treasury'!AA$162*'Statistics NZ'!AA$457)</f>
        <v>36091.064917080512</v>
      </c>
      <c r="K112" s="46">
        <f>J$112*'Population Treasury'!AC$162*'Statistics NZ'!AC$457/('Population Treasury'!AB$162*'Statistics NZ'!AB$457)</f>
        <v>37257.900496131791</v>
      </c>
      <c r="L112" s="46">
        <f>K$112*'Population Treasury'!AD$162*'Statistics NZ'!AD$457/('Population Treasury'!AC$162*'Statistics NZ'!AC$457)</f>
        <v>39277.112880850531</v>
      </c>
      <c r="M112" s="46">
        <f>L$112*'Population Treasury'!AE$162*'Statistics NZ'!AE$457/('Population Treasury'!AD$162*'Statistics NZ'!AD$457)</f>
        <v>40484.581868019799</v>
      </c>
      <c r="N112" s="46">
        <f>M$112*'Population Treasury'!AF$162*'Statistics NZ'!AF$457/('Population Treasury'!AE$162*'Statistics NZ'!AE$457)</f>
        <v>41255.691156678928</v>
      </c>
      <c r="O112" s="46">
        <f>N$112*'Population Treasury'!AG$162*'Statistics NZ'!AG$457/('Population Treasury'!AF$162*'Statistics NZ'!AF$457)</f>
        <v>42940.025192335954</v>
      </c>
      <c r="P112" s="46">
        <f>O$112*'Population Treasury'!AH$162*'Statistics NZ'!AH$457/('Population Treasury'!AG$162*'Statistics NZ'!AG$457)</f>
        <v>43701.053746798018</v>
      </c>
      <c r="Q112" s="46">
        <f>P$112*'Population Treasury'!AI$162*'Statistics NZ'!AI$457/('Population Treasury'!AH$162*'Statistics NZ'!AH$457)</f>
        <v>43690.852392462424</v>
      </c>
      <c r="R112" s="46">
        <f>Q$112*'Population Treasury'!AJ$162*'Statistics NZ'!AJ$457/('Population Treasury'!AI$162*'Statistics NZ'!AI$457)</f>
        <v>42879.171728350215</v>
      </c>
      <c r="S112" s="46">
        <f>R$112*'Population Treasury'!AK$162*'Statistics NZ'!AK$457/('Population Treasury'!AJ$162*'Statistics NZ'!AJ$457)</f>
        <v>41834.03934613071</v>
      </c>
      <c r="T112" s="46">
        <f>S$112*'Population Treasury'!AL$162*'Statistics NZ'!AL$457/('Population Treasury'!AK$162*'Statistics NZ'!AK$457)</f>
        <v>41489.02152535168</v>
      </c>
      <c r="U112" s="46">
        <f>T$112*'Population Treasury'!AM$162*'Statistics NZ'!AM$457/('Population Treasury'!AL$162*'Statistics NZ'!AL$457)</f>
        <v>41032.503286561303</v>
      </c>
      <c r="V112" s="46">
        <f>U$112*'Population Treasury'!AN$162*'Statistics NZ'!AN$457/('Population Treasury'!AM$162*'Statistics NZ'!AM$457)</f>
        <v>39693.12520323338</v>
      </c>
      <c r="W112" s="46">
        <f>V$112*'Population Treasury'!AO$162*'Statistics NZ'!AO$457/('Population Treasury'!AN$162*'Statistics NZ'!AN$457)</f>
        <v>39551.07380649697</v>
      </c>
      <c r="X112" s="46">
        <f>W$112*'Population Treasury'!AP$162*'Statistics NZ'!AP$457/('Population Treasury'!AO$162*'Statistics NZ'!AO$457)</f>
        <v>38932.159326391149</v>
      </c>
      <c r="Y112" s="46">
        <f>X$112*'Population Treasury'!AQ$162*'Statistics NZ'!AQ$457/('Population Treasury'!AP$162*'Statistics NZ'!AP$457)</f>
        <v>39885.886174251624</v>
      </c>
      <c r="Z112" s="46">
        <f>Y$112*'Population Treasury'!AR$162*'Statistics NZ'!AR$457/('Population Treasury'!AQ$162*'Statistics NZ'!AQ$457)</f>
        <v>39561.215680876528</v>
      </c>
      <c r="AA112" s="46">
        <f>Z$112*'Population Treasury'!AS$162*'Statistics NZ'!AS$457/('Population Treasury'!AR$162*'Statistics NZ'!AR$457)</f>
        <v>38901.66772024113</v>
      </c>
      <c r="AB112" s="46">
        <f>AA$112*'Population Treasury'!AT$162*'Statistics NZ'!AT$457/('Population Treasury'!AS$162*'Statistics NZ'!AS$457)</f>
        <v>39601.78320091527</v>
      </c>
      <c r="AC112" s="46">
        <f>AB$112*'Population Treasury'!AU$162*'Statistics NZ'!AU$457/('Population Treasury'!AT$162*'Statistics NZ'!AT$457)</f>
        <v>40575.859756623766</v>
      </c>
      <c r="AD112" s="46">
        <f>AC$112*'Population Treasury'!AV$162*'Statistics NZ'!AV$457/('Population Treasury'!AU$162*'Statistics NZ'!AU$457)</f>
        <v>40971.588178451442</v>
      </c>
      <c r="AE112" s="46">
        <f>AD$112*'Population Treasury'!AW$162*'Statistics NZ'!AW$457/('Population Treasury'!AV$162*'Statistics NZ'!AV$457)</f>
        <v>41874.607905306199</v>
      </c>
      <c r="AF112" s="46">
        <f>AE$112*'Population Treasury'!AX$162*'Statistics NZ'!AX$457/('Population Treasury'!AW$162*'Statistics NZ'!AW$457)</f>
        <v>44522.877618271508</v>
      </c>
      <c r="AG112" s="46">
        <f>AF$112*'Population Treasury'!AY$162*'Statistics NZ'!AY$457/('Population Treasury'!AX$162*'Statistics NZ'!AX$457)</f>
        <v>46227.498075008101</v>
      </c>
      <c r="AH112" s="46">
        <f>AG$112*'Population Treasury'!AZ$162*'Statistics NZ'!AZ$457/('Population Treasury'!AY$162*'Statistics NZ'!AY$457)</f>
        <v>46450.746058931996</v>
      </c>
      <c r="AI112" s="46">
        <f>AH$112*'Population Treasury'!BA$162*'Statistics NZ'!BA$457/('Population Treasury'!AZ$162*'Statistics NZ'!AZ$457)</f>
        <v>47059.57819031307</v>
      </c>
      <c r="AJ112" s="46">
        <f>AI$112*'Population Treasury'!BB$162*'Statistics NZ'!BB$457/('Population Treasury'!BA$162*'Statistics NZ'!BA$457)</f>
        <v>47120.43397313849</v>
      </c>
      <c r="AK112" s="46">
        <f>AJ$112*'Population Treasury'!BC$162*'Statistics NZ'!BC$457/('Population Treasury'!BB$162*'Statistics NZ'!BB$457)</f>
        <v>47140.773982345272</v>
      </c>
      <c r="AL112" s="46">
        <f>AK$112*'Population Treasury'!BD$162*'Statistics NZ'!BD$457/('Population Treasury'!BC$162*'Statistics NZ'!BC$457)</f>
        <v>47252.342989892371</v>
      </c>
      <c r="AM112" s="46">
        <f>AL$112*'Population Treasury'!BE$162*'Statistics NZ'!BE$457/('Population Treasury'!BD$162*'Statistics NZ'!BD$457)</f>
        <v>47079.808626659666</v>
      </c>
      <c r="AN112" s="46">
        <f>AM$112*'Population Treasury'!BF$162*'Statistics NZ'!BF$457/('Population Treasury'!BE$162*'Statistics NZ'!BE$457)</f>
        <v>47262.485636455764</v>
      </c>
      <c r="AO112" s="46">
        <f>AN$112*'Population Treasury'!BG$162*'Statistics NZ'!BG$457/('Population Treasury'!BF$162*'Statistics NZ'!BF$457)</f>
        <v>47161.05924214577</v>
      </c>
      <c r="AP112" s="46">
        <f>AO$112*'Population Treasury'!BH$162*'Statistics NZ'!BH$457/('Population Treasury'!BG$162*'Statistics NZ'!BG$457)</f>
        <v>47029.095451414913</v>
      </c>
      <c r="AQ112" s="46">
        <f>AP$112*'Population Treasury'!BI$162*'Statistics NZ'!BI$457/('Population Treasury'!BH$162*'Statistics NZ'!BH$457)</f>
        <v>46897.2413828024</v>
      </c>
    </row>
    <row r="113" spans="1:43" x14ac:dyDescent="0.25">
      <c r="A113" s="11">
        <f>$A$43</f>
        <v>48</v>
      </c>
      <c r="B113" s="45">
        <f>'Population Treasury'!T$163*'Statistics NZ'!T$458*'Economic Forecasts'!V$8/B$7</f>
        <v>28561.140959265416</v>
      </c>
      <c r="C113" s="45">
        <f>'Population Treasury'!U$163*'Statistics NZ'!U$458*'Economic Forecasts'!W$8/C$7</f>
        <v>28672.259166374177</v>
      </c>
      <c r="D113" s="45">
        <f>'Population Treasury'!V$163*'Statistics NZ'!V$458*'Economic Forecasts'!X$8/D$7</f>
        <v>28527.061593489314</v>
      </c>
      <c r="E113" s="45">
        <f>'Population Treasury'!W$163*'Statistics NZ'!W$458*'Economic Forecasts'!Y$8/E$7</f>
        <v>29962.045401399166</v>
      </c>
      <c r="F113" s="45">
        <f>'Population Treasury'!X$163*'Statistics NZ'!X$458*'Economic Forecasts'!Z$8/F$7</f>
        <v>31167.720063909368</v>
      </c>
      <c r="G113" s="45">
        <f>'Population Treasury'!Y$163*'Statistics NZ'!Y$458*'Economic Forecasts'!AA$8/G$7</f>
        <v>32207.225118467875</v>
      </c>
      <c r="H113" s="46">
        <f>G$113*'Population Treasury'!Z$163*'Statistics NZ'!Z$458/('Population Treasury'!Y$163*'Statistics NZ'!Y$458)</f>
        <v>33139.2527726033</v>
      </c>
      <c r="I113" s="46">
        <f>H$113*'Population Treasury'!AA$163*'Statistics NZ'!AA$458/('Population Treasury'!Z$163*'Statistics NZ'!Z$458)</f>
        <v>34524.321327210979</v>
      </c>
      <c r="J113" s="46">
        <f>I$113*'Population Treasury'!AB$163*'Statistics NZ'!AB$458/('Population Treasury'!AA$163*'Statistics NZ'!AA$458)</f>
        <v>35511.036180570154</v>
      </c>
      <c r="K113" s="46">
        <f>J$113*'Population Treasury'!AC$163*'Statistics NZ'!AC$458/('Population Treasury'!AB$163*'Statistics NZ'!AB$458)</f>
        <v>36109.667243871882</v>
      </c>
      <c r="L113" s="46">
        <f>K$113*'Population Treasury'!AD$163*'Statistics NZ'!AD$458/('Population Treasury'!AC$163*'Statistics NZ'!AC$458)</f>
        <v>37276.505928193743</v>
      </c>
      <c r="M113" s="46">
        <f>L$113*'Population Treasury'!AE$163*'Statistics NZ'!AE$458/('Population Treasury'!AD$163*'Statistics NZ'!AD$458)</f>
        <v>39295.657303229629</v>
      </c>
      <c r="N113" s="46">
        <f>M$113*'Population Treasury'!AF$163*'Statistics NZ'!AF$458/('Population Treasury'!AE$163*'Statistics NZ'!AE$458)</f>
        <v>40503.129558036904</v>
      </c>
      <c r="O113" s="46">
        <f>N$113*'Population Treasury'!AG$163*'Statistics NZ'!AG$458/('Population Treasury'!AF$163*'Statistics NZ'!AF$458)</f>
        <v>41274.302839283526</v>
      </c>
      <c r="P113" s="46">
        <f>O$113*'Population Treasury'!AH$163*'Statistics NZ'!AH$458/('Population Treasury'!AG$163*'Statistics NZ'!AG$458)</f>
        <v>42958.581342059886</v>
      </c>
      <c r="Q113" s="46">
        <f>P$113*'Population Treasury'!AI$163*'Statistics NZ'!AI$458/('Population Treasury'!AH$163*'Statistics NZ'!AH$458)</f>
        <v>43719.611013033413</v>
      </c>
      <c r="R113" s="46">
        <f>Q$113*'Population Treasury'!AJ$163*'Statistics NZ'!AJ$458/('Population Treasury'!AI$163*'Statistics NZ'!AI$458)</f>
        <v>43709.468536547487</v>
      </c>
      <c r="S113" s="46">
        <f>R$113*'Population Treasury'!AK$163*'Statistics NZ'!AK$458/('Population Treasury'!AJ$163*'Statistics NZ'!AJ$458)</f>
        <v>42897.785203912696</v>
      </c>
      <c r="T113" s="46">
        <f>S$113*'Population Treasury'!AL$163*'Statistics NZ'!AL$458/('Population Treasury'!AK$163*'Statistics NZ'!AK$458)</f>
        <v>41862.794496855</v>
      </c>
      <c r="U113" s="46">
        <f>T$113*'Population Treasury'!AM$163*'Statistics NZ'!AM$458/('Population Treasury'!AL$163*'Statistics NZ'!AL$458)</f>
        <v>41517.777125976128</v>
      </c>
      <c r="V113" s="46">
        <f>U$113*'Population Treasury'!AN$163*'Statistics NZ'!AN$458/('Population Treasury'!AM$163*'Statistics NZ'!AM$458)</f>
        <v>41071.336978733976</v>
      </c>
      <c r="W113" s="46">
        <f>V$113*'Population Treasury'!AO$163*'Statistics NZ'!AO$458/('Population Treasury'!AN$163*'Statistics NZ'!AN$458)</f>
        <v>39732.018032019078</v>
      </c>
      <c r="X113" s="46">
        <f>W$113*'Population Treasury'!AP$163*'Statistics NZ'!AP$458/('Population Treasury'!AO$163*'Statistics NZ'!AO$458)</f>
        <v>39589.966321210522</v>
      </c>
      <c r="Y113" s="46">
        <f>X$113*'Population Treasury'!AQ$163*'Statistics NZ'!AQ$458/('Population Treasury'!AP$163*'Statistics NZ'!AP$458)</f>
        <v>38971.04970703103</v>
      </c>
      <c r="Z113" s="46">
        <f>Y$113*'Population Treasury'!AR$163*'Statistics NZ'!AR$458/('Population Treasury'!AQ$163*'Statistics NZ'!AQ$458)</f>
        <v>39924.780147294106</v>
      </c>
      <c r="AA113" s="46">
        <f>Z$113*'Population Treasury'!AS$163*'Statistics NZ'!AS$458/('Population Treasury'!AR$163*'Statistics NZ'!AR$458)</f>
        <v>39610.187291646143</v>
      </c>
      <c r="AB113" s="46">
        <f>AA$113*'Population Treasury'!AT$163*'Statistics NZ'!AT$458/('Population Treasury'!AS$163*'Statistics NZ'!AS$458)</f>
        <v>38940.559657909056</v>
      </c>
      <c r="AC113" s="46">
        <f>AB$113*'Population Treasury'!AU$163*'Statistics NZ'!AU$458/('Population Treasury'!AT$163*'Statistics NZ'!AT$458)</f>
        <v>39650.818608002221</v>
      </c>
      <c r="AD113" s="46">
        <f>AC$113*'Population Treasury'!AV$163*'Statistics NZ'!AV$458/('Population Treasury'!AU$163*'Statistics NZ'!AU$458)</f>
        <v>40624.897075241199</v>
      </c>
      <c r="AE113" s="46">
        <f>AD$113*'Population Treasury'!AW$163*'Statistics NZ'!AW$458/('Population Treasury'!AV$163*'Statistics NZ'!AV$458)</f>
        <v>41030.76814250082</v>
      </c>
      <c r="AF113" s="46">
        <f>AE$113*'Population Treasury'!AX$163*'Statistics NZ'!AX$458/('Population Treasury'!AW$163*'Statistics NZ'!AW$458)</f>
        <v>41923.707923362148</v>
      </c>
      <c r="AG113" s="46">
        <f>AF$113*'Population Treasury'!AY$163*'Statistics NZ'!AY$458/('Population Treasury'!AX$163*'Statistics NZ'!AX$458)</f>
        <v>44571.978614300991</v>
      </c>
      <c r="AH113" s="46">
        <f>AG$113*'Population Treasury'!AZ$163*'Statistics NZ'!AZ$458/('Population Treasury'!AY$163*'Statistics NZ'!AY$458)</f>
        <v>46276.600050024645</v>
      </c>
      <c r="AI113" s="46">
        <f>AH$113*'Population Treasury'!BA$163*'Statistics NZ'!BA$458/('Population Treasury'!AZ$163*'Statistics NZ'!AZ$458)</f>
        <v>46499.793599661163</v>
      </c>
      <c r="AJ113" s="46">
        <f>AI$113*'Population Treasury'!BB$163*'Statistics NZ'!BB$458/('Population Treasury'!BA$163*'Statistics NZ'!BA$458)</f>
        <v>47118.715190286297</v>
      </c>
      <c r="AK113" s="46">
        <f>AJ$113*'Population Treasury'!BC$163*'Statistics NZ'!BC$458/('Population Treasury'!BB$163*'Statistics NZ'!BB$458)</f>
        <v>47179.624928645222</v>
      </c>
      <c r="AL113" s="46">
        <f>AK$113*'Population Treasury'!BD$163*'Statistics NZ'!BD$458/('Population Treasury'!BC$163*'Statistics NZ'!BC$458)</f>
        <v>47199.963491367838</v>
      </c>
      <c r="AM113" s="46">
        <f>AL$113*'Population Treasury'!BE$163*'Statistics NZ'!BE$458/('Population Treasury'!BD$163*'Statistics NZ'!BD$458)</f>
        <v>47321.623951742127</v>
      </c>
      <c r="AN113" s="46">
        <f>AM$113*'Population Treasury'!BF$163*'Statistics NZ'!BF$458/('Population Treasury'!BE$163*'Statistics NZ'!BE$458)</f>
        <v>47139.053834282116</v>
      </c>
      <c r="AO113" s="46">
        <f>AN$113*'Population Treasury'!BG$163*'Statistics NZ'!BG$458/('Population Treasury'!BF$163*'Statistics NZ'!BF$458)</f>
        <v>47331.819629812111</v>
      </c>
      <c r="AP113" s="46">
        <f>AO$113*'Population Treasury'!BH$163*'Statistics NZ'!BH$458/('Population Treasury'!BG$163*'Statistics NZ'!BG$458)</f>
        <v>47230.391808054366</v>
      </c>
      <c r="AQ113" s="46">
        <f>AP$113*'Population Treasury'!BI$163*'Statistics NZ'!BI$458/('Population Treasury'!BH$163*'Statistics NZ'!BH$458)</f>
        <v>47098.42963880286</v>
      </c>
    </row>
    <row r="114" spans="1:43" x14ac:dyDescent="0.25">
      <c r="A114" s="11">
        <f>$A$44</f>
        <v>49</v>
      </c>
      <c r="B114" s="45">
        <f>'Population Treasury'!T$164*'Statistics NZ'!T$459*'Economic Forecasts'!V$8/B$7</f>
        <v>28611.090488749964</v>
      </c>
      <c r="C114" s="45">
        <f>'Population Treasury'!U$164*'Statistics NZ'!U$459*'Economic Forecasts'!W$8/C$7</f>
        <v>28217.075893124227</v>
      </c>
      <c r="D114" s="45">
        <f>'Population Treasury'!V$164*'Statistics NZ'!V$459*'Economic Forecasts'!X$8/D$7</f>
        <v>28685.879791262829</v>
      </c>
      <c r="E114" s="45">
        <f>'Population Treasury'!W$164*'Statistics NZ'!W$459*'Economic Forecasts'!Y$8/E$7</f>
        <v>28614.370331397677</v>
      </c>
      <c r="F114" s="45">
        <f>'Population Treasury'!X$164*'Statistics NZ'!X$459*'Economic Forecasts'!Z$8/F$7</f>
        <v>30024.805024155401</v>
      </c>
      <c r="G114" s="45">
        <f>'Population Treasury'!Y$164*'Statistics NZ'!Y$459*'Economic Forecasts'!AA$8/G$7</f>
        <v>31191.74683620923</v>
      </c>
      <c r="H114" s="46">
        <f>G$114*'Population Treasury'!Z$164*'Statistics NZ'!Z$459/('Population Treasury'!Y$164*'Statistics NZ'!Y$459)</f>
        <v>32174.472945569232</v>
      </c>
      <c r="I114" s="46">
        <f>H$114*'Population Treasury'!AA$164*'Statistics NZ'!AA$459/('Population Treasury'!Z$164*'Statistics NZ'!Z$459)</f>
        <v>33102.959169523929</v>
      </c>
      <c r="J114" s="46">
        <f>I$114*'Population Treasury'!AB$164*'Statistics NZ'!AB$459/('Population Treasury'!AA$164*'Statistics NZ'!AA$459)</f>
        <v>34475.258536707312</v>
      </c>
      <c r="K114" s="46">
        <f>J$114*'Population Treasury'!AC$164*'Statistics NZ'!AC$459/('Population Treasury'!AB$164*'Statistics NZ'!AB$459)</f>
        <v>35459.475104504068</v>
      </c>
      <c r="L114" s="46">
        <f>K$114*'Population Treasury'!AD$164*'Statistics NZ'!AD$459/('Population Treasury'!AC$164*'Statistics NZ'!AC$459)</f>
        <v>36058.105222336832</v>
      </c>
      <c r="M114" s="46">
        <f>L$114*'Population Treasury'!AE$164*'Statistics NZ'!AE$459/('Population Treasury'!AD$164*'Statistics NZ'!AD$459)</f>
        <v>37224.94169154518</v>
      </c>
      <c r="N114" s="46">
        <f>M$114*'Population Treasury'!AF$164*'Statistics NZ'!AF$459/('Population Treasury'!AE$164*'Statistics NZ'!AE$459)</f>
        <v>39244.150666202768</v>
      </c>
      <c r="O114" s="46">
        <f>N$114*'Population Treasury'!AG$164*'Statistics NZ'!AG$459/('Population Treasury'!AF$164*'Statistics NZ'!AF$459)</f>
        <v>40451.617652045265</v>
      </c>
      <c r="P114" s="46">
        <f>O$114*'Population Treasury'!AH$164*'Statistics NZ'!AH$459/('Population Treasury'!AG$164*'Statistics NZ'!AG$459)</f>
        <v>41222.728699390114</v>
      </c>
      <c r="Q114" s="46">
        <f>P$114*'Population Treasury'!AI$164*'Statistics NZ'!AI$459/('Population Treasury'!AH$164*'Statistics NZ'!AH$459)</f>
        <v>42907.062232948731</v>
      </c>
      <c r="R114" s="46">
        <f>Q$114*'Population Treasury'!AJ$164*'Statistics NZ'!AJ$459/('Population Treasury'!AI$164*'Statistics NZ'!AI$459)</f>
        <v>43668.088397663108</v>
      </c>
      <c r="S114" s="46">
        <f>R$114*'Population Treasury'!AK$164*'Statistics NZ'!AK$459/('Population Treasury'!AJ$164*'Statistics NZ'!AJ$459)</f>
        <v>43657.945809881225</v>
      </c>
      <c r="T114" s="46">
        <f>S$114*'Population Treasury'!AL$164*'Statistics NZ'!AL$459/('Population Treasury'!AK$164*'Statistics NZ'!AK$459)</f>
        <v>42856.34963769454</v>
      </c>
      <c r="U114" s="46">
        <f>T$114*'Population Treasury'!AM$164*'Statistics NZ'!AM$459/('Population Treasury'!AL$164*'Statistics NZ'!AL$459)</f>
        <v>41821.419702139814</v>
      </c>
      <c r="V114" s="46">
        <f>U$114*'Population Treasury'!AN$164*'Statistics NZ'!AN$459/('Population Treasury'!AM$164*'Statistics NZ'!AM$459)</f>
        <v>41486.488792444594</v>
      </c>
      <c r="W114" s="46">
        <f>V$114*'Population Treasury'!AO$164*'Statistics NZ'!AO$459/('Population Treasury'!AN$164*'Statistics NZ'!AN$459)</f>
        <v>41040.049071781672</v>
      </c>
      <c r="X114" s="46">
        <f>W$114*'Population Treasury'!AP$164*'Statistics NZ'!AP$459/('Population Treasury'!AO$164*'Statistics NZ'!AO$459)</f>
        <v>39710.873658182951</v>
      </c>
      <c r="Y114" s="46">
        <f>X$114*'Population Treasury'!AQ$164*'Statistics NZ'!AQ$459/('Population Treasury'!AP$164*'Statistics NZ'!AP$459)</f>
        <v>39568.822176915462</v>
      </c>
      <c r="Z114" s="46">
        <f>Y$114*'Population Treasury'!AR$164*'Statistics NZ'!AR$459/('Population Treasury'!AQ$164*'Statistics NZ'!AQ$459)</f>
        <v>38959.98599587912</v>
      </c>
      <c r="AA114" s="46">
        <f>Z$114*'Population Treasury'!AS$164*'Statistics NZ'!AS$459/('Population Treasury'!AR$164*'Statistics NZ'!AR$459)</f>
        <v>39903.696676730724</v>
      </c>
      <c r="AB114" s="46">
        <f>AA$114*'Population Treasury'!AT$164*'Statistics NZ'!AT$459/('Population Treasury'!AS$164*'Statistics NZ'!AS$459)</f>
        <v>39589.106541864654</v>
      </c>
      <c r="AC114" s="46">
        <f>AB$114*'Population Treasury'!AU$164*'Statistics NZ'!AU$459/('Population Treasury'!AT$164*'Statistics NZ'!AT$459)</f>
        <v>38929.621588689595</v>
      </c>
      <c r="AD114" s="46">
        <f>AC$114*'Population Treasury'!AV$164*'Statistics NZ'!AV$459/('Population Treasury'!AU$164*'Statistics NZ'!AU$459)</f>
        <v>39639.817491073285</v>
      </c>
      <c r="AE114" s="46">
        <f>AD$114*'Population Treasury'!AW$164*'Statistics NZ'!AW$459/('Population Treasury'!AV$164*'Statistics NZ'!AV$459)</f>
        <v>40613.894201068731</v>
      </c>
      <c r="AF114" s="46">
        <f>AE$114*'Population Treasury'!AX$164*'Statistics NZ'!AX$459/('Population Treasury'!AW$164*'Statistics NZ'!AW$459)</f>
        <v>41019.764384388458</v>
      </c>
      <c r="AG114" s="46">
        <f>AF$114*'Population Treasury'!AY$164*'Statistics NZ'!AY$459/('Population Treasury'!AX$164*'Statistics NZ'!AX$459)</f>
        <v>41912.701452697489</v>
      </c>
      <c r="AH114" s="46">
        <f>AG$114*'Population Treasury'!AZ$164*'Statistics NZ'!AZ$459/('Population Treasury'!AY$164*'Statistics NZ'!AY$459)</f>
        <v>44560.968164037316</v>
      </c>
      <c r="AI114" s="46">
        <f>AH$114*'Population Treasury'!BA$164*'Statistics NZ'!BA$459/('Population Treasury'!AZ$164*'Statistics NZ'!AZ$459)</f>
        <v>46265.587708993247</v>
      </c>
      <c r="AJ114" s="46">
        <f>AI$114*'Population Treasury'!BB$164*'Statistics NZ'!BB$459/('Population Treasury'!BA$164*'Statistics NZ'!BA$459)</f>
        <v>46488.834020958835</v>
      </c>
      <c r="AK114" s="46">
        <f>AJ$114*'Population Treasury'!BC$164*'Statistics NZ'!BC$459/('Population Treasury'!BB$164*'Statistics NZ'!BB$459)</f>
        <v>47107.754939777682</v>
      </c>
      <c r="AL114" s="46">
        <f>AK$114*'Population Treasury'!BD$164*'Statistics NZ'!BD$459/('Population Treasury'!BC$164*'Statistics NZ'!BC$459)</f>
        <v>47168.66348419329</v>
      </c>
      <c r="AM114" s="46">
        <f>AL$114*'Population Treasury'!BE$164*'Statistics NZ'!BE$459/('Population Treasury'!BD$164*'Statistics NZ'!BD$459)</f>
        <v>47199.092155120183</v>
      </c>
      <c r="AN114" s="46">
        <f>AM$114*'Population Treasury'!BF$164*'Statistics NZ'!BF$459/('Population Treasury'!BE$164*'Statistics NZ'!BE$459)</f>
        <v>47310.715096269356</v>
      </c>
      <c r="AO114" s="46">
        <f>AN$114*'Population Treasury'!BG$164*'Statistics NZ'!BG$459/('Population Treasury'!BF$164*'Statistics NZ'!BF$459)</f>
        <v>47138.234826667205</v>
      </c>
      <c r="AP114" s="46">
        <f>AO$114*'Population Treasury'!BH$164*'Statistics NZ'!BH$459/('Population Treasury'!BG$164*'Statistics NZ'!BG$459)</f>
        <v>47331.000898084043</v>
      </c>
      <c r="AQ114" s="46">
        <f>AP$114*'Population Treasury'!BI$164*'Statistics NZ'!BI$459/('Population Treasury'!BH$164*'Statistics NZ'!BH$459)</f>
        <v>47229.571948282428</v>
      </c>
    </row>
    <row r="115" spans="1:43" x14ac:dyDescent="0.25">
      <c r="A115" s="11">
        <f>$A$45</f>
        <v>50</v>
      </c>
      <c r="B115" s="45">
        <f>'Population Treasury'!T$165*'Statistics NZ'!T$460*'Economic Forecasts'!V$8/B$7</f>
        <v>29400.293054605852</v>
      </c>
      <c r="C115" s="45">
        <f>'Population Treasury'!U$165*'Statistics NZ'!U$460*'Economic Forecasts'!W$8/C$7</f>
        <v>28196.442050624606</v>
      </c>
      <c r="D115" s="45">
        <f>'Population Treasury'!V$165*'Statistics NZ'!V$460*'Economic Forecasts'!X$8/D$7</f>
        <v>28158.129732223999</v>
      </c>
      <c r="E115" s="45">
        <f>'Population Treasury'!W$165*'Statistics NZ'!W$460*'Economic Forecasts'!Y$8/E$7</f>
        <v>28695.75112881359</v>
      </c>
      <c r="F115" s="45">
        <f>'Population Treasury'!X$165*'Statistics NZ'!X$460*'Economic Forecasts'!Z$8/F$7</f>
        <v>28606.941087415969</v>
      </c>
      <c r="G115" s="45">
        <f>'Population Treasury'!Y$165*'Statistics NZ'!Y$460*'Economic Forecasts'!AA$8/G$7</f>
        <v>29984.681136305629</v>
      </c>
      <c r="H115" s="46">
        <f>G$115*'Population Treasury'!Z$165*'Statistics NZ'!Z$460/('Population Treasury'!Y$165*'Statistics NZ'!Y$460)</f>
        <v>31082.466210745508</v>
      </c>
      <c r="I115" s="46">
        <f>H$115*'Population Treasury'!AA$165*'Statistics NZ'!AA$460/('Population Treasury'!Z$165*'Statistics NZ'!Z$460)</f>
        <v>32047.640318316928</v>
      </c>
      <c r="J115" s="46">
        <f>I$115*'Population Treasury'!AB$165*'Statistics NZ'!AB$460/('Population Treasury'!AA$165*'Statistics NZ'!AA$460)</f>
        <v>32971.468558260167</v>
      </c>
      <c r="K115" s="46">
        <f>J$115*'Population Treasury'!AC$165*'Statistics NZ'!AC$460/('Population Treasury'!AB$165*'Statistics NZ'!AB$460)</f>
        <v>34351.399616517185</v>
      </c>
      <c r="L115" s="46">
        <f>K$115*'Population Treasury'!AD$165*'Statistics NZ'!AD$460/('Population Treasury'!AC$165*'Statistics NZ'!AC$460)</f>
        <v>35335.60616034735</v>
      </c>
      <c r="M115" s="46">
        <f>L$115*'Population Treasury'!AE$165*'Statistics NZ'!AE$460/('Population Treasury'!AD$165*'Statistics NZ'!AD$460)</f>
        <v>35934.299731449013</v>
      </c>
      <c r="N115" s="46">
        <f>M$115*'Population Treasury'!AF$165*'Statistics NZ'!AF$460/('Population Treasury'!AE$165*'Statistics NZ'!AE$460)</f>
        <v>37091.04865170837</v>
      </c>
      <c r="O115" s="46">
        <f>N$115*'Population Treasury'!AG$165*'Statistics NZ'!AG$460/('Population Treasury'!AF$165*'Statistics NZ'!AF$460)</f>
        <v>39110.170746761381</v>
      </c>
      <c r="P115" s="46">
        <f>O$115*'Population Treasury'!AH$165*'Statistics NZ'!AH$460/('Population Treasury'!AG$165*'Statistics NZ'!AG$460)</f>
        <v>40317.627400167548</v>
      </c>
      <c r="Q115" s="46">
        <f>P$115*'Population Treasury'!AI$165*'Statistics NZ'!AI$460/('Population Treasury'!AH$165*'Statistics NZ'!AH$460)</f>
        <v>41088.791396492474</v>
      </c>
      <c r="R115" s="46">
        <f>Q$115*'Population Treasury'!AJ$165*'Statistics NZ'!AJ$460/('Population Treasury'!AI$165*'Statistics NZ'!AI$460)</f>
        <v>42762.965912838794</v>
      </c>
      <c r="S115" s="46">
        <f>R$115*'Population Treasury'!AK$165*'Statistics NZ'!AK$460/('Population Treasury'!AJ$165*'Statistics NZ'!AJ$460)</f>
        <v>43523.98640512886</v>
      </c>
      <c r="T115" s="46">
        <f>S$115*'Population Treasury'!AL$165*'Statistics NZ'!AL$460/('Population Treasury'!AK$165*'Statistics NZ'!AK$460)</f>
        <v>43523.928429535721</v>
      </c>
      <c r="U115" s="46">
        <f>T$115*'Population Treasury'!AM$165*'Statistics NZ'!AM$460/('Population Treasury'!AL$165*'Statistics NZ'!AL$460)</f>
        <v>42722.397025631231</v>
      </c>
      <c r="V115" s="46">
        <f>U$115*'Population Treasury'!AN$165*'Statistics NZ'!AN$460/('Population Treasury'!AM$165*'Statistics NZ'!AM$460)</f>
        <v>41697.559964603235</v>
      </c>
      <c r="W115" s="46">
        <f>V$115*'Population Treasury'!AO$165*'Statistics NZ'!AO$460/('Population Treasury'!AN$165*'Statistics NZ'!AN$460)</f>
        <v>41352.607271331792</v>
      </c>
      <c r="X115" s="46">
        <f>W$115*'Population Treasury'!AP$165*'Statistics NZ'!AP$460/('Population Treasury'!AO$165*'Statistics NZ'!AO$460)</f>
        <v>40916.253697189306</v>
      </c>
      <c r="Y115" s="46">
        <f>X$115*'Population Treasury'!AQ$165*'Statistics NZ'!AQ$460/('Population Treasury'!AP$165*'Statistics NZ'!AP$460)</f>
        <v>39587.093823433184</v>
      </c>
      <c r="Z115" s="46">
        <f>Y$115*'Population Treasury'!AR$165*'Statistics NZ'!AR$460/('Population Treasury'!AQ$165*'Statistics NZ'!AQ$460)</f>
        <v>39455.121887712536</v>
      </c>
      <c r="AA115" s="46">
        <f>Z$115*'Population Treasury'!AS$165*'Statistics NZ'!AS$460/('Population Treasury'!AR$165*'Statistics NZ'!AR$460)</f>
        <v>38846.35443473779</v>
      </c>
      <c r="AB115" s="46">
        <f>AA$115*'Population Treasury'!AT$165*'Statistics NZ'!AT$460/('Population Treasury'!AS$165*'Statistics NZ'!AS$460)</f>
        <v>39790.05845344565</v>
      </c>
      <c r="AC115" s="46">
        <f>AB$115*'Population Treasury'!AU$165*'Statistics NZ'!AU$460/('Population Treasury'!AT$165*'Statistics NZ'!AT$460)</f>
        <v>39485.611382242561</v>
      </c>
      <c r="AD115" s="46">
        <f>AC$115*'Population Treasury'!AV$165*'Statistics NZ'!AV$460/('Population Treasury'!AU$165*'Statistics NZ'!AU$460)</f>
        <v>38826.070861496839</v>
      </c>
      <c r="AE115" s="46">
        <f>AD$115*'Population Treasury'!AW$165*'Statistics NZ'!AW$460/('Population Treasury'!AV$165*'Statistics NZ'!AV$460)</f>
        <v>39536.320722046818</v>
      </c>
      <c r="AF115" s="46">
        <f>AE$115*'Population Treasury'!AX$165*'Statistics NZ'!AX$460/('Population Treasury'!AW$165*'Statistics NZ'!AW$460)</f>
        <v>40510.387341328467</v>
      </c>
      <c r="AG115" s="46">
        <f>AF$115*'Population Treasury'!AY$165*'Statistics NZ'!AY$460/('Population Treasury'!AX$165*'Statistics NZ'!AX$460)</f>
        <v>40916.253697189299</v>
      </c>
      <c r="AH115" s="46">
        <f>AG$115*'Population Treasury'!AZ$165*'Statistics NZ'!AZ$460/('Population Treasury'!AY$165*'Statistics NZ'!AY$460)</f>
        <v>41809.183715476618</v>
      </c>
      <c r="AI115" s="46">
        <f>AH$115*'Population Treasury'!BA$165*'Statistics NZ'!BA$460/('Population Treasury'!AZ$165*'Statistics NZ'!AZ$460)</f>
        <v>44447.340947512675</v>
      </c>
      <c r="AJ115" s="46">
        <f>AI$115*'Population Treasury'!BB$165*'Statistics NZ'!BB$460/('Population Treasury'!BA$165*'Statistics NZ'!BA$460)</f>
        <v>46151.943761341674</v>
      </c>
      <c r="AK115" s="46">
        <f>AJ$115*'Population Treasury'!BC$165*'Statistics NZ'!BC$460/('Population Treasury'!BB$165*'Statistics NZ'!BB$460)</f>
        <v>46375.189042844439</v>
      </c>
      <c r="AL115" s="46">
        <f>AK$115*'Population Treasury'!BD$165*'Statistics NZ'!BD$460/('Population Treasury'!BC$165*'Statistics NZ'!BC$460)</f>
        <v>46994.103346611097</v>
      </c>
      <c r="AM115" s="46">
        <f>AL$115*'Population Treasury'!BE$165*'Statistics NZ'!BE$460/('Population Treasury'!BD$165*'Statistics NZ'!BD$460)</f>
        <v>47055.012743001193</v>
      </c>
      <c r="AN115" s="46">
        <f>AM$115*'Population Treasury'!BF$165*'Statistics NZ'!BF$460/('Population Treasury'!BE$165*'Statistics NZ'!BE$460)</f>
        <v>47095.529625572373</v>
      </c>
      <c r="AO115" s="46">
        <f>AN$115*'Population Treasury'!BG$165*'Statistics NZ'!BG$460/('Population Treasury'!BF$165*'Statistics NZ'!BF$460)</f>
        <v>47207.205694584321</v>
      </c>
      <c r="AP115" s="46">
        <f>AO$115*'Population Treasury'!BH$165*'Statistics NZ'!BH$460/('Population Treasury'!BG$165*'Statistics NZ'!BG$460)</f>
        <v>47034.673839059826</v>
      </c>
      <c r="AQ115" s="46">
        <f>AP$115*'Population Treasury'!BI$165*'Statistics NZ'!BI$460/('Population Treasury'!BH$165*'Statistics NZ'!BH$460)</f>
        <v>47227.490964935052</v>
      </c>
    </row>
    <row r="116" spans="1:43" x14ac:dyDescent="0.25">
      <c r="A116" s="11">
        <f>$A$46</f>
        <v>51</v>
      </c>
      <c r="B116" s="45">
        <f>'Population Treasury'!T$166*'Statistics NZ'!T$461*'Economic Forecasts'!V$8/B$7</f>
        <v>29909.778255348247</v>
      </c>
      <c r="C116" s="45">
        <f>'Population Treasury'!U$166*'Statistics NZ'!U$461*'Economic Forecasts'!W$8/C$7</f>
        <v>28908.852692825163</v>
      </c>
      <c r="D116" s="45">
        <f>'Population Treasury'!V$166*'Statistics NZ'!V$461*'Economic Forecasts'!X$8/D$7</f>
        <v>28098.552717498282</v>
      </c>
      <c r="E116" s="45">
        <f>'Population Treasury'!W$166*'Statistics NZ'!W$461*'Economic Forecasts'!Y$8/E$7</f>
        <v>28136.703681657724</v>
      </c>
      <c r="F116" s="45">
        <f>'Population Treasury'!X$166*'Statistics NZ'!X$461*'Economic Forecasts'!Z$8/F$7</f>
        <v>28647.031328313824</v>
      </c>
      <c r="G116" s="45">
        <f>'Population Treasury'!Y$166*'Statistics NZ'!Y$461*'Economic Forecasts'!AA$8/G$7</f>
        <v>28526.816179503741</v>
      </c>
      <c r="H116" s="46">
        <f>G$116*'Population Treasury'!Z$166*'Statistics NZ'!Z$461/('Population Treasury'!Y$166*'Statistics NZ'!Y$461)</f>
        <v>29837.681984065057</v>
      </c>
      <c r="I116" s="46">
        <f>H$116*'Population Treasury'!AA$166*'Statistics NZ'!AA$461/('Population Treasury'!Z$166*'Statistics NZ'!Z$461)</f>
        <v>30934.659873920802</v>
      </c>
      <c r="J116" s="46">
        <f>I$116*'Population Treasury'!AB$166*'Statistics NZ'!AB$461/('Population Treasury'!AA$166*'Statistics NZ'!AA$461)</f>
        <v>31909.25106554354</v>
      </c>
      <c r="K116" s="46">
        <f>J$116*'Population Treasury'!AC$166*'Statistics NZ'!AC$461/('Population Treasury'!AB$166*'Statistics NZ'!AB$461)</f>
        <v>32832.520535643976</v>
      </c>
      <c r="L116" s="46">
        <f>K$116*'Population Treasury'!AD$166*'Statistics NZ'!AD$461/('Population Treasury'!AC$166*'Statistics NZ'!AC$461)</f>
        <v>34202.359926201418</v>
      </c>
      <c r="M116" s="46">
        <f>L$116*'Population Treasury'!AE$166*'Statistics NZ'!AE$461/('Population Treasury'!AD$166*'Statistics NZ'!AD$461)</f>
        <v>35186.551315957615</v>
      </c>
      <c r="N116" s="46">
        <f>M$116*'Population Treasury'!AF$166*'Statistics NZ'!AF$461/('Population Treasury'!AE$166*'Statistics NZ'!AE$461)</f>
        <v>35785.23361872141</v>
      </c>
      <c r="O116" s="46">
        <f>N$116*'Population Treasury'!AG$166*'Statistics NZ'!AG$461/('Population Treasury'!AF$166*'Statistics NZ'!AF$461)</f>
        <v>36952.040822919189</v>
      </c>
      <c r="P116" s="46">
        <f>O$116*'Population Treasury'!AH$166*'Statistics NZ'!AH$461/('Population Treasury'!AG$166*'Statistics NZ'!AG$461)</f>
        <v>38961.061313761311</v>
      </c>
      <c r="Q116" s="46">
        <f>P$116*'Population Treasury'!AI$166*'Statistics NZ'!AI$461/('Population Treasury'!AH$166*'Statistics NZ'!AH$461)</f>
        <v>40168.442908420868</v>
      </c>
      <c r="R116" s="46">
        <f>Q$116*'Population Treasury'!AJ$166*'Statistics NZ'!AJ$461/('Population Treasury'!AI$166*'Statistics NZ'!AI$461)</f>
        <v>40939.597906569819</v>
      </c>
      <c r="S116" s="46">
        <f>R$116*'Population Treasury'!AK$166*'Statistics NZ'!AK$461/('Population Treasury'!AJ$166*'Statistics NZ'!AJ$461)</f>
        <v>42613.813056920735</v>
      </c>
      <c r="T116" s="46">
        <f>S$116*'Population Treasury'!AL$166*'Statistics NZ'!AL$461/('Population Treasury'!AK$166*'Statistics NZ'!AK$461)</f>
        <v>43374.82439039529</v>
      </c>
      <c r="U116" s="46">
        <f>T$116*'Population Treasury'!AM$166*'Statistics NZ'!AM$461/('Population Treasury'!AL$166*'Statistics NZ'!AL$461)</f>
        <v>43374.769150790067</v>
      </c>
      <c r="V116" s="46">
        <f>U$116*'Population Treasury'!AN$166*'Statistics NZ'!AN$461/('Population Treasury'!AM$166*'Statistics NZ'!AM$461)</f>
        <v>42583.386093097753</v>
      </c>
      <c r="W116" s="46">
        <f>V$116*'Population Treasury'!AO$166*'Statistics NZ'!AO$461/('Population Treasury'!AN$166*'Statistics NZ'!AN$461)</f>
        <v>41558.561563407828</v>
      </c>
      <c r="X116" s="46">
        <f>W$116*'Population Treasury'!AP$166*'Statistics NZ'!AP$461/('Population Treasury'!AO$166*'Statistics NZ'!AO$461)</f>
        <v>41223.695298755971</v>
      </c>
      <c r="Y116" s="46">
        <f>X$116*'Population Treasury'!AQ$166*'Statistics NZ'!AQ$461/('Population Treasury'!AP$166*'Statistics NZ'!AP$461)</f>
        <v>40787.407115008529</v>
      </c>
      <c r="Z116" s="46">
        <f>Y$116*'Population Treasury'!AR$166*'Statistics NZ'!AR$461/('Population Treasury'!AQ$166*'Statistics NZ'!AQ$461)</f>
        <v>39478.423408359777</v>
      </c>
      <c r="AA116" s="46">
        <f>Z$116*'Population Treasury'!AS$166*'Statistics NZ'!AS$461/('Population Treasury'!AR$166*'Statistics NZ'!AR$461)</f>
        <v>39336.435577517681</v>
      </c>
      <c r="AB116" s="46">
        <f>AA$116*'Population Treasury'!AT$166*'Statistics NZ'!AT$461/('Population Treasury'!AS$166*'Statistics NZ'!AS$461)</f>
        <v>38737.754352602686</v>
      </c>
      <c r="AC116" s="46">
        <f>AB$116*'Population Treasury'!AU$166*'Statistics NZ'!AU$461/('Population Treasury'!AT$166*'Statistics NZ'!AT$461)</f>
        <v>39681.38470367642</v>
      </c>
      <c r="AD116" s="46">
        <f>AC$116*'Population Treasury'!AV$166*'Statistics NZ'!AV$461/('Population Treasury'!AU$166*'Statistics NZ'!AU$461)</f>
        <v>39377.003485097644</v>
      </c>
      <c r="AE116" s="46">
        <f>AD$116*'Population Treasury'!AW$166*'Statistics NZ'!AW$461/('Population Treasury'!AV$166*'Statistics NZ'!AV$461)</f>
        <v>38727.612445827683</v>
      </c>
      <c r="AF116" s="46">
        <f>AE$116*'Population Treasury'!AX$166*'Statistics NZ'!AX$461/('Population Treasury'!AW$166*'Statistics NZ'!AW$461)</f>
        <v>39437.855412664234</v>
      </c>
      <c r="AG116" s="46">
        <f>AF$116*'Population Treasury'!AY$166*'Statistics NZ'!AY$461/('Population Treasury'!AX$166*'Statistics NZ'!AX$461)</f>
        <v>40401.829731110367</v>
      </c>
      <c r="AH116" s="46">
        <f>AG$116*'Population Treasury'!AZ$166*'Statistics NZ'!AZ$461/('Population Treasury'!AY$166*'Statistics NZ'!AY$461)</f>
        <v>40807.69139082521</v>
      </c>
      <c r="AI116" s="46">
        <f>AH$116*'Population Treasury'!BA$166*'Statistics NZ'!BA$461/('Population Treasury'!AZ$166*'Statistics NZ'!AZ$461)</f>
        <v>41710.695029786024</v>
      </c>
      <c r="AJ116" s="46">
        <f>AI$116*'Population Treasury'!BB$166*'Statistics NZ'!BB$461/('Population Treasury'!BA$166*'Statistics NZ'!BA$461)</f>
        <v>44348.773323237401</v>
      </c>
      <c r="AK116" s="46">
        <f>AJ$116*'Population Treasury'!BC$166*'Statistics NZ'!BC$461/('Population Treasury'!BB$166*'Statistics NZ'!BB$461)</f>
        <v>46043.275380665131</v>
      </c>
      <c r="AL116" s="46">
        <f>AK$116*'Population Treasury'!BD$166*'Statistics NZ'!BD$461/('Population Treasury'!BC$166*'Statistics NZ'!BC$461)</f>
        <v>46266.518007192222</v>
      </c>
      <c r="AM116" s="46">
        <f>AL$116*'Population Treasury'!BE$166*'Statistics NZ'!BE$461/('Population Treasury'!BD$166*'Statistics NZ'!BD$461)</f>
        <v>46885.480181099512</v>
      </c>
      <c r="AN116" s="46">
        <f>AM$116*'Population Treasury'!BF$166*'Statistics NZ'!BF$461/('Population Treasury'!BE$166*'Statistics NZ'!BE$461)</f>
        <v>46956.479292376302</v>
      </c>
      <c r="AO116" s="46">
        <f>AN$116*'Population Treasury'!BG$166*'Statistics NZ'!BG$461/('Population Treasury'!BF$166*'Statistics NZ'!BF$461)</f>
        <v>46986.958546557253</v>
      </c>
      <c r="AP116" s="46">
        <f>AO$116*'Population Treasury'!BH$166*'Statistics NZ'!BH$461/('Population Treasury'!BG$166*'Statistics NZ'!BG$461)</f>
        <v>47108.671428472873</v>
      </c>
      <c r="AQ116" s="46">
        <f>AP$116*'Population Treasury'!BI$166*'Statistics NZ'!BI$461/('Population Treasury'!BH$166*'Statistics NZ'!BH$461)</f>
        <v>46936.193824236245</v>
      </c>
    </row>
    <row r="117" spans="1:43" x14ac:dyDescent="0.25">
      <c r="A117" s="11">
        <f>$A$47</f>
        <v>52</v>
      </c>
      <c r="B117" s="45">
        <f>'Population Treasury'!T$167*'Statistics NZ'!T$462*'Economic Forecasts'!V$8/B$7</f>
        <v>30419.263456090655</v>
      </c>
      <c r="C117" s="45">
        <f>'Population Treasury'!U$167*'Statistics NZ'!U$462*'Economic Forecasts'!W$8/C$7</f>
        <v>29354.093763995414</v>
      </c>
      <c r="D117" s="45">
        <f>'Population Treasury'!V$167*'Statistics NZ'!V$462*'Economic Forecasts'!X$8/D$7</f>
        <v>28763.60794573167</v>
      </c>
      <c r="E117" s="45">
        <f>'Population Treasury'!W$167*'Statistics NZ'!W$462*'Economic Forecasts'!Y$8/E$7</f>
        <v>28036.855563027293</v>
      </c>
      <c r="F117" s="45">
        <f>'Population Treasury'!X$167*'Statistics NZ'!X$462*'Economic Forecasts'!Z$8/F$7</f>
        <v>28055.511886788965</v>
      </c>
      <c r="G117" s="45">
        <f>'Population Treasury'!Y$167*'Statistics NZ'!Y$462*'Economic Forecasts'!AA$8/G$7</f>
        <v>28536.8593693615</v>
      </c>
      <c r="H117" s="46">
        <f>G$117*'Population Treasury'!Z$167*'Statistics NZ'!Z$462/('Population Treasury'!Y$167*'Statistics NZ'!Y$462)</f>
        <v>28345.891501013572</v>
      </c>
      <c r="I117" s="46">
        <f>H$117*'Population Treasury'!AA$167*'Statistics NZ'!AA$462/('Population Treasury'!Z$167*'Statistics NZ'!Z$462)</f>
        <v>29655.939836807171</v>
      </c>
      <c r="J117" s="46">
        <f>I$117*'Population Treasury'!AB$167*'Statistics NZ'!AB$462/('Population Treasury'!AA$167*'Statistics NZ'!AA$462)</f>
        <v>30752.26598969748</v>
      </c>
      <c r="K117" s="46">
        <f>J$117*'Population Treasury'!AC$167*'Statistics NZ'!AC$462/('Population Treasury'!AB$167*'Statistics NZ'!AB$462)</f>
        <v>31726.214155606507</v>
      </c>
      <c r="L117" s="46">
        <f>K$117*'Population Treasury'!AD$167*'Statistics NZ'!AD$462/('Population Treasury'!AC$167*'Statistics NZ'!AC$462)</f>
        <v>32649.538708842269</v>
      </c>
      <c r="M117" s="46">
        <f>L$117*'Population Treasury'!AE$167*'Statistics NZ'!AE$462/('Population Treasury'!AD$167*'Statistics NZ'!AD$462)</f>
        <v>34029.4217368479</v>
      </c>
      <c r="N117" s="46">
        <f>M$117*'Population Treasury'!AF$167*'Statistics NZ'!AF$462/('Population Treasury'!AE$167*'Statistics NZ'!AE$462)</f>
        <v>35013.596715234853</v>
      </c>
      <c r="O117" s="46">
        <f>N$117*'Population Treasury'!AG$167*'Statistics NZ'!AG$462/('Population Treasury'!AF$167*'Statistics NZ'!AF$462)</f>
        <v>35622.276739675428</v>
      </c>
      <c r="P117" s="46">
        <f>O$117*'Population Treasury'!AH$167*'Statistics NZ'!AH$462/('Population Treasury'!AG$167*'Statistics NZ'!AG$462)</f>
        <v>36778.994041824473</v>
      </c>
      <c r="Q117" s="46">
        <f>P$117*'Population Treasury'!AI$167*'Statistics NZ'!AI$462/('Population Treasury'!AH$167*'Statistics NZ'!AH$462)</f>
        <v>38787.990027801163</v>
      </c>
      <c r="R117" s="46">
        <f>Q$117*'Population Treasury'!AJ$167*'Statistics NZ'!AJ$462/('Population Treasury'!AI$167*'Statistics NZ'!AI$462)</f>
        <v>39995.417682806641</v>
      </c>
      <c r="S117" s="46">
        <f>R$117*'Population Treasury'!AK$167*'Statistics NZ'!AK$462/('Population Treasury'!AJ$167*'Statistics NZ'!AJ$462)</f>
        <v>40776.64663666983</v>
      </c>
      <c r="T117" s="46">
        <f>S$117*'Population Treasury'!AL$167*'Statistics NZ'!AL$462/('Population Treasury'!AK$167*'Statistics NZ'!AK$462)</f>
        <v>42450.788761403986</v>
      </c>
      <c r="U117" s="46">
        <f>T$117*'Population Treasury'!AM$167*'Statistics NZ'!AM$462/('Population Treasury'!AL$167*'Statistics NZ'!AL$462)</f>
        <v>43221.880800199295</v>
      </c>
      <c r="V117" s="46">
        <f>U$117*'Population Treasury'!AN$167*'Statistics NZ'!AN$462/('Population Treasury'!AM$167*'Statistics NZ'!AM$462)</f>
        <v>43221.880800199295</v>
      </c>
      <c r="W117" s="46">
        <f>V$117*'Population Treasury'!AO$167*'Statistics NZ'!AO$462/('Population Treasury'!AN$167*'Statistics NZ'!AN$462)</f>
        <v>42440.590019386334</v>
      </c>
      <c r="X117" s="46">
        <f>W$117*'Population Treasury'!AP$167*'Statistics NZ'!AP$462/('Population Treasury'!AO$167*'Statistics NZ'!AO$462)</f>
        <v>41425.914582180063</v>
      </c>
      <c r="Y117" s="46">
        <f>X$117*'Population Treasury'!AQ$167*'Statistics NZ'!AQ$462/('Population Treasury'!AP$167*'Statistics NZ'!AP$462)</f>
        <v>41101.134215914404</v>
      </c>
      <c r="Z117" s="46">
        <f>Y$117*'Population Treasury'!AR$167*'Statistics NZ'!AR$462/('Population Treasury'!AQ$167*'Statistics NZ'!AQ$462)</f>
        <v>40664.848557094432</v>
      </c>
      <c r="AA117" s="46">
        <f>Z$117*'Population Treasury'!AS$167*'Statistics NZ'!AS$462/('Population Treasury'!AR$167*'Statistics NZ'!AR$462)</f>
        <v>39355.933118757086</v>
      </c>
      <c r="AB117" s="46">
        <f>AA$117*'Population Treasury'!AT$167*'Statistics NZ'!AT$462/('Population Treasury'!AS$167*'Statistics NZ'!AS$462)</f>
        <v>39234.108087603512</v>
      </c>
      <c r="AC117" s="46">
        <f>AB$117*'Population Treasury'!AU$167*'Statistics NZ'!AU$462/('Population Treasury'!AT$167*'Statistics NZ'!AT$462)</f>
        <v>38635.429304115292</v>
      </c>
      <c r="AD117" s="46">
        <f>AC$117*'Population Treasury'!AV$167*'Statistics NZ'!AV$462/('Population Treasury'!AU$167*'Statistics NZ'!AU$462)</f>
        <v>39579.116230971325</v>
      </c>
      <c r="AE117" s="46">
        <f>AD$117*'Population Treasury'!AW$167*'Statistics NZ'!AW$462/('Population Treasury'!AV$167*'Statistics NZ'!AV$462)</f>
        <v>39274.675723394685</v>
      </c>
      <c r="AF117" s="46">
        <f>AE$117*'Population Treasury'!AX$167*'Statistics NZ'!AX$462/('Population Treasury'!AW$167*'Statistics NZ'!AW$462)</f>
        <v>38635.429304115292</v>
      </c>
      <c r="AG117" s="46">
        <f>AF$117*'Population Treasury'!AY$167*'Statistics NZ'!AY$462/('Population Treasury'!AX$167*'Statistics NZ'!AX$462)</f>
        <v>39345.669172367903</v>
      </c>
      <c r="AH117" s="46">
        <f>AG$117*'Population Treasury'!AZ$167*'Statistics NZ'!AZ$462/('Population Treasury'!AY$167*'Statistics NZ'!AY$462)</f>
        <v>40309.639822733785</v>
      </c>
      <c r="AI117" s="46">
        <f>AH$117*'Population Treasury'!BA$167*'Statistics NZ'!BA$462/('Population Treasury'!AZ$167*'Statistics NZ'!AZ$462)</f>
        <v>40725.582965936112</v>
      </c>
      <c r="AJ117" s="46">
        <f>AI$117*'Population Treasury'!BB$167*'Statistics NZ'!BB$462/('Population Treasury'!BA$167*'Statistics NZ'!BA$462)</f>
        <v>41618.499871949978</v>
      </c>
      <c r="AK117" s="46">
        <f>AJ$117*'Population Treasury'!BC$167*'Statistics NZ'!BC$462/('Population Treasury'!BB$167*'Statistics NZ'!BB$462)</f>
        <v>44256.623091793226</v>
      </c>
      <c r="AL117" s="46">
        <f>AK$117*'Population Treasury'!BD$167*'Statistics NZ'!BD$462/('Population Treasury'!BC$167*'Statistics NZ'!BC$462)</f>
        <v>45951.065549377796</v>
      </c>
      <c r="AM117" s="46">
        <f>AL$117*'Population Treasury'!BE$167*'Statistics NZ'!BE$462/('Population Treasury'!BD$167*'Statistics NZ'!BD$462)</f>
        <v>46174.359660105882</v>
      </c>
      <c r="AN117" s="46">
        <f>AM$117*'Population Treasury'!BF$167*'Statistics NZ'!BF$462/('Population Treasury'!BE$167*'Statistics NZ'!BE$462)</f>
        <v>46793.268006991908</v>
      </c>
      <c r="AO117" s="46">
        <f>AN$117*'Population Treasury'!BG$167*'Statistics NZ'!BG$462/('Population Treasury'!BF$167*'Statistics NZ'!BF$462)</f>
        <v>46864.318095442984</v>
      </c>
      <c r="AP117" s="46">
        <f>AO$117*'Population Treasury'!BH$167*'Statistics NZ'!BH$462/('Population Treasury'!BG$167*'Statistics NZ'!BG$462)</f>
        <v>46904.837537103085</v>
      </c>
      <c r="AQ117" s="46">
        <f>AP$117*'Population Treasury'!BI$167*'Statistics NZ'!BI$462/('Population Treasury'!BH$167*'Statistics NZ'!BH$462)</f>
        <v>47016.509590554102</v>
      </c>
    </row>
    <row r="118" spans="1:43" x14ac:dyDescent="0.25">
      <c r="A118" s="11">
        <f>$A$48</f>
        <v>53</v>
      </c>
      <c r="B118" s="45">
        <f>'Population Treasury'!T$168*'Statistics NZ'!T$463*'Economic Forecasts'!V$8/B$7</f>
        <v>30349.334114812289</v>
      </c>
      <c r="C118" s="45">
        <f>'Population Treasury'!U$168*'Statistics NZ'!U$463*'Economic Forecasts'!W$8/C$7</f>
        <v>29858.702293506922</v>
      </c>
      <c r="D118" s="45">
        <f>'Population Treasury'!V$168*'Statistics NZ'!V$463*'Economic Forecasts'!X$8/D$7</f>
        <v>29210.279435937395</v>
      </c>
      <c r="E118" s="45">
        <f>'Population Treasury'!W$168*'Statistics NZ'!W$463*'Economic Forecasts'!Y$8/E$7</f>
        <v>28695.692531791014</v>
      </c>
      <c r="F118" s="45">
        <f>'Population Treasury'!X$168*'Statistics NZ'!X$463*'Economic Forecasts'!Z$8/F$7</f>
        <v>27945.213657211742</v>
      </c>
      <c r="G118" s="45">
        <f>'Population Treasury'!Y$168*'Statistics NZ'!Y$463*'Economic Forecasts'!AA$8/G$7</f>
        <v>27933.597080402371</v>
      </c>
      <c r="H118" s="46">
        <f>G$118*'Population Treasury'!Z$168*'Statistics NZ'!Z$463/('Population Treasury'!Y$168*'Statistics NZ'!Y$463)</f>
        <v>28351.420715542234</v>
      </c>
      <c r="I118" s="46">
        <f>H$118*'Population Treasury'!AA$168*'Statistics NZ'!AA$463/('Population Treasury'!Z$168*'Statistics NZ'!Z$463)</f>
        <v>28169.820406439994</v>
      </c>
      <c r="J118" s="46">
        <f>I$118*'Population Treasury'!AB$168*'Statistics NZ'!AB$463/('Population Treasury'!AA$168*'Statistics NZ'!AA$463)</f>
        <v>29479.132966165344</v>
      </c>
      <c r="K118" s="46">
        <f>J$118*'Population Treasury'!AC$168*'Statistics NZ'!AC$463/('Population Treasury'!AB$168*'Statistics NZ'!AB$463)</f>
        <v>30585.032753270545</v>
      </c>
      <c r="L118" s="46">
        <f>K$118*'Population Treasury'!AD$168*'Statistics NZ'!AD$463/('Population Treasury'!AC$168*'Statistics NZ'!AC$463)</f>
        <v>31558.963664953579</v>
      </c>
      <c r="M118" s="46">
        <f>L$118*'Population Treasury'!AE$168*'Statistics NZ'!AE$463/('Population Treasury'!AD$168*'Statistics NZ'!AD$463)</f>
        <v>32492.340023328445</v>
      </c>
      <c r="N118" s="46">
        <f>M$118*'Population Treasury'!AF$168*'Statistics NZ'!AF$463/('Population Treasury'!AE$168*'Statistics NZ'!AE$463)</f>
        <v>33862.061916129584</v>
      </c>
      <c r="O118" s="46">
        <f>N$118*'Population Treasury'!AG$168*'Statistics NZ'!AG$463/('Population Treasury'!AF$168*'Statistics NZ'!AF$463)</f>
        <v>34846.223485048438</v>
      </c>
      <c r="P118" s="46">
        <f>O$118*'Population Treasury'!AH$168*'Statistics NZ'!AH$463/('Population Treasury'!AG$168*'Statistics NZ'!AG$463)</f>
        <v>35454.963115042236</v>
      </c>
      <c r="Q118" s="46">
        <f>P$118*'Population Treasury'!AI$168*'Statistics NZ'!AI$463/('Population Treasury'!AH$168*'Statistics NZ'!AH$463)</f>
        <v>36621.740641586504</v>
      </c>
      <c r="R118" s="46">
        <f>Q$118*'Population Treasury'!AJ$168*'Statistics NZ'!AJ$463/('Population Treasury'!AI$168*'Statistics NZ'!AI$463)</f>
        <v>38630.713258565891</v>
      </c>
      <c r="S118" s="46">
        <f>R$118*'Population Treasury'!AK$168*'Statistics NZ'!AK$463/('Population Treasury'!AJ$168*'Statistics NZ'!AJ$463)</f>
        <v>39838.069146152578</v>
      </c>
      <c r="T118" s="46">
        <f>S$118*'Population Treasury'!AL$168*'Statistics NZ'!AL$463/('Population Treasury'!AK$168*'Statistics NZ'!AK$463)</f>
        <v>40619.292095726014</v>
      </c>
      <c r="U118" s="46">
        <f>T$118*'Population Treasury'!AM$168*'Statistics NZ'!AM$463/('Population Treasury'!AL$168*'Statistics NZ'!AL$463)</f>
        <v>42293.42086710484</v>
      </c>
      <c r="V118" s="46">
        <f>U$118*'Population Treasury'!AN$168*'Statistics NZ'!AN$463/('Population Treasury'!AM$168*'Statistics NZ'!AM$463)</f>
        <v>43064.562164386873</v>
      </c>
      <c r="W118" s="46">
        <f>V$118*'Population Treasury'!AO$168*'Statistics NZ'!AO$463/('Population Treasury'!AN$168*'Statistics NZ'!AN$463)</f>
        <v>43074.64990441133</v>
      </c>
      <c r="X118" s="46">
        <f>W$118*'Population Treasury'!AP$168*'Statistics NZ'!AP$463/('Population Treasury'!AO$168*'Statistics NZ'!AO$463)</f>
        <v>42303.45197705779</v>
      </c>
      <c r="Y118" s="46">
        <f>X$118*'Population Treasury'!AQ$168*'Statistics NZ'!AQ$463/('Population Treasury'!AP$168*'Statistics NZ'!AP$463)</f>
        <v>41298.868865543707</v>
      </c>
      <c r="Z118" s="46">
        <f>Y$118*'Population Treasury'!AR$168*'Statistics NZ'!AR$463/('Population Treasury'!AQ$168*'Statistics NZ'!AQ$463)</f>
        <v>40974.149201251865</v>
      </c>
      <c r="AA118" s="46">
        <f>Z$118*'Population Treasury'!AS$168*'Statistics NZ'!AS$463/('Population Treasury'!AR$168*'Statistics NZ'!AR$463)</f>
        <v>40547.950334735746</v>
      </c>
      <c r="AB118" s="46">
        <f>AA$118*'Population Treasury'!AT$168*'Statistics NZ'!AT$463/('Population Treasury'!AS$168*'Statistics NZ'!AS$463)</f>
        <v>39249.184397587567</v>
      </c>
      <c r="AC118" s="46">
        <f>AB$118*'Population Treasury'!AU$168*'Statistics NZ'!AU$463/('Population Treasury'!AT$168*'Statistics NZ'!AT$463)</f>
        <v>39117.279427788773</v>
      </c>
      <c r="AD118" s="46">
        <f>AC$118*'Population Treasury'!AV$168*'Statistics NZ'!AV$463/('Population Treasury'!AU$168*'Statistics NZ'!AU$463)</f>
        <v>38528.747548047111</v>
      </c>
      <c r="AE118" s="46">
        <f>AD$118*'Population Treasury'!AW$168*'Statistics NZ'!AW$463/('Population Treasury'!AV$168*'Statistics NZ'!AV$463)</f>
        <v>39472.366940661501</v>
      </c>
      <c r="AF118" s="46">
        <f>AE$118*'Population Treasury'!AX$168*'Statistics NZ'!AX$463/('Population Treasury'!AW$168*'Statistics NZ'!AW$463)</f>
        <v>39178.070856048202</v>
      </c>
      <c r="AG118" s="46">
        <f>AF$118*'Population Treasury'!AY$168*'Statistics NZ'!AY$463/('Population Treasury'!AX$168*'Statistics NZ'!AX$463)</f>
        <v>38538.828329718504</v>
      </c>
      <c r="AH118" s="46">
        <f>AG$118*'Population Treasury'!AZ$168*'Statistics NZ'!AZ$463/('Population Treasury'!AY$168*'Statistics NZ'!AY$463)</f>
        <v>39249.064467246106</v>
      </c>
      <c r="AI118" s="46">
        <f>AH$118*'Population Treasury'!BA$168*'Statistics NZ'!BA$463/('Population Treasury'!AZ$168*'Statistics NZ'!AZ$463)</f>
        <v>40223.112518710739</v>
      </c>
      <c r="AJ118" s="46">
        <f>AI$118*'Population Treasury'!BB$168*'Statistics NZ'!BB$463/('Population Treasury'!BA$168*'Statistics NZ'!BA$463)</f>
        <v>40628.971092514046</v>
      </c>
      <c r="AK118" s="46">
        <f>AJ$118*'Population Treasury'!BC$168*'Statistics NZ'!BC$463/('Population Treasury'!BB$168*'Statistics NZ'!BB$463)</f>
        <v>41521.939810556447</v>
      </c>
      <c r="AL118" s="46">
        <f>AK$118*'Population Treasury'!BD$168*'Statistics NZ'!BD$463/('Population Treasury'!BC$168*'Statistics NZ'!BC$463)</f>
        <v>44149.904473391951</v>
      </c>
      <c r="AM118" s="46">
        <f>AL$118*'Population Treasury'!BE$168*'Statistics NZ'!BE$463/('Population Treasury'!BD$168*'Statistics NZ'!BD$463)</f>
        <v>45844.338191314899</v>
      </c>
      <c r="AN118" s="46">
        <f>AM$118*'Population Treasury'!BF$168*'Statistics NZ'!BF$463/('Population Treasury'!BE$168*'Statistics NZ'!BE$463)</f>
        <v>46077.721380182309</v>
      </c>
      <c r="AO118" s="46">
        <f>AN$118*'Population Treasury'!BG$168*'Statistics NZ'!BG$463/('Population Treasury'!BF$168*'Statistics NZ'!BF$463)</f>
        <v>46696.678294359008</v>
      </c>
      <c r="AP118" s="46">
        <f>AO$118*'Population Treasury'!BH$168*'Statistics NZ'!BH$463/('Population Treasury'!BG$168*'Statistics NZ'!BG$463)</f>
        <v>46767.677192241586</v>
      </c>
      <c r="AQ118" s="46">
        <f>AP$118*'Population Treasury'!BI$168*'Statistics NZ'!BI$463/('Population Treasury'!BH$168*'Statistics NZ'!BH$463)</f>
        <v>46808.248025559013</v>
      </c>
    </row>
    <row r="119" spans="1:43" x14ac:dyDescent="0.25">
      <c r="A119" s="11">
        <f>$A$49</f>
        <v>54</v>
      </c>
      <c r="B119" s="45">
        <f>'Population Treasury'!T$169*'Statistics NZ'!T$464*'Economic Forecasts'!V$8/B$7</f>
        <v>29040.656442317089</v>
      </c>
      <c r="C119" s="45">
        <f>'Population Treasury'!U$169*'Statistics NZ'!U$464*'Economic Forecasts'!W$8/C$7</f>
        <v>29828.995595557339</v>
      </c>
      <c r="D119" s="45">
        <f>'Population Treasury'!V$169*'Statistics NZ'!V$464*'Economic Forecasts'!X$8/D$7</f>
        <v>29736.364266990287</v>
      </c>
      <c r="E119" s="45">
        <f>'Population Treasury'!W$169*'Statistics NZ'!W$464*'Economic Forecasts'!Y$8/E$7</f>
        <v>29164.860957341203</v>
      </c>
      <c r="F119" s="45">
        <f>'Population Treasury'!X$169*'Statistics NZ'!X$464*'Economic Forecasts'!Z$8/F$7</f>
        <v>28626.933335604321</v>
      </c>
      <c r="G119" s="45">
        <f>'Population Treasury'!Y$169*'Statistics NZ'!Y$464*'Economic Forecasts'!AA$8/G$7</f>
        <v>27853.153741984708</v>
      </c>
      <c r="H119" s="46">
        <f>G$119*'Population Treasury'!Z$169*'Statistics NZ'!Z$464/('Population Treasury'!Y$169*'Statistics NZ'!Y$464)</f>
        <v>27773.717265483108</v>
      </c>
      <c r="I119" s="46">
        <f>H$119*'Population Treasury'!AA$169*'Statistics NZ'!AA$464/('Population Treasury'!Z$169*'Statistics NZ'!Z$464)</f>
        <v>28190.755793674511</v>
      </c>
      <c r="J119" s="46">
        <f>I$119*'Population Treasury'!AB$169*'Statistics NZ'!AB$464/('Population Treasury'!AA$169*'Statistics NZ'!AA$464)</f>
        <v>28008.538911830627</v>
      </c>
      <c r="K119" s="46">
        <f>J$119*'Population Treasury'!AC$169*'Statistics NZ'!AC$464/('Population Treasury'!AB$169*'Statistics NZ'!AB$464)</f>
        <v>29317.361317488067</v>
      </c>
      <c r="L119" s="46">
        <f>K$119*'Population Treasury'!AD$169*'Statistics NZ'!AD$464/('Population Treasury'!AC$169*'Statistics NZ'!AC$464)</f>
        <v>30423.161140431956</v>
      </c>
      <c r="M119" s="46">
        <f>L$119*'Population Treasury'!AE$169*'Statistics NZ'!AE$464/('Population Treasury'!AD$169*'Statistics NZ'!AD$464)</f>
        <v>31397.074699595891</v>
      </c>
      <c r="N119" s="46">
        <f>M$119*'Population Treasury'!AF$169*'Statistics NZ'!AF$464/('Population Treasury'!AE$169*'Statistics NZ'!AE$464)</f>
        <v>32320.366775419236</v>
      </c>
      <c r="O119" s="46">
        <f>N$119*'Population Treasury'!AG$169*'Statistics NZ'!AG$464/('Population Treasury'!AF$169*'Statistics NZ'!AF$464)</f>
        <v>33700.13602907829</v>
      </c>
      <c r="P119" s="46">
        <f>O$119*'Population Treasury'!AH$169*'Statistics NZ'!AH$464/('Population Treasury'!AG$169*'Statistics NZ'!AG$464)</f>
        <v>34684.350468833807</v>
      </c>
      <c r="Q119" s="46">
        <f>P$119*'Population Treasury'!AI$169*'Statistics NZ'!AI$464/('Population Treasury'!AH$169*'Statistics NZ'!AH$464)</f>
        <v>35293.014490387679</v>
      </c>
      <c r="R119" s="46">
        <f>Q$119*'Population Treasury'!AJ$169*'Statistics NZ'!AJ$464/('Population Treasury'!AI$169*'Statistics NZ'!AI$464)</f>
        <v>36459.776612189002</v>
      </c>
      <c r="S119" s="46">
        <f>R$119*'Population Treasury'!AK$169*'Statistics NZ'!AK$464/('Population Treasury'!AJ$169*'Statistics NZ'!AJ$464)</f>
        <v>38458.64405632831</v>
      </c>
      <c r="T119" s="46">
        <f>S$119*'Population Treasury'!AL$169*'Statistics NZ'!AL$464/('Population Treasury'!AK$169*'Statistics NZ'!AK$464)</f>
        <v>39665.984513267227</v>
      </c>
      <c r="U119" s="46">
        <f>T$119*'Population Treasury'!AM$169*'Statistics NZ'!AM$464/('Population Treasury'!AL$169*'Statistics NZ'!AL$464)</f>
        <v>40447.197958933168</v>
      </c>
      <c r="V119" s="46">
        <f>U$119*'Population Treasury'!AN$169*'Statistics NZ'!AN$464/('Population Treasury'!AM$169*'Statistics NZ'!AM$464)</f>
        <v>42121.307595605555</v>
      </c>
      <c r="W119" s="46">
        <f>V$119*'Population Treasury'!AO$169*'Statistics NZ'!AO$464/('Population Treasury'!AN$169*'Statistics NZ'!AN$464)</f>
        <v>42892.440596463246</v>
      </c>
      <c r="X119" s="46">
        <f>W$119*'Population Treasury'!AP$169*'Statistics NZ'!AP$464/('Population Treasury'!AO$169*'Statistics NZ'!AO$464)</f>
        <v>42902.528188325072</v>
      </c>
      <c r="Y119" s="46">
        <f>X$119*'Population Treasury'!AQ$169*'Statistics NZ'!AQ$464/('Population Treasury'!AP$169*'Statistics NZ'!AP$464)</f>
        <v>42131.394115623676</v>
      </c>
      <c r="Z119" s="46">
        <f>Y$119*'Population Treasury'!AR$169*'Statistics NZ'!AR$464/('Population Treasury'!AQ$169*'Statistics NZ'!AQ$464)</f>
        <v>41136.965605955287</v>
      </c>
      <c r="AA119" s="46">
        <f>Z$119*'Population Treasury'!AS$169*'Statistics NZ'!AS$464/('Population Treasury'!AR$169*'Statistics NZ'!AR$464)</f>
        <v>40822.334678276646</v>
      </c>
      <c r="AB119" s="46">
        <f>AA$119*'Population Treasury'!AT$169*'Statistics NZ'!AT$464/('Population Treasury'!AS$169*'Statistics NZ'!AS$464)</f>
        <v>40396.140723299904</v>
      </c>
      <c r="AC119" s="46">
        <f>AB$119*'Population Treasury'!AU$169*'Statistics NZ'!AU$464/('Population Treasury'!AT$169*'Statistics NZ'!AT$464)</f>
        <v>39107.472292372666</v>
      </c>
      <c r="AD119" s="46">
        <f>AC$119*'Population Treasury'!AV$169*'Statistics NZ'!AV$464/('Population Treasury'!AU$169*'Statistics NZ'!AU$464)</f>
        <v>38985.710552338307</v>
      </c>
      <c r="AE119" s="46">
        <f>AD$119*'Population Treasury'!AW$169*'Statistics NZ'!AW$464/('Population Treasury'!AV$169*'Statistics NZ'!AV$464)</f>
        <v>38397.185092260785</v>
      </c>
      <c r="AF119" s="46">
        <f>AE$119*'Population Treasury'!AX$169*'Statistics NZ'!AX$464/('Population Treasury'!AW$169*'Statistics NZ'!AW$464)</f>
        <v>39340.794263218653</v>
      </c>
      <c r="AG119" s="46">
        <f>AF$119*'Population Treasury'!AY$169*'Statistics NZ'!AY$464/('Population Treasury'!AX$169*'Statistics NZ'!AX$464)</f>
        <v>39046.561388936934</v>
      </c>
      <c r="AH119" s="46">
        <f>AG$119*'Population Treasury'!AZ$169*'Statistics NZ'!AZ$464/('Population Treasury'!AY$169*'Statistics NZ'!AY$464)</f>
        <v>38407.326823984244</v>
      </c>
      <c r="AI119" s="46">
        <f>AH$119*'Population Treasury'!BA$169*'Statistics NZ'!BA$464/('Population Treasury'!AZ$169*'Statistics NZ'!AZ$464)</f>
        <v>39117.554136222214</v>
      </c>
      <c r="AJ119" s="46">
        <f>AI$119*'Population Treasury'!BB$169*'Statistics NZ'!BB$464/('Population Treasury'!BA$169*'Statistics NZ'!BA$464)</f>
        <v>40091.590586962979</v>
      </c>
      <c r="AK119" s="46">
        <f>AJ$119*'Population Treasury'!BC$169*'Statistics NZ'!BC$464/('Population Treasury'!BB$169*'Statistics NZ'!BB$464)</f>
        <v>40497.444489726455</v>
      </c>
      <c r="AL119" s="46">
        <f>AK$119*'Population Treasury'!BD$169*'Statistics NZ'!BD$464/('Population Treasury'!BC$169*'Statistics NZ'!BC$464)</f>
        <v>41400.488622917706</v>
      </c>
      <c r="AM119" s="46">
        <f>AL$119*'Population Treasury'!BE$169*'Statistics NZ'!BE$464/('Population Treasury'!BD$169*'Statistics NZ'!BD$464)</f>
        <v>44018.287556730247</v>
      </c>
      <c r="AN119" s="46">
        <f>AM$119*'Population Treasury'!BF$169*'Statistics NZ'!BF$464/('Population Treasury'!BE$169*'Statistics NZ'!BE$464)</f>
        <v>45702.667767923187</v>
      </c>
      <c r="AO119" s="46">
        <f>AN$119*'Population Treasury'!BG$169*'Statistics NZ'!BG$464/('Population Treasury'!BF$169*'Statistics NZ'!BF$464)</f>
        <v>45946.139992148077</v>
      </c>
      <c r="AP119" s="46">
        <f>AO$119*'Population Treasury'!BH$169*'Statistics NZ'!BH$464/('Population Treasury'!BG$169*'Statistics NZ'!BG$464)</f>
        <v>46565.091487654216</v>
      </c>
      <c r="AQ119" s="46">
        <f>AP$119*'Population Treasury'!BI$169*'Statistics NZ'!BI$464/('Population Treasury'!BH$169*'Statistics NZ'!BH$464)</f>
        <v>46636.089774731539</v>
      </c>
    </row>
    <row r="120" spans="1:43" x14ac:dyDescent="0.25">
      <c r="A120" s="11">
        <f>$A$50</f>
        <v>55</v>
      </c>
      <c r="B120" s="45">
        <f>'Population Treasury'!T$170*'Statistics NZ'!T$465*'Economic Forecasts'!V$8/B$7</f>
        <v>28820.878512585074</v>
      </c>
      <c r="C120" s="45">
        <f>'Population Treasury'!U$170*'Statistics NZ'!U$465*'Economic Forecasts'!W$8/C$7</f>
        <v>28572.96698566452</v>
      </c>
      <c r="D120" s="45">
        <f>'Population Treasury'!V$170*'Statistics NZ'!V$465*'Economic Forecasts'!X$8/D$7</f>
        <v>29737.009538939434</v>
      </c>
      <c r="E120" s="45">
        <f>'Population Treasury'!W$170*'Statistics NZ'!W$465*'Economic Forecasts'!Y$8/E$7</f>
        <v>29714.463564594575</v>
      </c>
      <c r="F120" s="45">
        <f>'Population Treasury'!X$170*'Statistics NZ'!X$465*'Economic Forecasts'!Z$8/F$7</f>
        <v>29118.613050398333</v>
      </c>
      <c r="G120" s="45">
        <f>'Population Treasury'!Y$170*'Statistics NZ'!Y$465*'Economic Forecasts'!AA$8/G$7</f>
        <v>28547.211741486648</v>
      </c>
      <c r="H120" s="46">
        <f>G$120*'Population Treasury'!Z$170*'Statistics NZ'!Z$465/('Population Treasury'!Y$170*'Statistics NZ'!Y$465)</f>
        <v>27686.776936335678</v>
      </c>
      <c r="I120" s="46">
        <f>H$120*'Population Treasury'!AA$170*'Statistics NZ'!AA$465/('Population Treasury'!Z$170*'Statistics NZ'!Z$465)</f>
        <v>27606.688429446349</v>
      </c>
      <c r="J120" s="46">
        <f>I$120*'Population Treasury'!AB$170*'Statistics NZ'!AB$465/('Population Treasury'!AA$170*'Statistics NZ'!AA$465)</f>
        <v>28023.236522650535</v>
      </c>
      <c r="K120" s="46">
        <f>J$120*'Population Treasury'!AC$170*'Statistics NZ'!AC$465/('Population Treasury'!AB$170*'Statistics NZ'!AB$465)</f>
        <v>27850.535534140981</v>
      </c>
      <c r="L120" s="46">
        <f>K$120*'Population Treasury'!AD$170*'Statistics NZ'!AD$465/('Population Treasury'!AC$170*'Statistics NZ'!AC$465)</f>
        <v>29149.184870416288</v>
      </c>
      <c r="M120" s="46">
        <f>L$120*'Population Treasury'!AE$170*'Statistics NZ'!AE$465/('Population Treasury'!AD$170*'Statistics NZ'!AD$465)</f>
        <v>30255.033503934057</v>
      </c>
      <c r="N120" s="46">
        <f>M$120*'Population Treasury'!AF$170*'Statistics NZ'!AF$465/('Population Treasury'!AE$170*'Statistics NZ'!AE$465)</f>
        <v>31218.856148821884</v>
      </c>
      <c r="O120" s="46">
        <f>N$120*'Population Treasury'!AG$170*'Statistics NZ'!AG$465/('Population Treasury'!AF$170*'Statistics NZ'!AF$465)</f>
        <v>32142.124380235909</v>
      </c>
      <c r="P120" s="46">
        <f>O$120*'Population Treasury'!AH$170*'Statistics NZ'!AH$465/('Population Treasury'!AG$170*'Statistics NZ'!AG$465)</f>
        <v>33511.788209224294</v>
      </c>
      <c r="Q120" s="46">
        <f>P$120*'Population Treasury'!AI$170*'Statistics NZ'!AI$465/('Population Treasury'!AH$170*'Statistics NZ'!AH$465)</f>
        <v>34495.910542722333</v>
      </c>
      <c r="R120" s="46">
        <f>Q$120*'Population Treasury'!AJ$170*'Statistics NZ'!AJ$465/('Population Treasury'!AI$170*'Statistics NZ'!AI$465)</f>
        <v>35104.62642048909</v>
      </c>
      <c r="S120" s="46">
        <f>R$120*'Population Treasury'!AK$170*'Statistics NZ'!AK$465/('Population Treasury'!AJ$170*'Statistics NZ'!AJ$465)</f>
        <v>36261.220189900399</v>
      </c>
      <c r="T120" s="46">
        <f>S$120*'Population Treasury'!AL$170*'Statistics NZ'!AL$465/('Population Treasury'!AK$170*'Statistics NZ'!AK$465)</f>
        <v>38249.968745857863</v>
      </c>
      <c r="U120" s="46">
        <f>T$120*'Population Treasury'!AM$170*'Statistics NZ'!AM$465/('Population Treasury'!AL$170*'Statistics NZ'!AL$465)</f>
        <v>39457.282556644706</v>
      </c>
      <c r="V120" s="46">
        <f>U$120*'Population Treasury'!AN$170*'Statistics NZ'!AN$465/('Population Treasury'!AM$170*'Statistics NZ'!AM$465)</f>
        <v>40228.39703850112</v>
      </c>
      <c r="W120" s="46">
        <f>V$120*'Population Treasury'!AO$170*'Statistics NZ'!AO$465/('Population Treasury'!AN$170*'Statistics NZ'!AN$465)</f>
        <v>41892.38748444771</v>
      </c>
      <c r="X120" s="46">
        <f>W$120*'Population Treasury'!AP$170*'Statistics NZ'!AP$465/('Population Treasury'!AO$170*'Statistics NZ'!AO$465)</f>
        <v>42663.449144524668</v>
      </c>
      <c r="Y120" s="46">
        <f>X$120*'Population Treasury'!AQ$170*'Statistics NZ'!AQ$465/('Population Treasury'!AP$170*'Statistics NZ'!AP$465)</f>
        <v>42673.59103085829</v>
      </c>
      <c r="Z120" s="46">
        <f>Y$120*'Population Treasury'!AR$170*'Statistics NZ'!AR$465/('Population Treasury'!AQ$170*'Statistics NZ'!AQ$465)</f>
        <v>41922.641977094157</v>
      </c>
      <c r="AA120" s="46">
        <f>Z$120*'Population Treasury'!AS$170*'Statistics NZ'!AS$465/('Population Treasury'!AR$170*'Statistics NZ'!AR$465)</f>
        <v>40928.28770904414</v>
      </c>
      <c r="AB120" s="46">
        <f>AA$120*'Population Treasury'!AT$170*'Statistics NZ'!AT$465/('Population Treasury'!AS$170*'Statistics NZ'!AS$465)</f>
        <v>40613.660779577411</v>
      </c>
      <c r="AC120" s="46">
        <f>AB$120*'Population Treasury'!AU$170*'Statistics NZ'!AU$465/('Population Treasury'!AT$170*'Statistics NZ'!AT$465)</f>
        <v>40197.616016716696</v>
      </c>
      <c r="AD120" s="46">
        <f>AC$120*'Population Treasury'!AV$170*'Statistics NZ'!AV$465/('Population Treasury'!AU$170*'Statistics NZ'!AU$465)</f>
        <v>38909.034311176518</v>
      </c>
      <c r="AE120" s="46">
        <f>AD$120*'Population Treasury'!AW$170*'Statistics NZ'!AW$465/('Population Treasury'!AV$170*'Statistics NZ'!AV$465)</f>
        <v>38787.213684970935</v>
      </c>
      <c r="AF120" s="46">
        <f>AE$120*'Population Treasury'!AX$170*'Statistics NZ'!AX$465/('Population Treasury'!AW$170*'Statistics NZ'!AW$465)</f>
        <v>38208.841844570634</v>
      </c>
      <c r="AG120" s="46">
        <f>AF$120*'Population Treasury'!AY$170*'Statistics NZ'!AY$465/('Population Treasury'!AX$170*'Statistics NZ'!AX$465)</f>
        <v>39152.43023318972</v>
      </c>
      <c r="AH120" s="46">
        <f>AG$120*'Population Treasury'!AZ$170*'Statistics NZ'!AZ$465/('Population Treasury'!AY$170*'Statistics NZ'!AY$465)</f>
        <v>38858.203998482502</v>
      </c>
      <c r="AI120" s="46">
        <f>AH$120*'Population Treasury'!BA$170*'Statistics NZ'!BA$465/('Population Treasury'!AZ$170*'Statistics NZ'!AZ$465)</f>
        <v>38229.062082025019</v>
      </c>
      <c r="AJ120" s="46">
        <f>AI$120*'Population Treasury'!BB$170*'Statistics NZ'!BB$465/('Population Treasury'!BA$170*'Statistics NZ'!BA$465)</f>
        <v>38939.274493283643</v>
      </c>
      <c r="AK120" s="46">
        <f>AJ$120*'Population Treasury'!BC$170*'Statistics NZ'!BC$465/('Population Treasury'!BB$170*'Statistics NZ'!BB$465)</f>
        <v>39903.269866824798</v>
      </c>
      <c r="AL120" s="46">
        <f>AK$120*'Population Treasury'!BD$170*'Statistics NZ'!BD$465/('Population Treasury'!BC$170*'Statistics NZ'!BC$465)</f>
        <v>40309.114850198552</v>
      </c>
      <c r="AM120" s="46">
        <f>AL$120*'Population Treasury'!BE$170*'Statistics NZ'!BE$465/('Population Treasury'!BD$170*'Statistics NZ'!BD$465)</f>
        <v>41212.14020030426</v>
      </c>
      <c r="AN120" s="46">
        <f>AM$120*'Population Treasury'!BF$170*'Statistics NZ'!BF$465/('Population Treasury'!BE$170*'Statistics NZ'!BE$465)</f>
        <v>43819.801211481412</v>
      </c>
      <c r="AO120" s="46">
        <f>AN$120*'Population Treasury'!BG$170*'Statistics NZ'!BG$465/('Population Treasury'!BF$170*'Statistics NZ'!BF$465)</f>
        <v>45504.151196588522</v>
      </c>
      <c r="AP120" s="46">
        <f>AO$120*'Population Treasury'!BH$170*'Statistics NZ'!BH$465/('Population Treasury'!BG$170*'Statistics NZ'!BG$465)</f>
        <v>45737.528081846431</v>
      </c>
      <c r="AQ120" s="46">
        <f>AP$120*'Population Treasury'!BI$170*'Statistics NZ'!BI$465/('Population Treasury'!BH$170*'Statistics NZ'!BH$465)</f>
        <v>46356.468220850176</v>
      </c>
    </row>
    <row r="121" spans="1:43" x14ac:dyDescent="0.25">
      <c r="A121" s="11">
        <f>$A$51</f>
        <v>56</v>
      </c>
      <c r="B121" s="45">
        <f>'Population Treasury'!T$171*'Statistics NZ'!T$466*'Economic Forecasts'!V$8/B$7</f>
        <v>27991.716323141551</v>
      </c>
      <c r="C121" s="45">
        <f>'Population Treasury'!U$171*'Statistics NZ'!U$466*'Economic Forecasts'!W$8/C$7</f>
        <v>28384.950711163488</v>
      </c>
      <c r="D121" s="45">
        <f>'Population Treasury'!V$171*'Statistics NZ'!V$466*'Economic Forecasts'!X$8/D$7</f>
        <v>28506.093378737409</v>
      </c>
      <c r="E121" s="45">
        <f>'Population Treasury'!W$171*'Statistics NZ'!W$466*'Economic Forecasts'!Y$8/E$7</f>
        <v>29744.399717567081</v>
      </c>
      <c r="F121" s="45">
        <f>'Population Treasury'!X$171*'Statistics NZ'!X$466*'Economic Forecasts'!Z$8/F$7</f>
        <v>29690.054786278812</v>
      </c>
      <c r="G121" s="45">
        <f>'Population Treasury'!Y$171*'Statistics NZ'!Y$466*'Economic Forecasts'!AA$8/G$7</f>
        <v>29049.911038690494</v>
      </c>
      <c r="H121" s="46">
        <f>G$121*'Population Treasury'!Z$171*'Statistics NZ'!Z$466/('Population Treasury'!Y$171*'Statistics NZ'!Y$466)</f>
        <v>28392.350281434261</v>
      </c>
      <c r="I121" s="46">
        <f>H$121*'Population Treasury'!AA$171*'Statistics NZ'!AA$466/('Population Treasury'!Z$171*'Statistics NZ'!Z$466)</f>
        <v>27531.078281938695</v>
      </c>
      <c r="J121" s="46">
        <f>I$121*'Population Treasury'!AB$171*'Statistics NZ'!AB$466/('Population Treasury'!AA$171*'Statistics NZ'!AA$466)</f>
        <v>27460.443244275713</v>
      </c>
      <c r="K121" s="46">
        <f>J$121*'Population Treasury'!AC$171*'Statistics NZ'!AC$466/('Population Treasury'!AB$171*'Statistics NZ'!AB$466)</f>
        <v>27876.383770160144</v>
      </c>
      <c r="L121" s="46">
        <f>K$121*'Population Treasury'!AD$171*'Statistics NZ'!AD$466/('Population Treasury'!AC$171*'Statistics NZ'!AC$466)</f>
        <v>27693.630016443101</v>
      </c>
      <c r="M121" s="46">
        <f>L$121*'Population Treasury'!AE$171*'Statistics NZ'!AE$466/('Population Treasury'!AD$171*'Statistics NZ'!AD$466)</f>
        <v>28992.24481663105</v>
      </c>
      <c r="N121" s="46">
        <f>M$121*'Population Treasury'!AF$171*'Statistics NZ'!AF$466/('Population Treasury'!AE$171*'Statistics NZ'!AE$466)</f>
        <v>30077.946481519797</v>
      </c>
      <c r="O121" s="46">
        <f>N$121*'Population Treasury'!AG$171*'Statistics NZ'!AG$466/('Population Treasury'!AF$171*'Statistics NZ'!AF$466)</f>
        <v>31041.741142334344</v>
      </c>
      <c r="P121" s="46">
        <f>O$121*'Population Treasury'!AH$171*'Statistics NZ'!AH$466/('Population Treasury'!AG$171*'Statistics NZ'!AG$466)</f>
        <v>31964.98457207972</v>
      </c>
      <c r="Q121" s="46">
        <f>P$121*'Population Treasury'!AI$171*'Statistics NZ'!AI$466/('Population Treasury'!AH$171*'Statistics NZ'!AH$466)</f>
        <v>33314.405633661976</v>
      </c>
      <c r="R121" s="46">
        <f>Q$121*'Population Treasury'!AJ$171*'Statistics NZ'!AJ$466/('Population Treasury'!AI$171*'Statistics NZ'!AI$466)</f>
        <v>34298.501930706407</v>
      </c>
      <c r="S121" s="46">
        <f>R$121*'Population Treasury'!AK$171*'Statistics NZ'!AK$466/('Population Treasury'!AJ$171*'Statistics NZ'!AJ$466)</f>
        <v>34897.130647378355</v>
      </c>
      <c r="T121" s="46">
        <f>S$121*'Population Treasury'!AL$171*'Statistics NZ'!AL$466/('Population Treasury'!AK$171*'Statistics NZ'!AK$466)</f>
        <v>36053.760895174259</v>
      </c>
      <c r="U121" s="46">
        <f>T$121*'Population Treasury'!AM$171*'Statistics NZ'!AM$466/('Population Treasury'!AL$171*'Statistics NZ'!AL$466)</f>
        <v>38032.321054359949</v>
      </c>
      <c r="V121" s="46">
        <f>U$121*'Population Treasury'!AN$171*'Statistics NZ'!AN$466/('Population Treasury'!AM$171*'Statistics NZ'!AM$466)</f>
        <v>39219.446325153149</v>
      </c>
      <c r="W121" s="46">
        <f>V$121*'Population Treasury'!AO$171*'Statistics NZ'!AO$466/('Population Treasury'!AN$171*'Statistics NZ'!AN$466)</f>
        <v>40000.682639192062</v>
      </c>
      <c r="X121" s="46">
        <f>W$121*'Population Treasury'!AP$171*'Statistics NZ'!AP$466/('Population Treasury'!AO$171*'Statistics NZ'!AO$466)</f>
        <v>41654.492470634024</v>
      </c>
      <c r="Y121" s="46">
        <f>X$121*'Population Treasury'!AQ$171*'Statistics NZ'!AQ$466/('Population Treasury'!AP$171*'Statistics NZ'!AP$466)</f>
        <v>42415.508315069928</v>
      </c>
      <c r="Z121" s="46">
        <f>Y$121*'Population Treasury'!AR$171*'Statistics NZ'!AR$466/('Population Treasury'!AQ$171*'Statistics NZ'!AQ$466)</f>
        <v>42425.649867018161</v>
      </c>
      <c r="AA121" s="46">
        <f>Z$121*'Population Treasury'!AS$171*'Statistics NZ'!AS$466/('Population Treasury'!AR$171*'Statistics NZ'!AR$466)</f>
        <v>41674.717340534044</v>
      </c>
      <c r="AB121" s="46">
        <f>AA$121*'Population Treasury'!AT$171*'Statistics NZ'!AT$466/('Population Treasury'!AS$171*'Statistics NZ'!AS$466)</f>
        <v>40690.470645053239</v>
      </c>
      <c r="AC121" s="46">
        <f>AB$121*'Population Treasury'!AU$171*'Statistics NZ'!AU$466/('Population Treasury'!AT$171*'Statistics NZ'!AT$466)</f>
        <v>40375.909911352646</v>
      </c>
      <c r="AD121" s="46">
        <f>AC$121*'Population Treasury'!AV$171*'Statistics NZ'!AV$466/('Population Treasury'!AU$171*'Statistics NZ'!AU$466)</f>
        <v>39970.016919048736</v>
      </c>
      <c r="AE121" s="46">
        <f>AD$121*'Population Treasury'!AW$171*'Statistics NZ'!AW$466/('Population Treasury'!AV$171*'Statistics NZ'!AV$466)</f>
        <v>38691.550236886884</v>
      </c>
      <c r="AF121" s="46">
        <f>AE$121*'Population Treasury'!AX$171*'Statistics NZ'!AX$466/('Population Treasury'!AW$171*'Statistics NZ'!AW$466)</f>
        <v>38569.794519324598</v>
      </c>
      <c r="AG121" s="46">
        <f>AF$121*'Population Treasury'!AY$171*'Statistics NZ'!AY$466/('Population Treasury'!AX$171*'Statistics NZ'!AX$466)</f>
        <v>38001.516567815721</v>
      </c>
      <c r="AH121" s="46">
        <f>AG$121*'Population Treasury'!AZ$171*'Statistics NZ'!AZ$466/('Population Treasury'!AY$171*'Statistics NZ'!AY$466)</f>
        <v>38934.999562566853</v>
      </c>
      <c r="AI121" s="46">
        <f>AH$121*'Population Treasury'!BA$171*'Statistics NZ'!BA$466/('Population Treasury'!AZ$171*'Statistics NZ'!AZ$466)</f>
        <v>38650.860597058061</v>
      </c>
      <c r="AJ121" s="46">
        <f>AI$121*'Population Treasury'!BB$171*'Statistics NZ'!BB$466/('Population Treasury'!BA$171*'Statistics NZ'!BA$466)</f>
        <v>38021.798598928523</v>
      </c>
      <c r="AK121" s="46">
        <f>AJ$121*'Population Treasury'!BC$171*'Statistics NZ'!BC$466/('Population Treasury'!BB$171*'Statistics NZ'!BB$466)</f>
        <v>38721.911020578475</v>
      </c>
      <c r="AL121" s="46">
        <f>AK$121*'Population Treasury'!BD$171*'Statistics NZ'!BD$466/('Population Treasury'!BC$171*'Statistics NZ'!BC$466)</f>
        <v>39685.818254054844</v>
      </c>
      <c r="AM121" s="46">
        <f>AL$121*'Population Treasury'!BE$171*'Statistics NZ'!BE$466/('Population Treasury'!BD$171*'Statistics NZ'!BD$466)</f>
        <v>40101.7932958975</v>
      </c>
      <c r="AN121" s="46">
        <f>AM$121*'Population Treasury'!BF$171*'Statistics NZ'!BF$466/('Population Treasury'!BE$171*'Statistics NZ'!BE$466)</f>
        <v>40994.653404826349</v>
      </c>
      <c r="AO121" s="46">
        <f>AN$121*'Population Treasury'!BG$171*'Statistics NZ'!BG$466/('Population Treasury'!BF$171*'Statistics NZ'!BF$466)</f>
        <v>43582.07940445967</v>
      </c>
      <c r="AP121" s="46">
        <f>AO$121*'Population Treasury'!BH$171*'Statistics NZ'!BH$466/('Population Treasury'!BG$171*'Statistics NZ'!BG$466)</f>
        <v>45256.300256000774</v>
      </c>
      <c r="AQ121" s="46">
        <f>AP$121*'Population Treasury'!BI$171*'Statistics NZ'!BI$466/('Population Treasury'!BH$171*'Statistics NZ'!BH$466)</f>
        <v>45489.671485598141</v>
      </c>
    </row>
    <row r="122" spans="1:43" x14ac:dyDescent="0.25">
      <c r="A122" s="11">
        <f>$A$52</f>
        <v>57</v>
      </c>
      <c r="B122" s="45">
        <f>'Population Treasury'!T$172*'Statistics NZ'!T$467*'Economic Forecasts'!V$8/B$7</f>
        <v>27172.544039594941</v>
      </c>
      <c r="C122" s="45">
        <f>'Population Treasury'!U$172*'Statistics NZ'!U$467*'Economic Forecasts'!W$8/C$7</f>
        <v>27504.27788039497</v>
      </c>
      <c r="D122" s="45">
        <f>'Population Treasury'!V$172*'Statistics NZ'!V$467*'Economic Forecasts'!X$8/D$7</f>
        <v>28257.896885520408</v>
      </c>
      <c r="E122" s="45">
        <f>'Population Treasury'!W$172*'Statistics NZ'!W$467*'Economic Forecasts'!Y$8/E$7</f>
        <v>28446.615718806272</v>
      </c>
      <c r="F122" s="45">
        <f>'Population Treasury'!X$172*'Statistics NZ'!X$467*'Economic Forecasts'!Z$8/F$7</f>
        <v>29639.905716728808</v>
      </c>
      <c r="G122" s="45">
        <f>'Population Treasury'!Y$172*'Statistics NZ'!Y$467*'Economic Forecasts'!AA$8/G$7</f>
        <v>29542.549180386068</v>
      </c>
      <c r="H122" s="46">
        <f>G$122*'Population Treasury'!Z$172*'Statistics NZ'!Z$467/('Population Treasury'!Y$172*'Statistics NZ'!Y$467)</f>
        <v>28824.095536898854</v>
      </c>
      <c r="I122" s="46">
        <f>H$122*'Population Treasury'!AA$172*'Statistics NZ'!AA$467/('Population Treasury'!Z$172*'Statistics NZ'!Z$467)</f>
        <v>28175.928885028279</v>
      </c>
      <c r="J122" s="46">
        <f>I$122*'Population Treasury'!AB$172*'Statistics NZ'!AB$467/('Population Treasury'!AA$172*'Statistics NZ'!AA$467)</f>
        <v>27324.062212837947</v>
      </c>
      <c r="K122" s="46">
        <f>J$122*'Population Treasury'!AC$172*'Statistics NZ'!AC$467/('Population Treasury'!AB$172*'Statistics NZ'!AB$467)</f>
        <v>27242.870984375568</v>
      </c>
      <c r="L122" s="46">
        <f>K$122*'Population Treasury'!AD$172*'Statistics NZ'!AD$467/('Population Treasury'!AC$172*'Statistics NZ'!AC$467)</f>
        <v>27658.701428937158</v>
      </c>
      <c r="M122" s="46">
        <f>L$122*'Population Treasury'!AE$172*'Statistics NZ'!AE$467/('Population Treasury'!AD$172*'Statistics NZ'!AD$467)</f>
        <v>27486.091939687314</v>
      </c>
      <c r="N122" s="46">
        <f>M$122*'Population Treasury'!AF$172*'Statistics NZ'!AF$467/('Population Treasury'!AE$172*'Statistics NZ'!AE$467)</f>
        <v>28764.53703863985</v>
      </c>
      <c r="O122" s="46">
        <f>N$122*'Population Treasury'!AG$172*'Statistics NZ'!AG$467/('Population Treasury'!AF$172*'Statistics NZ'!AF$467)</f>
        <v>29840.048514751954</v>
      </c>
      <c r="P122" s="46">
        <f>O$122*'Population Treasury'!AH$172*'Statistics NZ'!AH$467/('Population Treasury'!AG$172*'Statistics NZ'!AG$467)</f>
        <v>30793.737258573896</v>
      </c>
      <c r="Q122" s="46">
        <f>P$122*'Population Treasury'!AI$172*'Statistics NZ'!AI$467/('Population Treasury'!AH$172*'Statistics NZ'!AH$467)</f>
        <v>31706.874795358108</v>
      </c>
      <c r="R122" s="46">
        <f>Q$122*'Population Treasury'!AJ$172*'Statistics NZ'!AJ$467/('Population Treasury'!AI$172*'Statistics NZ'!AI$467)</f>
        <v>33056.308064576806</v>
      </c>
      <c r="S122" s="46">
        <f>R$122*'Population Treasury'!AK$172*'Statistics NZ'!AK$467/('Population Treasury'!AJ$172*'Statistics NZ'!AJ$467)</f>
        <v>34020.22287470509</v>
      </c>
      <c r="T122" s="46">
        <f>S$122*'Population Treasury'!AL$172*'Statistics NZ'!AL$467/('Population Treasury'!AK$172*'Statistics NZ'!AK$467)</f>
        <v>34618.823630277322</v>
      </c>
      <c r="U122" s="46">
        <f>T$122*'Population Treasury'!AM$172*'Statistics NZ'!AM$467/('Population Treasury'!AL$172*'Statistics NZ'!AL$467)</f>
        <v>35765.329728918288</v>
      </c>
      <c r="V122" s="46">
        <f>U$122*'Population Treasury'!AN$172*'Statistics NZ'!AN$467/('Population Treasury'!AM$172*'Statistics NZ'!AM$467)</f>
        <v>37723.589701360717</v>
      </c>
      <c r="W122" s="46">
        <f>V$122*'Population Treasury'!AO$172*'Statistics NZ'!AO$467/('Population Treasury'!AN$172*'Statistics NZ'!AN$467)</f>
        <v>38910.666041426848</v>
      </c>
      <c r="X122" s="46">
        <f>W$122*'Population Treasury'!AP$172*'Statistics NZ'!AP$467/('Population Treasury'!AO$172*'Statistics NZ'!AO$467)</f>
        <v>39681.791871802299</v>
      </c>
      <c r="Y122" s="46">
        <f>X$122*'Population Treasury'!AQ$172*'Statistics NZ'!AQ$467/('Population Treasury'!AP$172*'Statistics NZ'!AP$467)</f>
        <v>41315.373306565605</v>
      </c>
      <c r="Z122" s="46">
        <f>Y$122*'Population Treasury'!AR$172*'Statistics NZ'!AR$467/('Population Treasury'!AQ$172*'Statistics NZ'!AQ$467)</f>
        <v>42076.359816507647</v>
      </c>
      <c r="AA122" s="46">
        <f>Z$122*'Population Treasury'!AS$172*'Statistics NZ'!AS$467/('Population Treasury'!AR$172*'Statistics NZ'!AR$467)</f>
        <v>42086.500887145754</v>
      </c>
      <c r="AB122" s="46">
        <f>AA$122*'Population Treasury'!AT$172*'Statistics NZ'!AT$467/('Population Treasury'!AS$172*'Statistics NZ'!AS$467)</f>
        <v>41345.737110275884</v>
      </c>
      <c r="AC122" s="46">
        <f>AB$122*'Population Treasury'!AU$172*'Statistics NZ'!AU$467/('Population Treasury'!AT$172*'Statistics NZ'!AT$467)</f>
        <v>40371.670682539356</v>
      </c>
      <c r="AD122" s="46">
        <f>AC$122*'Population Treasury'!AV$172*'Statistics NZ'!AV$467/('Population Treasury'!AU$172*'Statistics NZ'!AU$467)</f>
        <v>40067.202574304036</v>
      </c>
      <c r="AE122" s="46">
        <f>AD$122*'Population Treasury'!AW$172*'Statistics NZ'!AW$467/('Population Treasury'!AV$172*'Statistics NZ'!AV$467)</f>
        <v>39651.246493558894</v>
      </c>
      <c r="AF122" s="46">
        <f>AE$122*'Population Treasury'!AX$172*'Statistics NZ'!AX$467/('Population Treasury'!AW$172*'Statistics NZ'!AW$467)</f>
        <v>38392.990294098687</v>
      </c>
      <c r="AG122" s="46">
        <f>AF$122*'Population Treasury'!AY$172*'Statistics NZ'!AY$467/('Population Treasury'!AX$172*'Statistics NZ'!AX$467)</f>
        <v>38281.380338176648</v>
      </c>
      <c r="AH122" s="46">
        <f>AG$122*'Population Treasury'!AZ$172*'Statistics NZ'!AZ$467/('Population Treasury'!AY$172*'Statistics NZ'!AY$467)</f>
        <v>37713.125535979263</v>
      </c>
      <c r="AI122" s="46">
        <f>AH$122*'Population Treasury'!BA$172*'Statistics NZ'!BA$467/('Population Treasury'!AZ$172*'Statistics NZ'!AZ$467)</f>
        <v>38646.632092329433</v>
      </c>
      <c r="AJ122" s="46">
        <f>AI$122*'Population Treasury'!BB$172*'Statistics NZ'!BB$467/('Population Treasury'!BA$172*'Statistics NZ'!BA$467)</f>
        <v>38352.428029137467</v>
      </c>
      <c r="AK122" s="46">
        <f>AJ$122*'Population Treasury'!BC$172*'Statistics NZ'!BC$467/('Population Treasury'!BB$172*'Statistics NZ'!BB$467)</f>
        <v>37733.471274712596</v>
      </c>
      <c r="AL122" s="46">
        <f>AK$122*'Population Treasury'!BD$172*'Statistics NZ'!BD$467/('Population Treasury'!BC$172*'Statistics NZ'!BC$467)</f>
        <v>38433.552605461831</v>
      </c>
      <c r="AM122" s="46">
        <f>AL$122*'Population Treasury'!BE$172*'Statistics NZ'!BE$467/('Population Treasury'!BD$172*'Statistics NZ'!BD$467)</f>
        <v>39397.418539374819</v>
      </c>
      <c r="AN122" s="46">
        <f>AM$122*'Population Treasury'!BF$172*'Statistics NZ'!BF$467/('Population Treasury'!BE$172*'Statistics NZ'!BE$467)</f>
        <v>39803.296552983025</v>
      </c>
      <c r="AO122" s="46">
        <f>AN$122*'Population Treasury'!BG$172*'Statistics NZ'!BG$467/('Population Treasury'!BF$172*'Statistics NZ'!BF$467)</f>
        <v>40686.098365606827</v>
      </c>
      <c r="AP122" s="46">
        <f>AO$122*'Population Treasury'!BH$172*'Statistics NZ'!BH$467/('Population Treasury'!BG$172*'Statistics NZ'!BG$467)</f>
        <v>43263.334417935373</v>
      </c>
      <c r="AQ122" s="46">
        <f>AP$122*'Population Treasury'!BI$172*'Statistics NZ'!BI$467/('Population Treasury'!BH$172*'Statistics NZ'!BH$467)</f>
        <v>44927.349919567438</v>
      </c>
    </row>
    <row r="123" spans="1:43" x14ac:dyDescent="0.25">
      <c r="A123" s="11">
        <f>$A$53</f>
        <v>58</v>
      </c>
      <c r="B123" s="45">
        <f>'Population Treasury'!T$173*'Statistics NZ'!T$468*'Economic Forecasts'!V$8/B$7</f>
        <v>26782.937709615453</v>
      </c>
      <c r="C123" s="45">
        <f>'Population Treasury'!U$173*'Statistics NZ'!U$468*'Economic Forecasts'!W$8/C$7</f>
        <v>26544.41237209766</v>
      </c>
      <c r="D123" s="45">
        <f>'Population Treasury'!V$173*'Statistics NZ'!V$468*'Economic Forecasts'!X$8/D$7</f>
        <v>27225.45948237925</v>
      </c>
      <c r="E123" s="45">
        <f>'Population Treasury'!W$173*'Statistics NZ'!W$468*'Economic Forecasts'!Y$8/E$7</f>
        <v>28037.263890977138</v>
      </c>
      <c r="F123" s="45">
        <f>'Population Treasury'!X$173*'Statistics NZ'!X$468*'Economic Forecasts'!Z$8/F$7</f>
        <v>28196.185781217901</v>
      </c>
      <c r="G123" s="45">
        <f>'Population Treasury'!Y$173*'Statistics NZ'!Y$468*'Economic Forecasts'!AA$8/G$7</f>
        <v>29341.431375904591</v>
      </c>
      <c r="H123" s="46">
        <f>G$123*'Population Treasury'!Z$173*'Statistics NZ'!Z$468/('Population Treasury'!Y$173*'Statistics NZ'!Y$468)</f>
        <v>29170.939896307591</v>
      </c>
      <c r="I123" s="46">
        <f>H$123*'Population Treasury'!AA$173*'Statistics NZ'!AA$468/('Population Treasury'!Z$173*'Statistics NZ'!Z$468)</f>
        <v>28461.832429390346</v>
      </c>
      <c r="J123" s="46">
        <f>I$123*'Population Treasury'!AB$173*'Statistics NZ'!AB$468/('Population Treasury'!AA$173*'Statistics NZ'!AA$468)</f>
        <v>27823.096538077418</v>
      </c>
      <c r="K123" s="46">
        <f>J$123*'Population Treasury'!AC$173*'Statistics NZ'!AC$468/('Population Treasury'!AB$173*'Statistics NZ'!AB$468)</f>
        <v>26990.905673779744</v>
      </c>
      <c r="L123" s="46">
        <f>K$123*'Population Treasury'!AD$173*'Statistics NZ'!AD$468/('Population Treasury'!AC$173*'Statistics NZ'!AC$468)</f>
        <v>26919.770670112135</v>
      </c>
      <c r="M123" s="46">
        <f>L$123*'Population Treasury'!AE$173*'Statistics NZ'!AE$468/('Population Treasury'!AD$173*'Statistics NZ'!AD$468)</f>
        <v>27325.514340725491</v>
      </c>
      <c r="N123" s="46">
        <f>M$123*'Population Treasury'!AF$173*'Statistics NZ'!AF$468/('Population Treasury'!AE$173*'Statistics NZ'!AE$468)</f>
        <v>27153.00920997966</v>
      </c>
      <c r="O123" s="46">
        <f>N$123*'Population Treasury'!AG$173*'Statistics NZ'!AG$468/('Population Treasury'!AF$173*'Statistics NZ'!AF$468)</f>
        <v>28421.282585275752</v>
      </c>
      <c r="P123" s="46">
        <f>O$123*'Population Treasury'!AH$173*'Statistics NZ'!AH$468/('Population Treasury'!AG$173*'Statistics NZ'!AG$468)</f>
        <v>29496.699099462403</v>
      </c>
      <c r="Q123" s="46">
        <f>P$123*'Population Treasury'!AI$173*'Statistics NZ'!AI$468/('Population Treasury'!AH$173*'Statistics NZ'!AH$468)</f>
        <v>30430.190276850564</v>
      </c>
      <c r="R123" s="46">
        <f>Q$123*'Population Treasury'!AJ$173*'Statistics NZ'!AJ$468/('Population Treasury'!AI$173*'Statistics NZ'!AI$468)</f>
        <v>31333.113643291141</v>
      </c>
      <c r="S123" s="46">
        <f>R$123*'Population Treasury'!AK$173*'Statistics NZ'!AK$468/('Population Treasury'!AJ$173*'Statistics NZ'!AJ$468)</f>
        <v>32662.311200630382</v>
      </c>
      <c r="T123" s="46">
        <f>S$123*'Population Treasury'!AL$173*'Statistics NZ'!AL$468/('Population Treasury'!AK$173*'Statistics NZ'!AK$468)</f>
        <v>33626.151472191814</v>
      </c>
      <c r="U123" s="46">
        <f>T$123*'Population Treasury'!AM$173*'Statistics NZ'!AM$468/('Population Treasury'!AL$173*'Statistics NZ'!AL$468)</f>
        <v>34224.708183696159</v>
      </c>
      <c r="V123" s="46">
        <f>U$123*'Population Treasury'!AN$173*'Statistics NZ'!AN$468/('Population Treasury'!AM$173*'Statistics NZ'!AM$468)</f>
        <v>35350.990856843353</v>
      </c>
      <c r="W123" s="46">
        <f>V$123*'Population Treasury'!AO$173*'Statistics NZ'!AO$468/('Population Treasury'!AN$173*'Statistics NZ'!AN$468)</f>
        <v>37288.965972644386</v>
      </c>
      <c r="X123" s="46">
        <f>W$123*'Population Treasury'!AP$173*'Statistics NZ'!AP$468/('Population Treasury'!AO$173*'Statistics NZ'!AO$468)</f>
        <v>38465.885959485357</v>
      </c>
      <c r="Y123" s="46">
        <f>X$123*'Population Treasury'!AQ$173*'Statistics NZ'!AQ$468/('Population Treasury'!AP$173*'Statistics NZ'!AP$468)</f>
        <v>39226.882763010617</v>
      </c>
      <c r="Z123" s="46">
        <f>Y$123*'Population Treasury'!AR$173*'Statistics NZ'!AR$468/('Population Treasury'!AQ$173*'Statistics NZ'!AQ$468)</f>
        <v>40850.279828693769</v>
      </c>
      <c r="AA123" s="46">
        <f>Z$123*'Population Treasury'!AS$173*'Statistics NZ'!AS$468/('Population Treasury'!AR$173*'Statistics NZ'!AR$468)</f>
        <v>41601.079474013772</v>
      </c>
      <c r="AB123" s="46">
        <f>AA$123*'Population Treasury'!AT$173*'Statistics NZ'!AT$468/('Population Treasury'!AS$173*'Statistics NZ'!AS$468)</f>
        <v>41621.360447300292</v>
      </c>
      <c r="AC123" s="46">
        <f>AB$123*'Population Treasury'!AU$173*'Statistics NZ'!AU$468/('Population Treasury'!AT$173*'Statistics NZ'!AT$468)</f>
        <v>40880.700926721584</v>
      </c>
      <c r="AD123" s="46">
        <f>AC$123*'Population Treasury'!AV$173*'Statistics NZ'!AV$468/('Population Treasury'!AU$173*'Statistics NZ'!AU$468)</f>
        <v>39926.857726836439</v>
      </c>
      <c r="AE123" s="46">
        <f>AD$123*'Population Treasury'!AW$173*'Statistics NZ'!AW$468/('Population Treasury'!AV$173*'Statistics NZ'!AV$468)</f>
        <v>39622.409354601463</v>
      </c>
      <c r="AF123" s="46">
        <f>AE$123*'Population Treasury'!AX$173*'Statistics NZ'!AX$468/('Population Treasury'!AW$173*'Statistics NZ'!AW$468)</f>
        <v>39226.698909244849</v>
      </c>
      <c r="AG123" s="46">
        <f>AF$123*'Population Treasury'!AY$173*'Statistics NZ'!AY$468/('Population Treasury'!AX$173*'Statistics NZ'!AX$468)</f>
        <v>37978.665742620666</v>
      </c>
      <c r="AH123" s="46">
        <f>AG$123*'Population Treasury'!AZ$173*'Statistics NZ'!AZ$468/('Population Treasury'!AY$173*'Statistics NZ'!AY$468)</f>
        <v>37867.063351528202</v>
      </c>
      <c r="AI123" s="46">
        <f>AH$123*'Population Treasury'!BA$173*'Statistics NZ'!BA$468/('Population Treasury'!AZ$173*'Statistics NZ'!AZ$468)</f>
        <v>37308.923399886597</v>
      </c>
      <c r="AJ123" s="46">
        <f>AI$123*'Population Treasury'!BB$173*'Statistics NZ'!BB$468/('Population Treasury'!BA$173*'Statistics NZ'!BA$468)</f>
        <v>38232.290601173256</v>
      </c>
      <c r="AK123" s="46">
        <f>AJ$123*'Population Treasury'!BC$173*'Statistics NZ'!BC$468/('Population Treasury'!BB$173*'Statistics NZ'!BB$468)</f>
        <v>37948.182620368498</v>
      </c>
      <c r="AL123" s="46">
        <f>AK$123*'Population Treasury'!BD$173*'Statistics NZ'!BD$468/('Population Treasury'!BC$173*'Statistics NZ'!BC$468)</f>
        <v>37339.407282562657</v>
      </c>
      <c r="AM123" s="46">
        <f>AL$123*'Population Treasury'!BE$173*'Statistics NZ'!BE$468/('Population Treasury'!BD$173*'Statistics NZ'!BD$468)</f>
        <v>38039.442043944313</v>
      </c>
      <c r="AN123" s="46">
        <f>AM$123*'Population Treasury'!BF$173*'Statistics NZ'!BF$468/('Population Treasury'!BE$173*'Statistics NZ'!BE$468)</f>
        <v>38983.089901213963</v>
      </c>
      <c r="AO123" s="46">
        <f>AN$123*'Population Treasury'!BG$173*'Statistics NZ'!BG$468/('Population Treasury'!BF$173*'Statistics NZ'!BF$468)</f>
        <v>39388.941369114706</v>
      </c>
      <c r="AP123" s="46">
        <f>AO$123*'Population Treasury'!BH$173*'Statistics NZ'!BH$468/('Population Treasury'!BG$173*'Statistics NZ'!BG$468)</f>
        <v>40261.606651924136</v>
      </c>
      <c r="AQ123" s="46">
        <f>AP$123*'Population Treasury'!BI$173*'Statistics NZ'!BI$468/('Population Treasury'!BH$173*'Statistics NZ'!BH$468)</f>
        <v>42808.379429173714</v>
      </c>
    </row>
    <row r="124" spans="1:43" x14ac:dyDescent="0.25">
      <c r="A124" s="11">
        <f>$A$54</f>
        <v>59</v>
      </c>
      <c r="B124" s="45">
        <f>'Population Treasury'!T$174*'Statistics NZ'!T$469*'Economic Forecasts'!V$8/B$7</f>
        <v>26433.291003223603</v>
      </c>
      <c r="C124" s="45">
        <f>'Population Treasury'!U$174*'Statistics NZ'!U$469*'Economic Forecasts'!W$8/C$7</f>
        <v>25911.011842623968</v>
      </c>
      <c r="D124" s="45">
        <f>'Population Treasury'!V$174*'Statistics NZ'!V$469*'Economic Forecasts'!X$8/D$7</f>
        <v>26034.136766506221</v>
      </c>
      <c r="E124" s="45">
        <f>'Population Treasury'!W$174*'Statistics NZ'!W$469*'Economic Forecasts'!Y$8/E$7</f>
        <v>26779.329574794647</v>
      </c>
      <c r="F124" s="45">
        <f>'Population Treasury'!X$174*'Statistics NZ'!X$469*'Economic Forecasts'!Z$8/F$7</f>
        <v>27564.497104976377</v>
      </c>
      <c r="G124" s="45">
        <f>'Population Treasury'!Y$174*'Statistics NZ'!Y$469*'Economic Forecasts'!AA$8/G$7</f>
        <v>27702.539178408453</v>
      </c>
      <c r="H124" s="46">
        <f>G$124*'Population Treasury'!Z$174*'Statistics NZ'!Z$469/('Population Treasury'!Y$174*'Statistics NZ'!Y$469)</f>
        <v>28769.763266242513</v>
      </c>
      <c r="I124" s="46">
        <f>H$124*'Population Treasury'!AA$174*'Statistics NZ'!AA$469/('Population Treasury'!Z$174*'Statistics NZ'!Z$469)</f>
        <v>28628.62234955364</v>
      </c>
      <c r="J124" s="46">
        <f>I$124*'Population Treasury'!AB$174*'Statistics NZ'!AB$469/('Population Treasury'!AA$174*'Statistics NZ'!AA$469)</f>
        <v>27949.193824164344</v>
      </c>
      <c r="K124" s="46">
        <f>J$124*'Population Treasury'!AC$174*'Statistics NZ'!AC$469/('Population Treasury'!AB$174*'Statistics NZ'!AB$469)</f>
        <v>27330.078304824005</v>
      </c>
      <c r="L124" s="46">
        <f>K$124*'Population Treasury'!AD$174*'Statistics NZ'!AD$469/('Population Treasury'!AC$174*'Statistics NZ'!AC$469)</f>
        <v>26528.340238235494</v>
      </c>
      <c r="M124" s="46">
        <f>L$124*'Population Treasury'!AE$174*'Statistics NZ'!AE$469/('Population Treasury'!AD$174*'Statistics NZ'!AD$469)</f>
        <v>26467.273345832527</v>
      </c>
      <c r="N124" s="46">
        <f>M$124*'Population Treasury'!AF$174*'Statistics NZ'!AF$469/('Population Treasury'!AE$174*'Statistics NZ'!AE$469)</f>
        <v>26873.049470197482</v>
      </c>
      <c r="O124" s="46">
        <f>N$124*'Population Treasury'!AG$174*'Statistics NZ'!AG$469/('Population Treasury'!AF$174*'Statistics NZ'!AF$469)</f>
        <v>26720.67519904103</v>
      </c>
      <c r="P124" s="46">
        <f>O$124*'Population Treasury'!AH$174*'Statistics NZ'!AH$469/('Population Treasury'!AG$174*'Statistics NZ'!AG$469)</f>
        <v>27978.650809592255</v>
      </c>
      <c r="Q124" s="46">
        <f>P$124*'Population Treasury'!AI$174*'Statistics NZ'!AI$469/('Population Treasury'!AH$174*'Statistics NZ'!AH$469)</f>
        <v>29033.824808612873</v>
      </c>
      <c r="R124" s="46">
        <f>Q$124*'Population Treasury'!AJ$174*'Statistics NZ'!AJ$469/('Population Treasury'!AI$174*'Statistics NZ'!AI$469)</f>
        <v>29967.206421803647</v>
      </c>
      <c r="S124" s="46">
        <f>R$124*'Population Treasury'!AK$174*'Statistics NZ'!AK$469/('Population Treasury'!AJ$174*'Statistics NZ'!AJ$469)</f>
        <v>30860.043680050199</v>
      </c>
      <c r="T124" s="46">
        <f>S$124*'Population Treasury'!AL$174*'Statistics NZ'!AL$469/('Population Treasury'!AK$174*'Statistics NZ'!AK$469)</f>
        <v>32178.960613005289</v>
      </c>
      <c r="U124" s="46">
        <f>T$124*'Population Treasury'!AM$174*'Statistics NZ'!AM$469/('Population Treasury'!AL$174*'Statistics NZ'!AL$469)</f>
        <v>33132.63767764339</v>
      </c>
      <c r="V124" s="46">
        <f>U$124*'Population Treasury'!AN$174*'Statistics NZ'!AN$469/('Population Treasury'!AM$174*'Statistics NZ'!AM$469)</f>
        <v>33721.068309977403</v>
      </c>
      <c r="W124" s="46">
        <f>V$124*'Population Treasury'!AO$174*'Statistics NZ'!AO$469/('Population Treasury'!AN$174*'Statistics NZ'!AN$469)</f>
        <v>34847.242872138733</v>
      </c>
      <c r="X124" s="46">
        <f>W$124*'Population Treasury'!AP$174*'Statistics NZ'!AP$469/('Population Treasury'!AO$174*'Statistics NZ'!AO$469)</f>
        <v>36764.831949245221</v>
      </c>
      <c r="Y124" s="46">
        <f>X$124*'Population Treasury'!AQ$174*'Statistics NZ'!AQ$469/('Population Treasury'!AP$174*'Statistics NZ'!AP$469)</f>
        <v>37921.557937381411</v>
      </c>
      <c r="Z124" s="46">
        <f>Y$124*'Population Treasury'!AR$174*'Statistics NZ'!AR$469/('Population Treasury'!AQ$174*'Statistics NZ'!AQ$469)</f>
        <v>38672.35155757871</v>
      </c>
      <c r="AA124" s="46">
        <f>Z$124*'Population Treasury'!AS$174*'Statistics NZ'!AS$469/('Population Treasury'!AR$174*'Statistics NZ'!AR$469)</f>
        <v>40275.455677769845</v>
      </c>
      <c r="AB124" s="46">
        <f>AA$124*'Population Treasury'!AT$174*'Statistics NZ'!AT$469/('Population Treasury'!AS$174*'Statistics NZ'!AS$469)</f>
        <v>41026.254621301588</v>
      </c>
      <c r="AC124" s="46">
        <f>AB$124*'Population Treasury'!AU$174*'Statistics NZ'!AU$469/('Population Treasury'!AT$174*'Statistics NZ'!AT$469)</f>
        <v>41046.534646504668</v>
      </c>
      <c r="AD124" s="46">
        <f>AC$124*'Population Treasury'!AV$174*'Statistics NZ'!AV$469/('Population Treasury'!AU$174*'Statistics NZ'!AU$469)</f>
        <v>40336.18330215817</v>
      </c>
      <c r="AE124" s="46">
        <f>AD$124*'Population Treasury'!AW$174*'Statistics NZ'!AW$469/('Population Treasury'!AV$174*'Statistics NZ'!AV$469)</f>
        <v>39392.556636497866</v>
      </c>
      <c r="AF124" s="46">
        <f>AE$124*'Population Treasury'!AX$174*'Statistics NZ'!AX$469/('Population Treasury'!AW$174*'Statistics NZ'!AW$469)</f>
        <v>39098.274707355711</v>
      </c>
      <c r="AG124" s="46">
        <f>AF$124*'Population Treasury'!AY$174*'Statistics NZ'!AY$469/('Population Treasury'!AX$174*'Statistics NZ'!AX$469)</f>
        <v>38712.61902857836</v>
      </c>
      <c r="AH124" s="46">
        <f>AG$124*'Population Treasury'!AZ$174*'Statistics NZ'!AZ$469/('Population Treasury'!AY$174*'Statistics NZ'!AY$469)</f>
        <v>37494.984960760819</v>
      </c>
      <c r="AI124" s="46">
        <f>AH$124*'Population Treasury'!BA$174*'Statistics NZ'!BA$469/('Population Treasury'!AZ$174*'Statistics NZ'!AZ$469)</f>
        <v>37383.390996383707</v>
      </c>
      <c r="AJ124" s="46">
        <f>AI$124*'Population Treasury'!BB$174*'Statistics NZ'!BB$469/('Population Treasury'!BA$174*'Statistics NZ'!BA$469)</f>
        <v>36835.439739567009</v>
      </c>
      <c r="AK124" s="46">
        <f>AJ$124*'Population Treasury'!BC$174*'Statistics NZ'!BC$469/('Population Treasury'!BB$174*'Statistics NZ'!BB$469)</f>
        <v>37748.651466722324</v>
      </c>
      <c r="AL124" s="46">
        <f>AK$124*'Population Treasury'!BD$174*'Statistics NZ'!BD$469/('Population Treasury'!BC$174*'Statistics NZ'!BC$469)</f>
        <v>37474.706081693061</v>
      </c>
      <c r="AM124" s="46">
        <f>AL$124*'Population Treasury'!BE$174*'Statistics NZ'!BE$469/('Population Treasury'!BD$174*'Statistics NZ'!BD$469)</f>
        <v>36886.136376675524</v>
      </c>
      <c r="AN124" s="46">
        <f>AM$124*'Population Treasury'!BF$174*'Statistics NZ'!BF$469/('Population Treasury'!BE$174*'Statistics NZ'!BE$469)</f>
        <v>37565.961145979381</v>
      </c>
      <c r="AO124" s="46">
        <f>AN$124*'Population Treasury'!BG$174*'Statistics NZ'!BG$469/('Population Treasury'!BF$174*'Statistics NZ'!BF$469)</f>
        <v>38509.533714708261</v>
      </c>
      <c r="AP124" s="46">
        <f>AO$124*'Population Treasury'!BH$174*'Statistics NZ'!BH$469/('Population Treasury'!BG$174*'Statistics NZ'!BG$469)</f>
        <v>38905.273136112766</v>
      </c>
      <c r="AQ124" s="46">
        <f>AP$124*'Population Treasury'!BI$174*'Statistics NZ'!BI$469/('Population Treasury'!BH$174*'Statistics NZ'!BH$469)</f>
        <v>39777.86959941985</v>
      </c>
    </row>
    <row r="125" spans="1:43" x14ac:dyDescent="0.25">
      <c r="A125" s="11">
        <f>$A$55</f>
        <v>60</v>
      </c>
      <c r="B125" s="45">
        <f>'Population Treasury'!T$175*'Statistics NZ'!T$470*'Economic Forecasts'!V$8/B$7</f>
        <v>26213.513073491587</v>
      </c>
      <c r="C125" s="45">
        <f>'Population Treasury'!U$175*'Statistics NZ'!U$470*'Economic Forecasts'!W$8/C$7</f>
        <v>25427.044951637155</v>
      </c>
      <c r="D125" s="45">
        <f>'Population Treasury'!V$175*'Statistics NZ'!V$470*'Economic Forecasts'!X$8/D$7</f>
        <v>25271.107643683601</v>
      </c>
      <c r="E125" s="45">
        <f>'Population Treasury'!W$175*'Statistics NZ'!W$470*'Economic Forecasts'!Y$8/E$7</f>
        <v>25471.285588515042</v>
      </c>
      <c r="F125" s="45">
        <f>'Population Treasury'!X$175*'Statistics NZ'!X$470*'Economic Forecasts'!Z$8/F$7</f>
        <v>26198.517836591938</v>
      </c>
      <c r="G125" s="45">
        <f>'Population Treasury'!Y$175*'Statistics NZ'!Y$470*'Economic Forecasts'!AA$8/G$7</f>
        <v>26944.014545969658</v>
      </c>
      <c r="H125" s="46">
        <f>G$125*'Population Treasury'!Z$175*'Statistics NZ'!Z$470/('Population Treasury'!Y$175*'Statistics NZ'!Y$470)</f>
        <v>27030.373101074576</v>
      </c>
      <c r="I125" s="46">
        <f>H$125*'Population Treasury'!AA$175*'Statistics NZ'!AA$470/('Population Treasury'!Z$175*'Statistics NZ'!Z$470)</f>
        <v>28098.725478235308</v>
      </c>
      <c r="J125" s="46">
        <f>I$125*'Population Treasury'!AB$175*'Statistics NZ'!AB$470/('Population Treasury'!AA$175*'Statistics NZ'!AA$470)</f>
        <v>27978.167770297161</v>
      </c>
      <c r="K125" s="46">
        <f>J$125*'Population Treasury'!AC$175*'Statistics NZ'!AC$470/('Population Treasury'!AB$175*'Statistics NZ'!AB$470)</f>
        <v>27328.48000890898</v>
      </c>
      <c r="L125" s="46">
        <f>K$125*'Population Treasury'!AD$175*'Statistics NZ'!AD$470/('Population Treasury'!AC$175*'Statistics NZ'!AC$470)</f>
        <v>26749.798866288409</v>
      </c>
      <c r="M125" s="46">
        <f>L$125*'Population Treasury'!AE$175*'Statistics NZ'!AE$470/('Population Treasury'!AD$175*'Statistics NZ'!AD$470)</f>
        <v>25978.381414963547</v>
      </c>
      <c r="N125" s="46">
        <f>M$125*'Population Treasury'!AF$175*'Statistics NZ'!AF$470/('Population Treasury'!AE$175*'Statistics NZ'!AE$470)</f>
        <v>25937.530260356132</v>
      </c>
      <c r="O125" s="46">
        <f>N$125*'Population Treasury'!AG$175*'Statistics NZ'!AG$470/('Population Treasury'!AF$175*'Statistics NZ'!AF$470)</f>
        <v>26343.24741854786</v>
      </c>
      <c r="P125" s="46">
        <f>O$125*'Population Treasury'!AH$175*'Statistics NZ'!AH$470/('Population Treasury'!AG$175*'Statistics NZ'!AG$470)</f>
        <v>26211.025729379831</v>
      </c>
      <c r="Q125" s="46">
        <f>P$125*'Population Treasury'!AI$175*'Statistics NZ'!AI$470/('Population Treasury'!AH$175*'Statistics NZ'!AH$470)</f>
        <v>27448.781197532066</v>
      </c>
      <c r="R125" s="46">
        <f>Q$125*'Population Treasury'!AJ$175*'Statistics NZ'!AJ$470/('Population Treasury'!AI$175*'Statistics NZ'!AI$470)</f>
        <v>28493.672543164874</v>
      </c>
      <c r="S125" s="46">
        <f>R$125*'Population Treasury'!AK$175*'Statistics NZ'!AK$470/('Population Treasury'!AJ$175*'Statistics NZ'!AJ$470)</f>
        <v>29426.936010834012</v>
      </c>
      <c r="T125" s="46">
        <f>S$125*'Population Treasury'!AL$175*'Statistics NZ'!AL$470/('Population Treasury'!AK$175*'Statistics NZ'!AK$470)</f>
        <v>30309.595015343533</v>
      </c>
      <c r="U125" s="46">
        <f>T$125*'Population Treasury'!AM$175*'Statistics NZ'!AM$470/('Population Treasury'!AL$175*'Statistics NZ'!AL$470)</f>
        <v>31608.217510273491</v>
      </c>
      <c r="V125" s="46">
        <f>U$125*'Population Treasury'!AN$175*'Statistics NZ'!AN$470/('Population Treasury'!AM$175*'Statistics NZ'!AM$470)</f>
        <v>32551.715699791253</v>
      </c>
      <c r="W125" s="46">
        <f>V$125*'Population Treasury'!AO$175*'Statistics NZ'!AO$470/('Population Treasury'!AN$175*'Statistics NZ'!AN$470)</f>
        <v>33140.084560977994</v>
      </c>
      <c r="X125" s="46">
        <f>W$125*'Population Treasury'!AP$175*'Statistics NZ'!AP$470/('Population Treasury'!AO$175*'Statistics NZ'!AO$470)</f>
        <v>34245.987760119242</v>
      </c>
      <c r="Y125" s="46">
        <f>X$125*'Population Treasury'!AQ$175*'Statistics NZ'!AQ$470/('Population Treasury'!AP$175*'Statistics NZ'!AP$470)</f>
        <v>36143.224312979692</v>
      </c>
      <c r="Z125" s="46">
        <f>Y$125*'Population Treasury'!AR$175*'Statistics NZ'!AR$470/('Population Treasury'!AQ$175*'Statistics NZ'!AQ$470)</f>
        <v>37289.697159577052</v>
      </c>
      <c r="AA125" s="46">
        <f>Z$125*'Population Treasury'!AS$175*'Statistics NZ'!AS$470/('Population Treasury'!AR$175*'Statistics NZ'!AR$470)</f>
        <v>38040.478638460125</v>
      </c>
      <c r="AB125" s="46">
        <f>AA$125*'Population Treasury'!AT$175*'Statistics NZ'!AT$470/('Population Treasury'!AS$175*'Statistics NZ'!AS$470)</f>
        <v>39613.129530948303</v>
      </c>
      <c r="AC125" s="46">
        <f>AB$125*'Population Treasury'!AU$175*'Statistics NZ'!AU$470/('Population Treasury'!AT$175*'Statistics NZ'!AT$470)</f>
        <v>40353.777939802501</v>
      </c>
      <c r="AD125" s="46">
        <f>AC$125*'Population Treasury'!AV$175*'Statistics NZ'!AV$470/('Population Treasury'!AU$175*'Statistics NZ'!AU$470)</f>
        <v>40384.145572122739</v>
      </c>
      <c r="AE125" s="46">
        <f>AD$125*'Population Treasury'!AW$175*'Statistics NZ'!AW$470/('Population Treasury'!AV$175*'Statistics NZ'!AV$470)</f>
        <v>39694.089083283528</v>
      </c>
      <c r="AF125" s="46">
        <f>AE$125*'Population Treasury'!AX$175*'Statistics NZ'!AX$470/('Population Treasury'!AW$175*'Statistics NZ'!AW$470)</f>
        <v>38770.771271769569</v>
      </c>
      <c r="AG125" s="46">
        <f>AF$125*'Population Treasury'!AY$175*'Statistics NZ'!AY$470/('Population Treasury'!AX$175*'Statistics NZ'!AX$470)</f>
        <v>38496.689119913739</v>
      </c>
      <c r="AH125" s="46">
        <f>AG$125*'Population Treasury'!AZ$175*'Statistics NZ'!AZ$470/('Population Treasury'!AY$175*'Statistics NZ'!AY$470)</f>
        <v>38111.127627580572</v>
      </c>
      <c r="AI125" s="46">
        <f>AH$125*'Population Treasury'!BA$175*'Statistics NZ'!BA$470/('Population Treasury'!AZ$175*'Statistics NZ'!AZ$470)</f>
        <v>36923.915540912931</v>
      </c>
      <c r="AJ125" s="46">
        <f>AI$125*'Population Treasury'!BB$175*'Statistics NZ'!BB$470/('Population Treasury'!BA$175*'Statistics NZ'!BA$470)</f>
        <v>36822.413529217898</v>
      </c>
      <c r="AK125" s="46">
        <f>AJ$125*'Population Treasury'!BC$175*'Statistics NZ'!BC$470/('Population Treasury'!BB$175*'Statistics NZ'!BB$470)</f>
        <v>36284.654705519468</v>
      </c>
      <c r="AL125" s="46">
        <f>AK$125*'Population Treasury'!BD$175*'Statistics NZ'!BD$470/('Population Treasury'!BC$175*'Statistics NZ'!BC$470)</f>
        <v>37187.641882663884</v>
      </c>
      <c r="AM125" s="46">
        <f>AL$125*'Population Treasury'!BE$175*'Statistics NZ'!BE$470/('Population Treasury'!BD$175*'Statistics NZ'!BD$470)</f>
        <v>36923.80348844752</v>
      </c>
      <c r="AN125" s="46">
        <f>AM$125*'Population Treasury'!BF$175*'Statistics NZ'!BF$470/('Population Treasury'!BE$175*'Statistics NZ'!BE$470)</f>
        <v>36335.349064956972</v>
      </c>
      <c r="AO125" s="46">
        <f>AN$125*'Population Treasury'!BG$175*'Statistics NZ'!BG$470/('Population Treasury'!BF$175*'Statistics NZ'!BF$470)</f>
        <v>37015.110699725643</v>
      </c>
      <c r="AP125" s="46">
        <f>AO$125*'Population Treasury'!BH$175*'Statistics NZ'!BH$470/('Population Treasury'!BG$175*'Statistics NZ'!BG$470)</f>
        <v>37938.489018426524</v>
      </c>
      <c r="AQ125" s="46">
        <f>AP$125*'Population Treasury'!BI$175*'Statistics NZ'!BI$470/('Population Treasury'!BH$175*'Statistics NZ'!BH$470)</f>
        <v>38334.191203400675</v>
      </c>
    </row>
    <row r="126" spans="1:43" x14ac:dyDescent="0.25">
      <c r="A126" s="11">
        <f>$A$56</f>
        <v>61</v>
      </c>
      <c r="B126" s="45">
        <f>'Population Treasury'!T$176*'Statistics NZ'!T$471*'Economic Forecasts'!V$8/B$7</f>
        <v>25724.007684542998</v>
      </c>
      <c r="C126" s="45">
        <f>'Population Treasury'!U$176*'Statistics NZ'!U$471*'Economic Forecasts'!W$8/C$7</f>
        <v>25268.293726183638</v>
      </c>
      <c r="D126" s="45">
        <f>'Population Treasury'!V$176*'Statistics NZ'!V$471*'Economic Forecasts'!X$8/D$7</f>
        <v>24833.899834941378</v>
      </c>
      <c r="E126" s="45">
        <f>'Population Treasury'!W$176*'Statistics NZ'!W$471*'Economic Forecasts'!Y$8/E$7</f>
        <v>24762.145548638422</v>
      </c>
      <c r="F126" s="45">
        <f>'Population Treasury'!X$176*'Statistics NZ'!X$471*'Economic Forecasts'!Z$8/F$7</f>
        <v>24945.051229510442</v>
      </c>
      <c r="G126" s="45">
        <f>'Population Treasury'!Y$176*'Statistics NZ'!Y$471*'Economic Forecasts'!AA$8/G$7</f>
        <v>25626.714405764778</v>
      </c>
      <c r="H126" s="46">
        <f>G$126*'Population Treasury'!Z$176*'Statistics NZ'!Z$471/('Population Treasury'!Y$176*'Statistics NZ'!Y$471)</f>
        <v>26321.587939213296</v>
      </c>
      <c r="I126" s="46">
        <f>H$126*'Population Treasury'!AA$176*'Statistics NZ'!AA$471/('Population Treasury'!Z$176*'Statistics NZ'!Z$471)</f>
        <v>26415.789412985043</v>
      </c>
      <c r="J126" s="46">
        <f>I$126*'Population Treasury'!AB$176*'Statistics NZ'!AB$471/('Population Treasury'!AA$176*'Statistics NZ'!AA$471)</f>
        <v>27462.038681454975</v>
      </c>
      <c r="K126" s="46">
        <f>J$126*'Population Treasury'!AC$176*'Statistics NZ'!AC$471/('Population Treasury'!AB$176*'Statistics NZ'!AB$471)</f>
        <v>27350.015419357751</v>
      </c>
      <c r="L126" s="46">
        <f>K$126*'Population Treasury'!AD$176*'Statistics NZ'!AD$471/('Population Treasury'!AC$176*'Statistics NZ'!AC$471)</f>
        <v>26730.779340853649</v>
      </c>
      <c r="M126" s="46">
        <f>L$126*'Population Treasury'!AE$176*'Statistics NZ'!AE$471/('Population Treasury'!AD$176*'Statistics NZ'!AD$471)</f>
        <v>26172.405185849359</v>
      </c>
      <c r="N126" s="46">
        <f>M$126*'Population Treasury'!AF$176*'Statistics NZ'!AF$471/('Population Treasury'!AE$176*'Statistics NZ'!AE$471)</f>
        <v>25431.385181790567</v>
      </c>
      <c r="O126" s="46">
        <f>N$126*'Population Treasury'!AG$176*'Statistics NZ'!AG$471/('Population Treasury'!AF$176*'Statistics NZ'!AF$471)</f>
        <v>25400.612800273142</v>
      </c>
      <c r="P126" s="46">
        <f>O$126*'Population Treasury'!AH$176*'Statistics NZ'!AH$471/('Population Treasury'!AG$176*'Statistics NZ'!AG$471)</f>
        <v>25816.33159638118</v>
      </c>
      <c r="Q126" s="46">
        <f>P$126*'Population Treasury'!AI$176*'Statistics NZ'!AI$471/('Population Treasury'!AH$176*'Statistics NZ'!AH$471)</f>
        <v>25684.218943835989</v>
      </c>
      <c r="R126" s="46">
        <f>Q$126*'Population Treasury'!AJ$176*'Statistics NZ'!AJ$471/('Population Treasury'!AI$176*'Statistics NZ'!AI$471)</f>
        <v>26901.519565324325</v>
      </c>
      <c r="S126" s="46">
        <f>R$126*'Population Treasury'!AK$176*'Statistics NZ'!AK$471/('Population Treasury'!AJ$176*'Statistics NZ'!AJ$471)</f>
        <v>27936.271825495311</v>
      </c>
      <c r="T126" s="46">
        <f>S$126*'Population Treasury'!AL$176*'Statistics NZ'!AL$471/('Population Treasury'!AK$176*'Statistics NZ'!AK$471)</f>
        <v>28849.276900042143</v>
      </c>
      <c r="U126" s="46">
        <f>T$126*'Population Treasury'!AM$176*'Statistics NZ'!AM$471/('Population Treasury'!AL$176*'Statistics NZ'!AL$471)</f>
        <v>29721.684530312901</v>
      </c>
      <c r="V126" s="46">
        <f>U$126*'Population Treasury'!AN$176*'Statistics NZ'!AN$471/('Population Treasury'!AM$176*'Statistics NZ'!AM$471)</f>
        <v>30999.999456027632</v>
      </c>
      <c r="W126" s="46">
        <f>V$126*'Population Treasury'!AO$176*'Statistics NZ'!AO$471/('Population Treasury'!AN$176*'Statistics NZ'!AN$471)</f>
        <v>31933.311437498214</v>
      </c>
      <c r="X126" s="46">
        <f>W$126*'Population Treasury'!AP$176*'Statistics NZ'!AP$471/('Population Treasury'!AO$176*'Statistics NZ'!AO$471)</f>
        <v>32511.597427523564</v>
      </c>
      <c r="Y126" s="46">
        <f>X$126*'Population Treasury'!AQ$176*'Statistics NZ'!AQ$471/('Population Treasury'!AP$176*'Statistics NZ'!AP$471)</f>
        <v>33597.157309674119</v>
      </c>
      <c r="Z126" s="46">
        <f>Y$126*'Population Treasury'!AR$176*'Statistics NZ'!AR$471/('Population Treasury'!AQ$176*'Statistics NZ'!AQ$471)</f>
        <v>35453.860090978342</v>
      </c>
      <c r="AA126" s="46">
        <f>Z$126*'Population Treasury'!AS$176*'Statistics NZ'!AS$471/('Population Treasury'!AR$176*'Statistics NZ'!AR$471)</f>
        <v>36580.043254533863</v>
      </c>
      <c r="AB126" s="46">
        <f>AA$126*'Population Treasury'!AT$176*'Statistics NZ'!AT$471/('Population Treasury'!AS$176*'Statistics NZ'!AS$471)</f>
        <v>37320.610425186926</v>
      </c>
      <c r="AC126" s="46">
        <f>AB$126*'Population Treasury'!AU$176*'Statistics NZ'!AU$471/('Population Treasury'!AT$176*'Statistics NZ'!AT$471)</f>
        <v>38872.980241686004</v>
      </c>
      <c r="AD126" s="46">
        <f>AC$126*'Population Treasury'!AV$176*'Statistics NZ'!AV$471/('Population Treasury'!AU$176*'Statistics NZ'!AU$471)</f>
        <v>39603.468688467336</v>
      </c>
      <c r="AE126" s="46">
        <f>AD$126*'Population Treasury'!AW$176*'Statistics NZ'!AW$471/('Population Treasury'!AV$176*'Statistics NZ'!AV$471)</f>
        <v>39643.926667095999</v>
      </c>
      <c r="AF126" s="46">
        <f>AE$126*'Population Treasury'!AX$176*'Statistics NZ'!AX$471/('Population Treasury'!AW$176*'Statistics NZ'!AW$471)</f>
        <v>38964.080075815502</v>
      </c>
      <c r="AG126" s="46">
        <f>AF$126*'Population Treasury'!AY$176*'Statistics NZ'!AY$471/('Population Treasury'!AX$176*'Statistics NZ'!AX$471)</f>
        <v>38071.117888720473</v>
      </c>
      <c r="AH126" s="46">
        <f>AG$126*'Population Treasury'!AZ$176*'Statistics NZ'!AZ$471/('Population Treasury'!AY$176*'Statistics NZ'!AY$471)</f>
        <v>37797.119891540737</v>
      </c>
      <c r="AI126" s="46">
        <f>AH$126*'Population Treasury'!BA$176*'Statistics NZ'!BA$471/('Population Treasury'!AZ$176*'Statistics NZ'!AZ$471)</f>
        <v>37431.771048332303</v>
      </c>
      <c r="AJ126" s="46">
        <f>AI$126*'Population Treasury'!BB$176*'Statistics NZ'!BB$471/('Population Treasury'!BA$176*'Statistics NZ'!BA$471)</f>
        <v>36264.908141422406</v>
      </c>
      <c r="AK126" s="46">
        <f>AJ$126*'Population Treasury'!BC$176*'Statistics NZ'!BC$471/('Population Treasury'!BB$176*'Statistics NZ'!BB$471)</f>
        <v>36173.503092645842</v>
      </c>
      <c r="AL126" s="46">
        <f>AK$126*'Population Treasury'!BD$176*'Statistics NZ'!BD$471/('Population Treasury'!BC$176*'Statistics NZ'!BC$471)</f>
        <v>35645.938832232394</v>
      </c>
      <c r="AM126" s="46">
        <f>AL$126*'Population Treasury'!BE$176*'Statistics NZ'!BE$471/('Population Treasury'!BD$176*'Statistics NZ'!BD$471)</f>
        <v>36538.749054393818</v>
      </c>
      <c r="AN126" s="46">
        <f>AM$126*'Population Treasury'!BF$176*'Statistics NZ'!BF$471/('Population Treasury'!BE$176*'Statistics NZ'!BE$471)</f>
        <v>36274.992932340479</v>
      </c>
      <c r="AO126" s="46">
        <f>AN$126*'Population Treasury'!BG$176*'Statistics NZ'!BG$471/('Population Treasury'!BF$176*'Statistics NZ'!BF$471)</f>
        <v>35706.713305817539</v>
      </c>
      <c r="AP126" s="46">
        <f>AO$126*'Population Treasury'!BH$176*'Statistics NZ'!BH$471/('Population Treasury'!BG$176*'Statistics NZ'!BG$471)</f>
        <v>36376.375926953246</v>
      </c>
      <c r="AQ126" s="46">
        <f>AP$126*'Population Treasury'!BI$176*'Statistics NZ'!BI$471/('Population Treasury'!BH$176*'Statistics NZ'!BH$471)</f>
        <v>37279.433475286285</v>
      </c>
    </row>
    <row r="127" spans="1:43" x14ac:dyDescent="0.25">
      <c r="A127" s="11">
        <f>$A$57</f>
        <v>62</v>
      </c>
      <c r="B127" s="45">
        <f>'Population Treasury'!T$177*'Statistics NZ'!T$472*'Economic Forecasts'!V$8/B$7</f>
        <v>24834.906059718018</v>
      </c>
      <c r="C127" s="45">
        <f>'Population Treasury'!U$177*'Statistics NZ'!U$472*'Economic Forecasts'!W$8/C$7</f>
        <v>24852.324634740693</v>
      </c>
      <c r="D127" s="45">
        <f>'Population Treasury'!V$177*'Statistics NZ'!V$472*'Economic Forecasts'!X$8/D$7</f>
        <v>24724.301222018341</v>
      </c>
      <c r="E127" s="45">
        <f>'Population Treasury'!W$177*'Statistics NZ'!W$472*'Economic Forecasts'!Y$8/E$7</f>
        <v>24362.491210725071</v>
      </c>
      <c r="F127" s="45">
        <f>'Population Treasury'!X$177*'Statistics NZ'!X$472*'Economic Forecasts'!Z$8/F$7</f>
        <v>24273.079232637385</v>
      </c>
      <c r="G127" s="45">
        <f>'Population Treasury'!Y$177*'Statistics NZ'!Y$472*'Economic Forecasts'!AA$8/G$7</f>
        <v>24420.017199957598</v>
      </c>
      <c r="H127" s="46">
        <f>G$127*'Population Treasury'!Z$177*'Statistics NZ'!Z$472/('Population Treasury'!Y$177*'Statistics NZ'!Y$472)</f>
        <v>25043.798702152744</v>
      </c>
      <c r="I127" s="46">
        <f>H$127*'Population Treasury'!AA$177*'Statistics NZ'!AA$472/('Population Treasury'!Z$177*'Statistics NZ'!Z$472)</f>
        <v>25716.214069177669</v>
      </c>
      <c r="J127" s="46">
        <f>I$127*'Population Treasury'!AB$177*'Statistics NZ'!AB$472/('Population Treasury'!AA$177*'Statistics NZ'!AA$472)</f>
        <v>25808.640074429968</v>
      </c>
      <c r="K127" s="46">
        <f>J$127*'Population Treasury'!AC$177*'Statistics NZ'!AC$472/('Population Treasury'!AB$177*'Statistics NZ'!AB$472)</f>
        <v>26843.140422544195</v>
      </c>
      <c r="L127" s="46">
        <f>K$127*'Population Treasury'!AD$177*'Statistics NZ'!AD$472/('Population Treasury'!AC$177*'Statistics NZ'!AC$472)</f>
        <v>26731.217708027831</v>
      </c>
      <c r="M127" s="46">
        <f>L$127*'Population Treasury'!AE$177*'Statistics NZ'!AE$472/('Population Treasury'!AD$177*'Statistics NZ'!AD$472)</f>
        <v>26142.293464803672</v>
      </c>
      <c r="N127" s="46">
        <f>M$127*'Population Treasury'!AF$177*'Statistics NZ'!AF$472/('Population Treasury'!AE$177*'Statistics NZ'!AE$472)</f>
        <v>25604.219501515367</v>
      </c>
      <c r="O127" s="46">
        <f>N$127*'Population Treasury'!AG$177*'Statistics NZ'!AG$472/('Population Treasury'!AF$177*'Statistics NZ'!AF$472)</f>
        <v>24883.52971840186</v>
      </c>
      <c r="P127" s="46">
        <f>O$127*'Population Treasury'!AH$177*'Statistics NZ'!AH$472/('Population Treasury'!AG$177*'Statistics NZ'!AG$472)</f>
        <v>24852.777201135355</v>
      </c>
      <c r="Q127" s="46">
        <f>P$127*'Population Treasury'!AI$177*'Statistics NZ'!AI$472/('Population Treasury'!AH$177*'Statistics NZ'!AH$472)</f>
        <v>25258.378193427459</v>
      </c>
      <c r="R127" s="46">
        <f>Q$127*'Population Treasury'!AJ$177*'Statistics NZ'!AJ$472/('Population Treasury'!AI$177*'Statistics NZ'!AI$472)</f>
        <v>25136.42957932339</v>
      </c>
      <c r="S127" s="46">
        <f>R$127*'Population Treasury'!AK$177*'Statistics NZ'!AK$472/('Population Treasury'!AJ$177*'Statistics NZ'!AJ$472)</f>
        <v>26323.352771729606</v>
      </c>
      <c r="T127" s="46">
        <f>S$127*'Population Treasury'!AL$177*'Statistics NZ'!AL$472/('Population Treasury'!AK$177*'Statistics NZ'!AK$472)</f>
        <v>27337.816914841147</v>
      </c>
      <c r="U127" s="46">
        <f>T$127*'Population Treasury'!AM$177*'Statistics NZ'!AM$472/('Population Treasury'!AL$177*'Statistics NZ'!AL$472)</f>
        <v>28230.488523912572</v>
      </c>
      <c r="V127" s="46">
        <f>U$127*'Population Treasury'!AN$177*'Statistics NZ'!AN$472/('Population Treasury'!AM$177*'Statistics NZ'!AM$472)</f>
        <v>29082.694644412193</v>
      </c>
      <c r="W127" s="46">
        <f>V$127*'Population Treasury'!AO$177*'Statistics NZ'!AO$472/('Population Treasury'!AN$177*'Statistics NZ'!AN$472)</f>
        <v>30340.625879351468</v>
      </c>
      <c r="X127" s="46">
        <f>W$127*'Population Treasury'!AP$177*'Statistics NZ'!AP$472/('Population Treasury'!AO$177*'Statistics NZ'!AO$472)</f>
        <v>31243.586127820083</v>
      </c>
      <c r="Y127" s="46">
        <f>X$127*'Population Treasury'!AQ$177*'Statistics NZ'!AQ$472/('Population Treasury'!AP$177*'Statistics NZ'!AP$472)</f>
        <v>31821.798467294815</v>
      </c>
      <c r="Z127" s="46">
        <f>Y$127*'Population Treasury'!AR$177*'Statistics NZ'!AR$472/('Population Treasury'!AQ$177*'Statistics NZ'!AQ$472)</f>
        <v>32887.063101035164</v>
      </c>
      <c r="AA127" s="46">
        <f>Z$127*'Population Treasury'!AS$177*'Statistics NZ'!AS$472/('Population Treasury'!AR$177*'Statistics NZ'!AR$472)</f>
        <v>34693.123344617496</v>
      </c>
      <c r="AB127" s="46">
        <f>AA$127*'Population Treasury'!AT$177*'Statistics NZ'!AT$472/('Population Treasury'!AS$177*'Statistics NZ'!AS$472)</f>
        <v>35798.952853394148</v>
      </c>
      <c r="AC127" s="46">
        <f>AB$127*'Population Treasury'!AU$177*'Statistics NZ'!AU$472/('Population Treasury'!AT$177*'Statistics NZ'!AT$472)</f>
        <v>36529.402626354677</v>
      </c>
      <c r="AD127" s="46">
        <f>AC$127*'Population Treasury'!AV$177*'Statistics NZ'!AV$472/('Population Treasury'!AU$177*'Statistics NZ'!AU$472)</f>
        <v>38041.194279974552</v>
      </c>
      <c r="AE127" s="46">
        <f>AD$127*'Population Treasury'!AW$177*'Statistics NZ'!AW$472/('Population Treasury'!AV$177*'Statistics NZ'!AV$472)</f>
        <v>38761.5149361527</v>
      </c>
      <c r="AF127" s="46">
        <f>AE$127*'Population Treasury'!AX$177*'Statistics NZ'!AX$472/('Population Treasury'!AW$177*'Statistics NZ'!AW$472)</f>
        <v>38802.020979803769</v>
      </c>
      <c r="AG127" s="46">
        <f>AF$127*'Population Treasury'!AY$177*'Statistics NZ'!AY$472/('Population Treasury'!AX$177*'Statistics NZ'!AX$472)</f>
        <v>38142.479467131088</v>
      </c>
      <c r="AH127" s="46">
        <f>AG$127*'Population Treasury'!AZ$177*'Statistics NZ'!AZ$472/('Population Treasury'!AY$177*'Statistics NZ'!AY$472)</f>
        <v>37269.800174030381</v>
      </c>
      <c r="AI127" s="46">
        <f>AH$127*'Population Treasury'!BA$177*'Statistics NZ'!BA$472/('Population Treasury'!AZ$177*'Statistics NZ'!AZ$472)</f>
        <v>37005.973072006374</v>
      </c>
      <c r="AJ127" s="46">
        <f>AI$127*'Population Treasury'!BB$177*'Statistics NZ'!BB$472/('Population Treasury'!BA$177*'Statistics NZ'!BA$472)</f>
        <v>36650.807561050744</v>
      </c>
      <c r="AK127" s="46">
        <f>AJ$127*'Population Treasury'!BC$177*'Statistics NZ'!BC$472/('Population Treasury'!BB$177*'Statistics NZ'!BB$472)</f>
        <v>35514.344764918613</v>
      </c>
      <c r="AL127" s="46">
        <f>AK$127*'Population Treasury'!BD$177*'Statistics NZ'!BD$472/('Population Treasury'!BC$177*'Statistics NZ'!BC$472)</f>
        <v>35423.005766508919</v>
      </c>
      <c r="AM127" s="46">
        <f>AL$127*'Population Treasury'!BE$177*'Statistics NZ'!BE$472/('Population Treasury'!BD$177*'Statistics NZ'!BD$472)</f>
        <v>34915.622670952383</v>
      </c>
      <c r="AN127" s="46">
        <f>AM$127*'Population Treasury'!BF$177*'Statistics NZ'!BF$472/('Population Treasury'!BE$177*'Statistics NZ'!BE$472)</f>
        <v>35788.20928290845</v>
      </c>
      <c r="AO127" s="46">
        <f>AN$127*'Population Treasury'!BG$177*'Statistics NZ'!BG$472/('Population Treasury'!BF$177*'Statistics NZ'!BF$472)</f>
        <v>35534.568656915697</v>
      </c>
      <c r="AP127" s="46">
        <f>AO$127*'Population Treasury'!BH$177*'Statistics NZ'!BH$472/('Population Treasury'!BG$177*'Statistics NZ'!BG$472)</f>
        <v>34986.58385545091</v>
      </c>
      <c r="AQ127" s="46">
        <f>AP$127*'Population Treasury'!BI$177*'Statistics NZ'!BI$472/('Population Treasury'!BH$177*'Statistics NZ'!BH$472)</f>
        <v>35635.994341644466</v>
      </c>
    </row>
    <row r="128" spans="1:43" x14ac:dyDescent="0.25">
      <c r="A128" s="11">
        <f>$A$58</f>
        <v>63</v>
      </c>
      <c r="B128" s="45">
        <f>'Population Treasury'!T$178*'Statistics NZ'!T$473*'Economic Forecasts'!V$8/B$7</f>
        <v>23416.339422356814</v>
      </c>
      <c r="C128" s="45">
        <f>'Population Treasury'!U$178*'Statistics NZ'!U$473*'Economic Forecasts'!W$8/C$7</f>
        <v>23773.258987408492</v>
      </c>
      <c r="D128" s="45">
        <f>'Population Treasury'!V$178*'Statistics NZ'!V$473*'Economic Forecasts'!X$8/D$7</f>
        <v>24088.453989782513</v>
      </c>
      <c r="E128" s="45">
        <f>'Population Treasury'!W$178*'Statistics NZ'!W$473*'Economic Forecasts'!Y$8/E$7</f>
        <v>24042.58593612786</v>
      </c>
      <c r="F128" s="45">
        <f>'Population Treasury'!X$178*'Statistics NZ'!X$473*'Economic Forecasts'!Z$8/F$7</f>
        <v>23671.192676858049</v>
      </c>
      <c r="G128" s="45">
        <f>'Population Treasury'!Y$178*'Statistics NZ'!Y$473*'Economic Forecasts'!AA$8/G$7</f>
        <v>23555.096678851598</v>
      </c>
      <c r="H128" s="46">
        <f>G$128*'Population Treasury'!Z$178*'Statistics NZ'!Z$473/('Population Treasury'!Y$178*'Statistics NZ'!Y$473)</f>
        <v>23661.140157536815</v>
      </c>
      <c r="I128" s="46">
        <f>H$128*'Population Treasury'!AA$178*'Statistics NZ'!AA$473/('Population Treasury'!Z$178*'Statistics NZ'!Z$473)</f>
        <v>24262.452681821014</v>
      </c>
      <c r="J128" s="46">
        <f>I$128*'Population Treasury'!AB$178*'Statistics NZ'!AB$473/('Population Treasury'!AA$178*'Statistics NZ'!AA$473)</f>
        <v>24922.917554740288</v>
      </c>
      <c r="K128" s="46">
        <f>J$128*'Population Treasury'!AC$178*'Statistics NZ'!AC$473/('Population Treasury'!AB$178*'Statistics NZ'!AB$473)</f>
        <v>25013.90049229463</v>
      </c>
      <c r="L128" s="46">
        <f>K$128*'Population Treasury'!AD$178*'Statistics NZ'!AD$473/('Population Treasury'!AC$178*'Statistics NZ'!AC$473)</f>
        <v>26017.923295485893</v>
      </c>
      <c r="M128" s="46">
        <f>L$128*'Population Treasury'!AE$178*'Statistics NZ'!AE$473/('Population Treasury'!AD$178*'Statistics NZ'!AD$473)</f>
        <v>25926.233762192664</v>
      </c>
      <c r="N128" s="46">
        <f>M$128*'Population Treasury'!AF$178*'Statistics NZ'!AF$473/('Population Treasury'!AE$178*'Statistics NZ'!AE$473)</f>
        <v>25347.580635396032</v>
      </c>
      <c r="O128" s="46">
        <f>N$128*'Population Treasury'!AG$178*'Statistics NZ'!AG$473/('Population Treasury'!AF$178*'Statistics NZ'!AF$473)</f>
        <v>24839.831317964021</v>
      </c>
      <c r="P128" s="46">
        <f>O$128*'Population Treasury'!AH$178*'Statistics NZ'!AH$473/('Population Treasury'!AG$178*'Statistics NZ'!AG$473)</f>
        <v>24149.568886961901</v>
      </c>
      <c r="Q128" s="46">
        <f>P$128*'Population Treasury'!AI$178*'Statistics NZ'!AI$473/('Population Treasury'!AH$178*'Statistics NZ'!AH$473)</f>
        <v>24118.901459847963</v>
      </c>
      <c r="R128" s="46">
        <f>Q$128*'Population Treasury'!AJ$178*'Statistics NZ'!AJ$473/('Population Treasury'!AI$178*'Statistics NZ'!AI$473)</f>
        <v>24524.418705195916</v>
      </c>
      <c r="S128" s="46">
        <f>R$128*'Population Treasury'!AK$178*'Statistics NZ'!AK$473/('Population Treasury'!AJ$178*'Statistics NZ'!AJ$473)</f>
        <v>24412.565958493273</v>
      </c>
      <c r="T128" s="46">
        <f>S$128*'Population Treasury'!AL$178*'Statistics NZ'!AL$473/('Population Treasury'!AK$178*'Statistics NZ'!AK$473)</f>
        <v>25569.110238727142</v>
      </c>
      <c r="U128" s="46">
        <f>T$128*'Population Treasury'!AM$178*'Statistics NZ'!AM$473/('Population Treasury'!AL$178*'Statistics NZ'!AL$473)</f>
        <v>26553.09969107102</v>
      </c>
      <c r="V128" s="46">
        <f>U$128*'Population Treasury'!AN$178*'Statistics NZ'!AN$473/('Population Treasury'!AM$178*'Statistics NZ'!AM$473)</f>
        <v>27415.385636909727</v>
      </c>
      <c r="W128" s="46">
        <f>V$128*'Population Treasury'!AO$178*'Statistics NZ'!AO$473/('Population Treasury'!AN$178*'Statistics NZ'!AN$473)</f>
        <v>28257.355426825336</v>
      </c>
      <c r="X128" s="46">
        <f>W$128*'Population Treasury'!AP$178*'Statistics NZ'!AP$473/('Population Treasury'!AO$178*'Statistics NZ'!AO$473)</f>
        <v>29464.678954796058</v>
      </c>
      <c r="Y128" s="46">
        <f>X$128*'Population Treasury'!AQ$178*'Statistics NZ'!AQ$473/('Population Treasury'!AP$178*'Statistics NZ'!AP$473)</f>
        <v>30347.319803732571</v>
      </c>
      <c r="Z128" s="46">
        <f>Y$128*'Population Treasury'!AR$178*'Statistics NZ'!AR$473/('Population Treasury'!AQ$178*'Statistics NZ'!AQ$473)</f>
        <v>30915.353590712766</v>
      </c>
      <c r="AA128" s="46">
        <f>Z$128*'Population Treasury'!AS$178*'Statistics NZ'!AS$473/('Population Treasury'!AR$178*'Statistics NZ'!AR$473)</f>
        <v>31950.193344869243</v>
      </c>
      <c r="AB128" s="46">
        <f>AA$128*'Population Treasury'!AT$178*'Statistics NZ'!AT$473/('Population Treasury'!AS$178*'Statistics NZ'!AS$473)</f>
        <v>33705.483240537789</v>
      </c>
      <c r="AC128" s="46">
        <f>AB$128*'Population Treasury'!AU$178*'Statistics NZ'!AU$473/('Population Treasury'!AT$178*'Statistics NZ'!AT$473)</f>
        <v>34780.882065385704</v>
      </c>
      <c r="AD128" s="46">
        <f>AC$128*'Population Treasury'!AV$178*'Statistics NZ'!AV$473/('Population Treasury'!AU$178*'Statistics NZ'!AU$473)</f>
        <v>35491.045782090994</v>
      </c>
      <c r="AE128" s="46">
        <f>AD$128*'Population Treasury'!AW$178*'Statistics NZ'!AW$473/('Population Treasury'!AV$178*'Statistics NZ'!AV$473)</f>
        <v>36962.25254913394</v>
      </c>
      <c r="AF128" s="46">
        <f>AE$128*'Population Treasury'!AX$178*'Statistics NZ'!AX$473/('Population Treasury'!AW$178*'Statistics NZ'!AW$473)</f>
        <v>37662.287810895752</v>
      </c>
      <c r="AG128" s="46">
        <f>AF$128*'Population Treasury'!AY$178*'Statistics NZ'!AY$473/('Population Treasury'!AX$178*'Statistics NZ'!AX$473)</f>
        <v>37702.835604081178</v>
      </c>
      <c r="AH128" s="46">
        <f>AG$128*'Population Treasury'!AZ$178*'Statistics NZ'!AZ$473/('Population Treasury'!AY$178*'Statistics NZ'!AY$473)</f>
        <v>37063.574233178158</v>
      </c>
      <c r="AI128" s="46">
        <f>AH$128*'Population Treasury'!BA$178*'Statistics NZ'!BA$473/('Population Treasury'!AZ$178*'Statistics NZ'!AZ$473)</f>
        <v>36221.345293045859</v>
      </c>
      <c r="AJ128" s="46">
        <f>AI$128*'Population Treasury'!BB$178*'Statistics NZ'!BB$473/('Population Treasury'!BA$178*'Statistics NZ'!BA$473)</f>
        <v>35977.737293265847</v>
      </c>
      <c r="AK128" s="46">
        <f>AJ$128*'Population Treasury'!BC$178*'Statistics NZ'!BC$473/('Population Treasury'!BB$178*'Statistics NZ'!BB$473)</f>
        <v>35632.715599771342</v>
      </c>
      <c r="AL128" s="46">
        <f>AK$128*'Population Treasury'!BD$178*'Statistics NZ'!BD$473/('Population Treasury'!BC$178*'Statistics NZ'!BC$473)</f>
        <v>34526.742552624099</v>
      </c>
      <c r="AM128" s="46">
        <f>AL$128*'Population Treasury'!BE$178*'Statistics NZ'!BE$473/('Population Treasury'!BD$178*'Statistics NZ'!BD$473)</f>
        <v>34445.554788107671</v>
      </c>
      <c r="AN128" s="46">
        <f>AM$128*'Population Treasury'!BF$178*'Statistics NZ'!BF$473/('Population Treasury'!BE$178*'Statistics NZ'!BE$473)</f>
        <v>33958.476960155647</v>
      </c>
      <c r="AO128" s="46">
        <f>AN$128*'Population Treasury'!BG$178*'Statistics NZ'!BG$473/('Population Treasury'!BF$178*'Statistics NZ'!BF$473)</f>
        <v>34800.615870172333</v>
      </c>
      <c r="AP128" s="46">
        <f>AO$128*'Population Treasury'!BH$178*'Statistics NZ'!BH$473/('Population Treasury'!BG$178*'Statistics NZ'!BG$473)</f>
        <v>34567.237642597342</v>
      </c>
      <c r="AQ128" s="46">
        <f>AP$128*'Population Treasury'!BI$178*'Statistics NZ'!BI$473/('Population Treasury'!BH$178*'Statistics NZ'!BH$473)</f>
        <v>34029.478904630465</v>
      </c>
    </row>
    <row r="129" spans="1:43" x14ac:dyDescent="0.25">
      <c r="A129" s="11">
        <f>$A$59</f>
        <v>64</v>
      </c>
      <c r="B129" s="45">
        <f>'Population Treasury'!T$179*'Statistics NZ'!T$474*'Economic Forecasts'!V$8/B$7</f>
        <v>21278.499560418091</v>
      </c>
      <c r="C129" s="45">
        <f>'Population Treasury'!U$179*'Statistics NZ'!U$474*'Economic Forecasts'!W$8/C$7</f>
        <v>22040.90255251708</v>
      </c>
      <c r="D129" s="45">
        <f>'Population Treasury'!V$179*'Statistics NZ'!V$474*'Economic Forecasts'!X$8/D$7</f>
        <v>22658.24074957515</v>
      </c>
      <c r="E129" s="45">
        <f>'Population Treasury'!W$179*'Statistics NZ'!W$474*'Economic Forecasts'!Y$8/E$7</f>
        <v>23033.660691233377</v>
      </c>
      <c r="F129" s="45">
        <f>'Population Treasury'!X$179*'Statistics NZ'!X$474*'Economic Forecasts'!Z$8/F$7</f>
        <v>22968.89365765691</v>
      </c>
      <c r="G129" s="45">
        <f>'Population Treasury'!Y$179*'Statistics NZ'!Y$474*'Economic Forecasts'!AA$8/G$7</f>
        <v>22599.568745479683</v>
      </c>
      <c r="H129" s="46">
        <f>G$129*'Population Treasury'!Z$179*'Statistics NZ'!Z$474/('Population Treasury'!Y$179*'Statistics NZ'!Y$474)</f>
        <v>22441.550663919017</v>
      </c>
      <c r="I129" s="46">
        <f>H$129*'Population Treasury'!AA$179*'Statistics NZ'!AA$474/('Population Treasury'!Z$179*'Statistics NZ'!Z$474)</f>
        <v>22535.32296707503</v>
      </c>
      <c r="J129" s="46">
        <f>I$129*'Population Treasury'!AB$179*'Statistics NZ'!AB$474/('Population Treasury'!AA$179*'Statistics NZ'!AA$474)</f>
        <v>23124.653218875679</v>
      </c>
      <c r="K129" s="46">
        <f>J$129*'Population Treasury'!AC$179*'Statistics NZ'!AC$474/('Population Treasury'!AB$179*'Statistics NZ'!AB$474)</f>
        <v>23753.32050912753</v>
      </c>
      <c r="L129" s="46">
        <f>K$129*'Population Treasury'!AD$179*'Statistics NZ'!AD$474/('Population Treasury'!AC$179*'Statistics NZ'!AC$474)</f>
        <v>23854.285151536857</v>
      </c>
      <c r="M129" s="46">
        <f>L$129*'Population Treasury'!AE$179*'Statistics NZ'!AE$474/('Population Treasury'!AD$179*'Statistics NZ'!AD$474)</f>
        <v>24807.713474312888</v>
      </c>
      <c r="N129" s="46">
        <f>M$129*'Population Treasury'!AF$179*'Statistics NZ'!AF$474/('Population Treasury'!AE$179*'Statistics NZ'!AE$474)</f>
        <v>24726.134614880375</v>
      </c>
      <c r="O129" s="46">
        <f>N$129*'Population Treasury'!AG$179*'Statistics NZ'!AG$474/('Population Treasury'!AF$179*'Statistics NZ'!AF$474)</f>
        <v>24188.014782792776</v>
      </c>
      <c r="P129" s="46">
        <f>O$129*'Population Treasury'!AH$179*'Statistics NZ'!AH$474/('Population Treasury'!AG$179*'Statistics NZ'!AG$474)</f>
        <v>23700.711697728617</v>
      </c>
      <c r="Q129" s="46">
        <f>P$129*'Population Treasury'!AI$179*'Statistics NZ'!AI$474/('Population Treasury'!AH$179*'Statistics NZ'!AH$474)</f>
        <v>23050.955744899038</v>
      </c>
      <c r="R129" s="46">
        <f>Q$129*'Population Treasury'!AJ$179*'Statistics NZ'!AJ$474/('Population Treasury'!AI$179*'Statistics NZ'!AI$474)</f>
        <v>23030.434768023184</v>
      </c>
      <c r="S129" s="46">
        <f>R$129*'Population Treasury'!AK$179*'Statistics NZ'!AK$474/('Population Treasury'!AJ$179*'Statistics NZ'!AJ$474)</f>
        <v>23415.694890618255</v>
      </c>
      <c r="T129" s="46">
        <f>S$129*'Population Treasury'!AL$179*'Statistics NZ'!AL$474/('Population Treasury'!AK$179*'Statistics NZ'!AK$474)</f>
        <v>23313.952349776268</v>
      </c>
      <c r="U129" s="46">
        <f>T$129*'Population Treasury'!AM$179*'Statistics NZ'!AM$474/('Population Treasury'!AL$179*'Statistics NZ'!AL$474)</f>
        <v>24419.717049342933</v>
      </c>
      <c r="V129" s="46">
        <f>U$129*'Population Treasury'!AN$179*'Statistics NZ'!AN$474/('Population Treasury'!AM$179*'Statistics NZ'!AM$474)</f>
        <v>25363.118926282361</v>
      </c>
      <c r="W129" s="46">
        <f>V$129*'Population Treasury'!AO$179*'Statistics NZ'!AO$474/('Population Treasury'!AN$179*'Statistics NZ'!AN$474)</f>
        <v>26194.984750231877</v>
      </c>
      <c r="X129" s="46">
        <f>W$129*'Population Treasury'!AP$179*'Statistics NZ'!AP$474/('Population Treasury'!AO$179*'Statistics NZ'!AO$474)</f>
        <v>26996.352329947902</v>
      </c>
      <c r="Y129" s="46">
        <f>X$129*'Population Treasury'!AQ$179*'Statistics NZ'!AQ$474/('Population Treasury'!AP$179*'Statistics NZ'!AP$474)</f>
        <v>28152.944372641334</v>
      </c>
      <c r="Z129" s="46">
        <f>Y$129*'Population Treasury'!AR$179*'Statistics NZ'!AR$474/('Population Treasury'!AQ$179*'Statistics NZ'!AQ$474)</f>
        <v>29005.102665185754</v>
      </c>
      <c r="AA129" s="46">
        <f>Z$129*'Population Treasury'!AS$179*'Statistics NZ'!AS$474/('Population Treasury'!AR$179*'Statistics NZ'!AR$474)</f>
        <v>29542.745779191937</v>
      </c>
      <c r="AB129" s="46">
        <f>AA$129*'Population Treasury'!AT$179*'Statistics NZ'!AT$474/('Population Treasury'!AS$179*'Statistics NZ'!AS$474)</f>
        <v>30526.901009851841</v>
      </c>
      <c r="AC129" s="46">
        <f>AB$129*'Population Treasury'!AU$179*'Statistics NZ'!AU$474/('Population Treasury'!AT$179*'Statistics NZ'!AT$474)</f>
        <v>32211.096696008408</v>
      </c>
      <c r="AD129" s="46">
        <f>AC$129*'Population Treasury'!AV$179*'Statistics NZ'!AV$474/('Population Treasury'!AU$179*'Statistics NZ'!AU$474)</f>
        <v>33235.84617779871</v>
      </c>
      <c r="AE129" s="46">
        <f>AD$129*'Population Treasury'!AW$179*'Statistics NZ'!AW$474/('Population Treasury'!AV$179*'Statistics NZ'!AV$474)</f>
        <v>33915.574735066359</v>
      </c>
      <c r="AF129" s="46">
        <f>AE$129*'Population Treasury'!AX$179*'Statistics NZ'!AX$474/('Population Treasury'!AW$179*'Statistics NZ'!AW$474)</f>
        <v>35325.8495602002</v>
      </c>
      <c r="AG129" s="46">
        <f>AF$129*'Population Treasury'!AY$179*'Statistics NZ'!AY$474/('Population Treasury'!AX$179*'Statistics NZ'!AX$474)</f>
        <v>35995.495951610559</v>
      </c>
      <c r="AH129" s="46">
        <f>AG$129*'Population Treasury'!AZ$179*'Statistics NZ'!AZ$474/('Population Treasury'!AY$179*'Statistics NZ'!AY$474)</f>
        <v>36035.992019192934</v>
      </c>
      <c r="AI129" s="46">
        <f>AH$129*'Population Treasury'!BA$179*'Statistics NZ'!BA$474/('Population Treasury'!AZ$179*'Statistics NZ'!AZ$474)</f>
        <v>35437.287100509646</v>
      </c>
      <c r="AJ129" s="46">
        <f>AI$129*'Population Treasury'!BB$179*'Statistics NZ'!BB$474/('Population Treasury'!BA$179*'Statistics NZ'!BA$474)</f>
        <v>34635.663069018316</v>
      </c>
      <c r="AK129" s="46">
        <f>AJ$129*'Population Treasury'!BC$179*'Statistics NZ'!BC$474/('Population Treasury'!BB$179*'Statistics NZ'!BB$474)</f>
        <v>34392.162627822836</v>
      </c>
      <c r="AL129" s="46">
        <f>AK$129*'Population Treasury'!BD$179*'Statistics NZ'!BD$474/('Population Treasury'!BC$179*'Statistics NZ'!BC$474)</f>
        <v>34077.537656492736</v>
      </c>
      <c r="AM129" s="46">
        <f>AL$129*'Population Treasury'!BE$179*'Statistics NZ'!BE$474/('Population Treasury'!BD$179*'Statistics NZ'!BD$474)</f>
        <v>33022.32279498205</v>
      </c>
      <c r="AN129" s="46">
        <f>AM$129*'Population Treasury'!BF$179*'Statistics NZ'!BF$474/('Population Treasury'!BE$179*'Statistics NZ'!BE$474)</f>
        <v>32951.19445481291</v>
      </c>
      <c r="AO129" s="46">
        <f>AN$129*'Population Treasury'!BG$179*'Statistics NZ'!BG$474/('Population Treasury'!BF$179*'Statistics NZ'!BF$474)</f>
        <v>32484.461289932842</v>
      </c>
      <c r="AP129" s="46">
        <f>AO$129*'Population Treasury'!BH$179*'Statistics NZ'!BH$474/('Population Treasury'!BG$179*'Statistics NZ'!BG$474)</f>
        <v>33296.130172262019</v>
      </c>
      <c r="AQ129" s="46">
        <f>AP$129*'Population Treasury'!BI$179*'Statistics NZ'!BI$474/('Population Treasury'!BH$179*'Statistics NZ'!BH$474)</f>
        <v>33062.810824343826</v>
      </c>
    </row>
    <row r="130" spans="1:43" x14ac:dyDescent="0.25">
      <c r="A130" s="11">
        <f>$A$60</f>
        <v>65</v>
      </c>
      <c r="B130" s="45">
        <f>'Population Treasury'!T$180*'Statistics NZ'!T$475*'Economic Forecasts'!V$8/B$7</f>
        <v>18681.124027221522</v>
      </c>
      <c r="C130" s="45">
        <f>'Population Treasury'!U$180*'Statistics NZ'!U$475*'Economic Forecasts'!W$8/C$7</f>
        <v>18839.160651827809</v>
      </c>
      <c r="D130" s="45">
        <f>'Population Treasury'!V$180*'Statistics NZ'!V$475*'Economic Forecasts'!X$8/D$7</f>
        <v>19763.638648861099</v>
      </c>
      <c r="E130" s="45">
        <f>'Population Treasury'!W$180*'Statistics NZ'!W$475*'Economic Forecasts'!Y$8/E$7</f>
        <v>20383.106501298265</v>
      </c>
      <c r="F130" s="45">
        <f>'Population Treasury'!X$180*'Statistics NZ'!X$475*'Economic Forecasts'!Z$8/F$7</f>
        <v>20699.142343715605</v>
      </c>
      <c r="G130" s="45">
        <f>'Population Treasury'!Y$180*'Statistics NZ'!Y$475*'Economic Forecasts'!AA$8/G$7</f>
        <v>20615.924579523358</v>
      </c>
      <c r="H130" s="46">
        <f>G$130*'Population Treasury'!Z$180*'Statistics NZ'!Z$475/('Population Treasury'!Y$180*'Statistics NZ'!Y$475)</f>
        <v>20242.884815065572</v>
      </c>
      <c r="I130" s="46">
        <f>H$130*'Population Treasury'!AA$180*'Statistics NZ'!AA$475/('Population Treasury'!Z$180*'Statistics NZ'!Z$475)</f>
        <v>20102.139360435172</v>
      </c>
      <c r="J130" s="46">
        <f>I$130*'Population Treasury'!AB$180*'Statistics NZ'!AB$475/('Population Treasury'!AA$180*'Statistics NZ'!AA$475)</f>
        <v>20203.876142005738</v>
      </c>
      <c r="K130" s="46">
        <f>J$130*'Population Treasury'!AC$180*'Statistics NZ'!AC$475/('Population Treasury'!AB$180*'Statistics NZ'!AB$475)</f>
        <v>20730.991229941901</v>
      </c>
      <c r="L130" s="46">
        <f>K$130*'Population Treasury'!AD$180*'Statistics NZ'!AD$475/('Population Treasury'!AC$180*'Statistics NZ'!AC$475)</f>
        <v>21298.729000007563</v>
      </c>
      <c r="M130" s="46">
        <f>L$130*'Population Treasury'!AE$180*'Statistics NZ'!AE$475/('Population Treasury'!AD$180*'Statistics NZ'!AD$475)</f>
        <v>21389.693615212527</v>
      </c>
      <c r="N130" s="46">
        <f>M$130*'Population Treasury'!AF$180*'Statistics NZ'!AF$475/('Population Treasury'!AE$180*'Statistics NZ'!AE$475)</f>
        <v>22251.735514705422</v>
      </c>
      <c r="O130" s="46">
        <f>N$130*'Population Treasury'!AG$180*'Statistics NZ'!AG$475/('Population Treasury'!AF$180*'Statistics NZ'!AF$475)</f>
        <v>22190.429329249444</v>
      </c>
      <c r="P130" s="46">
        <f>O$130*'Population Treasury'!AH$180*'Statistics NZ'!AH$475/('Population Treasury'!AG$180*'Statistics NZ'!AG$475)</f>
        <v>21713.20239251147</v>
      </c>
      <c r="Q130" s="46">
        <f>P$130*'Population Treasury'!AI$180*'Statistics NZ'!AI$475/('Population Treasury'!AH$180*'Statistics NZ'!AH$475)</f>
        <v>21286.684004231476</v>
      </c>
      <c r="R130" s="46">
        <f>Q$130*'Population Treasury'!AJ$180*'Statistics NZ'!AJ$475/('Population Treasury'!AI$180*'Statistics NZ'!AI$475)</f>
        <v>20708.03573812855</v>
      </c>
      <c r="S130" s="46">
        <f>R$130*'Population Treasury'!AK$180*'Statistics NZ'!AK$475/('Population Treasury'!AJ$180*'Statistics NZ'!AJ$475)</f>
        <v>20697.538922760799</v>
      </c>
      <c r="T130" s="46">
        <f>S$130*'Population Treasury'!AL$180*'Statistics NZ'!AL$475/('Population Treasury'!AK$180*'Statistics NZ'!AK$475)</f>
        <v>21042.31601027654</v>
      </c>
      <c r="U130" s="46">
        <f>T$130*'Population Treasury'!AM$180*'Statistics NZ'!AM$475/('Population Treasury'!AL$180*'Statistics NZ'!AL$475)</f>
        <v>20950.795893256236</v>
      </c>
      <c r="V130" s="46">
        <f>U$130*'Population Treasury'!AN$180*'Statistics NZ'!AN$475/('Population Treasury'!AM$180*'Statistics NZ'!AM$475)</f>
        <v>21944.981366961729</v>
      </c>
      <c r="W130" s="46">
        <f>V$130*'Population Treasury'!AO$180*'Statistics NZ'!AO$475/('Population Treasury'!AN$180*'Statistics NZ'!AN$475)</f>
        <v>22797.004383661668</v>
      </c>
      <c r="X130" s="46">
        <f>W$130*'Population Treasury'!AP$180*'Statistics NZ'!AP$475/('Population Treasury'!AO$180*'Statistics NZ'!AO$475)</f>
        <v>23547.700881608103</v>
      </c>
      <c r="Y130" s="46">
        <f>X$130*'Population Treasury'!AQ$180*'Statistics NZ'!AQ$475/('Population Treasury'!AP$180*'Statistics NZ'!AP$475)</f>
        <v>24267.925293015705</v>
      </c>
      <c r="Z130" s="46">
        <f>Y$130*'Population Treasury'!AR$180*'Statistics NZ'!AR$475/('Population Treasury'!AQ$180*'Statistics NZ'!AQ$475)</f>
        <v>25312.895366073753</v>
      </c>
      <c r="AA130" s="46">
        <f>Z$130*'Population Treasury'!AS$180*'Statistics NZ'!AS$475/('Population Treasury'!AR$180*'Statistics NZ'!AR$475)</f>
        <v>26073.745138336624</v>
      </c>
      <c r="AB130" s="46">
        <f>AA$130*'Population Treasury'!AT$180*'Statistics NZ'!AT$475/('Population Treasury'!AS$180*'Statistics NZ'!AS$475)</f>
        <v>26560.647263565581</v>
      </c>
      <c r="AC130" s="46">
        <f>AB$130*'Population Treasury'!AU$180*'Statistics NZ'!AU$475/('Population Treasury'!AT$180*'Statistics NZ'!AT$475)</f>
        <v>27453.450481332733</v>
      </c>
      <c r="AD130" s="46">
        <f>AC$130*'Population Treasury'!AV$180*'Statistics NZ'!AV$475/('Population Treasury'!AU$180*'Statistics NZ'!AU$475)</f>
        <v>28965.208200387497</v>
      </c>
      <c r="AE130" s="46">
        <f>AD$130*'Population Treasury'!AW$180*'Statistics NZ'!AW$475/('Population Treasury'!AV$180*'Statistics NZ'!AV$475)</f>
        <v>29888.499335070861</v>
      </c>
      <c r="AF130" s="46">
        <f>AE$130*'Population Treasury'!AX$180*'Statistics NZ'!AX$475/('Population Treasury'!AW$180*'Statistics NZ'!AW$475)</f>
        <v>30507.317265574839</v>
      </c>
      <c r="AG130" s="46">
        <f>AF$130*'Population Treasury'!AY$180*'Statistics NZ'!AY$475/('Population Treasury'!AX$180*'Statistics NZ'!AX$475)</f>
        <v>31775.566466361088</v>
      </c>
      <c r="AH130" s="46">
        <f>AG$130*'Population Treasury'!AZ$180*'Statistics NZ'!AZ$475/('Population Treasury'!AY$180*'Statistics NZ'!AY$475)</f>
        <v>32374.176906790581</v>
      </c>
      <c r="AI130" s="46">
        <f>AH$130*'Population Treasury'!BA$180*'Statistics NZ'!BA$475/('Population Treasury'!AZ$180*'Statistics NZ'!AZ$475)</f>
        <v>32414.696379116147</v>
      </c>
      <c r="AJ130" s="46">
        <f>AI$130*'Population Treasury'!BB$180*'Statistics NZ'!BB$475/('Population Treasury'!BA$180*'Statistics NZ'!BA$475)</f>
        <v>31876.904175381434</v>
      </c>
      <c r="AK130" s="46">
        <f>AJ$130*'Population Treasury'!BC$180*'Statistics NZ'!BC$475/('Population Treasury'!BB$180*'Statistics NZ'!BB$475)</f>
        <v>31166.570940587419</v>
      </c>
      <c r="AL130" s="46">
        <f>AK$130*'Population Treasury'!BD$180*'Statistics NZ'!BD$475/('Population Treasury'!BC$180*'Statistics NZ'!BC$475)</f>
        <v>30953.470339452655</v>
      </c>
      <c r="AM130" s="46">
        <f>AL$130*'Population Treasury'!BE$180*'Statistics NZ'!BE$475/('Population Treasury'!BD$180*'Statistics NZ'!BD$475)</f>
        <v>30669.292047396546</v>
      </c>
      <c r="AN130" s="46">
        <f>AM$130*'Population Treasury'!BF$180*'Statistics NZ'!BF$475/('Population Treasury'!BE$180*'Statistics NZ'!BE$475)</f>
        <v>29725.682610119591</v>
      </c>
      <c r="AO130" s="46">
        <f>AN$130*'Population Treasury'!BG$180*'Statistics NZ'!BG$475/('Population Treasury'!BF$180*'Statistics NZ'!BF$475)</f>
        <v>29654.648596888579</v>
      </c>
      <c r="AP130" s="46">
        <f>AO$130*'Population Treasury'!BH$180*'Statistics NZ'!BH$475/('Population Treasury'!BG$180*'Statistics NZ'!BG$475)</f>
        <v>29248.699947266319</v>
      </c>
      <c r="AQ130" s="46">
        <f>AP$130*'Population Treasury'!BI$180*'Statistics NZ'!BI$475/('Population Treasury'!BH$180*'Statistics NZ'!BH$475)</f>
        <v>29969.170048525844</v>
      </c>
    </row>
    <row r="131" spans="1:43" x14ac:dyDescent="0.25">
      <c r="A131" s="11">
        <f>$A$61</f>
        <v>66</v>
      </c>
      <c r="B131" s="45">
        <f>'Population Treasury'!T$181*'Statistics NZ'!T$476*'Economic Forecasts'!V$8/B$7</f>
        <v>16123.708117612581</v>
      </c>
      <c r="C131" s="45">
        <f>'Population Treasury'!U$181*'Statistics NZ'!U$476*'Economic Forecasts'!W$8/C$7</f>
        <v>16700.990625795886</v>
      </c>
      <c r="D131" s="45">
        <f>'Population Treasury'!V$181*'Statistics NZ'!V$476*'Economic Forecasts'!X$8/D$7</f>
        <v>17062.684596910716</v>
      </c>
      <c r="E131" s="45">
        <f>'Population Treasury'!W$181*'Statistics NZ'!W$476*'Economic Forecasts'!Y$8/E$7</f>
        <v>17956.516972332738</v>
      </c>
      <c r="F131" s="45">
        <f>'Population Treasury'!X$181*'Statistics NZ'!X$476*'Economic Forecasts'!Z$8/F$7</f>
        <v>18502.948599153664</v>
      </c>
      <c r="G131" s="45">
        <f>'Population Treasury'!Y$181*'Statistics NZ'!Y$476*'Economic Forecasts'!AA$8/G$7</f>
        <v>18775.558632998051</v>
      </c>
      <c r="H131" s="46">
        <f>G$131*'Population Treasury'!Z$181*'Statistics NZ'!Z$476/('Population Treasury'!Y$181*'Statistics NZ'!Y$476)</f>
        <v>18656.036035761241</v>
      </c>
      <c r="I131" s="46">
        <f>H$131*'Population Treasury'!AA$181*'Statistics NZ'!AA$476/('Population Treasury'!Z$181*'Statistics NZ'!Z$476)</f>
        <v>18322.195752548665</v>
      </c>
      <c r="J131" s="46">
        <f>I$131*'Population Treasury'!AB$181*'Statistics NZ'!AB$476/('Population Treasury'!AA$181*'Statistics NZ'!AA$476)</f>
        <v>18210.832521756489</v>
      </c>
      <c r="K131" s="46">
        <f>J$131*'Population Treasury'!AC$181*'Statistics NZ'!AC$476/('Population Treasury'!AB$181*'Statistics NZ'!AB$476)</f>
        <v>18301.619194653878</v>
      </c>
      <c r="L131" s="46">
        <f>K$131*'Population Treasury'!AD$181*'Statistics NZ'!AD$476/('Population Treasury'!AC$181*'Statistics NZ'!AC$476)</f>
        <v>18778.073595734979</v>
      </c>
      <c r="M131" s="46">
        <f>L$131*'Population Treasury'!AE$181*'Statistics NZ'!AE$476/('Population Treasury'!AD$181*'Statistics NZ'!AD$476)</f>
        <v>19295.115394276047</v>
      </c>
      <c r="N131" s="46">
        <f>M$131*'Population Treasury'!AF$181*'Statistics NZ'!AF$476/('Population Treasury'!AE$181*'Statistics NZ'!AE$476)</f>
        <v>19396.099420300459</v>
      </c>
      <c r="O131" s="46">
        <f>N$131*'Population Treasury'!AG$181*'Statistics NZ'!AG$476/('Population Treasury'!AF$181*'Statistics NZ'!AF$476)</f>
        <v>20177.040803090913</v>
      </c>
      <c r="P131" s="46">
        <f>O$131*'Population Treasury'!AH$181*'Statistics NZ'!AH$476/('Population Treasury'!AG$181*'Statistics NZ'!AG$476)</f>
        <v>20125.929782959465</v>
      </c>
      <c r="Q131" s="46">
        <f>P$131*'Population Treasury'!AI$181*'Statistics NZ'!AI$476/('Population Treasury'!AH$181*'Statistics NZ'!AH$476)</f>
        <v>19699.392874254354</v>
      </c>
      <c r="R131" s="46">
        <f>Q$131*'Population Treasury'!AJ$181*'Statistics NZ'!AJ$476/('Population Treasury'!AI$181*'Statistics NZ'!AI$476)</f>
        <v>19313.57707126738</v>
      </c>
      <c r="S131" s="46">
        <f>R$131*'Population Treasury'!AK$181*'Statistics NZ'!AK$476/('Population Treasury'!AJ$181*'Statistics NZ'!AJ$476)</f>
        <v>18795.748778591944</v>
      </c>
      <c r="T131" s="46">
        <f>S$131*'Population Treasury'!AL$181*'Statistics NZ'!AL$476/('Population Treasury'!AK$181*'Statistics NZ'!AK$476)</f>
        <v>18785.403893205188</v>
      </c>
      <c r="U131" s="46">
        <f>T$131*'Population Treasury'!AM$181*'Statistics NZ'!AM$476/('Population Treasury'!AL$181*'Statistics NZ'!AL$476)</f>
        <v>19109.813081060267</v>
      </c>
      <c r="V131" s="46">
        <f>U$131*'Population Treasury'!AN$181*'Statistics NZ'!AN$476/('Population Treasury'!AM$181*'Statistics NZ'!AM$476)</f>
        <v>19028.437974092227</v>
      </c>
      <c r="W131" s="46">
        <f>V$131*'Population Treasury'!AO$181*'Statistics NZ'!AO$476/('Population Treasury'!AN$181*'Statistics NZ'!AN$476)</f>
        <v>19941.3521766585</v>
      </c>
      <c r="X131" s="46">
        <f>W$131*'Population Treasury'!AP$181*'Statistics NZ'!AP$476/('Population Treasury'!AO$181*'Statistics NZ'!AO$476)</f>
        <v>20712.329071652344</v>
      </c>
      <c r="Y131" s="46">
        <f>X$131*'Population Treasury'!AQ$181*'Statistics NZ'!AQ$476/('Population Treasury'!AP$181*'Statistics NZ'!AP$476)</f>
        <v>21391.996071419489</v>
      </c>
      <c r="Z131" s="46">
        <f>Y$131*'Population Treasury'!AR$181*'Statistics NZ'!AR$476/('Population Treasury'!AQ$181*'Statistics NZ'!AQ$476)</f>
        <v>22051.334152669704</v>
      </c>
      <c r="AA131" s="46">
        <f>Z$131*'Population Treasury'!AS$181*'Statistics NZ'!AS$476/('Population Treasury'!AR$181*'Statistics NZ'!AR$476)</f>
        <v>22994.915792130145</v>
      </c>
      <c r="AB131" s="46">
        <f>AA$131*'Population Treasury'!AT$181*'Statistics NZ'!AT$476/('Population Treasury'!AS$181*'Statistics NZ'!AS$476)</f>
        <v>23694.8507312277</v>
      </c>
      <c r="AC131" s="46">
        <f>AB$131*'Population Treasury'!AU$181*'Statistics NZ'!AU$476/('Population Treasury'!AT$181*'Statistics NZ'!AT$476)</f>
        <v>24141.160061116432</v>
      </c>
      <c r="AD131" s="46">
        <f>AC$131*'Population Treasury'!AV$181*'Statistics NZ'!AV$476/('Population Treasury'!AU$181*'Statistics NZ'!AU$476)</f>
        <v>24952.81394128739</v>
      </c>
      <c r="AE131" s="46">
        <f>AD$131*'Population Treasury'!AW$181*'Statistics NZ'!AW$476/('Population Treasury'!AV$181*'Statistics NZ'!AV$476)</f>
        <v>26322.53777507666</v>
      </c>
      <c r="AF131" s="46">
        <f>AE$131*'Population Treasury'!AX$181*'Statistics NZ'!AX$476/('Population Treasury'!AW$181*'Statistics NZ'!AW$476)</f>
        <v>27164.615878427921</v>
      </c>
      <c r="AG131" s="46">
        <f>AF$131*'Population Treasury'!AY$181*'Statistics NZ'!AY$476/('Population Treasury'!AX$181*'Statistics NZ'!AX$476)</f>
        <v>27722.642756236499</v>
      </c>
      <c r="AH131" s="46">
        <f>AG$131*'Population Treasury'!AZ$181*'Statistics NZ'!AZ$476/('Population Treasury'!AY$181*'Statistics NZ'!AY$476)</f>
        <v>28879.241993176598</v>
      </c>
      <c r="AI131" s="46">
        <f>AH$131*'Population Treasury'!BA$181*'Statistics NZ'!BA$476/('Population Treasury'!AZ$181*'Statistics NZ'!AZ$476)</f>
        <v>29427.147797154335</v>
      </c>
      <c r="AJ131" s="46">
        <f>AI$131*'Population Treasury'!BB$181*'Statistics NZ'!BB$476/('Population Treasury'!BA$181*'Statistics NZ'!BA$476)</f>
        <v>29467.689963362445</v>
      </c>
      <c r="AK131" s="46">
        <f>AJ$131*'Population Treasury'!BC$181*'Statistics NZ'!BC$476/('Population Treasury'!BB$181*'Statistics NZ'!BB$476)</f>
        <v>28980.614747468469</v>
      </c>
      <c r="AL131" s="46">
        <f>AK$131*'Population Treasury'!BD$181*'Statistics NZ'!BD$476/('Population Treasury'!BC$181*'Statistics NZ'!BC$476)</f>
        <v>28341.30439489488</v>
      </c>
      <c r="AM131" s="46">
        <f>AL$131*'Population Treasury'!BE$181*'Statistics NZ'!BE$476/('Population Treasury'!BD$181*'Statistics NZ'!BD$476)</f>
        <v>28148.49017891855</v>
      </c>
      <c r="AN131" s="46">
        <f>AM$131*'Population Treasury'!BF$181*'Statistics NZ'!BF$476/('Population Treasury'!BE$181*'Statistics NZ'!BE$476)</f>
        <v>27894.765560615411</v>
      </c>
      <c r="AO131" s="46">
        <f>AN$131*'Population Treasury'!BG$181*'Statistics NZ'!BG$476/('Population Treasury'!BF$181*'Statistics NZ'!BF$476)</f>
        <v>27042.465925534136</v>
      </c>
      <c r="AP131" s="46">
        <f>AO$131*'Population Treasury'!BH$181*'Statistics NZ'!BH$476/('Population Treasury'!BG$181*'Statistics NZ'!BG$476)</f>
        <v>26981.596295479128</v>
      </c>
      <c r="AQ131" s="46">
        <f>AP$131*'Population Treasury'!BI$181*'Statistics NZ'!BI$476/('Population Treasury'!BH$181*'Statistics NZ'!BH$476)</f>
        <v>26606.129582866881</v>
      </c>
    </row>
    <row r="132" spans="1:43" x14ac:dyDescent="0.25">
      <c r="A132" s="11">
        <f>$A$62</f>
        <v>67</v>
      </c>
      <c r="B132" s="45">
        <f>'Population Treasury'!T$182*'Statistics NZ'!T$477*'Economic Forecasts'!V$8/B$7</f>
        <v>14025.827879261502</v>
      </c>
      <c r="C132" s="45">
        <f>'Population Treasury'!U$182*'Statistics NZ'!U$477*'Economic Forecasts'!W$8/C$7</f>
        <v>14355.085438014094</v>
      </c>
      <c r="D132" s="45">
        <f>'Population Treasury'!V$182*'Statistics NZ'!V$477*'Economic Forecasts'!X$8/D$7</f>
        <v>15056.644308919051</v>
      </c>
      <c r="E132" s="45">
        <f>'Population Treasury'!W$182*'Statistics NZ'!W$477*'Economic Forecasts'!Y$8/E$7</f>
        <v>15430.145316501053</v>
      </c>
      <c r="F132" s="45">
        <f>'Population Treasury'!X$182*'Statistics NZ'!X$477*'Economic Forecasts'!Z$8/F$7</f>
        <v>16216.556294211565</v>
      </c>
      <c r="G132" s="45">
        <f>'Population Treasury'!Y$182*'Statistics NZ'!Y$477*'Economic Forecasts'!AA$8/G$7</f>
        <v>16693.914214957473</v>
      </c>
      <c r="H132" s="46">
        <f>G$132*'Population Treasury'!Z$182*'Statistics NZ'!Z$477/('Population Treasury'!Y$182*'Statistics NZ'!Y$477)</f>
        <v>16908.827954856879</v>
      </c>
      <c r="I132" s="46">
        <f>H$132*'Population Treasury'!AA$182*'Statistics NZ'!AA$477/('Population Treasury'!Z$182*'Statistics NZ'!Z$477)</f>
        <v>16808.316909346642</v>
      </c>
      <c r="J132" s="46">
        <f>I$132*'Population Treasury'!AB$182*'Statistics NZ'!AB$477/('Population Treasury'!AA$182*'Statistics NZ'!AA$477)</f>
        <v>16514.189143908567</v>
      </c>
      <c r="K132" s="46">
        <f>J$132*'Population Treasury'!AC$182*'Statistics NZ'!AC$477/('Population Treasury'!AB$182*'Statistics NZ'!AB$477)</f>
        <v>16412.247001903455</v>
      </c>
      <c r="L132" s="46">
        <f>K$132*'Population Treasury'!AD$182*'Statistics NZ'!AD$477/('Population Treasury'!AC$182*'Statistics NZ'!AC$477)</f>
        <v>16503.063738826128</v>
      </c>
      <c r="M132" s="46">
        <f>L$132*'Population Treasury'!AE$182*'Statistics NZ'!AE$477/('Population Treasury'!AD$182*'Statistics NZ'!AD$477)</f>
        <v>16938.944609798284</v>
      </c>
      <c r="N132" s="46">
        <f>M$132*'Population Treasury'!AF$182*'Statistics NZ'!AF$477/('Population Treasury'!AE$182*'Statistics NZ'!AE$477)</f>
        <v>17415.382621299988</v>
      </c>
      <c r="O132" s="46">
        <f>N$132*'Population Treasury'!AG$182*'Statistics NZ'!AG$477/('Population Treasury'!AF$182*'Statistics NZ'!AF$477)</f>
        <v>17496.263596082088</v>
      </c>
      <c r="P132" s="46">
        <f>O$132*'Population Treasury'!AH$182*'Statistics NZ'!AH$477/('Population Treasury'!AG$182*'Statistics NZ'!AG$477)</f>
        <v>18216.218070771858</v>
      </c>
      <c r="Q132" s="46">
        <f>P$132*'Population Treasury'!AI$182*'Statistics NZ'!AI$477/('Population Treasury'!AH$182*'Statistics NZ'!AH$477)</f>
        <v>18165.183458432417</v>
      </c>
      <c r="R132" s="46">
        <f>Q$132*'Population Treasury'!AJ$182*'Statistics NZ'!AJ$477/('Population Treasury'!AI$182*'Statistics NZ'!AI$477)</f>
        <v>17789.469941029587</v>
      </c>
      <c r="S132" s="46">
        <f>R$132*'Population Treasury'!AK$182*'Statistics NZ'!AK$477/('Population Treasury'!AJ$182*'Statistics NZ'!AJ$477)</f>
        <v>17444.224039832181</v>
      </c>
      <c r="T132" s="46">
        <f>S$132*'Population Treasury'!AL$182*'Statistics NZ'!AL$477/('Population Treasury'!AK$182*'Statistics NZ'!AK$477)</f>
        <v>16977.242170992296</v>
      </c>
      <c r="U132" s="46">
        <f>T$132*'Population Treasury'!AM$182*'Statistics NZ'!AM$477/('Population Treasury'!AL$182*'Statistics NZ'!AL$477)</f>
        <v>16976.931619325427</v>
      </c>
      <c r="V132" s="46">
        <f>U$132*'Population Treasury'!AN$182*'Statistics NZ'!AN$477/('Population Treasury'!AM$182*'Statistics NZ'!AM$477)</f>
        <v>17270.934723792292</v>
      </c>
      <c r="W132" s="46">
        <f>V$132*'Population Treasury'!AO$182*'Statistics NZ'!AO$477/('Population Treasury'!AN$182*'Statistics NZ'!AN$477)</f>
        <v>17199.755070396059</v>
      </c>
      <c r="X132" s="46">
        <f>W$132*'Population Treasury'!AP$182*'Statistics NZ'!AP$477/('Population Treasury'!AO$182*'Statistics NZ'!AO$477)</f>
        <v>18021.437965171724</v>
      </c>
      <c r="Y132" s="46">
        <f>X$132*'Population Treasury'!AQ$182*'Statistics NZ'!AQ$477/('Population Treasury'!AP$182*'Statistics NZ'!AP$477)</f>
        <v>18721.355451683339</v>
      </c>
      <c r="Z132" s="46">
        <f>Y$132*'Population Treasury'!AR$182*'Statistics NZ'!AR$477/('Population Treasury'!AQ$182*'Statistics NZ'!AQ$477)</f>
        <v>19340.190789969842</v>
      </c>
      <c r="AA132" s="46">
        <f>Z$132*'Population Treasury'!AS$182*'Statistics NZ'!AS$477/('Population Treasury'!AR$182*'Statistics NZ'!AR$477)</f>
        <v>19938.668449237837</v>
      </c>
      <c r="AB132" s="46">
        <f>AA$132*'Population Treasury'!AT$182*'Statistics NZ'!AT$477/('Population Treasury'!AS$182*'Statistics NZ'!AS$477)</f>
        <v>20800.995966829443</v>
      </c>
      <c r="AC132" s="46">
        <f>AB$132*'Population Treasury'!AU$182*'Statistics NZ'!AU$477/('Population Treasury'!AT$182*'Statistics NZ'!AT$477)</f>
        <v>21429.970342673292</v>
      </c>
      <c r="AD132" s="46">
        <f>AC$132*'Population Treasury'!AV$182*'Statistics NZ'!AV$477/('Population Treasury'!AU$182*'Statistics NZ'!AU$477)</f>
        <v>21825.627469384133</v>
      </c>
      <c r="AE132" s="46">
        <f>AD$132*'Population Treasury'!AW$182*'Statistics NZ'!AW$477/('Population Treasury'!AV$182*'Statistics NZ'!AV$477)</f>
        <v>22566.235344733665</v>
      </c>
      <c r="AF132" s="46">
        <f>AE$132*'Population Treasury'!AX$182*'Statistics NZ'!AX$477/('Population Treasury'!AW$182*'Statistics NZ'!AW$477)</f>
        <v>23814.13860589909</v>
      </c>
      <c r="AG132" s="46">
        <f>AF$132*'Population Treasury'!AY$182*'Statistics NZ'!AY$477/('Population Treasury'!AX$182*'Statistics NZ'!AX$477)</f>
        <v>24575.075964263026</v>
      </c>
      <c r="AH132" s="46">
        <f>AG$132*'Population Treasury'!AZ$182*'Statistics NZ'!AZ$477/('Population Treasury'!AY$182*'Statistics NZ'!AY$477)</f>
        <v>25082.333481869427</v>
      </c>
      <c r="AI132" s="46">
        <f>AH$132*'Population Treasury'!BA$182*'Statistics NZ'!BA$477/('Population Treasury'!AZ$182*'Statistics NZ'!AZ$477)</f>
        <v>26127.397311662196</v>
      </c>
      <c r="AJ132" s="46">
        <f>AI$132*'Population Treasury'!BB$182*'Statistics NZ'!BB$477/('Population Treasury'!BA$182*'Statistics NZ'!BA$477)</f>
        <v>26624.572226495769</v>
      </c>
      <c r="AK132" s="46">
        <f>AJ$132*'Population Treasury'!BC$182*'Statistics NZ'!BC$477/('Population Treasury'!BB$182*'Statistics NZ'!BB$477)</f>
        <v>26665.0976994312</v>
      </c>
      <c r="AL132" s="46">
        <f>AK$132*'Population Treasury'!BD$182*'Statistics NZ'!BD$477/('Population Treasury'!BC$182*'Statistics NZ'!BC$477)</f>
        <v>26228.760161211037</v>
      </c>
      <c r="AM132" s="46">
        <f>AL$132*'Population Treasury'!BE$182*'Statistics NZ'!BE$477/('Population Treasury'!BD$182*'Statistics NZ'!BD$477)</f>
        <v>25650.36079064212</v>
      </c>
      <c r="AN132" s="46">
        <f>AM$132*'Population Treasury'!BF$182*'Statistics NZ'!BF$477/('Population Treasury'!BE$182*'Statistics NZ'!BE$477)</f>
        <v>25477.863454062834</v>
      </c>
      <c r="AO132" s="46">
        <f>AN$132*'Population Treasury'!BG$182*'Statistics NZ'!BG$477/('Population Treasury'!BF$182*'Statistics NZ'!BF$477)</f>
        <v>25244.457153388121</v>
      </c>
      <c r="AP132" s="46">
        <f>AO$132*'Population Treasury'!BH$182*'Statistics NZ'!BH$477/('Population Treasury'!BG$182*'Statistics NZ'!BG$477)</f>
        <v>24483.435253535987</v>
      </c>
      <c r="AQ132" s="46">
        <f>AP$132*'Population Treasury'!BI$182*'Statistics NZ'!BI$477/('Population Treasury'!BH$182*'Statistics NZ'!BH$477)</f>
        <v>24432.683089948096</v>
      </c>
    </row>
    <row r="133" spans="1:43" x14ac:dyDescent="0.25">
      <c r="A133" s="11">
        <f>$A$63</f>
        <v>68</v>
      </c>
      <c r="B133" s="45">
        <f>'Population Treasury'!T$183*'Statistics NZ'!T$478*'Economic Forecasts'!V$8/B$7</f>
        <v>12167.705382436259</v>
      </c>
      <c r="C133" s="45">
        <f>'Population Treasury'!U$183*'Statistics NZ'!U$478*'Economic Forecasts'!W$8/C$7</f>
        <v>12424.81225355417</v>
      </c>
      <c r="D133" s="45">
        <f>'Population Treasury'!V$183*'Statistics NZ'!V$478*'Economic Forecasts'!X$8/D$7</f>
        <v>12881.915745447923</v>
      </c>
      <c r="E133" s="45">
        <f>'Population Treasury'!W$183*'Statistics NZ'!W$478*'Economic Forecasts'!Y$8/E$7</f>
        <v>13552.69982957765</v>
      </c>
      <c r="F133" s="45">
        <f>'Population Treasury'!X$183*'Statistics NZ'!X$478*'Economic Forecasts'!Z$8/F$7</f>
        <v>13870.052394792046</v>
      </c>
      <c r="G133" s="45">
        <f>'Population Treasury'!Y$183*'Statistics NZ'!Y$478*'Economic Forecasts'!AA$8/G$7</f>
        <v>14562.027217540328</v>
      </c>
      <c r="H133" s="46">
        <f>G$133*'Population Treasury'!Z$183*'Statistics NZ'!Z$478/('Population Treasury'!Y$183*'Statistics NZ'!Y$478)</f>
        <v>14959.403969759169</v>
      </c>
      <c r="I133" s="46">
        <f>H$133*'Population Treasury'!AA$183*'Statistics NZ'!AA$478/('Population Treasury'!Z$183*'Statistics NZ'!Z$478)</f>
        <v>15152.961289316061</v>
      </c>
      <c r="J133" s="46">
        <f>I$133*'Population Treasury'!AB$183*'Statistics NZ'!AB$478/('Population Treasury'!AA$183*'Statistics NZ'!AA$478)</f>
        <v>15071.937806589871</v>
      </c>
      <c r="K133" s="46">
        <f>J$133*'Population Treasury'!AC$183*'Statistics NZ'!AC$478/('Population Treasury'!AB$183*'Statistics NZ'!AB$478)</f>
        <v>14807.639737884458</v>
      </c>
      <c r="L133" s="46">
        <f>K$133*'Population Treasury'!AD$183*'Statistics NZ'!AD$478/('Population Treasury'!AC$183*'Statistics NZ'!AC$478)</f>
        <v>14726.001584682845</v>
      </c>
      <c r="M133" s="46">
        <f>L$133*'Population Treasury'!AE$183*'Statistics NZ'!AE$478/('Population Treasury'!AD$183*'Statistics NZ'!AD$478)</f>
        <v>14806.743008990445</v>
      </c>
      <c r="N133" s="46">
        <f>M$133*'Population Treasury'!AF$183*'Statistics NZ'!AF$478/('Population Treasury'!AE$183*'Statistics NZ'!AE$478)</f>
        <v>15212.136264524514</v>
      </c>
      <c r="O133" s="46">
        <f>N$133*'Population Treasury'!AG$183*'Statistics NZ'!AG$478/('Population Treasury'!AF$183*'Statistics NZ'!AF$478)</f>
        <v>15637.936778599817</v>
      </c>
      <c r="P133" s="46">
        <f>O$133*'Population Treasury'!AH$183*'Statistics NZ'!AH$478/('Population Treasury'!AG$183*'Statistics NZ'!AG$478)</f>
        <v>15718.788366028881</v>
      </c>
      <c r="Q133" s="46">
        <f>P$133*'Population Treasury'!AI$183*'Statistics NZ'!AI$478/('Population Treasury'!AH$183*'Statistics NZ'!AH$478)</f>
        <v>16357.763517755422</v>
      </c>
      <c r="R133" s="46">
        <f>Q$133*'Population Treasury'!AJ$183*'Statistics NZ'!AJ$478/('Population Treasury'!AI$183*'Statistics NZ'!AI$478)</f>
        <v>16326.935719621426</v>
      </c>
      <c r="S133" s="46">
        <f>R$133*'Population Treasury'!AK$183*'Statistics NZ'!AK$478/('Population Treasury'!AJ$183*'Statistics NZ'!AJ$478)</f>
        <v>15991.847872327135</v>
      </c>
      <c r="T133" s="46">
        <f>S$133*'Population Treasury'!AL$183*'Statistics NZ'!AL$478/('Population Treasury'!AK$183*'Statistics NZ'!AK$478)</f>
        <v>15687.200478088818</v>
      </c>
      <c r="U133" s="46">
        <f>T$133*'Population Treasury'!AM$183*'Statistics NZ'!AM$478/('Population Treasury'!AL$183*'Statistics NZ'!AL$478)</f>
        <v>15270.972709385447</v>
      </c>
      <c r="V133" s="46">
        <f>U$133*'Population Treasury'!AN$183*'Statistics NZ'!AN$478/('Population Treasury'!AM$183*'Statistics NZ'!AM$478)</f>
        <v>15270.74479282533</v>
      </c>
      <c r="W133" s="46">
        <f>V$133*'Population Treasury'!AO$183*'Statistics NZ'!AO$478/('Population Treasury'!AN$183*'Statistics NZ'!AN$478)</f>
        <v>15534.356970280416</v>
      </c>
      <c r="X133" s="46">
        <f>W$133*'Population Treasury'!AP$183*'Statistics NZ'!AP$478/('Population Treasury'!AO$183*'Statistics NZ'!AO$478)</f>
        <v>15483.420021770382</v>
      </c>
      <c r="Y133" s="46">
        <f>X$133*'Population Treasury'!AQ$183*'Statistics NZ'!AQ$478/('Population Treasury'!AP$183*'Statistics NZ'!AP$478)</f>
        <v>16213.867835457493</v>
      </c>
      <c r="Z133" s="46">
        <f>Y$133*'Population Treasury'!AR$183*'Statistics NZ'!AR$478/('Population Treasury'!AQ$183*'Statistics NZ'!AQ$478)</f>
        <v>16842.813856819434</v>
      </c>
      <c r="AA133" s="46">
        <f>Z$133*'Population Treasury'!AS$183*'Statistics NZ'!AS$478/('Population Treasury'!AR$183*'Statistics NZ'!AR$478)</f>
        <v>17400.753048179442</v>
      </c>
      <c r="AB133" s="46">
        <f>AA$133*'Population Treasury'!AT$183*'Statistics NZ'!AT$478/('Population Treasury'!AS$183*'Statistics NZ'!AS$478)</f>
        <v>17938.397730422137</v>
      </c>
      <c r="AC133" s="46">
        <f>AB$133*'Population Treasury'!AU$183*'Statistics NZ'!AU$478/('Population Treasury'!AT$183*'Statistics NZ'!AT$478)</f>
        <v>18719.557377672652</v>
      </c>
      <c r="AD133" s="46">
        <f>AC$133*'Population Treasury'!AV$183*'Statistics NZ'!AV$478/('Population Treasury'!AU$183*'Statistics NZ'!AU$478)</f>
        <v>19287.669873595645</v>
      </c>
      <c r="AE133" s="46">
        <f>AD$133*'Population Treasury'!AW$183*'Statistics NZ'!AW$478/('Population Treasury'!AV$183*'Statistics NZ'!AV$478)</f>
        <v>19652.843994048057</v>
      </c>
      <c r="AF133" s="46">
        <f>AE$133*'Population Treasury'!AX$183*'Statistics NZ'!AX$478/('Population Treasury'!AW$183*'Statistics NZ'!AW$478)</f>
        <v>20312.322976779749</v>
      </c>
      <c r="AG133" s="46">
        <f>AF$133*'Population Treasury'!AY$183*'Statistics NZ'!AY$478/('Population Treasury'!AX$183*'Statistics NZ'!AX$478)</f>
        <v>21438.496353627324</v>
      </c>
      <c r="AH133" s="46">
        <f>AG$133*'Population Treasury'!AZ$183*'Statistics NZ'!AZ$478/('Population Treasury'!AY$183*'Statistics NZ'!AY$478)</f>
        <v>22128.402978949234</v>
      </c>
      <c r="AI133" s="46">
        <f>AH$133*'Population Treasury'!BA$183*'Statistics NZ'!BA$478/('Population Treasury'!AZ$183*'Statistics NZ'!AZ$478)</f>
        <v>22584.948820026828</v>
      </c>
      <c r="AJ133" s="46">
        <f>AI$133*'Population Treasury'!BB$183*'Statistics NZ'!BB$478/('Population Treasury'!BA$183*'Statistics NZ'!BA$478)</f>
        <v>23518.438382707773</v>
      </c>
      <c r="AK133" s="46">
        <f>AJ$133*'Population Treasury'!BC$183*'Statistics NZ'!BC$478/('Population Treasury'!BB$183*'Statistics NZ'!BB$478)</f>
        <v>23974.988174382117</v>
      </c>
      <c r="AL133" s="46">
        <f>AK$133*'Population Treasury'!BD$183*'Statistics NZ'!BD$478/('Population Treasury'!BC$183*'Statistics NZ'!BC$478)</f>
        <v>24015.529368772011</v>
      </c>
      <c r="AM133" s="46">
        <f>AL$133*'Population Treasury'!BE$183*'Statistics NZ'!BE$478/('Population Treasury'!BD$183*'Statistics NZ'!BD$478)</f>
        <v>23619.819636051696</v>
      </c>
      <c r="AN133" s="46">
        <f>AM$133*'Population Treasury'!BF$183*'Statistics NZ'!BF$478/('Population Treasury'!BE$183*'Statistics NZ'!BE$478)</f>
        <v>23102.305788749843</v>
      </c>
      <c r="AO133" s="46">
        <f>AN$133*'Population Treasury'!BG$183*'Statistics NZ'!BG$478/('Population Treasury'!BF$183*'Statistics NZ'!BF$478)</f>
        <v>22950.080822415366</v>
      </c>
      <c r="AP133" s="46">
        <f>AO$133*'Population Treasury'!BH$183*'Statistics NZ'!BH$478/('Population Treasury'!BG$183*'Statistics NZ'!BG$478)</f>
        <v>22747.134672520631</v>
      </c>
      <c r="AQ133" s="46">
        <f>AP$133*'Population Treasury'!BI$183*'Statistics NZ'!BI$478/('Population Treasury'!BH$183*'Statistics NZ'!BH$478)</f>
        <v>22057.154883739389</v>
      </c>
    </row>
    <row r="134" spans="1:43" x14ac:dyDescent="0.25">
      <c r="A134" s="11">
        <f>$A$64</f>
        <v>69</v>
      </c>
      <c r="B134" s="45">
        <f>'Population Treasury'!T$184*'Statistics NZ'!T$479*'Economic Forecasts'!V$8/B$7</f>
        <v>10449.441568167758</v>
      </c>
      <c r="C134" s="45">
        <f>'Population Treasury'!U$184*'Statistics NZ'!U$479*'Economic Forecasts'!W$8/C$7</f>
        <v>10722.178341818011</v>
      </c>
      <c r="D134" s="45">
        <f>'Population Treasury'!V$184*'Statistics NZ'!V$479*'Economic Forecasts'!X$8/D$7</f>
        <v>11094.372953072627</v>
      </c>
      <c r="E134" s="45">
        <f>'Population Treasury'!W$184*'Statistics NZ'!W$479*'Economic Forecasts'!Y$8/E$7</f>
        <v>11535.542844864287</v>
      </c>
      <c r="F134" s="45">
        <f>'Population Treasury'!X$184*'Statistics NZ'!X$479*'Economic Forecasts'!Z$8/F$7</f>
        <v>12125.115398271793</v>
      </c>
      <c r="G134" s="45">
        <f>'Population Treasury'!Y$184*'Statistics NZ'!Y$479*'Economic Forecasts'!AA$8/G$7</f>
        <v>12400.006366662183</v>
      </c>
      <c r="H134" s="46">
        <f>G$134*'Population Treasury'!Z$184*'Statistics NZ'!Z$479/('Population Treasury'!Y$184*'Statistics NZ'!Y$479)</f>
        <v>12990.000920332703</v>
      </c>
      <c r="I134" s="46">
        <f>H$134*'Population Treasury'!AA$184*'Statistics NZ'!AA$479/('Population Treasury'!Z$184*'Statistics NZ'!Z$479)</f>
        <v>13345.853710392941</v>
      </c>
      <c r="J134" s="46">
        <f>I$134*'Population Treasury'!AB$184*'Statistics NZ'!AB$479/('Population Treasury'!AA$184*'Statistics NZ'!AA$479)</f>
        <v>13528.526815312709</v>
      </c>
      <c r="K134" s="46">
        <f>J$134*'Population Treasury'!AC$184*'Statistics NZ'!AC$479/('Population Treasury'!AB$184*'Statistics NZ'!AB$479)</f>
        <v>13457.065353250962</v>
      </c>
      <c r="L134" s="46">
        <f>K$134*'Population Treasury'!AD$184*'Statistics NZ'!AD$479/('Population Treasury'!AC$184*'Statistics NZ'!AC$479)</f>
        <v>13223.316158634265</v>
      </c>
      <c r="M134" s="46">
        <f>L$134*'Population Treasury'!AE$184*'Statistics NZ'!AE$479/('Population Treasury'!AD$184*'Statistics NZ'!AD$479)</f>
        <v>13151.911176236106</v>
      </c>
      <c r="N134" s="46">
        <f>M$134*'Population Treasury'!AF$184*'Statistics NZ'!AF$479/('Population Treasury'!AE$184*'Statistics NZ'!AE$479)</f>
        <v>13232.685029421398</v>
      </c>
      <c r="O134" s="46">
        <f>N$134*'Population Treasury'!AG$184*'Statistics NZ'!AG$479/('Population Treasury'!AF$184*'Statistics NZ'!AF$479)</f>
        <v>13587.494998485141</v>
      </c>
      <c r="P134" s="46">
        <f>O$134*'Population Treasury'!AH$184*'Statistics NZ'!AH$479/('Population Treasury'!AG$184*'Statistics NZ'!AG$479)</f>
        <v>13972.743229130701</v>
      </c>
      <c r="Q134" s="46">
        <f>P$134*'Population Treasury'!AI$184*'Statistics NZ'!AI$479/('Population Treasury'!AH$184*'Statistics NZ'!AH$479)</f>
        <v>14053.576448142416</v>
      </c>
      <c r="R134" s="46">
        <f>Q$134*'Population Treasury'!AJ$184*'Statistics NZ'!AJ$479/('Population Treasury'!AI$184*'Statistics NZ'!AI$479)</f>
        <v>14631.652725436994</v>
      </c>
      <c r="S134" s="46">
        <f>R$134*'Population Treasury'!AK$184*'Statistics NZ'!AK$479/('Population Treasury'!AJ$184*'Statistics NZ'!AJ$479)</f>
        <v>14600.974428145148</v>
      </c>
      <c r="T134" s="46">
        <f>S$134*'Population Treasury'!AL$184*'Statistics NZ'!AL$479/('Population Treasury'!AK$184*'Statistics NZ'!AK$479)</f>
        <v>14306.452214242428</v>
      </c>
      <c r="U134" s="46">
        <f>T$134*'Population Treasury'!AM$184*'Statistics NZ'!AM$479/('Population Treasury'!AL$184*'Statistics NZ'!AL$479)</f>
        <v>14032.315624916379</v>
      </c>
      <c r="V134" s="46">
        <f>U$134*'Population Treasury'!AN$184*'Statistics NZ'!AN$479/('Population Treasury'!AM$184*'Statistics NZ'!AM$479)</f>
        <v>13666.853388797446</v>
      </c>
      <c r="W134" s="46">
        <f>V$134*'Population Treasury'!AO$184*'Statistics NZ'!AO$479/('Population Treasury'!AN$184*'Statistics NZ'!AN$479)</f>
        <v>13666.696875905996</v>
      </c>
      <c r="X134" s="46">
        <f>W$134*'Population Treasury'!AP$184*'Statistics NZ'!AP$479/('Population Treasury'!AO$184*'Statistics NZ'!AO$479)</f>
        <v>13909.995750331213</v>
      </c>
      <c r="Y134" s="46">
        <f>X$134*'Population Treasury'!AQ$184*'Statistics NZ'!AQ$479/('Population Treasury'!AP$184*'Statistics NZ'!AP$479)</f>
        <v>13859.128360688725</v>
      </c>
      <c r="Z134" s="46">
        <f>Y$134*'Population Treasury'!AR$184*'Statistics NZ'!AR$479/('Population Treasury'!AQ$184*'Statistics NZ'!AQ$479)</f>
        <v>14518.551286689941</v>
      </c>
      <c r="AA134" s="46">
        <f>Z$134*'Population Treasury'!AS$184*'Statistics NZ'!AS$479/('Population Treasury'!AR$184*'Statistics NZ'!AR$479)</f>
        <v>15086.589028817665</v>
      </c>
      <c r="AB134" s="46">
        <f>AA$134*'Population Treasury'!AT$184*'Statistics NZ'!AT$479/('Population Treasury'!AS$184*'Statistics NZ'!AS$479)</f>
        <v>15583.70599397019</v>
      </c>
      <c r="AC134" s="46">
        <f>AB$134*'Population Treasury'!AU$184*'Statistics NZ'!AU$479/('Population Treasury'!AT$184*'Statistics NZ'!AT$479)</f>
        <v>16070.616065271226</v>
      </c>
      <c r="AD134" s="46">
        <f>AC$134*'Population Treasury'!AV$184*'Statistics NZ'!AV$479/('Population Treasury'!AU$184*'Statistics NZ'!AU$479)</f>
        <v>16770.612591522167</v>
      </c>
      <c r="AE134" s="46">
        <f>AD$134*'Population Treasury'!AW$184*'Statistics NZ'!AW$479/('Population Treasury'!AV$184*'Statistics NZ'!AV$479)</f>
        <v>17277.888474812953</v>
      </c>
      <c r="AF134" s="46">
        <f>AE$134*'Population Treasury'!AX$184*'Statistics NZ'!AX$479/('Population Treasury'!AW$184*'Statistics NZ'!AW$479)</f>
        <v>17602.518107397322</v>
      </c>
      <c r="AG134" s="46">
        <f>AF$134*'Population Treasury'!AY$184*'Statistics NZ'!AY$479/('Population Treasury'!AX$184*'Statistics NZ'!AX$479)</f>
        <v>18201.094407571432</v>
      </c>
      <c r="AH134" s="46">
        <f>AG$134*'Population Treasury'!AZ$184*'Statistics NZ'!AZ$479/('Population Treasury'!AY$184*'Statistics NZ'!AY$479)</f>
        <v>19205.551468409372</v>
      </c>
      <c r="AI134" s="46">
        <f>AH$134*'Population Treasury'!BA$184*'Statistics NZ'!BA$479/('Population Treasury'!AZ$184*'Statistics NZ'!AZ$479)</f>
        <v>19824.453594897011</v>
      </c>
      <c r="AJ134" s="46">
        <f>AI$134*'Population Treasury'!BB$184*'Statistics NZ'!BB$479/('Population Treasury'!BA$184*'Statistics NZ'!BA$479)</f>
        <v>20240.392579128769</v>
      </c>
      <c r="AK134" s="46">
        <f>AJ$134*'Population Treasury'!BC$184*'Statistics NZ'!BC$479/('Population Treasury'!BB$184*'Statistics NZ'!BB$479)</f>
        <v>21082.553744324028</v>
      </c>
      <c r="AL134" s="46">
        <f>AK$134*'Population Treasury'!BD$184*'Statistics NZ'!BD$479/('Population Treasury'!BC$184*'Statistics NZ'!BC$479)</f>
        <v>21488.405223966573</v>
      </c>
      <c r="AM134" s="46">
        <f>AL$134*'Population Treasury'!BE$184*'Statistics NZ'!BE$479/('Population Treasury'!BD$184*'Statistics NZ'!BD$479)</f>
        <v>21528.931618554332</v>
      </c>
      <c r="AN134" s="46">
        <f>AM$134*'Population Treasury'!BF$184*'Statistics NZ'!BF$479/('Population Treasury'!BE$184*'Statistics NZ'!BE$479)</f>
        <v>21173.82677584032</v>
      </c>
      <c r="AO134" s="46">
        <f>AN$134*'Population Treasury'!BG$184*'Statistics NZ'!BG$479/('Population Treasury'!BF$184*'Statistics NZ'!BF$479)</f>
        <v>20717.173677973315</v>
      </c>
      <c r="AP134" s="46">
        <f>AO$134*'Population Treasury'!BH$184*'Statistics NZ'!BH$479/('Population Treasury'!BG$184*'Statistics NZ'!BG$479)</f>
        <v>20585.244073312035</v>
      </c>
      <c r="AQ134" s="46">
        <f>AP$134*'Population Treasury'!BI$184*'Statistics NZ'!BI$479/('Population Treasury'!BH$184*'Statistics NZ'!BH$479)</f>
        <v>20402.592573439772</v>
      </c>
    </row>
    <row r="135" spans="1:43" x14ac:dyDescent="0.25">
      <c r="A135" s="11">
        <f>$A$65</f>
        <v>70</v>
      </c>
      <c r="B135" s="45">
        <f>'Population Treasury'!T$185*'Statistics NZ'!T$480*'Economic Forecasts'!V$8/B$7</f>
        <v>8970.9354954250957</v>
      </c>
      <c r="C135" s="45">
        <f>'Population Treasury'!U$185*'Statistics NZ'!U$480*'Economic Forecasts'!W$8/C$7</f>
        <v>9154.9160961050075</v>
      </c>
      <c r="D135" s="45">
        <f>'Population Treasury'!V$185*'Statistics NZ'!V$480*'Economic Forecasts'!X$8/D$7</f>
        <v>9521.9058104009255</v>
      </c>
      <c r="E135" s="45">
        <f>'Population Treasury'!W$185*'Statistics NZ'!W$480*'Economic Forecasts'!Y$8/E$7</f>
        <v>9874.8978237307856</v>
      </c>
      <c r="F135" s="45">
        <f>'Population Treasury'!X$185*'Statistics NZ'!X$480*'Economic Forecasts'!Z$8/F$7</f>
        <v>10257.634944821968</v>
      </c>
      <c r="G135" s="45">
        <f>'Population Treasury'!Y$185*'Statistics NZ'!Y$480*'Economic Forecasts'!AA$8/G$7</f>
        <v>10769.185229910101</v>
      </c>
      <c r="H135" s="46">
        <f>G$135*'Population Treasury'!Z$185*'Statistics NZ'!Z$480/('Population Treasury'!Y$185*'Statistics NZ'!Y$480)</f>
        <v>10992.533991394333</v>
      </c>
      <c r="I135" s="46">
        <f>H$135*'Population Treasury'!AA$185*'Statistics NZ'!AA$480/('Population Treasury'!Z$185*'Statistics NZ'!Z$480)</f>
        <v>11520.122947238226</v>
      </c>
      <c r="J135" s="46">
        <f>I$135*'Population Treasury'!AB$185*'Statistics NZ'!AB$480/('Population Treasury'!AA$185*'Statistics NZ'!AA$480)</f>
        <v>11844.518638068801</v>
      </c>
      <c r="K135" s="46">
        <f>J$135*'Population Treasury'!AC$185*'Statistics NZ'!AC$480/('Population Treasury'!AB$185*'Statistics NZ'!AB$480)</f>
        <v>12006.385484881572</v>
      </c>
      <c r="L135" s="46">
        <f>K$135*'Population Treasury'!AD$185*'Statistics NZ'!AD$480/('Population Treasury'!AC$185*'Statistics NZ'!AC$480)</f>
        <v>11945.151761586802</v>
      </c>
      <c r="M135" s="46">
        <f>L$135*'Population Treasury'!AE$185*'Statistics NZ'!AE$480/('Population Treasury'!AD$185*'Statistics NZ'!AD$480)</f>
        <v>11741.855755837003</v>
      </c>
      <c r="N135" s="46">
        <f>M$135*'Population Treasury'!AF$185*'Statistics NZ'!AF$480/('Population Treasury'!AE$185*'Statistics NZ'!AE$480)</f>
        <v>11680.605011996633</v>
      </c>
      <c r="O135" s="46">
        <f>N$135*'Population Treasury'!AG$185*'Statistics NZ'!AG$480/('Population Treasury'!AF$185*'Statistics NZ'!AF$480)</f>
        <v>11751.316144926359</v>
      </c>
      <c r="P135" s="46">
        <f>O$135*'Population Treasury'!AH$185*'Statistics NZ'!AH$480/('Population Treasury'!AG$185*'Statistics NZ'!AG$480)</f>
        <v>12075.661977621368</v>
      </c>
      <c r="Q135" s="46">
        <f>P$135*'Population Treasury'!AI$185*'Statistics NZ'!AI$480/('Population Treasury'!AH$185*'Statistics NZ'!AH$480)</f>
        <v>12420.358516585397</v>
      </c>
      <c r="R135" s="46">
        <f>Q$135*'Population Treasury'!AJ$185*'Statistics NZ'!AJ$480/('Population Treasury'!AI$185*'Statistics NZ'!AI$480)</f>
        <v>12491.122096880288</v>
      </c>
      <c r="S135" s="46">
        <f>R$135*'Population Treasury'!AK$185*'Statistics NZ'!AK$480/('Population Treasury'!AJ$185*'Statistics NZ'!AJ$480)</f>
        <v>13008.318684086315</v>
      </c>
      <c r="T135" s="46">
        <f>S$135*'Population Treasury'!AL$185*'Statistics NZ'!AL$480/('Population Treasury'!AK$185*'Statistics NZ'!AK$480)</f>
        <v>12987.785916792729</v>
      </c>
      <c r="U135" s="46">
        <f>T$135*'Population Treasury'!AM$185*'Statistics NZ'!AM$480/('Population Treasury'!AL$185*'Statistics NZ'!AL$480)</f>
        <v>12723.758714674545</v>
      </c>
      <c r="V135" s="46">
        <f>U$135*'Population Treasury'!AN$185*'Statistics NZ'!AN$480/('Population Treasury'!AM$185*'Statistics NZ'!AM$480)</f>
        <v>12490.193213741899</v>
      </c>
      <c r="W135" s="46">
        <f>V$135*'Population Treasury'!AO$185*'Statistics NZ'!AO$480/('Population Treasury'!AN$185*'Statistics NZ'!AN$480)</f>
        <v>12165.30770883271</v>
      </c>
      <c r="X135" s="46">
        <f>W$135*'Population Treasury'!AP$185*'Statistics NZ'!AP$480/('Population Treasury'!AO$185*'Statistics NZ'!AO$480)</f>
        <v>12165.200271615662</v>
      </c>
      <c r="Y135" s="46">
        <f>X$135*'Population Treasury'!AQ$185*'Statistics NZ'!AQ$480/('Population Treasury'!AP$185*'Statistics NZ'!AP$480)</f>
        <v>12378.122219489678</v>
      </c>
      <c r="Z135" s="46">
        <f>Y$135*'Population Treasury'!AR$185*'Statistics NZ'!AR$480/('Population Treasury'!AQ$185*'Statistics NZ'!AQ$480)</f>
        <v>12337.408083452954</v>
      </c>
      <c r="AA135" s="46">
        <f>Z$135*'Population Treasury'!AS$185*'Statistics NZ'!AS$480/('Population Treasury'!AR$185*'Statistics NZ'!AR$480)</f>
        <v>12925.837386620624</v>
      </c>
      <c r="AB135" s="46">
        <f>AA$135*'Population Treasury'!AT$185*'Statistics NZ'!AT$480/('Population Treasury'!AS$185*'Statistics NZ'!AS$480)</f>
        <v>13433.026640704833</v>
      </c>
      <c r="AC135" s="46">
        <f>AB$135*'Population Treasury'!AU$185*'Statistics NZ'!AU$480/('Population Treasury'!AT$185*'Statistics NZ'!AT$480)</f>
        <v>13879.379229581067</v>
      </c>
      <c r="AD135" s="46">
        <f>AC$135*'Population Treasury'!AV$185*'Statistics NZ'!AV$480/('Population Treasury'!AU$185*'Statistics NZ'!AU$480)</f>
        <v>14315.570694172922</v>
      </c>
      <c r="AE135" s="46">
        <f>AD$135*'Population Treasury'!AW$185*'Statistics NZ'!AW$480/('Population Treasury'!AV$185*'Statistics NZ'!AV$480)</f>
        <v>14934.436023221006</v>
      </c>
      <c r="AF135" s="46">
        <f>AE$135*'Population Treasury'!AX$185*'Statistics NZ'!AX$480/('Population Treasury'!AW$185*'Statistics NZ'!AW$480)</f>
        <v>15390.971932520006</v>
      </c>
      <c r="AG135" s="46">
        <f>AF$135*'Population Treasury'!AY$185*'Statistics NZ'!AY$480/('Population Treasury'!AX$185*'Statistics NZ'!AX$480)</f>
        <v>15685.175119101837</v>
      </c>
      <c r="AH135" s="46">
        <f>AG$135*'Population Treasury'!AZ$185*'Statistics NZ'!AZ$480/('Population Treasury'!AY$185*'Statistics NZ'!AY$480)</f>
        <v>16222.84419612196</v>
      </c>
      <c r="AI135" s="46">
        <f>AH$135*'Population Treasury'!BA$185*'Statistics NZ'!BA$480/('Population Treasury'!AZ$185*'Statistics NZ'!AZ$480)</f>
        <v>17115.741546733705</v>
      </c>
      <c r="AJ135" s="46">
        <f>AI$135*'Population Treasury'!BB$185*'Statistics NZ'!BB$480/('Population Treasury'!BA$185*'Statistics NZ'!BA$480)</f>
        <v>17663.636009690166</v>
      </c>
      <c r="AK135" s="46">
        <f>AJ$135*'Population Treasury'!BC$185*'Statistics NZ'!BC$480/('Population Treasury'!BB$185*'Statistics NZ'!BB$480)</f>
        <v>18038.980418389649</v>
      </c>
      <c r="AL135" s="46">
        <f>AK$135*'Population Treasury'!BD$185*'Statistics NZ'!BD$480/('Population Treasury'!BC$185*'Statistics NZ'!BC$480)</f>
        <v>18789.821455743931</v>
      </c>
      <c r="AM135" s="46">
        <f>AL$135*'Population Treasury'!BE$185*'Statistics NZ'!BE$480/('Population Treasury'!BD$185*'Statistics NZ'!BD$480)</f>
        <v>19155.079951472897</v>
      </c>
      <c r="AN135" s="46">
        <f>AM$135*'Population Treasury'!BF$185*'Statistics NZ'!BF$480/('Population Treasury'!BE$185*'Statistics NZ'!BE$480)</f>
        <v>19185.520135914729</v>
      </c>
      <c r="AO135" s="46">
        <f>AN$135*'Population Treasury'!BG$185*'Statistics NZ'!BG$480/('Population Treasury'!BF$185*'Statistics NZ'!BF$480)</f>
        <v>18881.094551346119</v>
      </c>
      <c r="AP135" s="46">
        <f>AO$135*'Population Treasury'!BH$185*'Statistics NZ'!BH$480/('Population Treasury'!BG$185*'Statistics NZ'!BG$480)</f>
        <v>18475.184296942771</v>
      </c>
      <c r="AQ135" s="46">
        <f>AP$135*'Population Treasury'!BI$185*'Statistics NZ'!BI$480/('Population Treasury'!BH$185*'Statistics NZ'!BH$480)</f>
        <v>18353.447417807689</v>
      </c>
    </row>
    <row r="136" spans="1:43" x14ac:dyDescent="0.25">
      <c r="A136" s="11">
        <f>$A$66</f>
        <v>71</v>
      </c>
      <c r="B136" s="45">
        <f>'Population Treasury'!T$186*'Statistics NZ'!T$481*'Economic Forecasts'!V$8/B$7</f>
        <v>7552.3688580638864</v>
      </c>
      <c r="C136" s="45">
        <f>'Population Treasury'!U$186*'Statistics NZ'!U$481*'Economic Forecasts'!W$8/C$7</f>
        <v>7818.8635404409306</v>
      </c>
      <c r="D136" s="45">
        <f>'Population Treasury'!V$186*'Statistics NZ'!V$481*'Economic Forecasts'!X$8/D$7</f>
        <v>8082.2874535675901</v>
      </c>
      <c r="E136" s="45">
        <f>'Population Treasury'!W$186*'Statistics NZ'!W$481*'Economic Forecasts'!Y$8/E$7</f>
        <v>8437.1635911315443</v>
      </c>
      <c r="F136" s="45">
        <f>'Population Treasury'!X$186*'Statistics NZ'!X$481*'Economic Forecasts'!Z$8/F$7</f>
        <v>8743.6108880639604</v>
      </c>
      <c r="G136" s="45">
        <f>'Population Treasury'!Y$186*'Statistics NZ'!Y$481*'Economic Forecasts'!AA$8/G$7</f>
        <v>9069.8993071114946</v>
      </c>
      <c r="H136" s="46">
        <f>G$136*'Population Treasury'!Z$186*'Statistics NZ'!Z$481/('Population Treasury'!Y$186*'Statistics NZ'!Y$481)</f>
        <v>9506.3353235689701</v>
      </c>
      <c r="I136" s="46">
        <f>H$136*'Population Treasury'!AA$186*'Statistics NZ'!AA$481/('Population Treasury'!Z$186*'Statistics NZ'!Z$481)</f>
        <v>9699.0838336281959</v>
      </c>
      <c r="J136" s="46">
        <f>I$136*'Population Treasury'!AB$186*'Statistics NZ'!AB$481/('Population Treasury'!AA$186*'Statistics NZ'!AA$481)</f>
        <v>10175.678371770033</v>
      </c>
      <c r="K136" s="46">
        <f>J$136*'Population Treasury'!AC$186*'Statistics NZ'!AC$481/('Population Treasury'!AB$186*'Statistics NZ'!AB$481)</f>
        <v>10459.402594279298</v>
      </c>
      <c r="L136" s="46">
        <f>K$136*'Population Treasury'!AD$186*'Statistics NZ'!AD$481/('Population Treasury'!AC$186*'Statistics NZ'!AC$481)</f>
        <v>10601.097643380857</v>
      </c>
      <c r="M136" s="46">
        <f>L$136*'Population Treasury'!AE$186*'Statistics NZ'!AE$481/('Population Treasury'!AD$186*'Statistics NZ'!AD$481)</f>
        <v>10550.033114311876</v>
      </c>
      <c r="N136" s="46">
        <f>M$136*'Population Treasury'!AF$186*'Statistics NZ'!AF$481/('Population Treasury'!AE$186*'Statistics NZ'!AE$481)</f>
        <v>10377.218704639499</v>
      </c>
      <c r="O136" s="46">
        <f>N$136*'Population Treasury'!AG$186*'Statistics NZ'!AG$481/('Population Treasury'!AF$186*'Statistics NZ'!AF$481)</f>
        <v>10326.168894579956</v>
      </c>
      <c r="P136" s="46">
        <f>O$136*'Population Treasury'!AH$186*'Statistics NZ'!AH$481/('Population Treasury'!AG$186*'Statistics NZ'!AG$481)</f>
        <v>10396.895099565463</v>
      </c>
      <c r="Q136" s="46">
        <f>P$136*'Population Treasury'!AI$186*'Statistics NZ'!AI$481/('Population Treasury'!AH$186*'Statistics NZ'!AH$481)</f>
        <v>10680.753103999083</v>
      </c>
      <c r="R136" s="46">
        <f>Q$136*'Population Treasury'!AJ$186*'Statistics NZ'!AJ$481/('Population Treasury'!AI$186*'Statistics NZ'!AI$481)</f>
        <v>10984.934675063892</v>
      </c>
      <c r="S136" s="46">
        <f>R$136*'Population Treasury'!AK$186*'Statistics NZ'!AK$481/('Population Treasury'!AJ$186*'Statistics NZ'!AJ$481)</f>
        <v>11055.678504212759</v>
      </c>
      <c r="T136" s="46">
        <f>S$136*'Population Treasury'!AL$186*'Statistics NZ'!AL$481/('Population Treasury'!AK$186*'Statistics NZ'!AK$481)</f>
        <v>11512.0801026606</v>
      </c>
      <c r="U136" s="46">
        <f>T$136*'Population Treasury'!AM$186*'Statistics NZ'!AM$481/('Population Treasury'!AL$186*'Statistics NZ'!AL$481)</f>
        <v>11491.598313888197</v>
      </c>
      <c r="V136" s="46">
        <f>U$136*'Population Treasury'!AN$186*'Statistics NZ'!AN$481/('Population Treasury'!AM$186*'Statistics NZ'!AM$481)</f>
        <v>11258.083075971979</v>
      </c>
      <c r="W136" s="46">
        <f>V$136*'Population Treasury'!AO$186*'Statistics NZ'!AO$481/('Population Treasury'!AN$186*'Statistics NZ'!AN$481)</f>
        <v>11054.973445406258</v>
      </c>
      <c r="X136" s="46">
        <f>W$136*'Population Treasury'!AP$186*'Statistics NZ'!AP$481/('Population Treasury'!AO$186*'Statistics NZ'!AO$481)</f>
        <v>10770.717459048721</v>
      </c>
      <c r="Y136" s="46">
        <f>X$136*'Population Treasury'!AQ$186*'Statistics NZ'!AQ$481/('Population Treasury'!AP$186*'Statistics NZ'!AP$481)</f>
        <v>10770.625856192599</v>
      </c>
      <c r="Z136" s="46">
        <f>Y$136*'Population Treasury'!AR$186*'Statistics NZ'!AR$481/('Population Treasury'!AQ$186*'Statistics NZ'!AQ$481)</f>
        <v>10963.28804559293</v>
      </c>
      <c r="AA136" s="46">
        <f>Z$136*'Population Treasury'!AS$186*'Statistics NZ'!AS$481/('Population Treasury'!AR$186*'Statistics NZ'!AR$481)</f>
        <v>10932.693896167615</v>
      </c>
      <c r="AB136" s="46">
        <f>AA$136*'Population Treasury'!AT$186*'Statistics NZ'!AT$481/('Population Treasury'!AS$186*'Statistics NZ'!AS$481)</f>
        <v>11460.210964983533</v>
      </c>
      <c r="AC136" s="46">
        <f>AB$136*'Population Treasury'!AU$186*'Statistics NZ'!AU$481/('Population Treasury'!AT$186*'Statistics NZ'!AT$481)</f>
        <v>11906.59165719394</v>
      </c>
      <c r="AD136" s="46">
        <f>AC$136*'Population Treasury'!AV$186*'Statistics NZ'!AV$481/('Population Treasury'!AU$186*'Statistics NZ'!AU$481)</f>
        <v>12302.247128640567</v>
      </c>
      <c r="AE136" s="46">
        <f>AD$136*'Population Treasury'!AW$186*'Statistics NZ'!AW$481/('Population Treasury'!AV$186*'Statistics NZ'!AV$481)</f>
        <v>12687.723430914115</v>
      </c>
      <c r="AF136" s="46">
        <f>AE$136*'Population Treasury'!AX$186*'Statistics NZ'!AX$481/('Population Treasury'!AW$186*'Statistics NZ'!AW$481)</f>
        <v>13235.605306941185</v>
      </c>
      <c r="AG136" s="46">
        <f>AF$136*'Population Treasury'!AY$186*'Statistics NZ'!AY$481/('Population Treasury'!AX$186*'Statistics NZ'!AX$481)</f>
        <v>13641.428272331266</v>
      </c>
      <c r="AH136" s="46">
        <f>AG$136*'Population Treasury'!AZ$186*'Statistics NZ'!AZ$481/('Population Treasury'!AY$186*'Statistics NZ'!AY$481)</f>
        <v>13905.16743604096</v>
      </c>
      <c r="AI136" s="46">
        <f>AH$136*'Population Treasury'!BA$186*'Statistics NZ'!BA$481/('Population Treasury'!AZ$186*'Statistics NZ'!AZ$481)</f>
        <v>14382.015026456562</v>
      </c>
      <c r="AJ136" s="46">
        <f>AI$136*'Population Treasury'!BB$186*'Statistics NZ'!BB$481/('Population Treasury'!BA$186*'Statistics NZ'!BA$481)</f>
        <v>15173.433647427402</v>
      </c>
      <c r="AK136" s="46">
        <f>AJ$136*'Population Treasury'!BC$186*'Statistics NZ'!BC$481/('Population Treasury'!BB$186*'Statistics NZ'!BB$481)</f>
        <v>15670.553537838146</v>
      </c>
      <c r="AL136" s="46">
        <f>AK$136*'Population Treasury'!BD$186*'Statistics NZ'!BD$481/('Population Treasury'!BC$186*'Statistics NZ'!BC$481)</f>
        <v>15995.255250509106</v>
      </c>
      <c r="AM136" s="46">
        <f>AL$136*'Population Treasury'!BE$186*'Statistics NZ'!BE$481/('Population Treasury'!BD$186*'Statistics NZ'!BD$481)</f>
        <v>16664.905833147543</v>
      </c>
      <c r="AN136" s="46">
        <f>AM$136*'Population Treasury'!BF$186*'Statistics NZ'!BF$481/('Population Treasury'!BE$186*'Statistics NZ'!BE$481)</f>
        <v>16999.682272596106</v>
      </c>
      <c r="AO136" s="46">
        <f>AN$136*'Population Treasury'!BG$186*'Statistics NZ'!BG$481/('Population Treasury'!BF$186*'Statistics NZ'!BF$481)</f>
        <v>17030.105793893421</v>
      </c>
      <c r="AP136" s="46">
        <f>AO$136*'Population Treasury'!BH$186*'Statistics NZ'!BH$481/('Population Treasury'!BG$186*'Statistics NZ'!BG$481)</f>
        <v>16756.1551675677</v>
      </c>
      <c r="AQ136" s="46">
        <f>AP$136*'Population Treasury'!BI$186*'Statistics NZ'!BI$481/('Population Treasury'!BH$186*'Statistics NZ'!BH$481)</f>
        <v>16390.894949147376</v>
      </c>
    </row>
    <row r="137" spans="1:43" x14ac:dyDescent="0.25">
      <c r="A137" s="11">
        <f>$A$67</f>
        <v>72</v>
      </c>
      <c r="B137" s="45">
        <f>'Population Treasury'!T$187*'Statistics NZ'!T$482*'Economic Forecasts'!V$8/B$7</f>
        <v>6453.4792094037984</v>
      </c>
      <c r="C137" s="45">
        <f>'Population Treasury'!U$187*'Statistics NZ'!U$482*'Economic Forecasts'!W$8/C$7</f>
        <v>6552.0974165216703</v>
      </c>
      <c r="D137" s="45">
        <f>'Population Treasury'!V$187*'Statistics NZ'!V$482*'Economic Forecasts'!X$8/D$7</f>
        <v>6880.9341166358899</v>
      </c>
      <c r="E137" s="45">
        <f>'Population Treasury'!W$187*'Statistics NZ'!W$482*'Economic Forecasts'!Y$8/E$7</f>
        <v>7129.2215059137807</v>
      </c>
      <c r="F137" s="45">
        <f>'Population Treasury'!X$187*'Statistics NZ'!X$482*'Economic Forecasts'!Z$8/F$7</f>
        <v>7430.111581027626</v>
      </c>
      <c r="G137" s="45">
        <f>'Population Treasury'!Y$187*'Statistics NZ'!Y$482*'Economic Forecasts'!AA$8/G$7</f>
        <v>7702.4136918381146</v>
      </c>
      <c r="H137" s="46">
        <f>G$137*'Population Treasury'!Z$187*'Statistics NZ'!Z$482/('Population Treasury'!Y$187*'Statistics NZ'!Y$482)</f>
        <v>7966.4293736890977</v>
      </c>
      <c r="I137" s="46">
        <f>H$137*'Population Treasury'!AA$187*'Statistics NZ'!AA$482/('Population Treasury'!Z$187*'Statistics NZ'!Z$482)</f>
        <v>8351.9032702178065</v>
      </c>
      <c r="J137" s="46">
        <f>I$137*'Population Treasury'!AB$187*'Statistics NZ'!AB$482/('Population Treasury'!AA$187*'Statistics NZ'!AA$482)</f>
        <v>8524.2103488653793</v>
      </c>
      <c r="K137" s="46">
        <f>J$137*'Population Treasury'!AC$187*'Statistics NZ'!AC$482/('Population Treasury'!AB$187*'Statistics NZ'!AB$482)</f>
        <v>8949.9187160336569</v>
      </c>
      <c r="L137" s="46">
        <f>K$137*'Population Treasury'!AD$187*'Statistics NZ'!AD$482/('Population Treasury'!AC$187*'Statistics NZ'!AC$482)</f>
        <v>9203.2517081181541</v>
      </c>
      <c r="M137" s="46">
        <f>L$137*'Population Treasury'!AE$187*'Statistics NZ'!AE$482/('Population Treasury'!AD$187*'Statistics NZ'!AD$482)</f>
        <v>9324.7389215268722</v>
      </c>
      <c r="N137" s="46">
        <f>M$137*'Population Treasury'!AF$187*'Statistics NZ'!AF$482/('Population Treasury'!AE$187*'Statistics NZ'!AE$482)</f>
        <v>9283.8814044795508</v>
      </c>
      <c r="O137" s="46">
        <f>N$137*'Population Treasury'!AG$187*'Statistics NZ'!AG$482/('Population Treasury'!AF$187*'Statistics NZ'!AF$482)</f>
        <v>9141.4861126324868</v>
      </c>
      <c r="P137" s="46">
        <f>O$137*'Population Treasury'!AH$187*'Statistics NZ'!AH$482/('Population Treasury'!AG$187*'Statistics NZ'!AG$482)</f>
        <v>9090.5748104484264</v>
      </c>
      <c r="Q137" s="46">
        <f>P$137*'Population Treasury'!AI$187*'Statistics NZ'!AI$482/('Population Treasury'!AH$187*'Statistics NZ'!AH$482)</f>
        <v>9151.2142696994251</v>
      </c>
      <c r="R137" s="46">
        <f>Q$137*'Population Treasury'!AJ$187*'Statistics NZ'!AJ$482/('Population Treasury'!AI$187*'Statistics NZ'!AI$482)</f>
        <v>9404.6357717531264</v>
      </c>
      <c r="S137" s="46">
        <f>R$137*'Population Treasury'!AK$187*'Statistics NZ'!AK$482/('Population Treasury'!AJ$187*'Statistics NZ'!AJ$482)</f>
        <v>9678.3868021582311</v>
      </c>
      <c r="T137" s="46">
        <f>S$137*'Population Treasury'!AL$187*'Statistics NZ'!AL$482/('Population Treasury'!AK$187*'Statistics NZ'!AK$482)</f>
        <v>9739.0909376960863</v>
      </c>
      <c r="U137" s="46">
        <f>T$137*'Population Treasury'!AM$187*'Statistics NZ'!AM$482/('Population Treasury'!AL$187*'Statistics NZ'!AL$482)</f>
        <v>10144.76747322355</v>
      </c>
      <c r="V137" s="46">
        <f>U$137*'Population Treasury'!AN$187*'Statistics NZ'!AN$482/('Population Treasury'!AM$187*'Statistics NZ'!AM$482)</f>
        <v>10134.425994859426</v>
      </c>
      <c r="W137" s="46">
        <f>V$137*'Population Treasury'!AO$187*'Statistics NZ'!AO$482/('Population Treasury'!AN$187*'Statistics NZ'!AN$482)</f>
        <v>9931.3585385501374</v>
      </c>
      <c r="X137" s="46">
        <f>W$137*'Population Treasury'!AP$187*'Statistics NZ'!AP$482/('Population Treasury'!AO$187*'Statistics NZ'!AO$482)</f>
        <v>9748.6308679462654</v>
      </c>
      <c r="Y137" s="46">
        <f>X$137*'Population Treasury'!AQ$187*'Statistics NZ'!AQ$482/('Population Treasury'!AP$187*'Statistics NZ'!AP$482)</f>
        <v>9504.9358671634782</v>
      </c>
      <c r="Z137" s="46">
        <f>Y$137*'Population Treasury'!AR$187*'Statistics NZ'!AR$482/('Population Treasury'!AQ$187*'Statistics NZ'!AQ$482)</f>
        <v>9504.883291126418</v>
      </c>
      <c r="AA137" s="46">
        <f>Z$137*'Population Treasury'!AS$187*'Statistics NZ'!AS$482/('Population Treasury'!AR$187*'Statistics NZ'!AR$482)</f>
        <v>9677.2377708020431</v>
      </c>
      <c r="AB137" s="46">
        <f>AA$137*'Population Treasury'!AT$187*'Statistics NZ'!AT$482/('Population Treasury'!AS$187*'Statistics NZ'!AS$482)</f>
        <v>9646.7423313555864</v>
      </c>
      <c r="AC137" s="46">
        <f>AB$137*'Population Treasury'!AU$187*'Statistics NZ'!AU$482/('Population Treasury'!AT$187*'Statistics NZ'!AT$482)</f>
        <v>10113.391341902017</v>
      </c>
      <c r="AD137" s="46">
        <f>AC$137*'Population Treasury'!AV$187*'Statistics NZ'!AV$482/('Population Treasury'!AU$187*'Statistics NZ'!AU$482)</f>
        <v>10509.037070079505</v>
      </c>
      <c r="AE137" s="46">
        <f>AD$137*'Population Treasury'!AW$187*'Statistics NZ'!AW$482/('Population Treasury'!AV$187*'Statistics NZ'!AV$482)</f>
        <v>10864.096155457708</v>
      </c>
      <c r="AF137" s="46">
        <f>AE$137*'Population Treasury'!AX$187*'Statistics NZ'!AX$482/('Population Treasury'!AW$187*'Statistics NZ'!AW$482)</f>
        <v>11208.989070906995</v>
      </c>
      <c r="AG137" s="46">
        <f>AF$137*'Population Treasury'!AY$187*'Statistics NZ'!AY$482/('Population Treasury'!AX$187*'Statistics NZ'!AX$482)</f>
        <v>11695.981108227528</v>
      </c>
      <c r="AH137" s="46">
        <f>AG$137*'Population Treasury'!AZ$187*'Statistics NZ'!AZ$482/('Population Treasury'!AY$187*'Statistics NZ'!AY$482)</f>
        <v>12051.116506323588</v>
      </c>
      <c r="AI137" s="46">
        <f>AH$137*'Population Treasury'!BA$187*'Statistics NZ'!BA$482/('Population Treasury'!AZ$187*'Statistics NZ'!AZ$482)</f>
        <v>12284.435434886718</v>
      </c>
      <c r="AJ137" s="46">
        <f>AI$137*'Population Treasury'!BB$187*'Statistics NZ'!BB$482/('Population Treasury'!BA$187*'Statistics NZ'!BA$482)</f>
        <v>12710.527133318883</v>
      </c>
      <c r="AK137" s="46">
        <f>AJ$137*'Population Treasury'!BC$187*'Statistics NZ'!BC$482/('Population Treasury'!BB$187*'Statistics NZ'!BB$482)</f>
        <v>13410.655450997023</v>
      </c>
      <c r="AL137" s="46">
        <f>AK$137*'Population Treasury'!BD$187*'Statistics NZ'!BD$482/('Population Treasury'!BC$187*'Statistics NZ'!BC$482)</f>
        <v>13846.920476131218</v>
      </c>
      <c r="AM137" s="46">
        <f>AL$137*'Population Treasury'!BE$187*'Statistics NZ'!BE$482/('Population Treasury'!BD$187*'Statistics NZ'!BD$482)</f>
        <v>14141.153808429481</v>
      </c>
      <c r="AN137" s="46">
        <f>AM$137*'Population Treasury'!BF$187*'Statistics NZ'!BF$482/('Population Treasury'!BE$187*'Statistics NZ'!BE$482)</f>
        <v>14739.770513157673</v>
      </c>
      <c r="AO137" s="46">
        <f>AN$137*'Population Treasury'!BG$187*'Statistics NZ'!BG$482/('Population Treasury'!BF$187*'Statistics NZ'!BF$482)</f>
        <v>15023.892210494374</v>
      </c>
      <c r="AP137" s="46">
        <f>AO$137*'Population Treasury'!BH$187*'Statistics NZ'!BH$482/('Population Treasury'!BG$187*'Statistics NZ'!BG$482)</f>
        <v>15054.31860439049</v>
      </c>
      <c r="AQ137" s="46">
        <f>AP$137*'Population Treasury'!BI$187*'Statistics NZ'!BI$482/('Population Treasury'!BH$187*'Statistics NZ'!BH$482)</f>
        <v>14820.918586863554</v>
      </c>
    </row>
    <row r="138" spans="1:43" x14ac:dyDescent="0.25">
      <c r="A138" s="11">
        <f>$A$68</f>
        <v>73</v>
      </c>
      <c r="B138" s="45">
        <f>'Population Treasury'!T$188*'Statistics NZ'!T$483*'Economic Forecasts'!V$8/B$7</f>
        <v>5504.4381491973554</v>
      </c>
      <c r="C138" s="45">
        <f>'Population Treasury'!U$188*'Statistics NZ'!U$483*'Economic Forecasts'!W$8/C$7</f>
        <v>5582.2017739472058</v>
      </c>
      <c r="D138" s="45">
        <f>'Population Treasury'!V$188*'Statistics NZ'!V$483*'Economic Forecasts'!X$8/D$7</f>
        <v>5749.0903416530045</v>
      </c>
      <c r="E138" s="45">
        <f>'Population Treasury'!W$188*'Statistics NZ'!W$483*'Economic Forecasts'!Y$8/E$7</f>
        <v>6050.90687135808</v>
      </c>
      <c r="F138" s="45">
        <f>'Population Treasury'!X$188*'Statistics NZ'!X$483*'Economic Forecasts'!Z$8/F$7</f>
        <v>6267.01259424402</v>
      </c>
      <c r="G138" s="45">
        <f>'Population Treasury'!Y$188*'Statistics NZ'!Y$483*'Economic Forecasts'!AA$8/G$7</f>
        <v>6525.9684318232039</v>
      </c>
      <c r="H138" s="46">
        <f>G$138*'Population Treasury'!Z$188*'Statistics NZ'!Z$483/('Population Treasury'!Y$188*'Statistics NZ'!Y$483)</f>
        <v>6739.1794313501396</v>
      </c>
      <c r="I138" s="46">
        <f>H$138*'Population Treasury'!AA$188*'Statistics NZ'!AA$483/('Population Treasury'!Z$188*'Statistics NZ'!Z$483)</f>
        <v>6982.5873826506258</v>
      </c>
      <c r="J138" s="46">
        <f>I$138*'Population Treasury'!AB$188*'Statistics NZ'!AB$483/('Population Treasury'!AA$188*'Statistics NZ'!AA$483)</f>
        <v>7317.2562691350122</v>
      </c>
      <c r="K138" s="46">
        <f>J$138*'Population Treasury'!AC$188*'Statistics NZ'!AC$483/('Population Treasury'!AB$188*'Statistics NZ'!AB$483)</f>
        <v>7479.2314338657161</v>
      </c>
      <c r="L138" s="46">
        <f>K$138*'Population Treasury'!AD$188*'Statistics NZ'!AD$483/('Population Treasury'!AC$188*'Statistics NZ'!AC$483)</f>
        <v>7844.2300195919934</v>
      </c>
      <c r="M138" s="46">
        <f>L$138*'Population Treasury'!AE$188*'Statistics NZ'!AE$483/('Population Treasury'!AD$188*'Statistics NZ'!AD$483)</f>
        <v>8067.164433313972</v>
      </c>
      <c r="N138" s="46">
        <f>M$138*'Population Treasury'!AF$188*'Statistics NZ'!AF$483/('Population Treasury'!AE$188*'Statistics NZ'!AE$483)</f>
        <v>8188.6114372590228</v>
      </c>
      <c r="O138" s="46">
        <f>N$138*'Population Treasury'!AG$188*'Statistics NZ'!AG$483/('Population Treasury'!AF$188*'Statistics NZ'!AF$483)</f>
        <v>8147.8450605356775</v>
      </c>
      <c r="P138" s="46">
        <f>O$138*'Population Treasury'!AH$188*'Statistics NZ'!AH$483/('Population Treasury'!AG$188*'Statistics NZ'!AG$483)</f>
        <v>8025.7764216190535</v>
      </c>
      <c r="Q138" s="46">
        <f>P$138*'Population Treasury'!AI$188*'Statistics NZ'!AI$483/('Population Treasury'!AH$188*'Statistics NZ'!AH$483)</f>
        <v>7985.0236239710812</v>
      </c>
      <c r="R138" s="46">
        <f>Q$138*'Population Treasury'!AJ$188*'Statistics NZ'!AJ$483/('Population Treasury'!AI$188*'Statistics NZ'!AI$483)</f>
        <v>8045.6677430994523</v>
      </c>
      <c r="S138" s="46">
        <f>R$138*'Population Treasury'!AK$188*'Statistics NZ'!AK$483/('Population Treasury'!AJ$188*'Statistics NZ'!AJ$483)</f>
        <v>8268.7253002996313</v>
      </c>
      <c r="T138" s="46">
        <f>S$138*'Population Treasury'!AL$188*'Statistics NZ'!AL$483/('Population Treasury'!AK$188*'Statistics NZ'!AK$483)</f>
        <v>8512.0461533964008</v>
      </c>
      <c r="U138" s="46">
        <f>T$138*'Population Treasury'!AM$188*'Statistics NZ'!AM$483/('Population Treasury'!AL$188*'Statistics NZ'!AL$483)</f>
        <v>8562.6526631314173</v>
      </c>
      <c r="V138" s="46">
        <f>U$138*'Population Treasury'!AN$188*'Statistics NZ'!AN$483/('Population Treasury'!AM$188*'Statistics NZ'!AM$483)</f>
        <v>8917.6650282106111</v>
      </c>
      <c r="W138" s="46">
        <f>V$138*'Population Treasury'!AO$188*'Statistics NZ'!AO$483/('Population Treasury'!AN$188*'Statistics NZ'!AN$483)</f>
        <v>8907.3790973777795</v>
      </c>
      <c r="X138" s="46">
        <f>W$138*'Population Treasury'!AP$188*'Statistics NZ'!AP$483/('Population Treasury'!AO$188*'Statistics NZ'!AO$483)</f>
        <v>8734.7564397871865</v>
      </c>
      <c r="Y138" s="46">
        <f>X$138*'Population Treasury'!AQ$188*'Statistics NZ'!AQ$483/('Population Treasury'!AP$188*'Statistics NZ'!AP$483)</f>
        <v>8582.4284881878812</v>
      </c>
      <c r="Z138" s="46">
        <f>Y$138*'Population Treasury'!AR$188*'Statistics NZ'!AR$483/('Population Treasury'!AQ$188*'Statistics NZ'!AQ$483)</f>
        <v>8359.1437287940771</v>
      </c>
      <c r="AA138" s="46">
        <f>Z$138*'Population Treasury'!AS$188*'Statistics NZ'!AS$483/('Population Treasury'!AR$188*'Statistics NZ'!AR$483)</f>
        <v>8369.1696696262497</v>
      </c>
      <c r="AB138" s="46">
        <f>AA$138*'Population Treasury'!AT$188*'Statistics NZ'!AT$483/('Population Treasury'!AS$188*'Statistics NZ'!AS$483)</f>
        <v>8521.2821964046198</v>
      </c>
      <c r="AC138" s="46">
        <f>AB$138*'Population Treasury'!AU$188*'Statistics NZ'!AU$483/('Population Treasury'!AT$188*'Statistics NZ'!AT$483)</f>
        <v>8490.8191140027884</v>
      </c>
      <c r="AD138" s="46">
        <f>AC$138*'Population Treasury'!AV$188*'Statistics NZ'!AV$483/('Population Treasury'!AU$188*'Statistics NZ'!AU$483)</f>
        <v>8906.7206438356752</v>
      </c>
      <c r="AE138" s="46">
        <f>AD$138*'Population Treasury'!AW$188*'Statistics NZ'!AW$483/('Population Treasury'!AV$188*'Statistics NZ'!AV$483)</f>
        <v>9261.7695633394669</v>
      </c>
      <c r="AF138" s="46">
        <f>AE$138*'Population Treasury'!AX$188*'Statistics NZ'!AX$483/('Population Treasury'!AW$188*'Statistics NZ'!AW$483)</f>
        <v>9566.182172429968</v>
      </c>
      <c r="AG138" s="46">
        <f>AF$138*'Population Treasury'!AY$188*'Statistics NZ'!AY$483/('Population Treasury'!AX$188*'Statistics NZ'!AX$483)</f>
        <v>9870.4966873163175</v>
      </c>
      <c r="AH138" s="46">
        <f>AG$138*'Population Treasury'!AZ$188*'Statistics NZ'!AZ$483/('Population Treasury'!AY$188*'Statistics NZ'!AY$483)</f>
        <v>10306.742095872358</v>
      </c>
      <c r="AI138" s="46">
        <f>AH$138*'Population Treasury'!BA$188*'Statistics NZ'!BA$483/('Population Treasury'!AZ$188*'Statistics NZ'!AZ$483)</f>
        <v>10621.280053918039</v>
      </c>
      <c r="AJ138" s="46">
        <f>AI$138*'Population Treasury'!BB$188*'Statistics NZ'!BB$483/('Population Treasury'!BA$188*'Statistics NZ'!BA$483)</f>
        <v>10834.299241153232</v>
      </c>
      <c r="AK138" s="46">
        <f>AJ$138*'Population Treasury'!BC$188*'Statistics NZ'!BC$483/('Population Treasury'!BB$188*'Statistics NZ'!BB$483)</f>
        <v>11199.581186966234</v>
      </c>
      <c r="AL138" s="46">
        <f>AK$138*'Population Treasury'!BD$188*'Statistics NZ'!BD$483/('Population Treasury'!BC$188*'Statistics NZ'!BC$483)</f>
        <v>11828.62923803084</v>
      </c>
      <c r="AM138" s="46">
        <f>AL$138*'Population Treasury'!BE$188*'Statistics NZ'!BE$483/('Population Treasury'!BD$188*'Statistics NZ'!BD$483)</f>
        <v>12214.180013260269</v>
      </c>
      <c r="AN138" s="46">
        <f>AM$138*'Population Treasury'!BF$188*'Statistics NZ'!BF$483/('Population Treasury'!BE$188*'Statistics NZ'!BE$483)</f>
        <v>12467.854603228909</v>
      </c>
      <c r="AO138" s="46">
        <f>AN$138*'Population Treasury'!BG$188*'Statistics NZ'!BG$483/('Population Treasury'!BF$188*'Statistics NZ'!BF$483)</f>
        <v>12995.472186830857</v>
      </c>
      <c r="AP138" s="46">
        <f>AO$138*'Population Treasury'!BH$188*'Statistics NZ'!BH$483/('Population Treasury'!BG$188*'Statistics NZ'!BG$483)</f>
        <v>13259.244635986362</v>
      </c>
      <c r="AQ138" s="46">
        <f>AP$138*'Population Treasury'!BI$188*'Statistics NZ'!BI$483/('Population Treasury'!BH$188*'Statistics NZ'!BH$483)</f>
        <v>13279.558470626633</v>
      </c>
    </row>
    <row r="139" spans="1:43" x14ac:dyDescent="0.25">
      <c r="A139" s="11">
        <f>$A$69</f>
        <v>74</v>
      </c>
      <c r="B139" s="45">
        <f>'Population Treasury'!T$189*'Statistics NZ'!T$484*'Economic Forecasts'!V$8/B$7</f>
        <v>4735.2153951352948</v>
      </c>
      <c r="C139" s="45">
        <f>'Population Treasury'!U$189*'Statistics NZ'!U$484*'Economic Forecasts'!W$8/C$7</f>
        <v>4750.8572018949671</v>
      </c>
      <c r="D139" s="45">
        <f>'Population Treasury'!V$189*'Statistics NZ'!V$484*'Economic Forecasts'!X$8/D$7</f>
        <v>4885.2894360571408</v>
      </c>
      <c r="E139" s="45">
        <f>'Population Treasury'!W$189*'Statistics NZ'!W$484*'Economic Forecasts'!Y$8/E$7</f>
        <v>5042.4900130973028</v>
      </c>
      <c r="F139" s="45">
        <f>'Population Treasury'!X$189*'Statistics NZ'!X$484*'Economic Forecasts'!Z$8/F$7</f>
        <v>5304.4393326661884</v>
      </c>
      <c r="G139" s="45">
        <f>'Population Treasury'!Y$189*'Statistics NZ'!Y$484*'Economic Forecasts'!AA$8/G$7</f>
        <v>5480.2387022973089</v>
      </c>
      <c r="H139" s="46">
        <f>G$139*'Population Treasury'!Z$189*'Statistics NZ'!Z$484/('Population Treasury'!Y$189*'Statistics NZ'!Y$484)</f>
        <v>5693.3923112068842</v>
      </c>
      <c r="I139" s="46">
        <f>H$139*'Population Treasury'!AA$189*'Statistics NZ'!AA$484/('Population Treasury'!Z$189*'Statistics NZ'!Z$484)</f>
        <v>5886.0996700528922</v>
      </c>
      <c r="J139" s="46">
        <f>I$139*'Population Treasury'!AB$189*'Statistics NZ'!AB$484/('Population Treasury'!AA$189*'Statistics NZ'!AA$484)</f>
        <v>6098.9768019255271</v>
      </c>
      <c r="K139" s="46">
        <f>J$139*'Population Treasury'!AC$189*'Statistics NZ'!AC$484/('Population Treasury'!AB$189*'Statistics NZ'!AB$484)</f>
        <v>6403.0343637813467</v>
      </c>
      <c r="L139" s="46">
        <f>K$139*'Population Treasury'!AD$189*'Statistics NZ'!AD$484/('Population Treasury'!AC$189*'Statistics NZ'!AC$484)</f>
        <v>6534.7181316800652</v>
      </c>
      <c r="M139" s="46">
        <f>L$139*'Population Treasury'!AE$189*'Statistics NZ'!AE$484/('Population Treasury'!AD$189*'Statistics NZ'!AD$484)</f>
        <v>6859.1506719388672</v>
      </c>
      <c r="N139" s="46">
        <f>M$139*'Population Treasury'!AF$189*'Statistics NZ'!AF$484/('Population Treasury'!AE$189*'Statistics NZ'!AE$484)</f>
        <v>7061.8198487655618</v>
      </c>
      <c r="O139" s="46">
        <f>N$139*'Population Treasury'!AG$189*'Statistics NZ'!AG$484/('Population Treasury'!AF$189*'Statistics NZ'!AF$484)</f>
        <v>7163.0661989531773</v>
      </c>
      <c r="P139" s="46">
        <f>O$139*'Population Treasury'!AH$189*'Statistics NZ'!AH$484/('Population Treasury'!AG$189*'Statistics NZ'!AG$484)</f>
        <v>7132.4503893538395</v>
      </c>
      <c r="Q139" s="46">
        <f>P$139*'Population Treasury'!AI$189*'Statistics NZ'!AI$484/('Population Treasury'!AH$189*'Statistics NZ'!AH$484)</f>
        <v>7020.6348580388167</v>
      </c>
      <c r="R139" s="46">
        <f>Q$139*'Population Treasury'!AJ$189*'Statistics NZ'!AJ$484/('Population Treasury'!AI$189*'Statistics NZ'!AI$484)</f>
        <v>6990.0500757198743</v>
      </c>
      <c r="S139" s="46">
        <f>R$139*'Population Treasury'!AK$189*'Statistics NZ'!AK$484/('Population Treasury'!AJ$189*'Statistics NZ'!AJ$484)</f>
        <v>7040.6057884257734</v>
      </c>
      <c r="T139" s="46">
        <f>S$139*'Population Treasury'!AL$189*'Statistics NZ'!AL$484/('Population Treasury'!AK$189*'Statistics NZ'!AK$484)</f>
        <v>7243.341575438094</v>
      </c>
      <c r="U139" s="46">
        <f>T$139*'Population Treasury'!AM$189*'Statistics NZ'!AM$484/('Population Treasury'!AL$189*'Statistics NZ'!AL$484)</f>
        <v>7456.2929959864632</v>
      </c>
      <c r="V139" s="46">
        <f>U$139*'Population Treasury'!AN$189*'Statistics NZ'!AN$484/('Population Treasury'!AM$189*'Statistics NZ'!AM$484)</f>
        <v>7506.8970128241281</v>
      </c>
      <c r="W139" s="46">
        <f>V$139*'Population Treasury'!AO$189*'Statistics NZ'!AO$484/('Population Treasury'!AN$189*'Statistics NZ'!AN$484)</f>
        <v>7821.3290370858676</v>
      </c>
      <c r="X139" s="46">
        <f>W$139*'Population Treasury'!AP$189*'Statistics NZ'!AP$484/('Population Treasury'!AO$189*'Statistics NZ'!AO$484)</f>
        <v>7811.0886645509072</v>
      </c>
      <c r="Y139" s="46">
        <f>X$139*'Population Treasury'!AQ$189*'Statistics NZ'!AQ$484/('Population Treasury'!AP$189*'Statistics NZ'!AP$484)</f>
        <v>7658.7893021101081</v>
      </c>
      <c r="Z139" s="46">
        <f>Y$139*'Population Treasury'!AR$189*'Statistics NZ'!AR$484/('Population Treasury'!AQ$189*'Statistics NZ'!AQ$484)</f>
        <v>7526.7691326923905</v>
      </c>
      <c r="AA139" s="46">
        <f>Z$139*'Population Treasury'!AS$189*'Statistics NZ'!AS$484/('Population Treasury'!AR$189*'Statistics NZ'!AR$484)</f>
        <v>7333.9320387706148</v>
      </c>
      <c r="AB139" s="46">
        <f>AA$139*'Population Treasury'!AT$189*'Statistics NZ'!AT$484/('Population Treasury'!AS$189*'Statistics NZ'!AS$484)</f>
        <v>7343.9867508775178</v>
      </c>
      <c r="AC139" s="46">
        <f>AB$139*'Population Treasury'!AU$189*'Statistics NZ'!AU$484/('Population Treasury'!AT$189*'Statistics NZ'!AT$484)</f>
        <v>7475.841702243808</v>
      </c>
      <c r="AD139" s="46">
        <f>AC$139*'Population Treasury'!AV$189*'Statistics NZ'!AV$484/('Population Treasury'!AU$189*'Statistics NZ'!AU$484)</f>
        <v>7455.5002640948924</v>
      </c>
      <c r="AE139" s="46">
        <f>AD$139*'Population Treasury'!AW$189*'Statistics NZ'!AW$484/('Population Treasury'!AV$189*'Statistics NZ'!AV$484)</f>
        <v>7820.7134763304366</v>
      </c>
      <c r="AF139" s="46">
        <f>AE$139*'Population Treasury'!AX$189*'Statistics NZ'!AX$484/('Population Treasury'!AW$189*'Statistics NZ'!AW$484)</f>
        <v>8125.0945313358934</v>
      </c>
      <c r="AG139" s="46">
        <f>AF$139*'Population Treasury'!AY$189*'Statistics NZ'!AY$484/('Population Treasury'!AX$189*'Statistics NZ'!AX$484)</f>
        <v>8409.1060358115483</v>
      </c>
      <c r="AH139" s="46">
        <f>AG$139*'Population Treasury'!AZ$189*'Statistics NZ'!AZ$484/('Population Treasury'!AY$189*'Statistics NZ'!AY$484)</f>
        <v>8672.8872952072252</v>
      </c>
      <c r="AI139" s="46">
        <f>AH$139*'Population Treasury'!BA$189*'Statistics NZ'!BA$484/('Population Treasury'!AZ$189*'Statistics NZ'!AZ$484)</f>
        <v>9048.316113752071</v>
      </c>
      <c r="AJ139" s="46">
        <f>AI$139*'Population Treasury'!BB$189*'Statistics NZ'!BB$484/('Population Treasury'!BA$189*'Statistics NZ'!BA$484)</f>
        <v>9332.3866090196061</v>
      </c>
      <c r="AK139" s="46">
        <f>AJ$139*'Population Treasury'!BC$189*'Statistics NZ'!BC$484/('Population Treasury'!BB$189*'Statistics NZ'!BB$484)</f>
        <v>9515.0109349382728</v>
      </c>
      <c r="AL139" s="46">
        <f>AK$139*'Population Treasury'!BD$189*'Statistics NZ'!BD$484/('Population Treasury'!BC$189*'Statistics NZ'!BC$484)</f>
        <v>9849.7942241905876</v>
      </c>
      <c r="AM139" s="46">
        <f>AL$139*'Population Treasury'!BE$189*'Statistics NZ'!BE$484/('Population Treasury'!BD$189*'Statistics NZ'!BD$484)</f>
        <v>10397.702404599188</v>
      </c>
      <c r="AN139" s="46">
        <f>AM$139*'Population Treasury'!BF$189*'Statistics NZ'!BF$484/('Population Treasury'!BE$189*'Statistics NZ'!BE$484)</f>
        <v>10742.656124206647</v>
      </c>
      <c r="AO139" s="46">
        <f>AN$139*'Population Treasury'!BG$189*'Statistics NZ'!BG$484/('Population Treasury'!BF$189*'Statistics NZ'!BF$484)</f>
        <v>10965.899078396513</v>
      </c>
      <c r="AP139" s="46">
        <f>AO$139*'Population Treasury'!BH$189*'Statistics NZ'!BH$484/('Population Treasury'!BG$189*'Statistics NZ'!BG$484)</f>
        <v>11432.619957367429</v>
      </c>
      <c r="AQ139" s="46">
        <f>AP$139*'Population Treasury'!BI$189*'Statistics NZ'!BI$484/('Population Treasury'!BH$189*'Statistics NZ'!BH$484)</f>
        <v>11665.962420858237</v>
      </c>
    </row>
    <row r="140" spans="1:43" x14ac:dyDescent="0.25">
      <c r="A140" s="11">
        <f>$A$70</f>
        <v>75</v>
      </c>
      <c r="B140" s="45">
        <f>'Population Treasury'!T$190*'Statistics NZ'!T$485*'Economic Forecasts'!V$8/B$7</f>
        <v>3965.9926410732319</v>
      </c>
      <c r="C140" s="45">
        <f>'Population Treasury'!U$190*'Statistics NZ'!U$485*'Economic Forecasts'!W$8/C$7</f>
        <v>4067.3069706717361</v>
      </c>
      <c r="D140" s="45">
        <f>'Population Treasury'!V$190*'Statistics NZ'!V$485*'Economic Forecasts'!X$8/D$7</f>
        <v>4130.0206429029449</v>
      </c>
      <c r="E140" s="45">
        <f>'Population Treasury'!W$190*'Statistics NZ'!W$485*'Economic Forecasts'!Y$8/E$7</f>
        <v>4253.1209480832122</v>
      </c>
      <c r="F140" s="45">
        <f>'Population Treasury'!X$190*'Statistics NZ'!X$485*'Economic Forecasts'!Z$8/F$7</f>
        <v>4391.5456053602156</v>
      </c>
      <c r="G140" s="45">
        <f>'Population Treasury'!Y$190*'Statistics NZ'!Y$485*'Economic Forecasts'!AA$8/G$7</f>
        <v>4615.1515104050231</v>
      </c>
      <c r="H140" s="46">
        <f>G$140*'Population Treasury'!Z$190*'Statistics NZ'!Z$485/('Population Treasury'!Y$190*'Statistics NZ'!Y$485)</f>
        <v>4757.1398766539487</v>
      </c>
      <c r="I140" s="46">
        <f>H$140*'Population Treasury'!AA$190*'Statistics NZ'!AA$485/('Population Treasury'!Z$190*'Statistics NZ'!Z$485)</f>
        <v>4949.6751773231463</v>
      </c>
      <c r="J140" s="46">
        <f>I$140*'Population Treasury'!AB$190*'Statistics NZ'!AB$485/('Population Treasury'!AA$190*'Statistics NZ'!AA$485)</f>
        <v>5111.8383674860197</v>
      </c>
      <c r="K140" s="46">
        <f>J$140*'Population Treasury'!AC$190*'Statistics NZ'!AC$485/('Population Treasury'!AB$190*'Statistics NZ'!AB$485)</f>
        <v>5294.220625928042</v>
      </c>
      <c r="L140" s="46">
        <f>K$140*'Population Treasury'!AD$190*'Statistics NZ'!AD$485/('Population Treasury'!AC$190*'Statistics NZ'!AC$485)</f>
        <v>5557.778189977771</v>
      </c>
      <c r="M140" s="46">
        <f>L$140*'Population Treasury'!AE$190*'Statistics NZ'!AE$485/('Population Treasury'!AD$190*'Statistics NZ'!AD$485)</f>
        <v>5679.3046957662491</v>
      </c>
      <c r="N140" s="46">
        <f>M$140*'Population Treasury'!AF$190*'Statistics NZ'!AF$485/('Population Treasury'!AE$190*'Statistics NZ'!AE$485)</f>
        <v>5963.1747386025963</v>
      </c>
      <c r="O140" s="46">
        <f>N$140*'Population Treasury'!AG$190*'Statistics NZ'!AG$485/('Population Treasury'!AF$190*'Statistics NZ'!AF$485)</f>
        <v>6135.4882717497076</v>
      </c>
      <c r="P140" s="46">
        <f>O$140*'Population Treasury'!AH$190*'Statistics NZ'!AH$485/('Population Treasury'!AG$190*'Statistics NZ'!AG$485)</f>
        <v>6226.6209811229119</v>
      </c>
      <c r="Q140" s="46">
        <f>P$140*'Population Treasury'!AI$190*'Statistics NZ'!AI$485/('Population Treasury'!AH$190*'Statistics NZ'!AH$485)</f>
        <v>6206.14323976162</v>
      </c>
      <c r="R140" s="46">
        <f>Q$140*'Population Treasury'!AJ$190*'Statistics NZ'!AJ$485/('Population Treasury'!AI$190*'Statistics NZ'!AI$485)</f>
        <v>6104.5520685466836</v>
      </c>
      <c r="S140" s="46">
        <f>R$140*'Population Treasury'!AK$190*'Statistics NZ'!AK$485/('Population Treasury'!AJ$190*'Statistics NZ'!AJ$485)</f>
        <v>6084.1009843967931</v>
      </c>
      <c r="T140" s="46">
        <f>S$140*'Population Treasury'!AL$190*'Statistics NZ'!AL$485/('Population Treasury'!AK$190*'Statistics NZ'!AK$485)</f>
        <v>6124.5805800505186</v>
      </c>
      <c r="U140" s="46">
        <f>T$140*'Population Treasury'!AM$190*'Statistics NZ'!AM$485/('Population Treasury'!AL$190*'Statistics NZ'!AL$485)</f>
        <v>6307.0257790857549</v>
      </c>
      <c r="V140" s="46">
        <f>U$140*'Population Treasury'!AN$190*'Statistics NZ'!AN$485/('Population Treasury'!AM$190*'Statistics NZ'!AM$485)</f>
        <v>6489.5778645589135</v>
      </c>
      <c r="W140" s="46">
        <f>V$140*'Population Treasury'!AO$190*'Statistics NZ'!AO$485/('Population Treasury'!AN$190*'Statistics NZ'!AN$485)</f>
        <v>6530.0971221129785</v>
      </c>
      <c r="X140" s="46">
        <f>W$140*'Population Treasury'!AP$190*'Statistics NZ'!AP$485/('Population Treasury'!AO$190*'Statistics NZ'!AO$485)</f>
        <v>6814.0476718152122</v>
      </c>
      <c r="Y140" s="46">
        <f>X$140*'Population Treasury'!AQ$190*'Statistics NZ'!AQ$485/('Population Treasury'!AP$190*'Statistics NZ'!AP$485)</f>
        <v>6803.8426274248195</v>
      </c>
      <c r="Z140" s="46">
        <f>Y$140*'Population Treasury'!AR$190*'Statistics NZ'!AR$485/('Population Treasury'!AQ$190*'Statistics NZ'!AQ$485)</f>
        <v>6671.8633324773009</v>
      </c>
      <c r="AA140" s="46">
        <f>Z$140*'Population Treasury'!AS$190*'Statistics NZ'!AS$485/('Population Treasury'!AR$190*'Statistics NZ'!AR$485)</f>
        <v>6560.149545688203</v>
      </c>
      <c r="AB140" s="46">
        <f>AA$140*'Population Treasury'!AT$190*'Statistics NZ'!AT$485/('Population Treasury'!AS$190*'Statistics NZ'!AS$485)</f>
        <v>6397.7355877645541</v>
      </c>
      <c r="AC140" s="46">
        <f>AB$140*'Population Treasury'!AU$190*'Statistics NZ'!AU$485/('Population Treasury'!AT$190*'Statistics NZ'!AT$485)</f>
        <v>6397.735587764555</v>
      </c>
      <c r="AD140" s="46">
        <f>AC$140*'Population Treasury'!AV$190*'Statistics NZ'!AV$485/('Population Treasury'!AU$190*'Statistics NZ'!AU$485)</f>
        <v>6519.4140272582663</v>
      </c>
      <c r="AE140" s="46">
        <f>AD$140*'Population Treasury'!AW$190*'Statistics NZ'!AW$485/('Population Treasury'!AV$190*'Statistics NZ'!AV$485)</f>
        <v>6499.1119064244622</v>
      </c>
      <c r="AF140" s="46">
        <f>AE$140*'Population Treasury'!AX$190*'Statistics NZ'!AX$485/('Population Treasury'!AW$190*'Statistics NZ'!AW$485)</f>
        <v>6823.7013728230604</v>
      </c>
      <c r="AG140" s="46">
        <f>AF$140*'Population Treasury'!AY$190*'Statistics NZ'!AY$485/('Population Treasury'!AX$190*'Statistics NZ'!AX$485)</f>
        <v>7087.5319591503003</v>
      </c>
      <c r="AH140" s="46">
        <f>AG$140*'Population Treasury'!AZ$190*'Statistics NZ'!AZ$485/('Population Treasury'!AY$190*'Statistics NZ'!AY$485)</f>
        <v>7331.0004970053851</v>
      </c>
      <c r="AI140" s="46">
        <f>AH$140*'Population Treasury'!BA$190*'Statistics NZ'!BA$485/('Population Treasury'!AZ$190*'Statistics NZ'!AZ$485)</f>
        <v>7564.3430744633142</v>
      </c>
      <c r="AJ140" s="46">
        <f>AI$140*'Population Treasury'!BB$190*'Statistics NZ'!BB$485/('Population Treasury'!BA$190*'Statistics NZ'!BA$485)</f>
        <v>7899.151562000915</v>
      </c>
      <c r="AK140" s="46">
        <f>AJ$140*'Population Treasury'!BC$190*'Statistics NZ'!BC$485/('Population Treasury'!BB$190*'Statistics NZ'!BB$485)</f>
        <v>8152.7719612694518</v>
      </c>
      <c r="AL140" s="46">
        <f>AK$140*'Population Treasury'!BD$190*'Statistics NZ'!BD$485/('Population Treasury'!BC$190*'Statistics NZ'!BC$485)</f>
        <v>8315.0999039432045</v>
      </c>
      <c r="AM140" s="46">
        <f>AL$140*'Population Treasury'!BE$190*'Statistics NZ'!BE$485/('Population Treasury'!BD$190*'Statistics NZ'!BD$485)</f>
        <v>8599.2072917301703</v>
      </c>
      <c r="AN140" s="46">
        <f>AM$140*'Population Treasury'!BF$190*'Statistics NZ'!BF$485/('Population Treasury'!BE$190*'Statistics NZ'!BE$485)</f>
        <v>9076.1127721901594</v>
      </c>
      <c r="AO140" s="46">
        <f>AN$140*'Population Treasury'!BG$190*'Statistics NZ'!BG$485/('Population Treasury'!BF$190*'Statistics NZ'!BF$485)</f>
        <v>9380.472750873465</v>
      </c>
      <c r="AP140" s="46">
        <f>AO$140*'Population Treasury'!BH$190*'Statistics NZ'!BH$485/('Population Treasury'!BG$190*'Statistics NZ'!BG$485)</f>
        <v>9583.3921945530874</v>
      </c>
      <c r="AQ140" s="46">
        <f>AP$140*'Population Treasury'!BI$190*'Statistics NZ'!BI$485/('Population Treasury'!BH$190*'Statistics NZ'!BH$485)</f>
        <v>9989.2656498059969</v>
      </c>
    </row>
    <row r="141" spans="1:43" x14ac:dyDescent="0.25">
      <c r="A141" s="11">
        <f>$A$71</f>
        <v>76</v>
      </c>
      <c r="B141" s="45">
        <f>'Population Treasury'!T$191*'Statistics NZ'!T$486*'Economic Forecasts'!V$8/B$7</f>
        <v>3446.5175344339164</v>
      </c>
      <c r="C141" s="45">
        <f>'Population Treasury'!U$191*'Statistics NZ'!U$486*'Economic Forecasts'!W$8/C$7</f>
        <v>3424.0818666893688</v>
      </c>
      <c r="D141" s="45">
        <f>'Population Treasury'!V$191*'Statistics NZ'!V$486*'Economic Forecasts'!X$8/D$7</f>
        <v>3554.2141163539918</v>
      </c>
      <c r="E141" s="45">
        <f>'Population Treasury'!W$191*'Statistics NZ'!W$486*'Economic Forecasts'!Y$8/E$7</f>
        <v>3614.1715672606447</v>
      </c>
      <c r="F141" s="45">
        <f>'Population Treasury'!X$191*'Statistics NZ'!X$486*'Economic Forecasts'!Z$8/F$7</f>
        <v>3719.793469448523</v>
      </c>
      <c r="G141" s="45">
        <f>'Population Treasury'!Y$191*'Statistics NZ'!Y$486*'Economic Forecasts'!AA$8/G$7</f>
        <v>3830.8925092936629</v>
      </c>
      <c r="H141" s="46">
        <f>G$141*'Population Treasury'!Z$191*'Statistics NZ'!Z$486/('Population Treasury'!Y$191*'Statistics NZ'!Y$486)</f>
        <v>4013.4398148616001</v>
      </c>
      <c r="I141" s="46">
        <f>H$141*'Population Treasury'!AA$191*'Statistics NZ'!AA$486/('Population Treasury'!Z$191*'Statistics NZ'!Z$486)</f>
        <v>4145.1723848819329</v>
      </c>
      <c r="J141" s="46">
        <f>I$141*'Population Treasury'!AB$191*'Statistics NZ'!AB$486/('Population Treasury'!AA$191*'Statistics NZ'!AA$486)</f>
        <v>4307.3358390462809</v>
      </c>
      <c r="K141" s="46">
        <f>J$141*'Population Treasury'!AC$191*'Statistics NZ'!AC$486/('Population Treasury'!AB$191*'Statistics NZ'!AB$486)</f>
        <v>4459.2594568753884</v>
      </c>
      <c r="L141" s="46">
        <f>K$141*'Population Treasury'!AD$191*'Statistics NZ'!AD$486/('Population Treasury'!AC$191*'Statistics NZ'!AC$486)</f>
        <v>4621.4058559931336</v>
      </c>
      <c r="M141" s="46">
        <f>L$141*'Population Treasury'!AE$191*'Statistics NZ'!AE$486/('Population Treasury'!AD$191*'Statistics NZ'!AD$486)</f>
        <v>4844.4582081509043</v>
      </c>
      <c r="N141" s="46">
        <f>M$141*'Population Treasury'!AF$191*'Statistics NZ'!AF$486/('Population Treasury'!AE$191*'Statistics NZ'!AE$486)</f>
        <v>4955.8641083848443</v>
      </c>
      <c r="O141" s="46">
        <f>N$141*'Population Treasury'!AG$191*'Statistics NZ'!AG$486/('Population Treasury'!AF$191*'Statistics NZ'!AF$486)</f>
        <v>5199.23528637244</v>
      </c>
      <c r="P141" s="46">
        <f>O$141*'Population Treasury'!AH$191*'Statistics NZ'!AH$486/('Population Treasury'!AG$191*'Statistics NZ'!AG$486)</f>
        <v>5351.2770902138254</v>
      </c>
      <c r="Q141" s="46">
        <f>P$141*'Population Treasury'!AI$191*'Statistics NZ'!AI$486/('Population Treasury'!AH$191*'Statistics NZ'!AH$486)</f>
        <v>5432.3054503463127</v>
      </c>
      <c r="R141" s="46">
        <f>Q$141*'Population Treasury'!AJ$191*'Statistics NZ'!AJ$486/('Population Treasury'!AI$191*'Statistics NZ'!AI$486)</f>
        <v>5411.8981600680308</v>
      </c>
      <c r="S141" s="46">
        <f>R$141*'Population Treasury'!AK$191*'Statistics NZ'!AK$486/('Population Treasury'!AJ$191*'Statistics NZ'!AJ$486)</f>
        <v>5330.5853050323412</v>
      </c>
      <c r="T141" s="46">
        <f>S$141*'Population Treasury'!AL$191*'Statistics NZ'!AL$486/('Population Treasury'!AK$191*'Statistics NZ'!AK$486)</f>
        <v>5310.187714467681</v>
      </c>
      <c r="U141" s="46">
        <f>T$141*'Population Treasury'!AM$191*'Statistics NZ'!AM$486/('Population Treasury'!AL$191*'Statistics NZ'!AL$486)</f>
        <v>5350.666730006028</v>
      </c>
      <c r="V141" s="46">
        <f>U$141*'Population Treasury'!AN$191*'Statistics NZ'!AN$486/('Population Treasury'!AM$191*'Statistics NZ'!AM$486)</f>
        <v>5502.7704209892836</v>
      </c>
      <c r="W141" s="46">
        <f>V$141*'Population Treasury'!AO$191*'Statistics NZ'!AO$486/('Population Treasury'!AN$191*'Statistics NZ'!AN$486)</f>
        <v>5675.121660883442</v>
      </c>
      <c r="X141" s="46">
        <f>W$141*'Population Treasury'!AP$191*'Statistics NZ'!AP$486/('Population Treasury'!AO$191*'Statistics NZ'!AO$486)</f>
        <v>5715.6218596051594</v>
      </c>
      <c r="Y141" s="46">
        <f>X$141*'Population Treasury'!AQ$191*'Statistics NZ'!AQ$486/('Population Treasury'!AP$191*'Statistics NZ'!AP$486)</f>
        <v>5948.9722141042967</v>
      </c>
      <c r="Z141" s="46">
        <f>Y$141*'Population Treasury'!AR$191*'Statistics NZ'!AR$486/('Population Treasury'!AQ$191*'Statistics NZ'!AQ$486)</f>
        <v>5948.8793723740173</v>
      </c>
      <c r="AA141" s="46">
        <f>Z$141*'Population Treasury'!AS$191*'Statistics NZ'!AS$486/('Population Treasury'!AR$191*'Statistics NZ'!AR$486)</f>
        <v>5837.2090370779224</v>
      </c>
      <c r="AB141" s="46">
        <f>AA$141*'Population Treasury'!AT$191*'Statistics NZ'!AT$486/('Population Treasury'!AS$191*'Statistics NZ'!AS$486)</f>
        <v>5735.6859384638428</v>
      </c>
      <c r="AC141" s="46">
        <f>AB$141*'Population Treasury'!AU$191*'Statistics NZ'!AU$486/('Population Treasury'!AT$191*'Statistics NZ'!AT$486)</f>
        <v>5593.5897986933096</v>
      </c>
      <c r="AD141" s="46">
        <f>AC$141*'Population Treasury'!AV$191*'Statistics NZ'!AV$486/('Population Treasury'!AU$191*'Statistics NZ'!AU$486)</f>
        <v>5603.6826123714691</v>
      </c>
      <c r="AE141" s="46">
        <f>AD$141*'Population Treasury'!AW$191*'Statistics NZ'!AW$486/('Population Treasury'!AV$191*'Statistics NZ'!AV$486)</f>
        <v>5705.1250173314256</v>
      </c>
      <c r="AF141" s="46">
        <f>AE$141*'Population Treasury'!AX$191*'Statistics NZ'!AX$486/('Population Treasury'!AW$191*'Statistics NZ'!AW$486)</f>
        <v>5694.9328867929944</v>
      </c>
      <c r="AG141" s="46">
        <f>AF$141*'Population Treasury'!AY$191*'Statistics NZ'!AY$486/('Population Treasury'!AX$191*'Statistics NZ'!AX$486)</f>
        <v>5968.8842916589319</v>
      </c>
      <c r="AH141" s="46">
        <f>AG$141*'Population Treasury'!AZ$191*'Statistics NZ'!AZ$486/('Population Treasury'!AY$191*'Statistics NZ'!AY$486)</f>
        <v>6212.3482649897487</v>
      </c>
      <c r="AI141" s="46">
        <f>AH$141*'Population Treasury'!BA$191*'Statistics NZ'!BA$486/('Population Treasury'!AZ$191*'Statistics NZ'!AZ$486)</f>
        <v>6425.404505743616</v>
      </c>
      <c r="AJ141" s="46">
        <f>AI$141*'Population Treasury'!BB$191*'Statistics NZ'!BB$486/('Population Treasury'!BA$191*'Statistics NZ'!BA$486)</f>
        <v>6628.3246666276209</v>
      </c>
      <c r="AK141" s="46">
        <f>AJ$141*'Population Treasury'!BC$191*'Statistics NZ'!BC$486/('Population Treasury'!BB$191*'Statistics NZ'!BB$486)</f>
        <v>6922.5566552248511</v>
      </c>
      <c r="AL141" s="46">
        <f>AK$141*'Population Treasury'!BD$191*'Statistics NZ'!BD$486/('Population Treasury'!BC$191*'Statistics NZ'!BC$486)</f>
        <v>7145.7435950219178</v>
      </c>
      <c r="AM141" s="46">
        <f>AL$141*'Population Treasury'!BE$191*'Statistics NZ'!BE$486/('Population Treasury'!BD$191*'Statistics NZ'!BD$486)</f>
        <v>7287.792057967652</v>
      </c>
      <c r="AN141" s="46">
        <f>AM$141*'Population Treasury'!BF$191*'Statistics NZ'!BF$486/('Population Treasury'!BE$191*'Statistics NZ'!BE$486)</f>
        <v>7541.4519568544019</v>
      </c>
      <c r="AO141" s="46">
        <f>AN$141*'Population Treasury'!BG$191*'Statistics NZ'!BG$486/('Population Treasury'!BF$191*'Statistics NZ'!BF$486)</f>
        <v>7967.5887555775525</v>
      </c>
      <c r="AP141" s="46">
        <f>AO$141*'Population Treasury'!BH$191*'Statistics NZ'!BH$486/('Population Treasury'!BG$191*'Statistics NZ'!BG$486)</f>
        <v>8231.3991563459567</v>
      </c>
      <c r="AQ141" s="46">
        <f>AP$141*'Population Treasury'!BI$191*'Statistics NZ'!BI$486/('Population Treasury'!BH$191*'Statistics NZ'!BH$486)</f>
        <v>8403.9155245372567</v>
      </c>
    </row>
    <row r="142" spans="1:43" x14ac:dyDescent="0.25">
      <c r="A142" s="11">
        <f>$A$72</f>
        <v>77</v>
      </c>
      <c r="B142" s="45">
        <f>'Population Treasury'!T$192*'Statistics NZ'!T$487*'Economic Forecasts'!V$8/B$7</f>
        <v>2996.9717690729713</v>
      </c>
      <c r="C142" s="45">
        <f>'Population Treasury'!U$192*'Statistics NZ'!U$487*'Economic Forecasts'!W$8/C$7</f>
        <v>2988.6588282211469</v>
      </c>
      <c r="D142" s="45">
        <f>'Population Treasury'!V$192*'Statistics NZ'!V$487*'Economic Forecasts'!X$8/D$7</f>
        <v>3008.198694285235</v>
      </c>
      <c r="E142" s="45">
        <f>'Population Treasury'!W$192*'Statistics NZ'!W$487*'Economic Forecasts'!Y$8/E$7</f>
        <v>3134.9562521270364</v>
      </c>
      <c r="F142" s="45">
        <f>'Population Treasury'!X$192*'Statistics NZ'!X$487*'Economic Forecasts'!Z$8/F$7</f>
        <v>3188.4074858755425</v>
      </c>
      <c r="G142" s="45">
        <f>'Population Treasury'!Y$192*'Statistics NZ'!Y$487*'Economic Forecasts'!AA$8/G$7</f>
        <v>3277.8865950351083</v>
      </c>
      <c r="H142" s="46">
        <f>G$142*'Population Treasury'!Z$192*'Statistics NZ'!Z$487/('Population Treasury'!Y$192*'Statistics NZ'!Y$487)</f>
        <v>3369.1106525489017</v>
      </c>
      <c r="I142" s="46">
        <f>H$142*'Population Treasury'!AA$192*'Statistics NZ'!AA$487/('Population Treasury'!Z$192*'Statistics NZ'!Z$487)</f>
        <v>3531.3148777043211</v>
      </c>
      <c r="J142" s="46">
        <f>I$142*'Population Treasury'!AB$192*'Statistics NZ'!AB$487/('Population Treasury'!AA$192*'Statistics NZ'!AA$487)</f>
        <v>3642.7934240395525</v>
      </c>
      <c r="K142" s="46">
        <f>J$142*'Population Treasury'!AC$192*'Statistics NZ'!AC$487/('Population Treasury'!AB$192*'Statistics NZ'!AB$487)</f>
        <v>3784.6666896228221</v>
      </c>
      <c r="L142" s="46">
        <f>K$142*'Population Treasury'!AD$192*'Statistics NZ'!AD$487/('Population Treasury'!AC$192*'Statistics NZ'!AC$487)</f>
        <v>3916.3709294864725</v>
      </c>
      <c r="M142" s="46">
        <f>L$142*'Population Treasury'!AE$192*'Statistics NZ'!AE$487/('Population Treasury'!AD$192*'Statistics NZ'!AD$487)</f>
        <v>4058.2655877767775</v>
      </c>
      <c r="N142" s="46">
        <f>M$142*'Population Treasury'!AF$192*'Statistics NZ'!AF$487/('Population Treasury'!AE$192*'Statistics NZ'!AE$487)</f>
        <v>4261.0180943427576</v>
      </c>
      <c r="O142" s="46">
        <f>N$142*'Population Treasury'!AG$192*'Statistics NZ'!AG$487/('Population Treasury'!AF$192*'Statistics NZ'!AF$487)</f>
        <v>4352.2212183303463</v>
      </c>
      <c r="P142" s="46">
        <f>O$142*'Population Treasury'!AH$192*'Statistics NZ'!AH$487/('Population Treasury'!AG$192*'Statistics NZ'!AG$487)</f>
        <v>4575.2760635122186</v>
      </c>
      <c r="Q142" s="46">
        <f>P$142*'Population Treasury'!AI$192*'Statistics NZ'!AI$487/('Population Treasury'!AH$192*'Statistics NZ'!AH$487)</f>
        <v>4707.0779430518078</v>
      </c>
      <c r="R142" s="46">
        <f>Q$142*'Population Treasury'!AJ$192*'Statistics NZ'!AJ$487/('Population Treasury'!AI$192*'Statistics NZ'!AI$487)</f>
        <v>4777.9905044305024</v>
      </c>
      <c r="S142" s="46">
        <f>R$142*'Population Treasury'!AK$192*'Statistics NZ'!AK$487/('Population Treasury'!AJ$192*'Statistics NZ'!AJ$487)</f>
        <v>4767.7026180292933</v>
      </c>
      <c r="T142" s="46">
        <f>S$142*'Population Treasury'!AL$192*'Statistics NZ'!AL$487/('Population Treasury'!AK$192*'Statistics NZ'!AK$487)</f>
        <v>4696.5770497912135</v>
      </c>
      <c r="U142" s="46">
        <f>T$142*'Population Treasury'!AM$192*'Statistics NZ'!AM$487/('Population Treasury'!AL$192*'Statistics NZ'!AL$487)</f>
        <v>4676.2186336955547</v>
      </c>
      <c r="V142" s="46">
        <f>U$142*'Population Treasury'!AN$192*'Statistics NZ'!AN$487/('Population Treasury'!AM$192*'Statistics NZ'!AM$487)</f>
        <v>4716.6961347552806</v>
      </c>
      <c r="W142" s="46">
        <f>V$142*'Population Treasury'!AO$192*'Statistics NZ'!AO$487/('Population Treasury'!AN$192*'Statistics NZ'!AN$487)</f>
        <v>4848.5391958904493</v>
      </c>
      <c r="X142" s="46">
        <f>W$142*'Population Treasury'!AP$192*'Statistics NZ'!AP$487/('Population Treasury'!AO$192*'Statistics NZ'!AO$487)</f>
        <v>4990.5515656009475</v>
      </c>
      <c r="Y142" s="46">
        <f>X$142*'Population Treasury'!AQ$192*'Statistics NZ'!AQ$487/('Population Treasury'!AP$192*'Statistics NZ'!AP$487)</f>
        <v>5031.0482230882271</v>
      </c>
      <c r="Z142" s="46">
        <f>Y$142*'Population Treasury'!AR$192*'Statistics NZ'!AR$487/('Population Treasury'!AQ$192*'Statistics NZ'!AQ$487)</f>
        <v>5244.0744811243012</v>
      </c>
      <c r="AA142" s="46">
        <f>Z$142*'Population Treasury'!AS$192*'Statistics NZ'!AS$487/('Population Treasury'!AR$192*'Statistics NZ'!AR$487)</f>
        <v>5244.0049770559062</v>
      </c>
      <c r="AB142" s="46">
        <f>AA$142*'Population Treasury'!AT$192*'Statistics NZ'!AT$487/('Population Treasury'!AS$192*'Statistics NZ'!AS$487)</f>
        <v>5142.5198558957663</v>
      </c>
      <c r="AC142" s="46">
        <f>AB$142*'Population Treasury'!AU$192*'Statistics NZ'!AU$487/('Population Treasury'!AT$192*'Statistics NZ'!AT$487)</f>
        <v>5051.1765421162509</v>
      </c>
      <c r="AD142" s="46">
        <f>AC$142*'Population Treasury'!AV$192*'Statistics NZ'!AV$487/('Population Treasury'!AU$192*'Statistics NZ'!AU$487)</f>
        <v>4929.3674951139474</v>
      </c>
      <c r="AE142" s="46">
        <f>AD$142*'Population Treasury'!AW$192*'Statistics NZ'!AW$487/('Population Treasury'!AV$192*'Statistics NZ'!AV$487)</f>
        <v>4939.4728643461594</v>
      </c>
      <c r="AF142" s="46">
        <f>AE$142*'Population Treasury'!AX$192*'Statistics NZ'!AX$487/('Population Treasury'!AW$192*'Statistics NZ'!AW$487)</f>
        <v>5030.7696906414758</v>
      </c>
      <c r="AG142" s="46">
        <f>AF$142*'Population Treasury'!AY$192*'Statistics NZ'!AY$487/('Population Treasury'!AX$192*'Statistics NZ'!AX$487)</f>
        <v>5020.6024274351003</v>
      </c>
      <c r="AH142" s="46">
        <f>AG$142*'Population Treasury'!AZ$192*'Statistics NZ'!AZ$487/('Population Treasury'!AY$192*'Statistics NZ'!AY$487)</f>
        <v>5274.2003665448638</v>
      </c>
      <c r="AI142" s="46">
        <f>AH$142*'Population Treasury'!BA$192*'Statistics NZ'!BA$487/('Population Treasury'!AZ$192*'Statistics NZ'!AZ$487)</f>
        <v>5487.2534447387525</v>
      </c>
      <c r="AJ142" s="46">
        <f>AI$142*'Population Treasury'!BB$192*'Statistics NZ'!BB$487/('Population Treasury'!BA$192*'Statistics NZ'!BA$487)</f>
        <v>5669.91089595829</v>
      </c>
      <c r="AK142" s="46">
        <f>AJ$142*'Population Treasury'!BC$192*'Statistics NZ'!BC$487/('Population Treasury'!BB$192*'Statistics NZ'!BB$487)</f>
        <v>5852.5354828264262</v>
      </c>
      <c r="AL142" s="46">
        <f>AK$142*'Population Treasury'!BD$192*'Statistics NZ'!BD$487/('Population Treasury'!BC$192*'Statistics NZ'!BC$487)</f>
        <v>6116.320175699665</v>
      </c>
      <c r="AM142" s="46">
        <f>AL$142*'Population Treasury'!BE$192*'Statistics NZ'!BE$487/('Population Treasury'!BD$192*'Statistics NZ'!BD$487)</f>
        <v>6309.1005821339804</v>
      </c>
      <c r="AN142" s="46">
        <f>AM$142*'Population Treasury'!BF$192*'Statistics NZ'!BF$487/('Population Treasury'!BE$192*'Statistics NZ'!BE$487)</f>
        <v>6440.9797925888888</v>
      </c>
      <c r="AO142" s="46">
        <f>AN$142*'Population Treasury'!BG$192*'Statistics NZ'!BG$487/('Population Treasury'!BF$192*'Statistics NZ'!BF$487)</f>
        <v>6664.2119049574821</v>
      </c>
      <c r="AP142" s="46">
        <f>AO$142*'Population Treasury'!BH$192*'Statistics NZ'!BH$487/('Population Treasury'!BG$192*'Statistics NZ'!BG$487)</f>
        <v>7039.6311512377351</v>
      </c>
      <c r="AQ142" s="46">
        <f>AP$142*'Population Treasury'!BI$192*'Statistics NZ'!BI$487/('Population Treasury'!BH$192*'Statistics NZ'!BH$487)</f>
        <v>7273.0068741542691</v>
      </c>
    </row>
    <row r="143" spans="1:43" x14ac:dyDescent="0.25">
      <c r="A143" s="11">
        <f>$A$73</f>
        <v>78</v>
      </c>
      <c r="B143" s="45">
        <f>'Population Treasury'!T$193*'Statistics NZ'!T$488*'Economic Forecasts'!V$8/B$7</f>
        <v>2167.8095796294492</v>
      </c>
      <c r="C143" s="45">
        <f>'Population Treasury'!U$193*'Statistics NZ'!U$488*'Economic Forecasts'!W$8/C$7</f>
        <v>2592.821797534556</v>
      </c>
      <c r="D143" s="45">
        <f>'Population Treasury'!V$193*'Statistics NZ'!V$488*'Economic Forecasts'!X$8/D$7</f>
        <v>2621.0151587908058</v>
      </c>
      <c r="E143" s="45">
        <f>'Population Treasury'!W$193*'Statistics NZ'!W$488*'Economic Forecasts'!Y$8/E$7</f>
        <v>2645.7624908576722</v>
      </c>
      <c r="F143" s="45">
        <f>'Population Treasury'!X$193*'Statistics NZ'!X$488*'Economic Forecasts'!Z$8/F$7</f>
        <v>2757.2798950903584</v>
      </c>
      <c r="G143" s="45">
        <f>'Population Treasury'!Y$193*'Statistics NZ'!Y$488*'Economic Forecasts'!AA$8/G$7</f>
        <v>2795.2624256499639</v>
      </c>
      <c r="H143" s="46">
        <f>G$143*'Population Treasury'!Z$193*'Statistics NZ'!Z$488/('Population Treasury'!Y$193*'Statistics NZ'!Y$488)</f>
        <v>2876.2856775971441</v>
      </c>
      <c r="I143" s="46">
        <f>H$143*'Population Treasury'!AA$193*'Statistics NZ'!AA$488/('Population Treasury'!Z$193*'Statistics NZ'!Z$488)</f>
        <v>2947.266169738763</v>
      </c>
      <c r="J143" s="46">
        <f>I$143*'Population Treasury'!AB$193*'Statistics NZ'!AB$488/('Population Treasury'!AA$193*'Statistics NZ'!AA$488)</f>
        <v>3099.2403746826708</v>
      </c>
      <c r="K143" s="46">
        <f>J$143*'Population Treasury'!AC$193*'Statistics NZ'!AC$488/('Population Treasury'!AB$193*'Statistics NZ'!AB$488)</f>
        <v>3200.561186782586</v>
      </c>
      <c r="L143" s="46">
        <f>K$143*'Population Treasury'!AD$193*'Statistics NZ'!AD$488/('Population Treasury'!AC$193*'Statistics NZ'!AC$488)</f>
        <v>3322.188885415896</v>
      </c>
      <c r="M143" s="46">
        <f>L$143*'Population Treasury'!AE$193*'Statistics NZ'!AE$488/('Population Treasury'!AD$193*'Statistics NZ'!AD$488)</f>
        <v>3433.6807991863966</v>
      </c>
      <c r="N143" s="46">
        <f>M$143*'Population Treasury'!AF$193*'Statistics NZ'!AF$488/('Population Treasury'!AE$193*'Statistics NZ'!AE$488)</f>
        <v>3565.4073197201578</v>
      </c>
      <c r="O143" s="46">
        <f>N$143*'Population Treasury'!AG$193*'Statistics NZ'!AG$488/('Population Treasury'!AF$193*'Statistics NZ'!AF$488)</f>
        <v>3737.8057535139628</v>
      </c>
      <c r="P143" s="46">
        <f>O$143*'Population Treasury'!AH$193*'Statistics NZ'!AH$488/('Population Treasury'!AG$193*'Statistics NZ'!AG$488)</f>
        <v>3828.9601638153977</v>
      </c>
      <c r="Q143" s="46">
        <f>P$143*'Population Treasury'!AI$193*'Statistics NZ'!AI$488/('Population Treasury'!AH$193*'Statistics NZ'!AH$488)</f>
        <v>4021.6321554361766</v>
      </c>
      <c r="R143" s="46">
        <f>Q$143*'Population Treasury'!AJ$193*'Statistics NZ'!AJ$488/('Population Treasury'!AI$193*'Statistics NZ'!AI$488)</f>
        <v>4143.2821022688968</v>
      </c>
      <c r="S143" s="46">
        <f>R$143*'Population Treasury'!AK$193*'Statistics NZ'!AK$488/('Population Treasury'!AJ$193*'Statistics NZ'!AJ$488)</f>
        <v>4204.0823584915779</v>
      </c>
      <c r="T143" s="46">
        <f>S$143*'Population Treasury'!AL$193*'Statistics NZ'!AL$488/('Population Treasury'!AK$193*'Statistics NZ'!AK$488)</f>
        <v>4193.8393075014401</v>
      </c>
      <c r="U143" s="46">
        <f>T$143*'Population Treasury'!AM$193*'Statistics NZ'!AM$488/('Population Treasury'!AL$193*'Statistics NZ'!AL$488)</f>
        <v>4132.8737057847511</v>
      </c>
      <c r="V143" s="46">
        <f>U$143*'Population Treasury'!AN$193*'Statistics NZ'!AN$488/('Population Treasury'!AM$193*'Statistics NZ'!AM$488)</f>
        <v>4112.5585679949072</v>
      </c>
      <c r="W143" s="46">
        <f>V$143*'Population Treasury'!AO$193*'Statistics NZ'!AO$488/('Population Treasury'!AN$193*'Statistics NZ'!AN$488)</f>
        <v>4153.0229602247491</v>
      </c>
      <c r="X143" s="46">
        <f>W$143*'Population Treasury'!AP$193*'Statistics NZ'!AP$488/('Population Treasury'!AO$193*'Statistics NZ'!AO$488)</f>
        <v>4274.7088581561075</v>
      </c>
      <c r="Y143" s="46">
        <f>X$143*'Population Treasury'!AQ$193*'Statistics NZ'!AQ$488/('Population Treasury'!AP$193*'Statistics NZ'!AP$488)</f>
        <v>4396.4619444479949</v>
      </c>
      <c r="Z143" s="46">
        <f>Y$143*'Population Treasury'!AR$193*'Statistics NZ'!AR$488/('Population Treasury'!AQ$193*'Statistics NZ'!AQ$488)</f>
        <v>4436.9553859542557</v>
      </c>
      <c r="AA143" s="46">
        <f>Z$143*'Population Treasury'!AS$193*'Statistics NZ'!AS$488/('Population Treasury'!AR$193*'Statistics NZ'!AR$488)</f>
        <v>4619.5943924334351</v>
      </c>
      <c r="AB143" s="46">
        <f>AA$143*'Population Treasury'!AT$193*'Statistics NZ'!AT$488/('Population Treasury'!AS$193*'Statistics NZ'!AS$488)</f>
        <v>4619.5436964376113</v>
      </c>
      <c r="AC143" s="46">
        <f>AB$143*'Population Treasury'!AU$193*'Statistics NZ'!AU$488/('Population Treasury'!AT$193*'Statistics NZ'!AT$488)</f>
        <v>4538.3134948138013</v>
      </c>
      <c r="AD143" s="46">
        <f>AC$143*'Population Treasury'!AV$193*'Statistics NZ'!AV$488/('Population Treasury'!AU$193*'Statistics NZ'!AU$488)</f>
        <v>4457.1445135097265</v>
      </c>
      <c r="AE143" s="46">
        <f>AD$143*'Population Treasury'!AW$193*'Statistics NZ'!AW$488/('Population Treasury'!AV$193*'Statistics NZ'!AV$488)</f>
        <v>4355.6049218365042</v>
      </c>
      <c r="AF143" s="46">
        <f>AE$143*'Population Treasury'!AX$193*'Statistics NZ'!AX$488/('Population Treasury'!AW$193*'Statistics NZ'!AW$488)</f>
        <v>4365.7091102946724</v>
      </c>
      <c r="AG143" s="46">
        <f>AF$143*'Population Treasury'!AY$193*'Statistics NZ'!AY$488/('Population Treasury'!AX$193*'Statistics NZ'!AX$488)</f>
        <v>4446.8800860127667</v>
      </c>
      <c r="AH143" s="46">
        <f>AG$143*'Population Treasury'!AZ$193*'Statistics NZ'!AZ$488/('Population Treasury'!AY$193*'Statistics NZ'!AY$488)</f>
        <v>4436.7323719481938</v>
      </c>
      <c r="AI143" s="46">
        <f>AH$143*'Population Treasury'!BA$193*'Statistics NZ'!BA$488/('Population Treasury'!AZ$193*'Statistics NZ'!AZ$488)</f>
        <v>4659.9095342952887</v>
      </c>
      <c r="AJ143" s="46">
        <f>AI$143*'Population Treasury'!BB$193*'Statistics NZ'!BB$488/('Population Treasury'!BA$193*'Statistics NZ'!BA$488)</f>
        <v>4842.5686619215521</v>
      </c>
      <c r="AK143" s="46">
        <f>AJ$143*'Population Treasury'!BC$193*'Statistics NZ'!BC$488/('Population Treasury'!BB$193*'Statistics NZ'!BB$488)</f>
        <v>5015.0216813951274</v>
      </c>
      <c r="AL143" s="46">
        <f>AK$143*'Population Treasury'!BD$193*'Statistics NZ'!BD$488/('Population Treasury'!BC$193*'Statistics NZ'!BC$488)</f>
        <v>5177.3664030827022</v>
      </c>
      <c r="AM143" s="46">
        <f>AL$143*'Population Treasury'!BE$193*'Statistics NZ'!BE$488/('Population Treasury'!BD$193*'Statistics NZ'!BD$488)</f>
        <v>5410.718285319851</v>
      </c>
      <c r="AN143" s="46">
        <f>AM$143*'Population Treasury'!BF$193*'Statistics NZ'!BF$488/('Population Treasury'!BE$193*'Statistics NZ'!BE$488)</f>
        <v>5583.2113819321285</v>
      </c>
      <c r="AO143" s="46">
        <f>AN$143*'Population Treasury'!BG$193*'Statistics NZ'!BG$488/('Population Treasury'!BF$193*'Statistics NZ'!BF$488)</f>
        <v>5694.8354185602248</v>
      </c>
      <c r="AP143" s="46">
        <f>AO$143*'Population Treasury'!BH$193*'Statistics NZ'!BH$488/('Population Treasury'!BG$193*'Statistics NZ'!BG$488)</f>
        <v>5897.7546725559869</v>
      </c>
      <c r="AQ143" s="46">
        <f>AP$143*'Population Treasury'!BI$193*'Statistics NZ'!BI$488/('Population Treasury'!BH$193*'Statistics NZ'!BH$488)</f>
        <v>6232.5855937716115</v>
      </c>
    </row>
    <row r="144" spans="1:43" x14ac:dyDescent="0.25">
      <c r="A144" s="11">
        <f>$A$74</f>
        <v>79</v>
      </c>
      <c r="B144" s="45">
        <f>'Population Treasury'!T$194*'Statistics NZ'!T$489*'Economic Forecasts'!V$8/B$7</f>
        <v>1738.2436260623231</v>
      </c>
      <c r="C144" s="45">
        <f>'Population Treasury'!U$194*'Statistics NZ'!U$489*'Economic Forecasts'!W$8/C$7</f>
        <v>1840.7700967226008</v>
      </c>
      <c r="D144" s="45">
        <f>'Population Treasury'!V$194*'Statistics NZ'!V$489*'Economic Forecasts'!X$8/D$7</f>
        <v>2233.83207856219</v>
      </c>
      <c r="E144" s="45">
        <f>'Population Treasury'!W$194*'Statistics NZ'!W$489*'Economic Forecasts'!Y$8/E$7</f>
        <v>2266.3793638405764</v>
      </c>
      <c r="F144" s="45">
        <f>'Population Treasury'!X$194*'Statistics NZ'!X$489*'Economic Forecasts'!Z$8/F$7</f>
        <v>2286.0499132254131</v>
      </c>
      <c r="G144" s="45">
        <f>'Population Treasury'!Y$194*'Statistics NZ'!Y$489*'Economic Forecasts'!AA$8/G$7</f>
        <v>2372.9635010165412</v>
      </c>
      <c r="H144" s="46">
        <f>G$144*'Population Treasury'!Z$194*'Statistics NZ'!Z$489/('Population Treasury'!Y$194*'Statistics NZ'!Y$489)</f>
        <v>2413.3964281661019</v>
      </c>
      <c r="I144" s="46">
        <f>H$144*'Population Treasury'!AA$194*'Statistics NZ'!AA$489/('Population Treasury'!Z$194*'Statistics NZ'!Z$489)</f>
        <v>2474.2023807847395</v>
      </c>
      <c r="J144" s="46">
        <f>I$144*'Population Treasury'!AB$194*'Statistics NZ'!AB$489/('Population Treasury'!AA$194*'Statistics NZ'!AA$489)</f>
        <v>2545.0861227025889</v>
      </c>
      <c r="K144" s="46">
        <f>J$144*'Population Treasury'!AC$194*'Statistics NZ'!AC$489/('Population Treasury'!AB$194*'Statistics NZ'!AB$489)</f>
        <v>2666.7198755011236</v>
      </c>
      <c r="L144" s="46">
        <f>K$144*'Population Treasury'!AD$194*'Statistics NZ'!AD$489/('Population Treasury'!AC$194*'Statistics NZ'!AC$489)</f>
        <v>2757.8912455685813</v>
      </c>
      <c r="M144" s="46">
        <f>L$144*'Population Treasury'!AE$194*'Statistics NZ'!AE$489/('Population Treasury'!AD$194*'Statistics NZ'!AD$489)</f>
        <v>2869.3631585308267</v>
      </c>
      <c r="N144" s="46">
        <f>M$144*'Population Treasury'!AF$194*'Statistics NZ'!AF$489/('Population Treasury'!AE$194*'Statistics NZ'!AE$489)</f>
        <v>2970.6970295661645</v>
      </c>
      <c r="O144" s="46">
        <f>N$144*'Population Treasury'!AG$194*'Statistics NZ'!AG$489/('Population Treasury'!AF$194*'Statistics NZ'!AF$489)</f>
        <v>3072.1129803078093</v>
      </c>
      <c r="P144" s="46">
        <f>O$144*'Population Treasury'!AH$194*'Statistics NZ'!AH$489/('Population Treasury'!AG$194*'Statistics NZ'!AG$489)</f>
        <v>3234.2925332578848</v>
      </c>
      <c r="Q144" s="46">
        <f>P$144*'Population Treasury'!AI$194*'Statistics NZ'!AI$489/('Population Treasury'!AH$194*'Statistics NZ'!AH$489)</f>
        <v>3305.244799198053</v>
      </c>
      <c r="R144" s="46">
        <f>Q$144*'Population Treasury'!AJ$194*'Statistics NZ'!AJ$489/('Population Treasury'!AI$194*'Statistics NZ'!AI$489)</f>
        <v>3467.531294064132</v>
      </c>
      <c r="S144" s="46">
        <f>R$144*'Population Treasury'!AK$194*'Statistics NZ'!AK$489/('Population Treasury'!AJ$194*'Statistics NZ'!AJ$489)</f>
        <v>3579.0162842781874</v>
      </c>
      <c r="T144" s="46">
        <f>S$144*'Population Treasury'!AL$194*'Statistics NZ'!AL$489/('Population Treasury'!AK$194*'Statistics NZ'!AK$489)</f>
        <v>3629.7105247960471</v>
      </c>
      <c r="U144" s="46">
        <f>T$144*'Population Treasury'!AM$194*'Statistics NZ'!AM$489/('Population Treasury'!AL$194*'Statistics NZ'!AL$489)</f>
        <v>3629.5876437208044</v>
      </c>
      <c r="V144" s="46">
        <f>U$144*'Population Treasury'!AN$194*'Statistics NZ'!AN$489/('Population Treasury'!AM$194*'Statistics NZ'!AM$489)</f>
        <v>3568.6951825789592</v>
      </c>
      <c r="W144" s="46">
        <f>V$144*'Population Treasury'!AO$194*'Statistics NZ'!AO$489/('Population Treasury'!AN$194*'Statistics NZ'!AN$489)</f>
        <v>3558.4880274531338</v>
      </c>
      <c r="X144" s="46">
        <f>W$144*'Population Treasury'!AP$194*'Statistics NZ'!AP$489/('Population Treasury'!AO$194*'Statistics NZ'!AO$489)</f>
        <v>3588.876744171032</v>
      </c>
      <c r="Y144" s="46">
        <f>X$144*'Population Treasury'!AQ$194*'Statistics NZ'!AQ$489/('Population Treasury'!AP$194*'Statistics NZ'!AP$489)</f>
        <v>3700.3931954708246</v>
      </c>
      <c r="Z144" s="46">
        <f>Y$144*'Population Treasury'!AR$194*'Statistics NZ'!AR$489/('Population Treasury'!AQ$194*'Statistics NZ'!AQ$489)</f>
        <v>3811.9794145359656</v>
      </c>
      <c r="AA144" s="46">
        <f>Z$144*'Population Treasury'!AS$194*'Statistics NZ'!AS$489/('Population Treasury'!AR$194*'Statistics NZ'!AR$489)</f>
        <v>3842.3721628428352</v>
      </c>
      <c r="AB144" s="46">
        <f>AA$144*'Population Treasury'!AT$194*'Statistics NZ'!AT$489/('Population Treasury'!AS$194*'Statistics NZ'!AS$489)</f>
        <v>4004.6992836941336</v>
      </c>
      <c r="AC144" s="46">
        <f>AB$144*'Population Treasury'!AU$194*'Statistics NZ'!AU$489/('Population Treasury'!AT$194*'Statistics NZ'!AT$489)</f>
        <v>4004.6726992289082</v>
      </c>
      <c r="AD144" s="46">
        <f>AC$144*'Population Treasury'!AV$194*'Statistics NZ'!AV$489/('Population Treasury'!AU$194*'Statistics NZ'!AU$489)</f>
        <v>3933.6081607751034</v>
      </c>
      <c r="AE144" s="46">
        <f>AD$144*'Population Treasury'!AW$194*'Statistics NZ'!AW$489/('Population Treasury'!AV$194*'Statistics NZ'!AV$489)</f>
        <v>3872.6826167147356</v>
      </c>
      <c r="AF144" s="46">
        <f>AE$144*'Population Treasury'!AX$194*'Statistics NZ'!AX$489/('Population Treasury'!AW$194*'Statistics NZ'!AW$489)</f>
        <v>3781.3339432305524</v>
      </c>
      <c r="AG144" s="46">
        <f>AF$144*'Population Treasury'!AY$194*'Statistics NZ'!AY$489/('Population Treasury'!AX$194*'Statistics NZ'!AX$489)</f>
        <v>3791.4459893069247</v>
      </c>
      <c r="AH144" s="46">
        <f>AG$144*'Population Treasury'!AZ$194*'Statistics NZ'!AZ$489/('Population Treasury'!AY$194*'Statistics NZ'!AY$489)</f>
        <v>3862.4771197907339</v>
      </c>
      <c r="AI144" s="46">
        <f>AH$144*'Population Treasury'!BA$194*'Statistics NZ'!BA$489/('Population Treasury'!AZ$194*'Statistics NZ'!AZ$489)</f>
        <v>3852.3458143426492</v>
      </c>
      <c r="AJ144" s="46">
        <f>AI$144*'Population Treasury'!BB$194*'Statistics NZ'!BB$489/('Population Treasury'!BA$194*'Statistics NZ'!BA$489)</f>
        <v>4045.1113187723754</v>
      </c>
      <c r="AK144" s="46">
        <f>AJ$144*'Population Treasury'!BC$194*'Statistics NZ'!BC$489/('Population Treasury'!BB$194*'Statistics NZ'!BB$489)</f>
        <v>4217.5449105910329</v>
      </c>
      <c r="AL144" s="46">
        <f>AK$144*'Population Treasury'!BD$194*'Statistics NZ'!BD$489/('Population Treasury'!BC$194*'Statistics NZ'!BC$489)</f>
        <v>4359.6246172419478</v>
      </c>
      <c r="AM144" s="46">
        <f>AL$144*'Population Treasury'!BE$194*'Statistics NZ'!BE$489/('Population Treasury'!BD$194*'Statistics NZ'!BD$489)</f>
        <v>4501.6705259996597</v>
      </c>
      <c r="AN144" s="46">
        <f>AM$144*'Population Treasury'!BF$194*'Statistics NZ'!BF$489/('Population Treasury'!BE$194*'Statistics NZ'!BE$489)</f>
        <v>4704.5983451377988</v>
      </c>
      <c r="AO144" s="46">
        <f>AN$144*'Population Treasury'!BG$194*'Statistics NZ'!BG$489/('Population Treasury'!BF$194*'Statistics NZ'!BF$489)</f>
        <v>4856.7944602766474</v>
      </c>
      <c r="AP144" s="46">
        <f>AO$144*'Population Treasury'!BH$194*'Statistics NZ'!BH$489/('Population Treasury'!BG$194*'Statistics NZ'!BG$489)</f>
        <v>4958.2513499516135</v>
      </c>
      <c r="AQ144" s="46">
        <f>AP$144*'Population Treasury'!BI$194*'Statistics NZ'!BI$489/('Population Treasury'!BH$194*'Statistics NZ'!BH$489)</f>
        <v>5140.8605513160292</v>
      </c>
    </row>
    <row r="145" spans="1:43" x14ac:dyDescent="0.25">
      <c r="A145" s="11" t="str">
        <f>$A$75</f>
        <v>80 &amp; over</v>
      </c>
      <c r="B145" s="45">
        <f>SUM('Population Treasury'!T$195:T$210)*'Statistics NZ'!T$490*'Economic Forecasts'!V$8/B$7</f>
        <v>5734.2059848262852</v>
      </c>
      <c r="C145" s="45">
        <f>SUM('Population Treasury'!U$195:U$210)*'Statistics NZ'!U$490*'Economic Forecasts'!W$8/C$7</f>
        <v>6016.6597393331631</v>
      </c>
      <c r="D145" s="45">
        <f>SUM('Population Treasury'!V$195:V$210)*'Statistics NZ'!V$490*'Economic Forecasts'!X$8/D$7</f>
        <v>6423.1423289379572</v>
      </c>
      <c r="E145" s="45">
        <f>SUM('Population Treasury'!W$195:W$210)*'Statistics NZ'!W$490*'Economic Forecasts'!Y$8/E$7</f>
        <v>7098.275117179176</v>
      </c>
      <c r="F145" s="45">
        <f>SUM('Population Treasury'!X$195:X$210)*'Statistics NZ'!X$490*'Economic Forecasts'!Z$8/F$7</f>
        <v>7669.9476160136874</v>
      </c>
      <c r="G145" s="45">
        <f>SUM('Population Treasury'!Y$195:Y$210)*'Statistics NZ'!Y$490*'Economic Forecasts'!AA$8/G$7</f>
        <v>8154.2706656038936</v>
      </c>
      <c r="H145" s="46">
        <f>G$145*SUM('Population Treasury'!Z$195:Z$210)*'Statistics NZ'!Z$490/(SUM('Population Treasury'!Y$195:Y$210)*'Statistics NZ'!Y$490)</f>
        <v>8610.6456889311248</v>
      </c>
      <c r="I145" s="46">
        <f>H$145*SUM('Population Treasury'!AA$195:AA$210)*'Statistics NZ'!AA$490/(SUM('Population Treasury'!Z$195:Z$210)*'Statistics NZ'!Z$490)</f>
        <v>8996.3431645277542</v>
      </c>
      <c r="J145" s="46">
        <f>I$145*SUM('Population Treasury'!AB$195:AB$210)*'Statistics NZ'!AB$490/(SUM('Population Treasury'!AA$195:AA$210)*'Statistics NZ'!AA$490)</f>
        <v>9371.8125351685339</v>
      </c>
      <c r="K145" s="46">
        <f>J$145*SUM('Population Treasury'!AC$195:AC$210)*'Statistics NZ'!AC$490/(SUM('Population Treasury'!AB$195:AB$210)*'Statistics NZ'!AB$490)</f>
        <v>9727.0430647486464</v>
      </c>
      <c r="L145" s="46">
        <f>K$145*SUM('Population Treasury'!AD$195:AD$210)*'Statistics NZ'!AD$490/(SUM('Population Treasury'!AC$195:AC$210)*'Statistics NZ'!AC$490)</f>
        <v>10122.685506709517</v>
      </c>
      <c r="M145" s="46">
        <f>L$145*SUM('Population Treasury'!AE$195:AE$210)*'Statistics NZ'!AE$490/(SUM('Population Treasury'!AD$195:AD$210)*'Statistics NZ'!AD$490)</f>
        <v>10508.268465990226</v>
      </c>
      <c r="N145" s="46">
        <f>M$145*SUM('Population Treasury'!AF$195:AF$210)*'Statistics NZ'!AF$490/(SUM('Population Treasury'!AE$195:AE$210)*'Statistics NZ'!AE$490)</f>
        <v>10914.078325615503</v>
      </c>
      <c r="O145" s="46">
        <f>N$145*SUM('Population Treasury'!AG$195:AG$210)*'Statistics NZ'!AG$490/(SUM('Population Treasury'!AF$195:AF$210)*'Statistics NZ'!AF$490)</f>
        <v>11330.028092076505</v>
      </c>
      <c r="P145" s="46">
        <f>O$145*SUM('Population Treasury'!AH$195:AH$210)*'Statistics NZ'!AH$490/(SUM('Population Treasury'!AG$195:AG$210)*'Statistics NZ'!AG$490)</f>
        <v>11766.196518454986</v>
      </c>
      <c r="Q145" s="46">
        <f>P$145*SUM('Population Treasury'!AI$195:AI$210)*'Statistics NZ'!AI$490/(SUM('Population Treasury'!AH$195:AH$210)*'Statistics NZ'!AH$490)</f>
        <v>12263.074278293245</v>
      </c>
      <c r="R145" s="46">
        <f>Q$145*SUM('Population Treasury'!AJ$195:AJ$210)*'Statistics NZ'!AJ$490/(SUM('Population Treasury'!AI$195:AI$210)*'Statistics NZ'!AI$490)</f>
        <v>12739.761702384274</v>
      </c>
      <c r="S145" s="46">
        <f>R$145*SUM('Population Treasury'!AK$195:AK$210)*'Statistics NZ'!AK$490/(SUM('Population Treasury'!AJ$195:AJ$210)*'Statistics NZ'!AJ$490)</f>
        <v>13267.124365445314</v>
      </c>
      <c r="T145" s="46">
        <f>S$145*SUM('Population Treasury'!AL$195:AL$210)*'Statistics NZ'!AL$490/(SUM('Population Treasury'!AK$195:AK$210)*'Statistics NZ'!AK$490)</f>
        <v>13804.624086347916</v>
      </c>
      <c r="U145" s="46">
        <f>T$145*SUM('Population Treasury'!AM$195:AM$210)*'Statistics NZ'!AM$490/(SUM('Population Treasury'!AL$195:AL$210)*'Statistics NZ'!AL$490)</f>
        <v>14281.511773461723</v>
      </c>
      <c r="V145" s="46">
        <f>U$145*SUM('Population Treasury'!AN$195:AN$210)*'Statistics NZ'!AN$490/(SUM('Population Treasury'!AM$195:AM$210)*'Statistics NZ'!AM$490)</f>
        <v>14677.413489140534</v>
      </c>
      <c r="W145" s="46">
        <f>V$145*SUM('Population Treasury'!AO$195:AO$210)*'Statistics NZ'!AO$490/(SUM('Population Treasury'!AN$195:AN$210)*'Statistics NZ'!AN$490)</f>
        <v>14941.746142012074</v>
      </c>
      <c r="X145" s="46">
        <f>W$145*SUM('Population Treasury'!AP$195:AP$210)*'Statistics NZ'!AP$490/(SUM('Population Treasury'!AO$195:AO$210)*'Statistics NZ'!AO$490)</f>
        <v>15155.377937746251</v>
      </c>
      <c r="Y145" s="46">
        <f>X$145*SUM('Population Treasury'!AQ$195:AQ$210)*'Statistics NZ'!AQ$490/(SUM('Population Treasury'!AP$195:AP$210)*'Statistics NZ'!AP$490)</f>
        <v>15338.581287492283</v>
      </c>
      <c r="Z145" s="46">
        <f>Y$145*SUM('Population Treasury'!AR$195:AR$210)*'Statistics NZ'!AR$490/(SUM('Population Treasury'!AQ$195:AQ$210)*'Statistics NZ'!AQ$490)</f>
        <v>15582.448460790187</v>
      </c>
      <c r="AA145" s="46">
        <f>Z$145*SUM('Population Treasury'!AS$195:AS$210)*'Statistics NZ'!AS$490/(SUM('Population Treasury'!AR$195:AR$210)*'Statistics NZ'!AR$490)</f>
        <v>15866.778444165215</v>
      </c>
      <c r="AB145" s="46">
        <f>AA$145*SUM('Population Treasury'!AT$195:AT$210)*'Statistics NZ'!AT$490/(SUM('Population Treasury'!AS$195:AS$210)*'Statistics NZ'!AS$490)</f>
        <v>16130.818910983038</v>
      </c>
      <c r="AC145" s="46">
        <f>AB$145*SUM('Population Treasury'!AU$195:AU$210)*'Statistics NZ'!AU$490/(SUM('Population Treasury'!AT$195:AT$210)*'Statistics NZ'!AT$490)</f>
        <v>16496.070966516054</v>
      </c>
      <c r="AD145" s="46">
        <f>AC$145*SUM('Population Treasury'!AV$195:AV$210)*'Statistics NZ'!AV$490/(SUM('Population Treasury'!AU$195:AU$210)*'Statistics NZ'!AU$490)</f>
        <v>16800.575338220842</v>
      </c>
      <c r="AE145" s="46">
        <f>AD$145*SUM('Population Treasury'!AW$195:AW$210)*'Statistics NZ'!AW$490/(SUM('Population Treasury'!AV$195:AV$210)*'Statistics NZ'!AV$490)</f>
        <v>17003.808038287676</v>
      </c>
      <c r="AF145" s="46">
        <f>AE$145*SUM('Population Treasury'!AX$195:AX$210)*'Statistics NZ'!AX$490/(SUM('Population Treasury'!AW$195:AW$210)*'Statistics NZ'!AW$490)</f>
        <v>17115.852003135169</v>
      </c>
      <c r="AG145" s="46">
        <f>AF$145*SUM('Population Treasury'!AY$195:AY$210)*'Statistics NZ'!AY$490/(SUM('Population Treasury'!AX$195:AX$210)*'Statistics NZ'!AX$490)</f>
        <v>17136.701017691834</v>
      </c>
      <c r="AH145" s="46">
        <f>AG$145*SUM('Population Treasury'!AZ$195:AZ$210)*'Statistics NZ'!AZ$490/(SUM('Population Treasury'!AY$195:AY$210)*'Statistics NZ'!AY$490)</f>
        <v>17157.481092601414</v>
      </c>
      <c r="AI145" s="46">
        <f>AH$145*SUM('Population Treasury'!BA$195:BA$210)*'Statistics NZ'!BA$490/(SUM('Population Treasury'!AZ$195:AZ$210)*'Statistics NZ'!AZ$490)</f>
        <v>17228.8557821254</v>
      </c>
      <c r="AJ145" s="46">
        <f>AI$145*SUM('Population Treasury'!BB$195:BB$210)*'Statistics NZ'!BB$490/(SUM('Population Treasury'!BA$195:BA$210)*'Statistics NZ'!BA$490)</f>
        <v>17279.936894390339</v>
      </c>
      <c r="AK145" s="46">
        <f>AJ$145*SUM('Population Treasury'!BC$195:BC$210)*'Statistics NZ'!BC$490/(SUM('Population Treasury'!BB$195:BB$210)*'Statistics NZ'!BB$490)</f>
        <v>17492.990460087069</v>
      </c>
      <c r="AL145" s="46">
        <f>AK$145*SUM('Population Treasury'!BD$195:BD$210)*'Statistics NZ'!BD$490/(SUM('Population Treasury'!BC$195:BC$210)*'Statistics NZ'!BC$490)</f>
        <v>17807.35145199997</v>
      </c>
      <c r="AM145" s="46">
        <f>AL$145*SUM('Population Treasury'!BE$195:BE$210)*'Statistics NZ'!BE$490/(SUM('Population Treasury'!BD$195:BD$210)*'Statistics NZ'!BD$490)</f>
        <v>18222.967858052005</v>
      </c>
      <c r="AN145" s="46">
        <f>AM$145*SUM('Population Treasury'!BF$195:BF$210)*'Statistics NZ'!BF$490/(SUM('Population Treasury'!BE$195:BE$210)*'Statistics NZ'!BE$490)</f>
        <v>18699.435230811872</v>
      </c>
      <c r="AO145" s="46">
        <f>AN$145*SUM('Population Treasury'!BG$195:BG$210)*'Statistics NZ'!BG$490/(SUM('Population Treasury'!BF$195:BF$210)*'Statistics NZ'!BF$490)</f>
        <v>19297.495500335961</v>
      </c>
      <c r="AP145" s="46">
        <f>AO$145*SUM('Population Treasury'!BH$195:BH$210)*'Statistics NZ'!BH$490/(SUM('Population Treasury'!BG$195:BG$210)*'Statistics NZ'!BG$490)</f>
        <v>19936.205525964891</v>
      </c>
      <c r="AQ145" s="46">
        <f>AP$145*SUM('Population Treasury'!BI$195:BI$210)*'Statistics NZ'!BI$490/(SUM('Population Treasury'!BH$195:BH$210)*'Statistics NZ'!BH$490)</f>
        <v>20564.914971252852</v>
      </c>
    </row>
    <row r="146" spans="1:43" x14ac:dyDescent="0.25">
      <c r="A146" s="9" t="s">
        <v>11</v>
      </c>
      <c r="B146" s="79">
        <f t="shared" ref="B146:G146" si="30">SUM(B$80:B$145)</f>
        <v>1618324.7956758162</v>
      </c>
      <c r="C146" s="79">
        <f t="shared" si="30"/>
        <v>1621252.1849031567</v>
      </c>
      <c r="D146" s="79">
        <f t="shared" si="30"/>
        <v>1644317.8019330576</v>
      </c>
      <c r="E146" s="79">
        <f t="shared" si="30"/>
        <v>1671671.19319456</v>
      </c>
      <c r="F146" s="79">
        <f t="shared" si="30"/>
        <v>1697465.4267232395</v>
      </c>
      <c r="G146" s="79">
        <f t="shared" si="30"/>
        <v>1721198.5217264898</v>
      </c>
      <c r="H146" s="80">
        <f t="shared" ref="H146:AQ146" si="31">SUM(H$80:H$145)</f>
        <v>1741670.1621657899</v>
      </c>
      <c r="I146" s="80">
        <f t="shared" si="31"/>
        <v>1761686.0797328497</v>
      </c>
      <c r="J146" s="80">
        <f t="shared" si="31"/>
        <v>1781328.4768773937</v>
      </c>
      <c r="K146" s="80">
        <f t="shared" si="31"/>
        <v>1800557.9101944775</v>
      </c>
      <c r="L146" s="80">
        <f t="shared" si="31"/>
        <v>1819484.349272755</v>
      </c>
      <c r="M146" s="80">
        <f t="shared" si="31"/>
        <v>1838136.6089443616</v>
      </c>
      <c r="N146" s="80">
        <f t="shared" si="31"/>
        <v>1856627.0873255413</v>
      </c>
      <c r="O146" s="80">
        <f t="shared" si="31"/>
        <v>1874783.4036580327</v>
      </c>
      <c r="P146" s="80">
        <f t="shared" si="31"/>
        <v>1892472.9298210428</v>
      </c>
      <c r="Q146" s="80">
        <f t="shared" si="31"/>
        <v>1909605.1649291024</v>
      </c>
      <c r="R146" s="80">
        <f t="shared" si="31"/>
        <v>1926524.3720298149</v>
      </c>
      <c r="S146" s="80">
        <f t="shared" si="31"/>
        <v>1943139.5584788751</v>
      </c>
      <c r="T146" s="80">
        <f t="shared" si="31"/>
        <v>1959724.6074886043</v>
      </c>
      <c r="U146" s="80">
        <f t="shared" si="31"/>
        <v>1976188.3559220352</v>
      </c>
      <c r="V146" s="80">
        <f t="shared" si="31"/>
        <v>1992318.4940420147</v>
      </c>
      <c r="W146" s="80">
        <f t="shared" si="31"/>
        <v>2008265.8600854154</v>
      </c>
      <c r="X146" s="80">
        <f t="shared" si="31"/>
        <v>2023808.173539517</v>
      </c>
      <c r="Y146" s="80">
        <f t="shared" si="31"/>
        <v>2038954.9285057101</v>
      </c>
      <c r="Z146" s="80">
        <f t="shared" si="31"/>
        <v>2053695.7024892636</v>
      </c>
      <c r="AA146" s="80">
        <f t="shared" si="31"/>
        <v>2067929.4321501162</v>
      </c>
      <c r="AB146" s="80">
        <f t="shared" si="31"/>
        <v>2081727.1463823754</v>
      </c>
      <c r="AC146" s="80">
        <f t="shared" si="31"/>
        <v>2095118.7505586727</v>
      </c>
      <c r="AD146" s="80">
        <f t="shared" si="31"/>
        <v>2108023.7061703554</v>
      </c>
      <c r="AE146" s="80">
        <f t="shared" si="31"/>
        <v>2120472.5071323332</v>
      </c>
      <c r="AF146" s="80">
        <f t="shared" si="31"/>
        <v>2132536.0429328796</v>
      </c>
      <c r="AG146" s="80">
        <f t="shared" si="31"/>
        <v>2144213.8229768127</v>
      </c>
      <c r="AH146" s="80">
        <f t="shared" si="31"/>
        <v>2155445.940052337</v>
      </c>
      <c r="AI146" s="80">
        <f t="shared" si="31"/>
        <v>2166494.8624436143</v>
      </c>
      <c r="AJ146" s="80">
        <f t="shared" si="31"/>
        <v>2177310.6700067949</v>
      </c>
      <c r="AK146" s="80">
        <f t="shared" si="31"/>
        <v>2188086.1050083232</v>
      </c>
      <c r="AL146" s="80">
        <f t="shared" si="31"/>
        <v>2198800.2524776305</v>
      </c>
      <c r="AM146" s="80">
        <f t="shared" si="31"/>
        <v>2209534.0612867139</v>
      </c>
      <c r="AN146" s="80">
        <f t="shared" si="31"/>
        <v>2220319.2084987857</v>
      </c>
      <c r="AO146" s="80">
        <f t="shared" si="31"/>
        <v>2231084.2016254971</v>
      </c>
      <c r="AP146" s="80">
        <f t="shared" si="31"/>
        <v>2242031.054027155</v>
      </c>
      <c r="AQ146" s="80">
        <f t="shared" si="31"/>
        <v>2252776.1120779482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6945-0CE5-4A71-A450-B824C775F147}">
  <dimension ref="A1:BO101"/>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60.7109375" customWidth="1"/>
    <col min="2" max="2" width="9.28515625" bestFit="1" customWidth="1"/>
    <col min="3" max="3" width="10.28515625" bestFit="1" customWidth="1"/>
    <col min="4" max="4" width="9.5703125" bestFit="1" customWidth="1"/>
    <col min="5" max="5" width="9.28515625" bestFit="1" customWidth="1"/>
  </cols>
  <sheetData>
    <row r="1" spans="1:67" x14ac:dyDescent="0.25">
      <c r="A1" s="9" t="s">
        <v>388</v>
      </c>
    </row>
    <row r="2" spans="1:67" x14ac:dyDescent="0.25">
      <c r="A2" s="10" t="s">
        <v>1362</v>
      </c>
    </row>
    <row r="3" spans="1:67" x14ac:dyDescent="0.25">
      <c r="A3" s="11"/>
    </row>
    <row r="4" spans="1:67" x14ac:dyDescent="0.25">
      <c r="A4" s="9" t="s">
        <v>1</v>
      </c>
      <c r="D4" s="13" t="s">
        <v>20</v>
      </c>
      <c r="E4" s="13" t="s">
        <v>21</v>
      </c>
      <c r="F4" s="13" t="s">
        <v>22</v>
      </c>
      <c r="G4" s="13" t="s">
        <v>23</v>
      </c>
      <c r="H4" s="13" t="s">
        <v>24</v>
      </c>
      <c r="I4" s="13" t="s">
        <v>25</v>
      </c>
      <c r="J4" s="13" t="s">
        <v>26</v>
      </c>
      <c r="K4" s="13" t="s">
        <v>27</v>
      </c>
      <c r="L4" s="13" t="s">
        <v>28</v>
      </c>
      <c r="M4" s="13" t="s">
        <v>29</v>
      </c>
      <c r="N4" s="13" t="s">
        <v>30</v>
      </c>
      <c r="O4" s="13" t="s">
        <v>31</v>
      </c>
      <c r="P4" s="13" t="s">
        <v>32</v>
      </c>
      <c r="Q4" s="13" t="s">
        <v>33</v>
      </c>
      <c r="R4" s="13" t="s">
        <v>34</v>
      </c>
      <c r="S4" s="13" t="s">
        <v>35</v>
      </c>
      <c r="T4" s="13" t="s">
        <v>36</v>
      </c>
      <c r="U4" s="13" t="s">
        <v>37</v>
      </c>
      <c r="V4" s="13" t="s">
        <v>38</v>
      </c>
      <c r="W4" s="13" t="s">
        <v>39</v>
      </c>
      <c r="X4" s="13" t="s">
        <v>40</v>
      </c>
      <c r="Y4" s="13" t="s">
        <v>41</v>
      </c>
      <c r="Z4" s="13" t="s">
        <v>42</v>
      </c>
      <c r="AA4" s="13" t="s">
        <v>43</v>
      </c>
      <c r="AB4" s="13" t="s">
        <v>44</v>
      </c>
      <c r="AC4" s="13" t="s">
        <v>45</v>
      </c>
      <c r="AD4" s="13" t="s">
        <v>46</v>
      </c>
      <c r="AE4" s="13" t="s">
        <v>47</v>
      </c>
      <c r="AF4" s="13" t="s">
        <v>48</v>
      </c>
      <c r="AG4" s="13" t="s">
        <v>49</v>
      </c>
      <c r="AH4" s="13" t="s">
        <v>50</v>
      </c>
      <c r="AI4" s="13" t="s">
        <v>51</v>
      </c>
      <c r="AJ4" s="13" t="s">
        <v>1278</v>
      </c>
      <c r="AK4" s="13" t="s">
        <v>1280</v>
      </c>
      <c r="AL4" s="13" t="s">
        <v>1281</v>
      </c>
      <c r="AM4" s="13" t="s">
        <v>1282</v>
      </c>
      <c r="AN4" s="13" t="s">
        <v>1283</v>
      </c>
      <c r="AO4" s="13" t="s">
        <v>1284</v>
      </c>
      <c r="AP4" s="13" t="s">
        <v>1285</v>
      </c>
      <c r="AQ4" s="13" t="s">
        <v>1286</v>
      </c>
      <c r="AR4" s="13" t="s">
        <v>1287</v>
      </c>
      <c r="AS4" s="13" t="s">
        <v>1288</v>
      </c>
      <c r="AT4" s="13" t="s">
        <v>1279</v>
      </c>
      <c r="AU4" s="13" t="s">
        <v>1289</v>
      </c>
      <c r="AV4" s="13" t="s">
        <v>1290</v>
      </c>
      <c r="AW4" s="13" t="s">
        <v>1291</v>
      </c>
      <c r="AX4" s="13" t="s">
        <v>1292</v>
      </c>
      <c r="AY4" s="13" t="s">
        <v>1293</v>
      </c>
      <c r="AZ4" s="13" t="s">
        <v>1294</v>
      </c>
      <c r="BA4" s="13" t="s">
        <v>1295</v>
      </c>
      <c r="BB4" s="13" t="s">
        <v>1296</v>
      </c>
      <c r="BC4" s="13" t="s">
        <v>1297</v>
      </c>
      <c r="BD4" s="13" t="s">
        <v>1298</v>
      </c>
      <c r="BE4" s="13" t="s">
        <v>1299</v>
      </c>
      <c r="BF4" s="13" t="s">
        <v>1300</v>
      </c>
      <c r="BG4" s="13" t="s">
        <v>1301</v>
      </c>
      <c r="BH4" s="13" t="s">
        <v>1302</v>
      </c>
      <c r="BI4" s="13" t="s">
        <v>1303</v>
      </c>
    </row>
    <row r="5" spans="1:67" x14ac:dyDescent="0.25">
      <c r="A5" s="2"/>
      <c r="D5" s="9">
        <v>2008</v>
      </c>
      <c r="E5" s="9">
        <v>2009</v>
      </c>
      <c r="F5" s="9">
        <v>2010</v>
      </c>
      <c r="G5" s="9">
        <v>2011</v>
      </c>
      <c r="H5" s="9">
        <v>2012</v>
      </c>
      <c r="I5" s="9">
        <v>2013</v>
      </c>
      <c r="J5" s="9">
        <v>2014</v>
      </c>
      <c r="K5" s="9">
        <v>2015</v>
      </c>
      <c r="L5" s="9">
        <v>2016</v>
      </c>
      <c r="M5" s="9">
        <v>2017</v>
      </c>
      <c r="N5" s="9">
        <v>2018</v>
      </c>
      <c r="O5" s="9">
        <v>2019</v>
      </c>
      <c r="P5" s="9">
        <v>2020</v>
      </c>
      <c r="Q5" s="9">
        <v>2021</v>
      </c>
      <c r="R5" s="9">
        <v>2022</v>
      </c>
      <c r="S5" s="9">
        <v>2023</v>
      </c>
      <c r="T5" s="9">
        <v>2024</v>
      </c>
      <c r="U5" s="9">
        <v>2025</v>
      </c>
      <c r="V5" s="9">
        <v>2026</v>
      </c>
      <c r="W5" s="9">
        <v>2027</v>
      </c>
      <c r="X5" s="9">
        <v>2028</v>
      </c>
      <c r="Y5" s="9">
        <v>2029</v>
      </c>
      <c r="Z5" s="9">
        <v>2030</v>
      </c>
      <c r="AA5" s="9">
        <v>2031</v>
      </c>
      <c r="AB5" s="9">
        <v>2032</v>
      </c>
      <c r="AC5" s="9">
        <v>2033</v>
      </c>
      <c r="AD5" s="9">
        <v>2034</v>
      </c>
      <c r="AE5" s="9">
        <v>2035</v>
      </c>
      <c r="AF5" s="9">
        <v>2036</v>
      </c>
      <c r="AG5" s="9">
        <v>2037</v>
      </c>
      <c r="AH5" s="9">
        <v>2038</v>
      </c>
      <c r="AI5" s="9">
        <v>2039</v>
      </c>
      <c r="AJ5" s="9">
        <v>2040</v>
      </c>
      <c r="AK5" s="9">
        <v>2041</v>
      </c>
      <c r="AL5" s="9">
        <v>2042</v>
      </c>
      <c r="AM5" s="9">
        <v>2043</v>
      </c>
      <c r="AN5" s="9">
        <v>2044</v>
      </c>
      <c r="AO5" s="9">
        <v>2045</v>
      </c>
      <c r="AP5" s="9">
        <v>2046</v>
      </c>
      <c r="AQ5" s="9">
        <v>2047</v>
      </c>
      <c r="AR5" s="9">
        <v>2048</v>
      </c>
      <c r="AS5" s="9">
        <v>2049</v>
      </c>
      <c r="AT5" s="9">
        <v>2050</v>
      </c>
      <c r="AU5" s="9">
        <v>2051</v>
      </c>
      <c r="AV5" s="9">
        <v>2052</v>
      </c>
      <c r="AW5" s="9">
        <v>2053</v>
      </c>
      <c r="AX5" s="9">
        <v>2054</v>
      </c>
      <c r="AY5" s="9">
        <v>2055</v>
      </c>
      <c r="AZ5" s="9">
        <v>2056</v>
      </c>
      <c r="BA5" s="9">
        <v>2057</v>
      </c>
      <c r="BB5" s="9">
        <v>2058</v>
      </c>
      <c r="BC5" s="9">
        <v>2059</v>
      </c>
      <c r="BD5" s="9">
        <v>2060</v>
      </c>
      <c r="BE5" s="9">
        <v>2061</v>
      </c>
      <c r="BF5" s="9">
        <v>2062</v>
      </c>
      <c r="BG5" s="9">
        <v>2063</v>
      </c>
      <c r="BH5" s="9">
        <v>2064</v>
      </c>
      <c r="BI5" s="9">
        <v>2065</v>
      </c>
    </row>
    <row r="6" spans="1:67" x14ac:dyDescent="0.25">
      <c r="A6" s="9" t="s">
        <v>389</v>
      </c>
      <c r="B6" s="9" t="s">
        <v>444</v>
      </c>
    </row>
    <row r="7" spans="1:67" x14ac:dyDescent="0.25">
      <c r="A7" s="11" t="s">
        <v>701</v>
      </c>
      <c r="B7" s="70"/>
      <c r="D7" s="16">
        <v>0.38500000000000001</v>
      </c>
      <c r="E7" s="16">
        <v>0.38300000000000001</v>
      </c>
      <c r="F7" s="16">
        <v>0.433</v>
      </c>
      <c r="G7" s="16">
        <v>0.51800000000000002</v>
      </c>
      <c r="H7" s="16">
        <v>0.53900000000000003</v>
      </c>
      <c r="I7" s="16">
        <v>0.59499999999999997</v>
      </c>
      <c r="J7" s="16">
        <v>0.76700000000000002</v>
      </c>
      <c r="K7" s="16">
        <v>0.76</v>
      </c>
      <c r="L7" s="16">
        <v>0.752</v>
      </c>
      <c r="M7" s="16">
        <v>0.83299999999999996</v>
      </c>
      <c r="N7" s="16">
        <v>0.93500000000000005</v>
      </c>
      <c r="O7" s="16">
        <v>1.133</v>
      </c>
      <c r="P7" s="16">
        <v>0.80300000000000005</v>
      </c>
      <c r="Q7" s="16">
        <v>0.74199999999999999</v>
      </c>
      <c r="R7" s="16">
        <v>1.077</v>
      </c>
      <c r="S7" s="16">
        <v>1.32</v>
      </c>
      <c r="T7" s="16">
        <v>1.659</v>
      </c>
      <c r="U7" s="16">
        <v>1.7050000000000001</v>
      </c>
      <c r="V7" s="16">
        <v>1.7729999999999999</v>
      </c>
      <c r="W7" s="16">
        <v>1.869</v>
      </c>
      <c r="X7" s="16">
        <v>1.9930000000000001</v>
      </c>
      <c r="Y7" s="16">
        <v>2.1160000000000001</v>
      </c>
      <c r="Z7" s="16">
        <v>2.2485091977363307</v>
      </c>
      <c r="AA7" s="16">
        <v>2.3938922970082097</v>
      </c>
      <c r="AB7" s="16">
        <v>2.5467212694327102</v>
      </c>
      <c r="AC7" s="16">
        <v>2.706584874798061</v>
      </c>
      <c r="AD7" s="16">
        <v>2.8731767733957629</v>
      </c>
      <c r="AE7" s="16">
        <v>3.0468545845477002</v>
      </c>
      <c r="AF7" s="16">
        <v>3.2277867965278375</v>
      </c>
      <c r="AG7" s="16">
        <v>3.4161958959481393</v>
      </c>
      <c r="AH7" s="16">
        <v>3.6136348721088121</v>
      </c>
      <c r="AI7" s="16">
        <v>3.8221106236944116</v>
      </c>
      <c r="AJ7" s="16">
        <v>4.0440128012558398</v>
      </c>
      <c r="AK7" s="16">
        <v>4.2819925708685664</v>
      </c>
      <c r="AL7" s="16">
        <v>4.5380381933936791</v>
      </c>
      <c r="AM7" s="16">
        <v>4.813884327566532</v>
      </c>
      <c r="AN7" s="16">
        <v>5.1108270571612575</v>
      </c>
      <c r="AO7" s="16">
        <v>5.411890318535777</v>
      </c>
      <c r="AP7" s="16">
        <v>5.7318916946083114</v>
      </c>
      <c r="AQ7" s="16">
        <v>6.0708464995846274</v>
      </c>
      <c r="AR7" s="16">
        <v>6.4283229784530489</v>
      </c>
      <c r="AS7" s="16">
        <v>6.8037925285814174</v>
      </c>
      <c r="AT7" s="16">
        <v>7.196854812640562</v>
      </c>
      <c r="AU7" s="16">
        <v>7.6069019641818008</v>
      </c>
      <c r="AV7" s="16">
        <v>8.0323450771558971</v>
      </c>
      <c r="AW7" s="16">
        <v>8.4703905299002482</v>
      </c>
      <c r="AX7" s="16">
        <v>8.9187847741125257</v>
      </c>
      <c r="AY7" s="16">
        <v>9.3750451481579429</v>
      </c>
      <c r="AZ7" s="16">
        <v>9.8363066833099211</v>
      </c>
      <c r="BA7" s="16">
        <v>10.30133028976487</v>
      </c>
      <c r="BB7" s="16">
        <v>10.770285691436372</v>
      </c>
      <c r="BC7" s="16">
        <v>11.244522520308308</v>
      </c>
      <c r="BD7" s="16">
        <v>11.725308201611897</v>
      </c>
      <c r="BE7" s="16">
        <v>12.213604692878054</v>
      </c>
      <c r="BF7" s="16">
        <v>12.711091473249665</v>
      </c>
      <c r="BG7" s="16">
        <v>13.21908289391642</v>
      </c>
      <c r="BH7" s="16">
        <v>13.739140593069376</v>
      </c>
      <c r="BI7" s="16">
        <v>14.271265874217802</v>
      </c>
    </row>
    <row r="8" spans="1:67" x14ac:dyDescent="0.25">
      <c r="A8" s="10" t="s">
        <v>796</v>
      </c>
      <c r="B8" s="70"/>
      <c r="D8" s="16">
        <v>0.23699999999999999</v>
      </c>
      <c r="E8" s="16">
        <v>4.0000000000000001E-3</v>
      </c>
      <c r="F8" s="16">
        <v>-2.7E-2</v>
      </c>
      <c r="G8" s="16">
        <v>0.872</v>
      </c>
      <c r="H8" s="16">
        <v>0.16</v>
      </c>
      <c r="I8" s="16">
        <v>0.98299999999999998</v>
      </c>
      <c r="J8" s="16">
        <v>1.0740000000000001</v>
      </c>
      <c r="K8" s="16">
        <v>4.5999999999999999E-2</v>
      </c>
      <c r="L8" s="16">
        <v>0.51200000000000001</v>
      </c>
      <c r="M8" s="16">
        <v>1.139</v>
      </c>
      <c r="N8" s="16">
        <v>0.24099999999999999</v>
      </c>
      <c r="O8" s="16">
        <v>0.54</v>
      </c>
      <c r="P8" s="16">
        <v>0.44800000000000001</v>
      </c>
      <c r="Q8" s="16">
        <v>2.1560000000000001</v>
      </c>
      <c r="R8" s="16">
        <v>3.5000000000000003E-2</v>
      </c>
      <c r="S8" s="16">
        <v>0.127</v>
      </c>
      <c r="T8" s="16">
        <v>1.29</v>
      </c>
      <c r="U8" s="16">
        <v>1.389</v>
      </c>
      <c r="V8" s="16">
        <v>1.518</v>
      </c>
      <c r="W8" s="16">
        <v>1.6120000000000001</v>
      </c>
      <c r="X8" s="16">
        <v>1.7110000000000001</v>
      </c>
      <c r="Y8" s="16">
        <v>1.8169999999999999</v>
      </c>
      <c r="Z8" s="16">
        <v>1.9481668139231745</v>
      </c>
      <c r="AA8" s="16">
        <v>2.0741305100432137</v>
      </c>
      <c r="AB8" s="16">
        <v>2.206545504201626</v>
      </c>
      <c r="AC8" s="16">
        <v>2.3450554871896556</v>
      </c>
      <c r="AD8" s="16">
        <v>2.4893950383212387</v>
      </c>
      <c r="AE8" s="16">
        <v>2.6398740082723755</v>
      </c>
      <c r="AF8" s="16">
        <v>2.7966383796631078</v>
      </c>
      <c r="AG8" s="16">
        <v>2.959880920677088</v>
      </c>
      <c r="AH8" s="16">
        <v>3.1309471816105225</v>
      </c>
      <c r="AI8" s="16">
        <v>3.3115759916485872</v>
      </c>
      <c r="AJ8" s="16">
        <v>3.5038378061422435</v>
      </c>
      <c r="AK8" s="16">
        <v>3.7100296642904542</v>
      </c>
      <c r="AL8" s="16">
        <v>3.9318742469836923</v>
      </c>
      <c r="AM8" s="16">
        <v>4.1708745076388718</v>
      </c>
      <c r="AN8" s="16">
        <v>4.4281534069267208</v>
      </c>
      <c r="AO8" s="16">
        <v>4.6890024420526579</v>
      </c>
      <c r="AP8" s="16">
        <v>4.9662599520072011</v>
      </c>
      <c r="AQ8" s="16">
        <v>5.2599392054162832</v>
      </c>
      <c r="AR8" s="16">
        <v>5.5696661185152765</v>
      </c>
      <c r="AS8" s="16">
        <v>5.8949826962438268</v>
      </c>
      <c r="AT8" s="16">
        <v>6.2355420759340596</v>
      </c>
      <c r="AU8" s="16">
        <v>6.5908175862947003</v>
      </c>
      <c r="AV8" s="16">
        <v>6.959432557824603</v>
      </c>
      <c r="AW8" s="16">
        <v>7.3389665241012976</v>
      </c>
      <c r="AX8" s="16">
        <v>7.7274669522996611</v>
      </c>
      <c r="AY8" s="16">
        <v>8.1227827998480358</v>
      </c>
      <c r="AZ8" s="16">
        <v>8.5224317833732162</v>
      </c>
      <c r="BA8" s="16">
        <v>8.9253403232619792</v>
      </c>
      <c r="BB8" s="16">
        <v>9.3316554727246537</v>
      </c>
      <c r="BC8" s="16">
        <v>9.7425465879927557</v>
      </c>
      <c r="BD8" s="16">
        <v>10.159111799230523</v>
      </c>
      <c r="BE8" s="16">
        <v>10.582184571446687</v>
      </c>
      <c r="BF8" s="16">
        <v>11.013220049024978</v>
      </c>
      <c r="BG8" s="16">
        <v>11.453357019999785</v>
      </c>
      <c r="BH8" s="16">
        <v>11.903948528291155</v>
      </c>
      <c r="BI8" s="16">
        <v>12.364995703293401</v>
      </c>
    </row>
    <row r="9" spans="1:67" x14ac:dyDescent="0.25">
      <c r="A9" s="11" t="s">
        <v>1089</v>
      </c>
      <c r="B9" s="70"/>
      <c r="D9" s="16">
        <v>3.4000000000000002E-2</v>
      </c>
      <c r="E9" s="16">
        <v>-0.32300000000000001</v>
      </c>
      <c r="F9" s="16">
        <v>0.502</v>
      </c>
      <c r="G9" s="16">
        <v>0.16900000000000001</v>
      </c>
      <c r="H9" s="16">
        <v>0.13200000000000001</v>
      </c>
      <c r="I9" s="16">
        <v>0.16500000000000001</v>
      </c>
      <c r="J9" s="16">
        <v>0.16400000000000001</v>
      </c>
      <c r="K9" s="16">
        <v>0.19800000000000001</v>
      </c>
      <c r="L9" s="16">
        <v>0.13800000000000001</v>
      </c>
      <c r="M9" s="16">
        <v>0.22700000000000001</v>
      </c>
      <c r="N9" s="16">
        <v>0.34100000000000003</v>
      </c>
      <c r="O9" s="16">
        <v>0.255</v>
      </c>
      <c r="P9" s="16">
        <v>0.15</v>
      </c>
      <c r="Q9" s="16">
        <v>0.125</v>
      </c>
      <c r="R9" s="16">
        <v>-0.51700000000000002</v>
      </c>
      <c r="S9" s="16">
        <v>1.054</v>
      </c>
      <c r="T9" s="16">
        <v>0.189</v>
      </c>
      <c r="U9" s="16">
        <v>0.253</v>
      </c>
      <c r="V9" s="16">
        <v>0.314</v>
      </c>
      <c r="W9" s="16">
        <v>0.33600000000000002</v>
      </c>
      <c r="X9" s="16">
        <v>0.36</v>
      </c>
      <c r="Y9" s="16">
        <v>0.38700000000000001</v>
      </c>
      <c r="Z9" s="16">
        <v>0.40586808623399473</v>
      </c>
      <c r="AA9" s="16">
        <v>0.43211052292566959</v>
      </c>
      <c r="AB9" s="16">
        <v>0.45969698004200543</v>
      </c>
      <c r="AC9" s="16">
        <v>0.48855322649784494</v>
      </c>
      <c r="AD9" s="16">
        <v>0.51862396631692476</v>
      </c>
      <c r="AE9" s="16">
        <v>0.54997375172341156</v>
      </c>
      <c r="AF9" s="16">
        <v>0.58263299576314753</v>
      </c>
      <c r="AG9" s="16">
        <v>0.61664185847439335</v>
      </c>
      <c r="AH9" s="16">
        <v>0.65228066283552566</v>
      </c>
      <c r="AI9" s="16">
        <v>0.68991166492678913</v>
      </c>
      <c r="AJ9" s="16">
        <v>0.72996620961296754</v>
      </c>
      <c r="AK9" s="16">
        <v>0.77292284672717804</v>
      </c>
      <c r="AL9" s="16">
        <v>0.81914046812160268</v>
      </c>
      <c r="AM9" s="16">
        <v>0.86893218909143166</v>
      </c>
      <c r="AN9" s="16">
        <v>0.92253195977640035</v>
      </c>
      <c r="AO9" s="16">
        <v>0.97687550876097051</v>
      </c>
      <c r="AP9" s="16">
        <v>1.0346374900015003</v>
      </c>
      <c r="AQ9" s="16">
        <v>1.095820667795059</v>
      </c>
      <c r="AR9" s="16">
        <v>1.160347108024016</v>
      </c>
      <c r="AS9" s="16">
        <v>1.2281213950507972</v>
      </c>
      <c r="AT9" s="16">
        <v>1.299071265819596</v>
      </c>
      <c r="AU9" s="16">
        <v>1.3730869971447293</v>
      </c>
      <c r="AV9" s="16">
        <v>1.4498817828801258</v>
      </c>
      <c r="AW9" s="16">
        <v>1.5289513591877704</v>
      </c>
      <c r="AX9" s="16">
        <v>1.6098889483957628</v>
      </c>
      <c r="AY9" s="16">
        <v>1.6922464166350075</v>
      </c>
      <c r="AZ9" s="16">
        <v>1.7755066215360866</v>
      </c>
      <c r="BA9" s="16">
        <v>1.8594459006795792</v>
      </c>
      <c r="BB9" s="16">
        <v>1.9440948901509696</v>
      </c>
      <c r="BC9" s="16">
        <v>2.0296972058318246</v>
      </c>
      <c r="BD9" s="16">
        <v>2.1164816248396927</v>
      </c>
      <c r="BE9" s="16">
        <v>2.2046217857180603</v>
      </c>
      <c r="BF9" s="16">
        <v>2.2944208435468707</v>
      </c>
      <c r="BG9" s="16">
        <v>2.3861160458332886</v>
      </c>
      <c r="BH9" s="16">
        <v>2.4799892767273239</v>
      </c>
      <c r="BI9" s="16">
        <v>2.5760407715194589</v>
      </c>
    </row>
    <row r="10" spans="1:67" x14ac:dyDescent="0.25">
      <c r="A10" s="11" t="s">
        <v>789</v>
      </c>
      <c r="B10" s="70"/>
      <c r="D10" s="16">
        <v>-0.995</v>
      </c>
      <c r="E10" s="16">
        <v>-3.4950000000000001</v>
      </c>
      <c r="F10" s="16">
        <v>1.75</v>
      </c>
      <c r="G10" s="16">
        <v>3.5179999999999998</v>
      </c>
      <c r="H10" s="16">
        <v>-0.20399999999999999</v>
      </c>
      <c r="I10" s="16">
        <v>4.3739999999999997</v>
      </c>
      <c r="J10" s="16">
        <v>3.7349999999999999</v>
      </c>
      <c r="K10" s="16">
        <v>3.1560000000000001</v>
      </c>
      <c r="L10" s="16">
        <v>-7.5999999999999998E-2</v>
      </c>
      <c r="M10" s="16">
        <v>5.5119999999999996</v>
      </c>
      <c r="N10" s="16">
        <v>3.5640000000000001</v>
      </c>
      <c r="O10" s="16">
        <v>1.986</v>
      </c>
      <c r="P10" s="16">
        <v>1.7000000000000001E-2</v>
      </c>
      <c r="Q10" s="16">
        <v>12.786</v>
      </c>
      <c r="R10" s="16">
        <v>-5.133</v>
      </c>
      <c r="S10" s="16">
        <v>5.766</v>
      </c>
      <c r="T10" s="16">
        <v>8.3520000000000003</v>
      </c>
      <c r="U10" s="16">
        <v>6.6360000000000001</v>
      </c>
      <c r="V10" s="16">
        <v>4.9329999999999998</v>
      </c>
      <c r="W10" s="16">
        <v>5.2549999999999999</v>
      </c>
      <c r="X10" s="16">
        <v>5.57</v>
      </c>
      <c r="Y10" s="16">
        <v>5.9210000000000003</v>
      </c>
      <c r="Z10" s="16">
        <v>6.2747206131775579</v>
      </c>
      <c r="AA10" s="16">
        <v>6.6804286844308516</v>
      </c>
      <c r="AB10" s="16">
        <v>7.1069153114494039</v>
      </c>
      <c r="AC10" s="16">
        <v>7.5530328816566827</v>
      </c>
      <c r="AD10" s="16">
        <v>8.0179265192596567</v>
      </c>
      <c r="AE10" s="16">
        <v>8.5025942016439426</v>
      </c>
      <c r="AF10" s="16">
        <v>9.0075061144982609</v>
      </c>
      <c r="AG10" s="16">
        <v>9.5332831320141214</v>
      </c>
      <c r="AH10" s="16">
        <v>10.084259047437225</v>
      </c>
      <c r="AI10" s="16">
        <v>10.666034339768158</v>
      </c>
      <c r="AJ10" s="16">
        <v>11.285277600616476</v>
      </c>
      <c r="AK10" s="16">
        <v>11.949387210402172</v>
      </c>
      <c r="AL10" s="16">
        <v>12.663911637159977</v>
      </c>
      <c r="AM10" s="16">
        <v>13.433691643353534</v>
      </c>
      <c r="AN10" s="16">
        <v>14.262344098143148</v>
      </c>
      <c r="AO10" s="16">
        <v>15.102495365444604</v>
      </c>
      <c r="AP10" s="16">
        <v>15.995495595423193</v>
      </c>
      <c r="AQ10" s="16">
        <v>16.941387524111612</v>
      </c>
      <c r="AR10" s="16">
        <v>17.938966290051287</v>
      </c>
      <c r="AS10" s="16">
        <v>18.986756767485325</v>
      </c>
      <c r="AT10" s="16">
        <v>20.083641769570953</v>
      </c>
      <c r="AU10" s="16">
        <v>21.227924975857515</v>
      </c>
      <c r="AV10" s="16">
        <v>22.415172363326747</v>
      </c>
      <c r="AW10" s="16">
        <v>23.637588013042929</v>
      </c>
      <c r="AX10" s="16">
        <v>24.888883142198491</v>
      </c>
      <c r="AY10" s="16">
        <v>26.162129601177217</v>
      </c>
      <c r="AZ10" s="16">
        <v>27.4493323689479</v>
      </c>
      <c r="BA10" s="16">
        <v>28.747033624506294</v>
      </c>
      <c r="BB10" s="16">
        <v>30.055707001733989</v>
      </c>
      <c r="BC10" s="16">
        <v>31.379118802160004</v>
      </c>
      <c r="BD10" s="16">
        <v>32.720805920021647</v>
      </c>
      <c r="BE10" s="16">
        <v>34.083452807201212</v>
      </c>
      <c r="BF10" s="16">
        <v>35.471746241234619</v>
      </c>
      <c r="BG10" s="16">
        <v>36.889354068582641</v>
      </c>
      <c r="BH10" s="16">
        <v>38.340634218204428</v>
      </c>
      <c r="BI10" s="16">
        <v>39.825590327690833</v>
      </c>
    </row>
    <row r="11" spans="1:67" x14ac:dyDescent="0.25">
      <c r="A11" s="11" t="s">
        <v>390</v>
      </c>
      <c r="B11" s="70"/>
      <c r="D11" s="16">
        <v>2.1040000000000001</v>
      </c>
      <c r="E11" s="16">
        <v>2.2429999999999999</v>
      </c>
      <c r="F11" s="16">
        <v>0.25</v>
      </c>
      <c r="G11" s="16">
        <v>0</v>
      </c>
      <c r="H11" s="16">
        <v>0</v>
      </c>
      <c r="I11" s="16">
        <v>0</v>
      </c>
      <c r="J11" s="16">
        <v>0</v>
      </c>
      <c r="K11" s="16">
        <v>0</v>
      </c>
      <c r="L11" s="16">
        <v>0</v>
      </c>
      <c r="M11" s="16">
        <v>0</v>
      </c>
      <c r="N11" s="16">
        <v>0.5</v>
      </c>
      <c r="O11" s="16">
        <v>1</v>
      </c>
      <c r="P11" s="16">
        <v>1.46</v>
      </c>
      <c r="Q11" s="16">
        <v>2.12</v>
      </c>
      <c r="R11" s="16">
        <v>2.42</v>
      </c>
      <c r="S11" s="16">
        <v>2.5579999999999998</v>
      </c>
      <c r="T11" s="16">
        <v>1.6140000000000008</v>
      </c>
      <c r="U11" s="16">
        <v>0.87900000000000134</v>
      </c>
      <c r="V11" s="16">
        <v>0</v>
      </c>
      <c r="W11" s="16">
        <v>4.0000000000013358E-3</v>
      </c>
      <c r="X11" s="16">
        <v>-3.2000000000000028E-2</v>
      </c>
      <c r="Y11" s="16">
        <v>6.2999999999998835E-2</v>
      </c>
      <c r="Z11" s="16">
        <v>0.57706930755217201</v>
      </c>
      <c r="AA11" s="16">
        <v>0.53863117962832163</v>
      </c>
      <c r="AB11" s="16">
        <v>0.46530016941342822</v>
      </c>
      <c r="AC11" s="16">
        <v>0.34700095922042351</v>
      </c>
      <c r="AD11" s="16">
        <v>0.20906371226192988</v>
      </c>
      <c r="AE11" s="16">
        <v>9.0577600526046353E-2</v>
      </c>
      <c r="AF11" s="16">
        <v>-7.7012530974350568E-2</v>
      </c>
      <c r="AG11" s="16">
        <v>-0.20662445619740311</v>
      </c>
      <c r="AH11" s="16">
        <v>-0.26874709325309709</v>
      </c>
      <c r="AI11" s="16">
        <v>-0.26200959269547752</v>
      </c>
      <c r="AJ11" s="16">
        <v>-0.16114626303163249</v>
      </c>
      <c r="AK11" s="16">
        <v>1.5634832872052584E-2</v>
      </c>
      <c r="AL11" s="16">
        <v>0.20658764755357595</v>
      </c>
      <c r="AM11" s="16">
        <v>0.44819469377786447</v>
      </c>
      <c r="AN11" s="16">
        <v>0.64125728695573514</v>
      </c>
      <c r="AO11" s="16">
        <v>0.8085819375104677</v>
      </c>
      <c r="AP11" s="16">
        <v>0.94045446438789781</v>
      </c>
      <c r="AQ11" s="16">
        <v>1.0229803395255246</v>
      </c>
      <c r="AR11" s="16">
        <v>1.0268894697404249</v>
      </c>
      <c r="AS11" s="16">
        <v>0.97970226137621808</v>
      </c>
      <c r="AT11" s="16">
        <v>0.86437019953181249</v>
      </c>
      <c r="AU11" s="16">
        <v>0.68191550315545157</v>
      </c>
      <c r="AV11" s="16">
        <v>0.33150433630515863</v>
      </c>
      <c r="AW11" s="16">
        <v>-0.18430350998096401</v>
      </c>
      <c r="AX11" s="16">
        <v>-0.79841628371046625</v>
      </c>
      <c r="AY11" s="16">
        <v>-1.6051559459170477</v>
      </c>
      <c r="AZ11" s="16">
        <v>-2.5198145728177366</v>
      </c>
      <c r="BA11" s="16">
        <v>-3.4579122888796121</v>
      </c>
      <c r="BB11" s="16">
        <v>-4.3648674392876927</v>
      </c>
      <c r="BC11" s="16">
        <v>-5.1806451486930598</v>
      </c>
      <c r="BD11" s="16">
        <v>-5.9924477999459071</v>
      </c>
      <c r="BE11" s="16">
        <v>-6.7339510213220564</v>
      </c>
      <c r="BF11" s="16">
        <v>-7.4115814251896239</v>
      </c>
      <c r="BG11" s="16">
        <v>-8.0647609383281491</v>
      </c>
      <c r="BH11" s="16">
        <v>-8.6248999776821762</v>
      </c>
      <c r="BI11" s="16">
        <v>-9.3520141865447641</v>
      </c>
    </row>
    <row r="12" spans="1:67" x14ac:dyDescent="0.25">
      <c r="A12" s="11" t="s">
        <v>391</v>
      </c>
      <c r="B12" s="70"/>
      <c r="D12" s="16">
        <v>1.6E-2</v>
      </c>
      <c r="E12" s="16">
        <v>2.5999999999999999E-2</v>
      </c>
      <c r="F12" s="16">
        <v>0.01</v>
      </c>
      <c r="G12" s="16">
        <v>1E-3</v>
      </c>
      <c r="H12" s="16">
        <v>8.0000000000000002E-3</v>
      </c>
      <c r="I12" s="16">
        <v>2.5000000000000001E-2</v>
      </c>
      <c r="J12" s="16">
        <v>-4.0000000000000001E-3</v>
      </c>
      <c r="K12" s="16">
        <v>4.1000000000000002E-2</v>
      </c>
      <c r="L12" s="16">
        <v>-2.1000000000000001E-2</v>
      </c>
      <c r="M12" s="16">
        <v>0</v>
      </c>
      <c r="N12" s="16">
        <v>0.13</v>
      </c>
      <c r="O12" s="16">
        <v>6.8000000000000005E-2</v>
      </c>
      <c r="P12" s="16">
        <v>-0.13</v>
      </c>
      <c r="Q12" s="16">
        <v>1E-3</v>
      </c>
      <c r="R12" s="16">
        <v>-1E-3</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row>
    <row r="13" spans="1:67" x14ac:dyDescent="0.25">
      <c r="A13" s="9" t="s">
        <v>392</v>
      </c>
      <c r="B13" s="70"/>
      <c r="D13" s="47">
        <v>14.212000000000002</v>
      </c>
      <c r="E13" s="47">
        <v>13.688000000000001</v>
      </c>
      <c r="F13" s="47">
        <v>15.656000000000001</v>
      </c>
      <c r="G13" s="47">
        <v>18.652000000000001</v>
      </c>
      <c r="H13" s="47">
        <v>18.702999999999999</v>
      </c>
      <c r="I13" s="47">
        <v>22.548999999999999</v>
      </c>
      <c r="J13" s="47">
        <v>25.808999999999997</v>
      </c>
      <c r="K13" s="47">
        <v>29.521999999999998</v>
      </c>
      <c r="L13" s="47">
        <v>29.526999999999997</v>
      </c>
      <c r="M13" s="47">
        <v>34.506</v>
      </c>
      <c r="N13" s="47">
        <v>39.053000000000004</v>
      </c>
      <c r="O13" s="47">
        <v>42.445</v>
      </c>
      <c r="P13" s="47">
        <v>43.997</v>
      </c>
      <c r="Q13" s="47">
        <v>57.364999999999995</v>
      </c>
      <c r="R13" s="47">
        <v>56.21</v>
      </c>
      <c r="S13" s="47">
        <v>64.673000000000002</v>
      </c>
      <c r="T13" s="47">
        <v>74.819000000000003</v>
      </c>
      <c r="U13" s="47">
        <v>82.397000000000006</v>
      </c>
      <c r="V13" s="47">
        <v>87.271000000000001</v>
      </c>
      <c r="W13" s="47">
        <v>92.451000000000008</v>
      </c>
      <c r="X13" s="47">
        <v>97.911000000000016</v>
      </c>
      <c r="Y13" s="47">
        <v>103.80700000000003</v>
      </c>
      <c r="Z13" s="47">
        <v>110.55326421830893</v>
      </c>
      <c r="AA13" s="47">
        <v>117.65997534640742</v>
      </c>
      <c r="AB13" s="47">
        <v>125.11266961245933</v>
      </c>
      <c r="AC13" s="47">
        <v>132.88567961444699</v>
      </c>
      <c r="AD13" s="47">
        <v>140.97782761472615</v>
      </c>
      <c r="AE13" s="47">
        <v>149.42800624144803</v>
      </c>
      <c r="AF13" s="47">
        <v>158.20701524607352</v>
      </c>
      <c r="AG13" s="47">
        <v>167.37334703868692</v>
      </c>
      <c r="AH13" s="47">
        <v>177.01926602053382</v>
      </c>
      <c r="AI13" s="47">
        <v>187.24391373472554</v>
      </c>
      <c r="AJ13" s="47">
        <v>198.178253857811</v>
      </c>
      <c r="AK13" s="47">
        <v>209.94231596093616</v>
      </c>
      <c r="AL13" s="47">
        <v>222.59983872393809</v>
      </c>
      <c r="AM13" s="47">
        <v>236.2558026919057</v>
      </c>
      <c r="AN13" s="47">
        <v>250.91954576746269</v>
      </c>
      <c r="AO13" s="47">
        <v>266.57663543813993</v>
      </c>
      <c r="AP13" s="47">
        <v>283.24357975055062</v>
      </c>
      <c r="AQ13" s="47">
        <v>300.92303424056104</v>
      </c>
      <c r="AR13" s="47">
        <v>319.58719975226649</v>
      </c>
      <c r="AS13" s="47">
        <v>339.23434721841483</v>
      </c>
      <c r="AT13" s="47">
        <v>359.84460065840449</v>
      </c>
      <c r="AU13" s="47">
        <v>381.39743851815984</v>
      </c>
      <c r="AV13" s="47">
        <v>403.76714595424295</v>
      </c>
      <c r="AW13" s="47">
        <v>426.82290310391608</v>
      </c>
      <c r="AX13" s="47">
        <v>450.4947988358212</v>
      </c>
      <c r="AY13" s="47">
        <v>474.61178842275626</v>
      </c>
      <c r="AZ13" s="47">
        <v>499.07967449728704</v>
      </c>
      <c r="BA13" s="47">
        <v>523.88533989873702</v>
      </c>
      <c r="BB13" s="47">
        <v>549.0707147897441</v>
      </c>
      <c r="BC13" s="47">
        <v>574.74146716969483</v>
      </c>
      <c r="BD13" s="47">
        <v>600.91954006731214</v>
      </c>
      <c r="BE13" s="47">
        <v>627.69584018890464</v>
      </c>
      <c r="BF13" s="47">
        <v>655.15945558562737</v>
      </c>
      <c r="BG13" s="47">
        <v>683.36365854396524</v>
      </c>
      <c r="BH13" s="47">
        <v>712.43459557253846</v>
      </c>
      <c r="BI13" s="47">
        <v>742.23840111308937</v>
      </c>
    </row>
    <row r="14" spans="1:67" x14ac:dyDescent="0.25">
      <c r="A14" s="11"/>
      <c r="B14" s="70"/>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7" x14ac:dyDescent="0.25">
      <c r="A15" s="9" t="s">
        <v>393</v>
      </c>
      <c r="B15" s="70"/>
    </row>
    <row r="16" spans="1:67" x14ac:dyDescent="0.25">
      <c r="A16" s="11" t="s">
        <v>394</v>
      </c>
      <c r="B16" s="70"/>
      <c r="D16" s="16">
        <v>1.2010000000000001</v>
      </c>
      <c r="E16" s="16">
        <v>1.35</v>
      </c>
      <c r="F16" s="16">
        <v>1.5249999999999999</v>
      </c>
      <c r="G16" s="16">
        <v>1.5640000000000001</v>
      </c>
      <c r="H16" s="16">
        <v>1.5860000000000001</v>
      </c>
      <c r="I16" s="16">
        <v>1.4810000000000001</v>
      </c>
      <c r="J16" s="16">
        <v>1.512</v>
      </c>
      <c r="K16" s="16">
        <v>1.518</v>
      </c>
      <c r="L16" s="16">
        <v>1.512</v>
      </c>
      <c r="M16" s="16">
        <v>1.4750000000000001</v>
      </c>
      <c r="N16" s="16">
        <v>1.3</v>
      </c>
      <c r="O16" s="16">
        <v>1.361</v>
      </c>
      <c r="P16" s="16">
        <v>1.413</v>
      </c>
      <c r="Q16" s="16">
        <v>1.43</v>
      </c>
      <c r="R16" s="16">
        <v>1.2949999999999999</v>
      </c>
      <c r="S16" s="16">
        <v>1.2709999999999999</v>
      </c>
      <c r="T16" s="16">
        <v>1.3480000000000001</v>
      </c>
      <c r="U16" s="16">
        <v>1.6339999999999999</v>
      </c>
      <c r="V16" s="16">
        <v>1.877</v>
      </c>
      <c r="W16" s="16">
        <v>1.855</v>
      </c>
      <c r="X16" s="16">
        <v>1.8620000000000001</v>
      </c>
      <c r="Y16" s="16">
        <v>1.907</v>
      </c>
      <c r="Z16" s="16">
        <v>1.9442327826405721</v>
      </c>
      <c r="AA16" s="16">
        <v>1.996699391479654</v>
      </c>
      <c r="AB16" s="16">
        <v>2.0455985949070552</v>
      </c>
      <c r="AC16" s="16">
        <v>2.0899678486917921</v>
      </c>
      <c r="AD16" s="16">
        <v>2.1316451947104071</v>
      </c>
      <c r="AE16" s="16">
        <v>2.1717326464473512</v>
      </c>
      <c r="AF16" s="16">
        <v>2.2110293806093164</v>
      </c>
      <c r="AG16" s="16">
        <v>2.2515764973223384</v>
      </c>
      <c r="AH16" s="16">
        <v>2.2920119170874975</v>
      </c>
      <c r="AI16" s="16">
        <v>2.3347295940068622</v>
      </c>
      <c r="AJ16" s="16">
        <v>2.3784377396445269</v>
      </c>
      <c r="AK16" s="16">
        <v>2.4232471048656792</v>
      </c>
      <c r="AL16" s="16">
        <v>2.469938462413634</v>
      </c>
      <c r="AM16" s="16">
        <v>2.5199367517044533</v>
      </c>
      <c r="AN16" s="16">
        <v>2.5718344108800268</v>
      </c>
      <c r="AO16" s="16">
        <v>2.6260663682149032</v>
      </c>
      <c r="AP16" s="16">
        <v>2.6823301208440955</v>
      </c>
      <c r="AQ16" s="16">
        <v>2.7393932822472391</v>
      </c>
      <c r="AR16" s="16">
        <v>2.7967851369754291</v>
      </c>
      <c r="AS16" s="16">
        <v>2.8553818573401051</v>
      </c>
      <c r="AT16" s="16">
        <v>2.914848065551662</v>
      </c>
      <c r="AU16" s="16">
        <v>2.9751406352105567</v>
      </c>
      <c r="AV16" s="16">
        <v>3.0369386570545962</v>
      </c>
      <c r="AW16" s="16">
        <v>3.1007679661162437</v>
      </c>
      <c r="AX16" s="16">
        <v>3.1669454772556471</v>
      </c>
      <c r="AY16" s="16">
        <v>3.2352708312984868</v>
      </c>
      <c r="AZ16" s="16">
        <v>3.3060520559669451</v>
      </c>
      <c r="BA16" s="16">
        <v>3.3791568111819239</v>
      </c>
      <c r="BB16" s="16">
        <v>3.4554377688817359</v>
      </c>
      <c r="BC16" s="16">
        <v>3.534164536765962</v>
      </c>
      <c r="BD16" s="16">
        <v>3.6147832810097458</v>
      </c>
      <c r="BE16" s="16">
        <v>3.6980063963614533</v>
      </c>
      <c r="BF16" s="16">
        <v>3.78270739557234</v>
      </c>
      <c r="BG16" s="16">
        <v>3.8686669213759504</v>
      </c>
      <c r="BH16" s="16">
        <v>3.9554147631086241</v>
      </c>
      <c r="BI16" s="16">
        <v>4.0426395938105317</v>
      </c>
      <c r="BJ16" s="16"/>
      <c r="BK16" s="16"/>
      <c r="BL16" s="16"/>
      <c r="BM16" s="16"/>
      <c r="BN16" s="16"/>
      <c r="BO16" s="16"/>
    </row>
    <row r="17" spans="1:67" x14ac:dyDescent="0.25">
      <c r="A17" s="11" t="s">
        <v>395</v>
      </c>
      <c r="B17" s="70"/>
      <c r="D17" s="16">
        <v>7.0000000000000001E-3</v>
      </c>
      <c r="E17" s="16">
        <v>1.7999999999999999E-2</v>
      </c>
      <c r="F17" s="16">
        <v>1.0999999999999999E-2</v>
      </c>
      <c r="G17" s="16">
        <v>1.2E-2</v>
      </c>
      <c r="H17" s="16">
        <v>1.0999999999999999E-2</v>
      </c>
      <c r="I17" s="16">
        <v>0</v>
      </c>
      <c r="J17" s="16">
        <v>1.0999999999999999E-2</v>
      </c>
      <c r="K17" s="16">
        <v>1.0999999999999999E-2</v>
      </c>
      <c r="L17" s="16">
        <v>0.01</v>
      </c>
      <c r="M17" s="16">
        <v>0.01</v>
      </c>
      <c r="N17" s="16">
        <v>3.5999999999999997E-2</v>
      </c>
      <c r="O17" s="16">
        <v>3.5999999999999997E-2</v>
      </c>
      <c r="P17" s="16">
        <v>3.5999999999999997E-2</v>
      </c>
      <c r="Q17" s="16">
        <v>3.7999999999999999E-2</v>
      </c>
      <c r="R17" s="16">
        <v>3.7999999999999999E-2</v>
      </c>
      <c r="S17" s="16">
        <v>0.03</v>
      </c>
      <c r="T17" s="16">
        <v>2.8000000000000001E-2</v>
      </c>
      <c r="U17" s="16">
        <v>2.5999999999999999E-2</v>
      </c>
      <c r="V17" s="16">
        <v>2.5000000000000001E-2</v>
      </c>
      <c r="W17" s="16">
        <v>2.4E-2</v>
      </c>
      <c r="X17" s="16">
        <v>2.5000000000000001E-2</v>
      </c>
      <c r="Y17" s="16">
        <v>2.5999999999999999E-2</v>
      </c>
      <c r="Z17" s="16">
        <v>2.5156840887762273E-2</v>
      </c>
      <c r="AA17" s="16">
        <v>2.5436667182115333E-2</v>
      </c>
      <c r="AB17" s="16">
        <v>2.5721799145634688E-2</v>
      </c>
      <c r="AC17" s="16">
        <v>2.6080919867206103E-2</v>
      </c>
      <c r="AD17" s="16">
        <v>2.6506257641129582E-2</v>
      </c>
      <c r="AE17" s="16">
        <v>2.6951733853668607E-2</v>
      </c>
      <c r="AF17" s="16">
        <v>2.7455329326324246E-2</v>
      </c>
      <c r="AG17" s="16">
        <v>2.7963173093792676E-2</v>
      </c>
      <c r="AH17" s="16">
        <v>2.8461492080499213E-2</v>
      </c>
      <c r="AI17" s="16">
        <v>2.8988777934735716E-2</v>
      </c>
      <c r="AJ17" s="16">
        <v>2.9491723204549323E-2</v>
      </c>
      <c r="AK17" s="16">
        <v>3.004646738990888E-2</v>
      </c>
      <c r="AL17" s="16">
        <v>3.0557289800035591E-2</v>
      </c>
      <c r="AM17" s="16">
        <v>3.1072149493139974E-2</v>
      </c>
      <c r="AN17" s="16">
        <v>3.1621235980738814E-2</v>
      </c>
      <c r="AO17" s="16">
        <v>3.2149506230649383E-2</v>
      </c>
      <c r="AP17" s="16">
        <v>3.2699586961868018E-2</v>
      </c>
      <c r="AQ17" s="16">
        <v>3.3283279181859582E-2</v>
      </c>
      <c r="AR17" s="16">
        <v>3.3881685016864685E-2</v>
      </c>
      <c r="AS17" s="16">
        <v>3.4496653745084913E-2</v>
      </c>
      <c r="AT17" s="16">
        <v>3.5165195493481641E-2</v>
      </c>
      <c r="AU17" s="16">
        <v>3.5822586136883126E-2</v>
      </c>
      <c r="AV17" s="16">
        <v>3.6513498368786375E-2</v>
      </c>
      <c r="AW17" s="16">
        <v>3.7234198492891266E-2</v>
      </c>
      <c r="AX17" s="16">
        <v>3.7992744709770411E-2</v>
      </c>
      <c r="AY17" s="16">
        <v>3.87460440246509E-2</v>
      </c>
      <c r="AZ17" s="16">
        <v>3.8184500331599446E-2</v>
      </c>
      <c r="BA17" s="16">
        <v>3.7680468972933943E-2</v>
      </c>
      <c r="BB17" s="16">
        <v>3.8446360338608911E-2</v>
      </c>
      <c r="BC17" s="16">
        <v>3.9235918521325956E-2</v>
      </c>
      <c r="BD17" s="16">
        <v>4.006358234660265E-2</v>
      </c>
      <c r="BE17" s="16">
        <v>4.090912725532652E-2</v>
      </c>
      <c r="BF17" s="16">
        <v>4.1795942883418431E-2</v>
      </c>
      <c r="BG17" s="16">
        <v>4.26967871482484E-2</v>
      </c>
      <c r="BH17" s="16">
        <v>4.3631564607813353E-2</v>
      </c>
      <c r="BI17" s="16">
        <v>4.4593932121763366E-2</v>
      </c>
      <c r="BJ17" s="16"/>
      <c r="BK17" s="16"/>
      <c r="BL17" s="16"/>
      <c r="BM17" s="16"/>
      <c r="BN17" s="16"/>
      <c r="BO17" s="16"/>
    </row>
    <row r="18" spans="1:67" x14ac:dyDescent="0.25">
      <c r="A18" s="10" t="s">
        <v>797</v>
      </c>
      <c r="B18" s="70"/>
      <c r="D18" s="16">
        <v>0.48699999999999999</v>
      </c>
      <c r="E18" s="16">
        <v>0.53200000000000003</v>
      </c>
      <c r="F18" s="16">
        <v>0.72799999999999998</v>
      </c>
      <c r="G18" s="16">
        <v>0.71299999999999997</v>
      </c>
      <c r="H18" s="16">
        <v>0.70099999999999996</v>
      </c>
      <c r="I18" s="16">
        <v>0.53600000000000003</v>
      </c>
      <c r="J18" s="16">
        <v>0.63</v>
      </c>
      <c r="K18" s="16">
        <v>0.60199999999999998</v>
      </c>
      <c r="L18" s="16">
        <v>0.65900000000000003</v>
      </c>
      <c r="M18" s="16">
        <v>0.66200000000000003</v>
      </c>
      <c r="N18" s="16">
        <v>0.59399999999999997</v>
      </c>
      <c r="O18" s="16">
        <v>0.56299999999999994</v>
      </c>
      <c r="P18" s="16">
        <v>0.50600000000000001</v>
      </c>
      <c r="Q18" s="16">
        <v>0.46899999999999997</v>
      </c>
      <c r="R18" s="16">
        <v>0.48899999999999999</v>
      </c>
      <c r="S18" s="16">
        <v>0.55100000000000005</v>
      </c>
      <c r="T18" s="16">
        <v>0.54400000000000004</v>
      </c>
      <c r="U18" s="16">
        <v>0.56000000000000005</v>
      </c>
      <c r="V18" s="16">
        <v>0.63600000000000001</v>
      </c>
      <c r="W18" s="16">
        <v>0.628</v>
      </c>
      <c r="X18" s="16">
        <v>0.627</v>
      </c>
      <c r="Y18" s="16">
        <v>0.65300000000000002</v>
      </c>
      <c r="Z18" s="16">
        <v>0.59908734355342375</v>
      </c>
      <c r="AA18" s="16">
        <v>0.61319598051257074</v>
      </c>
      <c r="AB18" s="16">
        <v>0.62974995353311924</v>
      </c>
      <c r="AC18" s="16">
        <v>0.64518792892745702</v>
      </c>
      <c r="AD18" s="16">
        <v>0.65933015253806015</v>
      </c>
      <c r="AE18" s="16">
        <v>0.67239862514432691</v>
      </c>
      <c r="AF18" s="16">
        <v>0.68465828502678294</v>
      </c>
      <c r="AG18" s="16">
        <v>0.69703452915375852</v>
      </c>
      <c r="AH18" s="16">
        <v>0.70932870854437469</v>
      </c>
      <c r="AI18" s="16">
        <v>0.72222633104253953</v>
      </c>
      <c r="AJ18" s="16">
        <v>0.73537089628857999</v>
      </c>
      <c r="AK18" s="16">
        <v>0.74873042354600106</v>
      </c>
      <c r="AL18" s="16">
        <v>0.76251391930167212</v>
      </c>
      <c r="AM18" s="16">
        <v>0.77710090552342614</v>
      </c>
      <c r="AN18" s="16">
        <v>0.79202526932763051</v>
      </c>
      <c r="AO18" s="16">
        <v>0.80729501624665856</v>
      </c>
      <c r="AP18" s="16">
        <v>0.82271662995191253</v>
      </c>
      <c r="AQ18" s="16">
        <v>0.83776008887002451</v>
      </c>
      <c r="AR18" s="16">
        <v>0.85207669186267154</v>
      </c>
      <c r="AS18" s="16">
        <v>0.86568408036178868</v>
      </c>
      <c r="AT18" s="16">
        <v>0.87822136009323659</v>
      </c>
      <c r="AU18" s="16">
        <v>0.88936364545335045</v>
      </c>
      <c r="AV18" s="16">
        <v>0.89900506542196523</v>
      </c>
      <c r="AW18" s="16">
        <v>0.90701022295504352</v>
      </c>
      <c r="AX18" s="16">
        <v>0.91317314059713262</v>
      </c>
      <c r="AY18" s="16">
        <v>1.0292723399477397</v>
      </c>
      <c r="AZ18" s="16">
        <v>1.0815596066337083</v>
      </c>
      <c r="BA18" s="16">
        <v>1.0909969742093337</v>
      </c>
      <c r="BB18" s="16">
        <v>1.1017058892821119</v>
      </c>
      <c r="BC18" s="16">
        <v>1.113789524240977</v>
      </c>
      <c r="BD18" s="16">
        <v>1.127449946599218</v>
      </c>
      <c r="BE18" s="16">
        <v>1.143336070787913</v>
      </c>
      <c r="BF18" s="16">
        <v>1.1615898641842208</v>
      </c>
      <c r="BG18" s="16">
        <v>1.1825585395371088</v>
      </c>
      <c r="BH18" s="16">
        <v>1.2064738793150762</v>
      </c>
      <c r="BI18" s="16">
        <v>1.2325463697940795</v>
      </c>
      <c r="BJ18" s="16"/>
      <c r="BK18" s="16"/>
      <c r="BL18" s="16"/>
      <c r="BM18" s="16"/>
      <c r="BN18" s="16"/>
      <c r="BO18" s="16"/>
    </row>
    <row r="19" spans="1:67" x14ac:dyDescent="0.25">
      <c r="A19" s="10" t="s">
        <v>798</v>
      </c>
      <c r="B19" s="70"/>
      <c r="D19" s="16">
        <v>0.629</v>
      </c>
      <c r="E19" s="16">
        <v>0.71</v>
      </c>
      <c r="F19" s="16">
        <v>0.754</v>
      </c>
      <c r="G19" s="16">
        <v>0.80200000000000005</v>
      </c>
      <c r="H19" s="16">
        <v>0.877</v>
      </c>
      <c r="I19" s="16">
        <v>1.054</v>
      </c>
      <c r="J19" s="16">
        <v>1.032</v>
      </c>
      <c r="K19" s="16">
        <v>1.1140000000000001</v>
      </c>
      <c r="L19" s="16">
        <v>1.208</v>
      </c>
      <c r="M19" s="16">
        <v>1.272</v>
      </c>
      <c r="N19" s="16">
        <v>1.3480000000000001</v>
      </c>
      <c r="O19" s="16">
        <v>1.371</v>
      </c>
      <c r="P19" s="16">
        <v>1.4770000000000001</v>
      </c>
      <c r="Q19" s="16">
        <v>1.4950000000000001</v>
      </c>
      <c r="R19" s="16">
        <v>1.605</v>
      </c>
      <c r="S19" s="16">
        <v>1.6339999999999999</v>
      </c>
      <c r="T19" s="16">
        <v>1.5980000000000001</v>
      </c>
      <c r="U19" s="16">
        <v>1.5669999999999999</v>
      </c>
      <c r="V19" s="16">
        <v>1.631</v>
      </c>
      <c r="W19" s="16">
        <v>1.6890000000000001</v>
      </c>
      <c r="X19" s="16">
        <v>1.736</v>
      </c>
      <c r="Y19" s="16">
        <v>1.7869999999999999</v>
      </c>
      <c r="Z19" s="16">
        <v>1.6597876663971152</v>
      </c>
      <c r="AA19" s="16">
        <v>1.6736860413089896</v>
      </c>
      <c r="AB19" s="16">
        <v>1.6883794705209414</v>
      </c>
      <c r="AC19" s="16">
        <v>1.7085438183191002</v>
      </c>
      <c r="AD19" s="16">
        <v>1.7336035578003619</v>
      </c>
      <c r="AE19" s="16">
        <v>1.7604323539366169</v>
      </c>
      <c r="AF19" s="16">
        <v>1.7915104001723419</v>
      </c>
      <c r="AG19" s="16">
        <v>1.8231724246136798</v>
      </c>
      <c r="AH19" s="16">
        <v>1.8544349129237778</v>
      </c>
      <c r="AI19" s="16">
        <v>1.8878226019104041</v>
      </c>
      <c r="AJ19" s="16">
        <v>1.9197358260359061</v>
      </c>
      <c r="AK19" s="16">
        <v>1.9552166457522335</v>
      </c>
      <c r="AL19" s="16">
        <v>1.9878610456510715</v>
      </c>
      <c r="AM19" s="16">
        <v>2.0208446865569236</v>
      </c>
      <c r="AN19" s="16">
        <v>2.0561535573840573</v>
      </c>
      <c r="AO19" s="16">
        <v>2.0900989341912788</v>
      </c>
      <c r="AP19" s="16">
        <v>2.1255105463337243</v>
      </c>
      <c r="AQ19" s="16">
        <v>2.1631649611305042</v>
      </c>
      <c r="AR19" s="16">
        <v>2.2017935843885534</v>
      </c>
      <c r="AS19" s="16">
        <v>2.2415123177981102</v>
      </c>
      <c r="AT19" s="16">
        <v>2.284782855687399</v>
      </c>
      <c r="AU19" s="16">
        <v>2.3272905957776944</v>
      </c>
      <c r="AV19" s="16">
        <v>2.3720126241647521</v>
      </c>
      <c r="AW19" s="16">
        <v>2.4186967463441551</v>
      </c>
      <c r="AX19" s="16">
        <v>2.4678795056710063</v>
      </c>
      <c r="AY19" s="16">
        <v>2.5166853703662757</v>
      </c>
      <c r="AZ19" s="16">
        <v>2.480129068242086</v>
      </c>
      <c r="BA19" s="16">
        <v>2.447303176606372</v>
      </c>
      <c r="BB19" s="16">
        <v>2.4969544330685047</v>
      </c>
      <c r="BC19" s="16">
        <v>2.5481487910216414</v>
      </c>
      <c r="BD19" s="16">
        <v>2.6018457575262008</v>
      </c>
      <c r="BE19" s="16">
        <v>2.6566949462206777</v>
      </c>
      <c r="BF19" s="16">
        <v>2.7142519307042443</v>
      </c>
      <c r="BG19" s="16">
        <v>2.7726994269012488</v>
      </c>
      <c r="BH19" s="16">
        <v>2.8333650863708169</v>
      </c>
      <c r="BI19" s="16">
        <v>2.8958272775331522</v>
      </c>
      <c r="BJ19" s="16"/>
      <c r="BK19" s="16"/>
      <c r="BL19" s="16"/>
      <c r="BM19" s="16"/>
      <c r="BN19" s="16"/>
      <c r="BO19" s="16"/>
    </row>
    <row r="20" spans="1:67" x14ac:dyDescent="0.25">
      <c r="A20" s="11" t="s">
        <v>396</v>
      </c>
      <c r="B20" s="70"/>
      <c r="D20" s="16">
        <v>0.40699999999999997</v>
      </c>
      <c r="E20" s="16">
        <v>0.46500000000000002</v>
      </c>
      <c r="F20" s="16">
        <v>0.46300000000000002</v>
      </c>
      <c r="G20" s="16">
        <v>0.48399999999999999</v>
      </c>
      <c r="H20" s="16">
        <v>0.52600000000000002</v>
      </c>
      <c r="I20" s="16">
        <v>0.59</v>
      </c>
      <c r="J20" s="16">
        <v>0.57899999999999996</v>
      </c>
      <c r="K20" s="16">
        <v>0.60399999999999998</v>
      </c>
      <c r="L20" s="16">
        <v>0.60299999999999998</v>
      </c>
      <c r="M20" s="16">
        <v>0.60199999999999998</v>
      </c>
      <c r="N20" s="16">
        <v>0.60399999999999998</v>
      </c>
      <c r="O20" s="16">
        <v>0.39400000000000002</v>
      </c>
      <c r="P20" s="16">
        <v>0.33100000000000002</v>
      </c>
      <c r="Q20" s="16">
        <v>0.23499999999999999</v>
      </c>
      <c r="R20" s="16">
        <v>0.28000000000000003</v>
      </c>
      <c r="S20" s="16">
        <v>0.57699999999999996</v>
      </c>
      <c r="T20" s="16">
        <v>0.63400000000000001</v>
      </c>
      <c r="U20" s="16">
        <v>0.502</v>
      </c>
      <c r="V20" s="16">
        <v>0.41299999999999998</v>
      </c>
      <c r="W20" s="16">
        <v>0.42899999999999999</v>
      </c>
      <c r="X20" s="16">
        <v>0.46100000000000002</v>
      </c>
      <c r="Y20" s="16">
        <v>0.48599999999999999</v>
      </c>
      <c r="Z20" s="16">
        <v>0.52894410207035358</v>
      </c>
      <c r="AA20" s="16">
        <v>0.55680676032728715</v>
      </c>
      <c r="AB20" s="16">
        <v>0.58313665103493628</v>
      </c>
      <c r="AC20" s="16">
        <v>0.60754685851833434</v>
      </c>
      <c r="AD20" s="16">
        <v>0.6297882630430407</v>
      </c>
      <c r="AE20" s="16">
        <v>0.64905333864022052</v>
      </c>
      <c r="AF20" s="16">
        <v>0.66283813650034062</v>
      </c>
      <c r="AG20" s="16">
        <v>0.67329204461648962</v>
      </c>
      <c r="AH20" s="16">
        <v>0.68378585024845817</v>
      </c>
      <c r="AI20" s="16">
        <v>0.69446068333022448</v>
      </c>
      <c r="AJ20" s="16">
        <v>0.70539841995924402</v>
      </c>
      <c r="AK20" s="16">
        <v>0.71657427593119982</v>
      </c>
      <c r="AL20" s="16">
        <v>0.72803825292904767</v>
      </c>
      <c r="AM20" s="16">
        <v>0.73999796953970443</v>
      </c>
      <c r="AN20" s="16">
        <v>0.75253137997374264</v>
      </c>
      <c r="AO20" s="16">
        <v>0.76571699223413481</v>
      </c>
      <c r="AP20" s="16">
        <v>0.77971361355311952</v>
      </c>
      <c r="AQ20" s="16">
        <v>0.79454370516788098</v>
      </c>
      <c r="AR20" s="16">
        <v>0.81021758654407949</v>
      </c>
      <c r="AS20" s="16">
        <v>0.82680744427928343</v>
      </c>
      <c r="AT20" s="16">
        <v>0.84435078666315155</v>
      </c>
      <c r="AU20" s="16">
        <v>0.8629349962951931</v>
      </c>
      <c r="AV20" s="16">
        <v>0.88274437159757746</v>
      </c>
      <c r="AW20" s="16">
        <v>0.90392696219305257</v>
      </c>
      <c r="AX20" s="16">
        <v>0.92631689188094091</v>
      </c>
      <c r="AY20" s="16">
        <v>0.93416595086524801</v>
      </c>
      <c r="AZ20" s="16">
        <v>0.92974862609821829</v>
      </c>
      <c r="BA20" s="16">
        <v>0.93159780953653537</v>
      </c>
      <c r="BB20" s="16">
        <v>0.93397835456421729</v>
      </c>
      <c r="BC20" s="16">
        <v>0.93585967533437719</v>
      </c>
      <c r="BD20" s="16">
        <v>0.93708804967967485</v>
      </c>
      <c r="BE20" s="16">
        <v>0.9370897556822686</v>
      </c>
      <c r="BF20" s="16">
        <v>0.93592900171070592</v>
      </c>
      <c r="BG20" s="16">
        <v>0.93350362596972847</v>
      </c>
      <c r="BH20" s="16">
        <v>0.92960987643120918</v>
      </c>
      <c r="BI20" s="16">
        <v>0.94044563170080619</v>
      </c>
      <c r="BJ20" s="16"/>
      <c r="BK20" s="16"/>
      <c r="BL20" s="16"/>
      <c r="BM20" s="16"/>
      <c r="BN20" s="16"/>
      <c r="BO20" s="16"/>
    </row>
    <row r="21" spans="1:67" x14ac:dyDescent="0.25">
      <c r="A21" s="10" t="s">
        <v>1080</v>
      </c>
      <c r="B21" s="70"/>
      <c r="D21" s="16">
        <v>0</v>
      </c>
      <c r="E21" s="16">
        <v>0</v>
      </c>
      <c r="F21" s="16">
        <v>0</v>
      </c>
      <c r="G21" s="16">
        <v>0</v>
      </c>
      <c r="H21" s="16">
        <v>0</v>
      </c>
      <c r="I21" s="16">
        <v>0</v>
      </c>
      <c r="J21" s="16">
        <v>0</v>
      </c>
      <c r="K21" s="16">
        <v>0</v>
      </c>
      <c r="L21" s="16">
        <v>0</v>
      </c>
      <c r="M21" s="16">
        <v>0</v>
      </c>
      <c r="N21" s="16">
        <v>0</v>
      </c>
      <c r="O21" s="16">
        <v>0</v>
      </c>
      <c r="P21" s="16">
        <v>0</v>
      </c>
      <c r="Q21" s="16">
        <v>0</v>
      </c>
      <c r="R21" s="16">
        <v>0</v>
      </c>
      <c r="S21" s="16">
        <v>0</v>
      </c>
      <c r="T21" s="16">
        <v>0</v>
      </c>
      <c r="U21" s="16">
        <v>0</v>
      </c>
      <c r="V21" s="16">
        <v>3.4000000000000002E-2</v>
      </c>
      <c r="W21" s="16">
        <v>6.4000000000000001E-2</v>
      </c>
      <c r="X21" s="16">
        <v>0.11600000000000001</v>
      </c>
      <c r="Y21" s="16">
        <v>0.16800000000000001</v>
      </c>
      <c r="Z21" s="16">
        <v>0.20343288963966299</v>
      </c>
      <c r="AA21" s="16">
        <v>0.22131125767835649</v>
      </c>
      <c r="AB21" s="16">
        <v>0.23306476675264765</v>
      </c>
      <c r="AC21" s="16">
        <v>0.24138493103592987</v>
      </c>
      <c r="AD21" s="16">
        <v>0.24848246182779191</v>
      </c>
      <c r="AE21" s="16">
        <v>0.25343828678982405</v>
      </c>
      <c r="AF21" s="16">
        <v>0.25810883215133801</v>
      </c>
      <c r="AG21" s="16">
        <v>0.26275061255786397</v>
      </c>
      <c r="AH21" s="16">
        <v>0.26760002105021613</v>
      </c>
      <c r="AI21" s="16">
        <v>0.27236159788492587</v>
      </c>
      <c r="AJ21" s="16">
        <v>0.27751408391407778</v>
      </c>
      <c r="AK21" s="16">
        <v>0.2826912616545586</v>
      </c>
      <c r="AL21" s="16">
        <v>0.2880343964522612</v>
      </c>
      <c r="AM21" s="16">
        <v>0.29361933805868007</v>
      </c>
      <c r="AN21" s="16">
        <v>0.29964599649979551</v>
      </c>
      <c r="AO21" s="16">
        <v>0.30582403984433321</v>
      </c>
      <c r="AP21" s="16">
        <v>0.31232040401734906</v>
      </c>
      <c r="AQ21" s="16">
        <v>0.31903080569320535</v>
      </c>
      <c r="AR21" s="16">
        <v>0.32579541889903474</v>
      </c>
      <c r="AS21" s="16">
        <v>0.33259374057367069</v>
      </c>
      <c r="AT21" s="16">
        <v>0.33957137774495261</v>
      </c>
      <c r="AU21" s="16">
        <v>0.34662605018839221</v>
      </c>
      <c r="AV21" s="16">
        <v>0.35378548986380615</v>
      </c>
      <c r="AW21" s="16">
        <v>0.36114781253304928</v>
      </c>
      <c r="AX21" s="16">
        <v>0.36876309587521316</v>
      </c>
      <c r="AY21" s="16">
        <v>0.37666458080308152</v>
      </c>
      <c r="AZ21" s="16">
        <v>0.3848093234139226</v>
      </c>
      <c r="BA21" s="16">
        <v>0.39326058766522198</v>
      </c>
      <c r="BB21" s="16">
        <v>0.40197605159490141</v>
      </c>
      <c r="BC21" s="16">
        <v>0.41110497468535578</v>
      </c>
      <c r="BD21" s="16">
        <v>0.42048132019334222</v>
      </c>
      <c r="BE21" s="16">
        <v>0.43007352764189233</v>
      </c>
      <c r="BF21" s="16">
        <v>0.44000501756077071</v>
      </c>
      <c r="BG21" s="16">
        <v>0.45005579009430668</v>
      </c>
      <c r="BH21" s="16">
        <v>0.46026545813283853</v>
      </c>
      <c r="BI21" s="16">
        <v>0.47054621305516164</v>
      </c>
      <c r="BJ21" s="16"/>
      <c r="BK21" s="16"/>
      <c r="BL21" s="16"/>
      <c r="BM21" s="16"/>
      <c r="BN21" s="16"/>
      <c r="BO21" s="16"/>
    </row>
    <row r="22" spans="1:67" x14ac:dyDescent="0.25">
      <c r="A22" s="11" t="s">
        <v>397</v>
      </c>
      <c r="B22" s="70"/>
      <c r="D22" s="16">
        <v>0.23100000000000001</v>
      </c>
      <c r="E22" s="16">
        <v>-0.77900000000000003</v>
      </c>
      <c r="F22" s="16">
        <v>-0.28000000000000003</v>
      </c>
      <c r="G22" s="16">
        <v>0.125</v>
      </c>
      <c r="H22" s="16">
        <v>0.28599999999999998</v>
      </c>
      <c r="I22" s="16">
        <v>-0.48399999999999999</v>
      </c>
      <c r="J22" s="16">
        <v>-1.2E-2</v>
      </c>
      <c r="K22" s="16">
        <v>-0.26900000000000002</v>
      </c>
      <c r="L22" s="16">
        <v>-0.14000000000000001</v>
      </c>
      <c r="M22" s="16">
        <v>6.2E-2</v>
      </c>
      <c r="N22" s="16">
        <v>0.73399999999999999</v>
      </c>
      <c r="O22" s="16">
        <v>0.94499999999999995</v>
      </c>
      <c r="P22" s="16">
        <v>-0.13300000000000001</v>
      </c>
      <c r="Q22" s="16">
        <v>0.70699999999999996</v>
      </c>
      <c r="R22" s="16">
        <v>-1.1509999999999998</v>
      </c>
      <c r="S22" s="16">
        <v>0.47099999999999997</v>
      </c>
      <c r="T22" s="16">
        <v>0.35499999999999998</v>
      </c>
      <c r="U22" s="16">
        <v>0.38100000000000001</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c r="BK22" s="16"/>
      <c r="BL22" s="16"/>
      <c r="BM22" s="16"/>
      <c r="BN22" s="16"/>
      <c r="BO22" s="16"/>
    </row>
    <row r="23" spans="1:67" x14ac:dyDescent="0.25">
      <c r="A23" s="9" t="s">
        <v>392</v>
      </c>
      <c r="B23" s="70"/>
      <c r="D23" s="47">
        <v>6.7409999999999997</v>
      </c>
      <c r="E23" s="47">
        <v>6.552999999999999</v>
      </c>
      <c r="F23" s="47">
        <v>6.79</v>
      </c>
      <c r="G23" s="47">
        <v>7.4599999999999982</v>
      </c>
      <c r="H23" s="47">
        <v>8.2909999999999968</v>
      </c>
      <c r="I23" s="47">
        <v>8.2879999999999967</v>
      </c>
      <c r="J23" s="47">
        <v>8.7159999999999958</v>
      </c>
      <c r="K23" s="47">
        <v>8.8639999999999937</v>
      </c>
      <c r="L23" s="47">
        <v>8.9819999999999993</v>
      </c>
      <c r="M23" s="47">
        <v>9.1969999999999992</v>
      </c>
      <c r="N23" s="47">
        <v>9.9290000000000003</v>
      </c>
      <c r="O23" s="47">
        <v>10.731</v>
      </c>
      <c r="P23" s="47">
        <v>10.395</v>
      </c>
      <c r="Q23" s="47">
        <v>10.840999999999999</v>
      </c>
      <c r="R23" s="47">
        <v>9.2089999999999996</v>
      </c>
      <c r="S23" s="47">
        <v>9.3729999999999993</v>
      </c>
      <c r="T23" s="47">
        <v>9.5960000000000001</v>
      </c>
      <c r="U23" s="47">
        <v>10.012</v>
      </c>
      <c r="V23" s="47">
        <v>10.026000000000002</v>
      </c>
      <c r="W23" s="47">
        <v>9.9530000000000012</v>
      </c>
      <c r="X23" s="47">
        <v>9.822000000000001</v>
      </c>
      <c r="Y23" s="47">
        <v>9.6330000000000027</v>
      </c>
      <c r="Z23" s="47">
        <v>9.6690258260084896</v>
      </c>
      <c r="AA23" s="47">
        <v>9.7397753654976285</v>
      </c>
      <c r="AB23" s="47">
        <v>9.8430382197785455</v>
      </c>
      <c r="AC23" s="47">
        <v>9.9715171685733921</v>
      </c>
      <c r="AD23" s="47">
        <v>10.118040711801756</v>
      </c>
      <c r="AE23" s="47">
        <v>10.279509164872227</v>
      </c>
      <c r="AF23" s="47">
        <v>10.446554493957745</v>
      </c>
      <c r="AG23" s="47">
        <v>10.616428642665063</v>
      </c>
      <c r="AH23" s="47">
        <v>10.78932425956315</v>
      </c>
      <c r="AI23" s="47">
        <v>10.965092783997102</v>
      </c>
      <c r="AJ23" s="47">
        <v>11.145799860566857</v>
      </c>
      <c r="AK23" s="47">
        <v>11.329029377800849</v>
      </c>
      <c r="AL23" s="47">
        <v>11.519154021538563</v>
      </c>
      <c r="AM23" s="47">
        <v>11.718595962136831</v>
      </c>
      <c r="AN23" s="47">
        <v>11.926758165759853</v>
      </c>
      <c r="AO23" s="47">
        <v>12.147473042157269</v>
      </c>
      <c r="AP23" s="47">
        <v>12.381668783213367</v>
      </c>
      <c r="AQ23" s="47">
        <v>12.628933194116611</v>
      </c>
      <c r="AR23" s="47">
        <v>12.890151907502723</v>
      </c>
      <c r="AS23" s="47">
        <v>13.16704772413363</v>
      </c>
      <c r="AT23" s="47">
        <v>13.458836178316334</v>
      </c>
      <c r="AU23" s="47">
        <v>13.76945410453953</v>
      </c>
      <c r="AV23" s="47">
        <v>14.100847452109967</v>
      </c>
      <c r="AW23" s="47">
        <v>14.455921797079908</v>
      </c>
      <c r="AX23" s="47">
        <v>14.837361168782913</v>
      </c>
      <c r="AY23" s="47">
        <v>15.122921703854203</v>
      </c>
      <c r="AZ23" s="47">
        <v>15.450408887961251</v>
      </c>
      <c r="BA23" s="47">
        <v>15.867283239171716</v>
      </c>
      <c r="BB23" s="47">
        <v>16.29450934901076</v>
      </c>
      <c r="BC23" s="47">
        <v>16.73072618968445</v>
      </c>
      <c r="BD23" s="47">
        <v>17.172884078401715</v>
      </c>
      <c r="BE23" s="47">
        <v>17.618784813050279</v>
      </c>
      <c r="BF23" s="47">
        <v>18.063370340767506</v>
      </c>
      <c r="BG23" s="47">
        <v>18.502923918728769</v>
      </c>
      <c r="BH23" s="47">
        <v>18.931475699057685</v>
      </c>
      <c r="BI23" s="47">
        <v>19.360234996308396</v>
      </c>
      <c r="BJ23" s="47"/>
      <c r="BK23" s="47"/>
      <c r="BL23" s="47"/>
      <c r="BM23" s="47"/>
      <c r="BN23" s="47"/>
      <c r="BO23" s="47"/>
    </row>
    <row r="24" spans="1:67" x14ac:dyDescent="0.25">
      <c r="A24" s="11"/>
      <c r="B24" s="70"/>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7" x14ac:dyDescent="0.25">
      <c r="A25" s="9" t="s">
        <v>398</v>
      </c>
      <c r="B25" s="70"/>
    </row>
    <row r="26" spans="1:67" x14ac:dyDescent="0.25">
      <c r="A26" s="11" t="s">
        <v>399</v>
      </c>
      <c r="B26" s="70"/>
      <c r="V26" s="16">
        <v>7.2800074140364348</v>
      </c>
      <c r="W26" s="16">
        <v>7.9291164814743</v>
      </c>
      <c r="X26" s="16">
        <v>8.5951062438656383</v>
      </c>
      <c r="Y26" s="16">
        <v>9.3056361516015524</v>
      </c>
      <c r="Z26" s="16">
        <v>10.087495352692679</v>
      </c>
      <c r="AA26" s="16">
        <v>10.918576423337733</v>
      </c>
      <c r="AB26" s="16">
        <v>11.850012101673466</v>
      </c>
      <c r="AC26" s="16">
        <v>12.839493885874321</v>
      </c>
      <c r="AD26" s="16">
        <v>13.919248953313152</v>
      </c>
      <c r="AE26" s="16">
        <v>15.064183410064699</v>
      </c>
      <c r="AF26" s="16">
        <v>16.310078650427428</v>
      </c>
      <c r="AG26" s="16">
        <v>17.272737936013659</v>
      </c>
      <c r="AH26" s="16">
        <v>17.956469609276525</v>
      </c>
      <c r="AI26" s="16">
        <v>18.597664704627917</v>
      </c>
      <c r="AJ26" s="16">
        <v>19.263187447195509</v>
      </c>
      <c r="AK26" s="16">
        <v>19.994778956400811</v>
      </c>
      <c r="AL26" s="16">
        <v>20.762774184966595</v>
      </c>
      <c r="AM26" s="16">
        <v>21.568826388311869</v>
      </c>
      <c r="AN26" s="16">
        <v>22.459944456532362</v>
      </c>
      <c r="AO26" s="16">
        <v>23.39219927662942</v>
      </c>
      <c r="AP26" s="16">
        <v>24.322958581171914</v>
      </c>
      <c r="AQ26" s="16">
        <v>25.376207552373529</v>
      </c>
      <c r="AR26" s="16">
        <v>26.377999181581956</v>
      </c>
      <c r="AS26" s="16">
        <v>27.362115535809885</v>
      </c>
      <c r="AT26" s="16">
        <v>28.428826177758587</v>
      </c>
      <c r="AU26" s="16">
        <v>29.534809825394063</v>
      </c>
      <c r="AV26" s="16">
        <v>30.625087880814267</v>
      </c>
      <c r="AW26" s="16">
        <v>31.883707743497887</v>
      </c>
      <c r="AX26" s="16">
        <v>33.134631938497265</v>
      </c>
      <c r="AY26" s="16">
        <v>34.494856498026003</v>
      </c>
      <c r="AZ26" s="16">
        <v>35.911470950014127</v>
      </c>
      <c r="BA26" s="16">
        <v>37.386958857551498</v>
      </c>
      <c r="BB26" s="16">
        <f>BA$26*AVERAGE($BA$26/$AZ$26,$AZ$26/$AY$26,$AY$26/$AX$26,$AX$26/$AW$26,$AW$26/$AV$26,$AV$26/$AU$26,$AU$26/$AT$26,$AT$26/$AS$26,$AS$26/$AR$26,$AR$26/$AQ$26)</f>
        <v>38.864217396048375</v>
      </c>
      <c r="BC26" s="16">
        <f t="shared" ref="BC26:BI26" si="0">BB$26*AVERAGE($BA$26/$AZ$26,$AZ$26/$AY$26,$AY$26/$AX$26,$AX$26/$AW$26,$AW$26/$AV$26,$AV$26/$AU$26,$AU$26/$AT$26,$AT$26/$AS$26,$AS$26/$AR$26,$AR$26/$AQ$26)</f>
        <v>40.399846362529964</v>
      </c>
      <c r="BD26" s="16">
        <f t="shared" si="0"/>
        <v>41.99615212840947</v>
      </c>
      <c r="BE26" s="16">
        <f t="shared" si="0"/>
        <v>43.655532195990865</v>
      </c>
      <c r="BF26" s="16">
        <f t="shared" si="0"/>
        <v>45.380478799293613</v>
      </c>
      <c r="BG26" s="16">
        <f t="shared" si="0"/>
        <v>47.173582647155591</v>
      </c>
      <c r="BH26" s="16">
        <f t="shared" si="0"/>
        <v>49.037536814236049</v>
      </c>
      <c r="BI26" s="16">
        <f t="shared" si="0"/>
        <v>50.975140785762427</v>
      </c>
      <c r="BJ26" s="16"/>
      <c r="BK26" s="16"/>
    </row>
    <row r="27" spans="1:67" x14ac:dyDescent="0.25">
      <c r="A27" s="11" t="s">
        <v>400</v>
      </c>
      <c r="B27" s="70"/>
      <c r="V27" s="16">
        <v>2.5485950000000002</v>
      </c>
      <c r="W27" s="16">
        <v>2.7397396249999999</v>
      </c>
      <c r="X27" s="16">
        <v>2.9452200968749995</v>
      </c>
      <c r="Y27" s="16">
        <v>3.1661116041406254</v>
      </c>
      <c r="Z27" s="16">
        <v>3.4035699744511718</v>
      </c>
      <c r="AA27" s="16">
        <v>3.6588377225350093</v>
      </c>
      <c r="AB27" s="16">
        <v>3.933250551725135</v>
      </c>
      <c r="AC27" s="16">
        <v>4.22824434310452</v>
      </c>
      <c r="AD27" s="16">
        <v>4.5453626688373587</v>
      </c>
      <c r="AE27" s="16">
        <v>4.8862648690001595</v>
      </c>
      <c r="AF27" s="16">
        <v>5.2527347341751733</v>
      </c>
      <c r="AG27" s="16">
        <v>5.4623003748400007</v>
      </c>
      <c r="AH27" s="16">
        <v>5.6129876369264577</v>
      </c>
      <c r="AI27" s="16">
        <v>5.7773750325928512</v>
      </c>
      <c r="AJ27" s="16">
        <v>5.9481131279014141</v>
      </c>
      <c r="AK27" s="16">
        <v>6.1345228916440826</v>
      </c>
      <c r="AL27" s="16">
        <v>6.3343401156638395</v>
      </c>
      <c r="AM27" s="16">
        <v>6.5461817168906</v>
      </c>
      <c r="AN27" s="16">
        <v>6.7732745440673634</v>
      </c>
      <c r="AO27" s="16">
        <v>7.0097291766423533</v>
      </c>
      <c r="AP27" s="16">
        <v>7.2567063546506221</v>
      </c>
      <c r="AQ27" s="16">
        <v>7.5114242560832469</v>
      </c>
      <c r="AR27" s="16">
        <v>7.7726056475798053</v>
      </c>
      <c r="AS27" s="16">
        <v>8.0418983780779794</v>
      </c>
      <c r="AT27" s="16">
        <v>8.3145943815979866</v>
      </c>
      <c r="AU27" s="16">
        <v>8.5949885019038756</v>
      </c>
      <c r="AV27" s="16">
        <v>8.8827177631207501</v>
      </c>
      <c r="AW27" s="16">
        <v>9.250530481872957</v>
      </c>
      <c r="AX27" s="16">
        <v>9.6351824002694855</v>
      </c>
      <c r="AY27" s="16">
        <v>10.034279129498508</v>
      </c>
      <c r="AZ27" s="16">
        <v>10.451483195676065</v>
      </c>
      <c r="BA27" s="16">
        <v>10.887601337912896</v>
      </c>
      <c r="BB27" s="16">
        <f>BA$27*AVERAGE($BA$27/$AZ$27,$AZ$27/$AY$27,$AY$27/$AX$27,$AX$27/$AW$27,$AW$27/$AV$27,$AV$27/$AU$27,$AU$27/$AT$27,$AT$27/$AS$27,$AS$27/$AR$27,$AR$27/$AQ$27)</f>
        <v>11.29941653621286</v>
      </c>
      <c r="BC27" s="16">
        <f t="shared" ref="BC27:BI27" si="1">BB$27*AVERAGE($BA$27/$AZ$27,$AZ$27/$AY$27,$AY$27/$AX$27,$AX$27/$AW$27,$AW$27/$AV$27,$AV$27/$AU$27,$AU$27/$AT$27,$AT$27/$AS$27,$AS$27/$AR$27,$AR$27/$AQ$27)</f>
        <v>11.726808329603633</v>
      </c>
      <c r="BD27" s="16">
        <f t="shared" si="1"/>
        <v>12.17036589088803</v>
      </c>
      <c r="BE27" s="16">
        <f t="shared" si="1"/>
        <v>12.630700677879775</v>
      </c>
      <c r="BF27" s="16">
        <f t="shared" si="1"/>
        <v>13.108447276317007</v>
      </c>
      <c r="BG27" s="16">
        <f t="shared" si="1"/>
        <v>13.604264274658345</v>
      </c>
      <c r="BH27" s="16">
        <f t="shared" si="1"/>
        <v>14.11883517196744</v>
      </c>
      <c r="BI27" s="16">
        <f t="shared" si="1"/>
        <v>14.652869320137569</v>
      </c>
      <c r="BJ27" s="16"/>
      <c r="BK27" s="16"/>
    </row>
    <row r="28" spans="1:67" x14ac:dyDescent="0.25">
      <c r="A28" s="11" t="s">
        <v>401</v>
      </c>
      <c r="B28" s="70"/>
      <c r="V28" s="16">
        <v>8.9221223791719524</v>
      </c>
      <c r="W28" s="16">
        <v>9.4666931652620825</v>
      </c>
      <c r="X28" s="16">
        <v>10.054757397837301</v>
      </c>
      <c r="Y28" s="16">
        <v>10.690702600606636</v>
      </c>
      <c r="Z28" s="16">
        <v>11.320471980273172</v>
      </c>
      <c r="AA28" s="16">
        <v>11.987234347525428</v>
      </c>
      <c r="AB28" s="16">
        <v>12.669893035605915</v>
      </c>
      <c r="AC28" s="16">
        <v>13.354877962986475</v>
      </c>
      <c r="AD28" s="16">
        <v>14.049894713642859</v>
      </c>
      <c r="AE28" s="16">
        <v>14.730953510387574</v>
      </c>
      <c r="AF28" s="16">
        <v>15.456410648102787</v>
      </c>
      <c r="AG28" s="16">
        <v>16.18738762079137</v>
      </c>
      <c r="AH28" s="16">
        <v>16.945273890188595</v>
      </c>
      <c r="AI28" s="16">
        <v>17.738983490617986</v>
      </c>
      <c r="AJ28" s="16">
        <v>18.532640865252318</v>
      </c>
      <c r="AK28" s="16">
        <v>19.369114460667948</v>
      </c>
      <c r="AL28" s="16">
        <v>20.228312983781414</v>
      </c>
      <c r="AM28" s="16">
        <v>21.109976708442368</v>
      </c>
      <c r="AN28" s="16">
        <v>22.05570786925421</v>
      </c>
      <c r="AO28" s="16">
        <v>22.990544288996254</v>
      </c>
      <c r="AP28" s="16">
        <v>23.965501857325105</v>
      </c>
      <c r="AQ28" s="16">
        <v>25.003552466248866</v>
      </c>
      <c r="AR28" s="16">
        <v>26.052235116630875</v>
      </c>
      <c r="AS28" s="16">
        <v>27.148808627263847</v>
      </c>
      <c r="AT28" s="16">
        <v>28.273739328348267</v>
      </c>
      <c r="AU28" s="16">
        <v>29.437603225030919</v>
      </c>
      <c r="AV28" s="16">
        <v>30.659001568726424</v>
      </c>
      <c r="AW28" s="16">
        <v>31.910989152511139</v>
      </c>
      <c r="AX28" s="16">
        <v>33.201014171036476</v>
      </c>
      <c r="AY28" s="16">
        <v>34.561488662151014</v>
      </c>
      <c r="AZ28" s="16">
        <v>35.931832424465966</v>
      </c>
      <c r="BA28" s="16">
        <v>37.378942095642955</v>
      </c>
      <c r="BB28" s="16">
        <f>BA$28*AVERAGE($BA$28/$AZ$28,$AZ$28/$AY$28,$AY$28/$AX$28,$AX$28/$AW$28,$AW$28/$AV$28,$AV$28/$AU$28,$AU$28/$AT$28,$AT$28/$AS$28,$AS$28/$AR$28,$AR$28/$AQ$28)</f>
        <v>38.912545324836408</v>
      </c>
      <c r="BC28" s="16">
        <f t="shared" ref="BC28:BI28" si="2">BB$28*AVERAGE($BA$28/$AZ$28,$AZ$28/$AY$28,$AY$28/$AX$28,$AX$28/$AW$28,$AW$28/$AV$28,$AV$28/$AU$28,$AU$28/$AT$28,$AT$28/$AS$28,$AS$28/$AR$28,$AR$28/$AQ$28)</f>
        <v>40.509070047596332</v>
      </c>
      <c r="BD28" s="16">
        <f t="shared" si="2"/>
        <v>42.17109784061563</v>
      </c>
      <c r="BE28" s="16">
        <f t="shared" si="2"/>
        <v>43.901316198896559</v>
      </c>
      <c r="BF28" s="16">
        <f t="shared" si="2"/>
        <v>45.702522881423789</v>
      </c>
      <c r="BG28" s="16">
        <f t="shared" si="2"/>
        <v>47.577630435134068</v>
      </c>
      <c r="BH28" s="16">
        <f t="shared" si="2"/>
        <v>49.529670904497685</v>
      </c>
      <c r="BI28" s="16">
        <f t="shared" si="2"/>
        <v>51.561800734327214</v>
      </c>
      <c r="BJ28" s="16"/>
      <c r="BK28" s="16"/>
    </row>
    <row r="29" spans="1:67" x14ac:dyDescent="0.25">
      <c r="A29" s="11" t="s">
        <v>402</v>
      </c>
      <c r="B29" s="70"/>
      <c r="V29" s="16">
        <v>2.2656036428763131</v>
      </c>
      <c r="W29" s="16">
        <v>2.2750052242859198</v>
      </c>
      <c r="X29" s="16">
        <v>2.4254223975719333</v>
      </c>
      <c r="Y29" s="16">
        <v>2.6100900696860472</v>
      </c>
      <c r="Z29" s="16">
        <v>2.7997792681556888</v>
      </c>
      <c r="AA29" s="16">
        <v>2.9961877809088659</v>
      </c>
      <c r="AB29" s="16">
        <v>3.2028264200581904</v>
      </c>
      <c r="AC29" s="16">
        <v>3.4045626943088871</v>
      </c>
      <c r="AD29" s="16">
        <v>3.5951769754648963</v>
      </c>
      <c r="AE29" s="16">
        <v>3.8036758852018773</v>
      </c>
      <c r="AF29" s="16">
        <v>4.0507870780564819</v>
      </c>
      <c r="AG29" s="16">
        <v>4.3340945404398816</v>
      </c>
      <c r="AH29" s="16">
        <v>4.6397892838682466</v>
      </c>
      <c r="AI29" s="16">
        <v>4.9585539159139129</v>
      </c>
      <c r="AJ29" s="16">
        <v>5.2883449538751837</v>
      </c>
      <c r="AK29" s="16">
        <v>5.6301855680615054</v>
      </c>
      <c r="AL29" s="16">
        <v>5.9858281335634018</v>
      </c>
      <c r="AM29" s="16">
        <v>6.3570201726749511</v>
      </c>
      <c r="AN29" s="16">
        <v>6.7455582549894855</v>
      </c>
      <c r="AO29" s="16">
        <v>7.1545384283970961</v>
      </c>
      <c r="AP29" s="16">
        <v>7.5857214465112675</v>
      </c>
      <c r="AQ29" s="16">
        <v>8.0403115697250254</v>
      </c>
      <c r="AR29" s="16">
        <v>8.519857371084731</v>
      </c>
      <c r="AS29" s="16">
        <v>9.0226751416046707</v>
      </c>
      <c r="AT29" s="16">
        <v>9.5492212805597454</v>
      </c>
      <c r="AU29" s="16">
        <v>10.102434880917183</v>
      </c>
      <c r="AV29" s="16">
        <v>10.68209086289278</v>
      </c>
      <c r="AW29" s="16">
        <v>11.291357377755102</v>
      </c>
      <c r="AX29" s="16">
        <v>11.934648950862172</v>
      </c>
      <c r="AY29" s="16">
        <v>12.613702676610741</v>
      </c>
      <c r="AZ29" s="16">
        <v>13.33284174809552</v>
      </c>
      <c r="BA29" s="16">
        <v>14.095409332106252</v>
      </c>
      <c r="BB29" s="16">
        <f>BA$29*AVERAGE($BA$29/$AZ$29,$AZ$29/$AY$29,$AY$29/$AX$29,$AX$29/$AW$29,$AW$29/$AV$29,$AV$29/$AU$29,$AU$29/$AT$29,$AT$29/$AS$29,$AS$29/$AR$29,$AR$29/$AQ$29)</f>
        <v>14.909337198741644</v>
      </c>
      <c r="BC29" s="16">
        <f t="shared" ref="BC29:BI29" si="3">BB$29*AVERAGE($BA$29/$AZ$29,$AZ$29/$AY$29,$AY$29/$AX$29,$AX$29/$AW$29,$AW$29/$AV$29,$AV$29/$AU$29,$AU$29/$AT$29,$AT$29/$AS$29,$AS$29/$AR$29,$AR$29/$AQ$29)</f>
        <v>15.770264663365062</v>
      </c>
      <c r="BD29" s="16">
        <f t="shared" si="3"/>
        <v>16.680905679265962</v>
      </c>
      <c r="BE29" s="16">
        <f t="shared" si="3"/>
        <v>17.644130914743556</v>
      </c>
      <c r="BF29" s="16">
        <f t="shared" si="3"/>
        <v>18.6629768024867</v>
      </c>
      <c r="BG29" s="16">
        <f t="shared" si="3"/>
        <v>19.740655111502786</v>
      </c>
      <c r="BH29" s="16">
        <f t="shared" si="3"/>
        <v>20.880563071769846</v>
      </c>
      <c r="BI29" s="16">
        <f t="shared" si="3"/>
        <v>22.086294083528397</v>
      </c>
      <c r="BJ29" s="16"/>
      <c r="BK29" s="16"/>
    </row>
    <row r="30" spans="1:67" x14ac:dyDescent="0.25">
      <c r="A30" s="11" t="s">
        <v>403</v>
      </c>
      <c r="B30" s="70"/>
      <c r="V30" s="16">
        <v>51.59963152082392</v>
      </c>
      <c r="W30" s="16">
        <v>52.337060061322063</v>
      </c>
      <c r="X30" s="16">
        <v>53.302831304922336</v>
      </c>
      <c r="Y30" s="16">
        <v>54.527854925603286</v>
      </c>
      <c r="Z30" s="16">
        <v>56.094657566178483</v>
      </c>
      <c r="AA30" s="16">
        <v>58.022187422899641</v>
      </c>
      <c r="AB30" s="16">
        <v>60.405132909025383</v>
      </c>
      <c r="AC30" s="16">
        <v>63.294311526222124</v>
      </c>
      <c r="AD30" s="16">
        <v>66.758842741357299</v>
      </c>
      <c r="AE30" s="16">
        <v>70.895748526236318</v>
      </c>
      <c r="AF30" s="16">
        <v>75.80020360661743</v>
      </c>
      <c r="AG30" s="16">
        <v>81.219648462279622</v>
      </c>
      <c r="AH30" s="16">
        <v>86.870633465235798</v>
      </c>
      <c r="AI30" s="16">
        <v>92.687868595159642</v>
      </c>
      <c r="AJ30" s="16">
        <v>98.706760130978012</v>
      </c>
      <c r="AK30" s="16">
        <v>104.96261019477238</v>
      </c>
      <c r="AL30" s="16">
        <v>111.48289952952095</v>
      </c>
      <c r="AM30" s="16">
        <v>118.29876938206542</v>
      </c>
      <c r="AN30" s="16">
        <v>125.44856422433307</v>
      </c>
      <c r="AO30" s="16">
        <v>133.00475764036329</v>
      </c>
      <c r="AP30" s="16">
        <v>140.94793581072136</v>
      </c>
      <c r="AQ30" s="16">
        <v>149.36090246657108</v>
      </c>
      <c r="AR30" s="16">
        <v>158.20652390260688</v>
      </c>
      <c r="AS30" s="16">
        <v>167.44250595275756</v>
      </c>
      <c r="AT30" s="16">
        <v>177.1468140827277</v>
      </c>
      <c r="AU30" s="16">
        <v>187.34645556400795</v>
      </c>
      <c r="AV30" s="16">
        <v>197.99463273898863</v>
      </c>
      <c r="AW30" s="16">
        <v>209.25870870773045</v>
      </c>
      <c r="AX30" s="16">
        <v>221.12697542605343</v>
      </c>
      <c r="AY30" s="16">
        <v>233.67404593853914</v>
      </c>
      <c r="AZ30" s="16">
        <v>246.98652621218281</v>
      </c>
      <c r="BA30" s="16">
        <v>261.08995230619769</v>
      </c>
      <c r="BB30" s="16">
        <f>BA$30*AVERAGE($BA$30/$AZ$30,$AZ$30/$AY$30,$AY$30/$AX$30,$AX$30/$AW$30,$AW$30/$AV$30,$AV$30/$AU$30,$AU$30/$AT$30,$AT$30/$AS$30,$AS$30/$AR$30,$AR$30/$AQ$30)</f>
        <v>276.08677601713561</v>
      </c>
      <c r="BC30" s="16">
        <f t="shared" ref="BC30:BI30" si="4">BB$30*AVERAGE($BA$30/$AZ$30,$AZ$30/$AY$30,$AY$30/$AX$30,$AX$30/$AW$30,$AW$30/$AV$30,$AV$30/$AU$30,$AU$30/$AT$30,$AT$30/$AS$30,$AS$30/$AR$30,$AR$30/$AQ$30)</f>
        <v>291.94500676204927</v>
      </c>
      <c r="BD30" s="16">
        <f t="shared" si="4"/>
        <v>308.71412315670995</v>
      </c>
      <c r="BE30" s="16">
        <f t="shared" si="4"/>
        <v>326.44644583387054</v>
      </c>
      <c r="BF30" s="16">
        <f t="shared" si="4"/>
        <v>345.19730068672732</v>
      </c>
      <c r="BG30" s="16">
        <f t="shared" si="4"/>
        <v>365.0251914889717</v>
      </c>
      <c r="BH30" s="16">
        <f t="shared" si="4"/>
        <v>385.99198243001678</v>
      </c>
      <c r="BI30" s="16">
        <f t="shared" si="4"/>
        <v>408.16309113491889</v>
      </c>
      <c r="BJ30" s="16"/>
      <c r="BK30" s="16"/>
    </row>
    <row r="31" spans="1:67" x14ac:dyDescent="0.25">
      <c r="A31" s="11" t="s">
        <v>404</v>
      </c>
      <c r="B31" s="70"/>
      <c r="V31" s="16">
        <v>59.020797518236833</v>
      </c>
      <c r="W31" s="16">
        <v>61.639901235304841</v>
      </c>
      <c r="X31" s="16">
        <v>64.532934856356121</v>
      </c>
      <c r="Y31" s="16">
        <v>67.711314181884347</v>
      </c>
      <c r="Z31" s="16">
        <v>71.181444572630696</v>
      </c>
      <c r="AA31" s="16">
        <v>74.957291060469188</v>
      </c>
      <c r="AB31" s="16">
        <v>78.990550271417632</v>
      </c>
      <c r="AC31" s="16">
        <v>83.24900421036466</v>
      </c>
      <c r="AD31" s="16">
        <v>87.729041261544538</v>
      </c>
      <c r="AE31" s="16">
        <v>92.446521230607146</v>
      </c>
      <c r="AF31" s="16">
        <v>97.365615379993557</v>
      </c>
      <c r="AG31" s="16">
        <v>102.46493552419226</v>
      </c>
      <c r="AH31" s="16">
        <v>107.75290761935587</v>
      </c>
      <c r="AI31" s="16">
        <v>113.23198033194302</v>
      </c>
      <c r="AJ31" s="16">
        <v>118.93851637954135</v>
      </c>
      <c r="AK31" s="16">
        <v>124.87420487494353</v>
      </c>
      <c r="AL31" s="16">
        <v>131.05493725788145</v>
      </c>
      <c r="AM31" s="16">
        <v>137.49997021505692</v>
      </c>
      <c r="AN31" s="16">
        <v>144.21572837351962</v>
      </c>
      <c r="AO31" s="16">
        <v>151.24379247396402</v>
      </c>
      <c r="AP31" s="16">
        <v>158.60030905622102</v>
      </c>
      <c r="AQ31" s="16">
        <v>166.30405871873532</v>
      </c>
      <c r="AR31" s="16">
        <v>174.38492663473315</v>
      </c>
      <c r="AS31" s="16">
        <v>182.8627885312668</v>
      </c>
      <c r="AT31" s="16">
        <v>191.78317132930007</v>
      </c>
      <c r="AU31" s="16">
        <v>201.17608443714511</v>
      </c>
      <c r="AV31" s="16">
        <v>211.07644816851615</v>
      </c>
      <c r="AW31" s="16">
        <v>221.52835868448162</v>
      </c>
      <c r="AX31" s="16">
        <v>232.57849786200214</v>
      </c>
      <c r="AY31" s="16">
        <v>244.08407794806035</v>
      </c>
      <c r="AZ31" s="16">
        <v>255.92269963381719</v>
      </c>
      <c r="BA31" s="16">
        <v>268.05796950340459</v>
      </c>
      <c r="BB31" s="16">
        <f>BA$31*AVERAGE($BA$31/$AZ$31,$AZ$31/$AY$31,$AY$31/$AX$31,$AX$31/$AW$31,$AW$31/$AV$31,$AV$31/$AU$31,$AU$31/$AT$31,$AT$31/$AS$31,$AS$31/$AR$31,$AR$31/$AQ$31)</f>
        <v>281.16508964344757</v>
      </c>
      <c r="BC31" s="16">
        <f t="shared" ref="BC31:BI31" si="5">BB$31*AVERAGE($BA$31/$AZ$31,$AZ$31/$AY$31,$AY$31/$AX$31,$AX$31/$AW$31,$AW$31/$AV$31,$AV$31/$AU$31,$AU$31/$AT$31,$AT$31/$AS$31,$AS$31/$AR$31,$AR$31/$AQ$31)</f>
        <v>294.91310323905083</v>
      </c>
      <c r="BD31" s="16">
        <f t="shared" si="5"/>
        <v>309.33334779357074</v>
      </c>
      <c r="BE31" s="16">
        <f t="shared" si="5"/>
        <v>324.45869310735941</v>
      </c>
      <c r="BF31" s="16">
        <f t="shared" si="5"/>
        <v>340.32361620185998</v>
      </c>
      <c r="BG31" s="16">
        <f t="shared" si="5"/>
        <v>356.9642799072343</v>
      </c>
      <c r="BH31" s="16">
        <f t="shared" si="5"/>
        <v>374.41861529265776</v>
      </c>
      <c r="BI31" s="16">
        <f t="shared" si="5"/>
        <v>392.72640812717395</v>
      </c>
      <c r="BJ31" s="16"/>
      <c r="BK31" s="16"/>
    </row>
    <row r="32" spans="1:67" x14ac:dyDescent="0.25">
      <c r="A32" s="11"/>
      <c r="B32" s="70"/>
    </row>
    <row r="33" spans="1:61" x14ac:dyDescent="0.25">
      <c r="A33" s="9" t="s">
        <v>405</v>
      </c>
      <c r="B33" s="70"/>
    </row>
    <row r="34" spans="1:61" x14ac:dyDescent="0.25">
      <c r="A34" s="11" t="s">
        <v>406</v>
      </c>
      <c r="B34" s="70"/>
      <c r="L34" s="16">
        <v>0.40600000000000003</v>
      </c>
      <c r="M34" s="16">
        <v>0.433</v>
      </c>
      <c r="N34" s="16">
        <v>0.44800000000000001</v>
      </c>
      <c r="O34" s="16">
        <v>0.45</v>
      </c>
      <c r="P34" s="16">
        <v>0.44</v>
      </c>
      <c r="Q34" s="16">
        <v>0.42799999999999999</v>
      </c>
      <c r="R34" s="16">
        <v>0.41299999999999998</v>
      </c>
      <c r="S34" s="16">
        <v>0.40600000000000003</v>
      </c>
      <c r="T34" s="16">
        <v>0.40899999999999997</v>
      </c>
      <c r="U34" s="16">
        <v>0.41099999999999998</v>
      </c>
      <c r="V34" s="16">
        <v>0.41299999999999998</v>
      </c>
      <c r="W34" s="16">
        <v>0.41399999999999998</v>
      </c>
      <c r="X34" s="16">
        <v>0.40899999999999997</v>
      </c>
      <c r="Y34" s="16">
        <v>0.39300000000000002</v>
      </c>
      <c r="Z34" s="16">
        <v>0.378</v>
      </c>
      <c r="AA34" s="16">
        <v>0.36099999999999999</v>
      </c>
      <c r="AB34" s="16">
        <v>0.34399999999999997</v>
      </c>
      <c r="AC34" s="16">
        <v>0.32700000000000001</v>
      </c>
      <c r="AD34" s="16">
        <v>0.31</v>
      </c>
      <c r="AE34" s="16">
        <v>0.29199999999999998</v>
      </c>
      <c r="AF34" s="16">
        <v>0.27600000000000002</v>
      </c>
      <c r="AG34" s="16">
        <v>0.26</v>
      </c>
      <c r="AH34" s="16">
        <v>0.24299999999999999</v>
      </c>
      <c r="AI34" s="16">
        <v>0.22600000000000001</v>
      </c>
      <c r="AJ34" s="16">
        <v>0.21099999999999999</v>
      </c>
      <c r="AK34" s="16">
        <v>0.19600000000000001</v>
      </c>
      <c r="AL34" s="16">
        <v>0.18099999999999999</v>
      </c>
      <c r="AM34" s="16">
        <v>0.16700000000000001</v>
      </c>
      <c r="AN34" s="16">
        <v>0.152</v>
      </c>
      <c r="AO34" s="16">
        <v>0.14000000000000001</v>
      </c>
      <c r="AP34" s="16">
        <v>0.127</v>
      </c>
      <c r="AQ34" s="16">
        <v>0.115</v>
      </c>
      <c r="AR34" s="16">
        <v>0.104</v>
      </c>
      <c r="AS34" s="16">
        <v>9.4E-2</v>
      </c>
      <c r="AT34" s="16">
        <v>8.4000000000000005E-2</v>
      </c>
      <c r="AU34" s="16">
        <v>7.4999999999999997E-2</v>
      </c>
      <c r="AV34" s="16">
        <v>6.7000000000000004E-2</v>
      </c>
      <c r="AW34" s="16">
        <v>0.06</v>
      </c>
      <c r="AX34" s="16">
        <v>5.2999999999999999E-2</v>
      </c>
      <c r="AY34" s="16">
        <v>4.5999999999999999E-2</v>
      </c>
      <c r="AZ34" s="16">
        <v>0.04</v>
      </c>
      <c r="BA34" s="16">
        <v>3.5000000000000003E-2</v>
      </c>
      <c r="BB34" s="16">
        <v>3.1E-2</v>
      </c>
      <c r="BC34" s="16">
        <v>2.5999999999999999E-2</v>
      </c>
      <c r="BD34" s="16">
        <v>2.3E-2</v>
      </c>
      <c r="BE34" s="16">
        <v>0.02</v>
      </c>
      <c r="BF34" s="16">
        <v>1.7000000000000001E-2</v>
      </c>
      <c r="BG34" s="16">
        <v>1.4E-2</v>
      </c>
      <c r="BH34" s="16">
        <v>1.0999999999999999E-2</v>
      </c>
      <c r="BI34" s="16">
        <v>8.9999999999999993E-3</v>
      </c>
    </row>
    <row r="35" spans="1:61" x14ac:dyDescent="0.25">
      <c r="A35" s="11" t="s">
        <v>404</v>
      </c>
      <c r="B35" s="70"/>
      <c r="L35" s="16">
        <v>13.744999999999999</v>
      </c>
      <c r="M35" s="16">
        <v>13.493</v>
      </c>
      <c r="N35" s="16">
        <v>13.244999999999999</v>
      </c>
      <c r="O35" s="16">
        <v>12.984999999999999</v>
      </c>
      <c r="P35" s="16">
        <v>12.689</v>
      </c>
      <c r="Q35" s="16">
        <v>12.366</v>
      </c>
      <c r="R35" s="16">
        <v>12.019</v>
      </c>
      <c r="S35" s="16">
        <v>11.656000000000001</v>
      </c>
      <c r="T35" s="16">
        <v>11.29</v>
      </c>
      <c r="U35" s="16">
        <v>10.92</v>
      </c>
      <c r="V35" s="16">
        <v>10.553000000000001</v>
      </c>
      <c r="W35" s="16">
        <v>10.186999999999999</v>
      </c>
      <c r="X35" s="16">
        <v>9.8190000000000008</v>
      </c>
      <c r="Y35" s="16">
        <v>9.44</v>
      </c>
      <c r="Z35" s="16">
        <v>9.0530000000000008</v>
      </c>
      <c r="AA35" s="16">
        <v>8.6560000000000006</v>
      </c>
      <c r="AB35" s="16">
        <v>8.2539999999999996</v>
      </c>
      <c r="AC35" s="16">
        <v>7.843</v>
      </c>
      <c r="AD35" s="16">
        <v>7.4290000000000003</v>
      </c>
      <c r="AE35" s="16">
        <v>7.0140000000000002</v>
      </c>
      <c r="AF35" s="16">
        <v>6.6130000000000004</v>
      </c>
      <c r="AG35" s="16">
        <v>6.2169999999999996</v>
      </c>
      <c r="AH35" s="16">
        <v>5.827</v>
      </c>
      <c r="AI35" s="16">
        <v>5.444</v>
      </c>
      <c r="AJ35" s="16">
        <v>5.0709999999999997</v>
      </c>
      <c r="AK35" s="16">
        <v>4.7069999999999999</v>
      </c>
      <c r="AL35" s="16">
        <v>4.3550000000000004</v>
      </c>
      <c r="AM35" s="16">
        <v>4.016</v>
      </c>
      <c r="AN35" s="16">
        <v>3.6909999999999998</v>
      </c>
      <c r="AO35" s="16">
        <v>3.379</v>
      </c>
      <c r="AP35" s="16">
        <v>3.0830000000000002</v>
      </c>
      <c r="AQ35" s="16">
        <v>2.8010000000000002</v>
      </c>
      <c r="AR35" s="16">
        <v>2.536</v>
      </c>
      <c r="AS35" s="16">
        <v>2.2869999999999999</v>
      </c>
      <c r="AT35" s="16">
        <v>2.0539999999999998</v>
      </c>
      <c r="AU35" s="16">
        <v>1.8380000000000001</v>
      </c>
      <c r="AV35" s="16">
        <v>1.637</v>
      </c>
      <c r="AW35" s="16">
        <v>1.452</v>
      </c>
      <c r="AX35" s="16">
        <v>1.282</v>
      </c>
      <c r="AY35" s="16">
        <v>1.1259999999999999</v>
      </c>
      <c r="AZ35" s="16">
        <v>0.98399999999999999</v>
      </c>
      <c r="BA35" s="16">
        <v>0.85599999999999998</v>
      </c>
      <c r="BB35" s="16">
        <v>0.74099999999999999</v>
      </c>
      <c r="BC35" s="16">
        <v>0.63900000000000001</v>
      </c>
      <c r="BD35" s="16">
        <v>0.54800000000000004</v>
      </c>
      <c r="BE35" s="16">
        <v>0.46800000000000003</v>
      </c>
      <c r="BF35" s="16">
        <v>0.39300000000000002</v>
      </c>
      <c r="BG35" s="16">
        <v>0.32300000000000001</v>
      </c>
      <c r="BH35" s="16">
        <v>0.25800000000000001</v>
      </c>
      <c r="BI35" s="16">
        <v>0.19800000000000001</v>
      </c>
    </row>
    <row r="36" spans="1:61" x14ac:dyDescent="0.25">
      <c r="A36" s="11"/>
      <c r="B36" s="70"/>
    </row>
    <row r="37" spans="1:61" x14ac:dyDescent="0.25">
      <c r="A37" s="9" t="s">
        <v>407</v>
      </c>
      <c r="B37" s="9" t="s">
        <v>444</v>
      </c>
      <c r="D37" s="16">
        <v>1.1020000000000001</v>
      </c>
      <c r="E37" s="16">
        <v>1.2809999999999999</v>
      </c>
      <c r="F37" s="16">
        <v>1.024</v>
      </c>
      <c r="G37" s="16">
        <v>1.0409999999999999</v>
      </c>
      <c r="H37" s="16">
        <v>0.68899999999999995</v>
      </c>
      <c r="I37" s="16">
        <v>0.72299999999999998</v>
      </c>
      <c r="J37" s="16">
        <v>0.80400000000000005</v>
      </c>
      <c r="K37" s="16">
        <v>0.85499999999999998</v>
      </c>
      <c r="L37" s="16">
        <v>0.69799999999999995</v>
      </c>
      <c r="M37" s="16">
        <v>0.74299999999999999</v>
      </c>
      <c r="N37" s="16">
        <v>0.80700000000000005</v>
      </c>
      <c r="O37" s="16">
        <v>0.86699999999999999</v>
      </c>
      <c r="P37" s="16">
        <v>0.88500000000000001</v>
      </c>
      <c r="Q37" s="16">
        <v>0.91600000000000004</v>
      </c>
      <c r="R37" s="16">
        <v>0.96399999999999997</v>
      </c>
      <c r="S37" s="16">
        <v>0.997</v>
      </c>
      <c r="T37" s="16">
        <v>1.014</v>
      </c>
      <c r="U37" s="16">
        <v>1.06</v>
      </c>
      <c r="V37" s="16">
        <v>0.54500000000000004</v>
      </c>
      <c r="W37" s="16">
        <v>0.56499999999999995</v>
      </c>
      <c r="X37" s="16">
        <v>0.58799999999999997</v>
      </c>
      <c r="Y37" s="16">
        <v>0.61299999999999999</v>
      </c>
      <c r="Z37" s="16">
        <v>0.63900000000000001</v>
      </c>
      <c r="AA37" s="16">
        <v>0.67</v>
      </c>
      <c r="AB37" s="16">
        <v>0.7</v>
      </c>
    </row>
    <row r="38" spans="1:61" x14ac:dyDescent="0.25">
      <c r="A38" s="9"/>
      <c r="B38" s="70"/>
      <c r="D38" s="95"/>
      <c r="E38" s="95"/>
      <c r="F38" s="95"/>
      <c r="G38" s="95"/>
      <c r="H38" s="95"/>
      <c r="I38" s="95"/>
      <c r="J38" s="95"/>
      <c r="K38" s="95"/>
      <c r="L38" s="95"/>
      <c r="M38" s="95"/>
      <c r="N38" s="95"/>
      <c r="O38" s="95"/>
      <c r="P38" s="95"/>
      <c r="Q38" s="95"/>
      <c r="R38" s="95"/>
      <c r="S38" s="95"/>
      <c r="T38" s="95"/>
      <c r="U38" s="95"/>
      <c r="V38" s="95"/>
      <c r="W38" s="95"/>
      <c r="X38" s="95"/>
      <c r="Y38" s="95"/>
      <c r="Z38" s="95"/>
      <c r="AA38" s="95"/>
      <c r="AB38" s="95"/>
    </row>
    <row r="39" spans="1:61" x14ac:dyDescent="0.25">
      <c r="A39" s="9" t="s">
        <v>408</v>
      </c>
      <c r="B39" s="9" t="s">
        <v>444</v>
      </c>
      <c r="D39" s="16">
        <v>0.70099999999999996</v>
      </c>
      <c r="E39" s="16">
        <v>1.6539999999999999</v>
      </c>
      <c r="F39" s="16">
        <v>0.59</v>
      </c>
      <c r="G39" s="16">
        <v>1.01</v>
      </c>
      <c r="H39" s="16">
        <v>1.0029999999999999</v>
      </c>
      <c r="I39" s="16">
        <v>0.92500000000000004</v>
      </c>
      <c r="J39" s="16">
        <v>1.069</v>
      </c>
      <c r="K39" s="16">
        <v>0.873</v>
      </c>
      <c r="L39" s="16">
        <v>0.68</v>
      </c>
      <c r="M39" s="16">
        <v>0.49299999999999999</v>
      </c>
      <c r="N39" s="16">
        <v>0.61599999999999999</v>
      </c>
      <c r="O39" s="16">
        <v>0.82899999999999996</v>
      </c>
      <c r="P39" s="16">
        <v>1.3560000000000001</v>
      </c>
      <c r="Q39" s="16">
        <v>0.88200000000000001</v>
      </c>
      <c r="R39" s="16">
        <v>0.66200000000000003</v>
      </c>
      <c r="S39" s="16">
        <v>1.4530000000000001</v>
      </c>
      <c r="T39" s="16">
        <v>2.3929999999999998</v>
      </c>
      <c r="U39" s="16">
        <v>1.994</v>
      </c>
      <c r="V39" s="16">
        <v>1.52</v>
      </c>
      <c r="W39" s="16">
        <v>1.425</v>
      </c>
      <c r="X39" s="16">
        <v>1.238</v>
      </c>
      <c r="Y39" s="16">
        <v>1.238</v>
      </c>
    </row>
    <row r="40" spans="1:61" x14ac:dyDescent="0.25">
      <c r="A40" s="9"/>
      <c r="B40" s="9"/>
      <c r="D40" s="16"/>
      <c r="E40" s="16"/>
      <c r="F40" s="16"/>
      <c r="G40" s="16"/>
      <c r="H40" s="16"/>
      <c r="I40" s="16"/>
      <c r="J40" s="16"/>
      <c r="K40" s="16"/>
      <c r="L40" s="16"/>
      <c r="M40" s="16"/>
      <c r="N40" s="16"/>
      <c r="O40" s="16"/>
      <c r="P40" s="16"/>
      <c r="Q40" s="16"/>
      <c r="R40" s="16"/>
      <c r="S40" s="16"/>
      <c r="T40" s="16"/>
      <c r="U40" s="16"/>
      <c r="V40" s="16"/>
      <c r="W40" s="16"/>
      <c r="X40" s="16"/>
      <c r="Y40" s="16"/>
    </row>
    <row r="41" spans="1:61" x14ac:dyDescent="0.25">
      <c r="A41" s="9" t="s">
        <v>409</v>
      </c>
      <c r="B41" s="13" t="s">
        <v>87</v>
      </c>
      <c r="C41" s="13" t="s">
        <v>88</v>
      </c>
      <c r="D41" s="53"/>
      <c r="E41" s="53"/>
      <c r="F41" s="53"/>
      <c r="G41" s="53"/>
      <c r="H41" s="2"/>
      <c r="I41" s="13" t="s">
        <v>87</v>
      </c>
      <c r="J41" s="13" t="s">
        <v>88</v>
      </c>
      <c r="K41" s="2"/>
      <c r="L41" s="53"/>
      <c r="M41" s="53"/>
      <c r="N41" s="53"/>
      <c r="O41" s="2"/>
      <c r="P41" s="13" t="s">
        <v>87</v>
      </c>
      <c r="Q41" s="13" t="s">
        <v>88</v>
      </c>
    </row>
    <row r="42" spans="1:61" x14ac:dyDescent="0.25">
      <c r="A42" s="11" t="s">
        <v>410</v>
      </c>
      <c r="B42" s="71">
        <v>3.3000000000000002E-2</v>
      </c>
      <c r="C42" s="71">
        <v>3.4000000000000002E-2</v>
      </c>
      <c r="D42" s="11" t="s">
        <v>422</v>
      </c>
      <c r="F42" s="53"/>
      <c r="G42" s="53"/>
      <c r="H42" s="53"/>
      <c r="I42" s="71">
        <v>1.2E-2</v>
      </c>
      <c r="J42" s="71">
        <v>1.7999999999999999E-2</v>
      </c>
      <c r="K42" s="11" t="s">
        <v>423</v>
      </c>
      <c r="M42" s="53"/>
      <c r="N42" s="53"/>
      <c r="O42" s="53"/>
      <c r="P42" s="71">
        <v>0</v>
      </c>
      <c r="Q42" s="71">
        <v>0</v>
      </c>
    </row>
    <row r="43" spans="1:61" x14ac:dyDescent="0.25">
      <c r="A43" s="11" t="s">
        <v>411</v>
      </c>
      <c r="B43" s="71">
        <v>6.4000000000000001E-2</v>
      </c>
      <c r="C43" s="71">
        <v>8.3000000000000004E-2</v>
      </c>
      <c r="D43" s="11" t="s">
        <v>424</v>
      </c>
      <c r="F43" s="53"/>
      <c r="G43" s="53"/>
      <c r="H43" s="53"/>
      <c r="I43" s="71">
        <v>2.5000000000000001E-2</v>
      </c>
      <c r="J43" s="71">
        <v>3.3000000000000002E-2</v>
      </c>
      <c r="K43" s="11" t="s">
        <v>425</v>
      </c>
      <c r="M43" s="53"/>
      <c r="N43" s="53"/>
      <c r="O43" s="53"/>
      <c r="P43" s="71">
        <v>0.11700000000000001</v>
      </c>
      <c r="Q43" s="71">
        <v>3.0000000000000001E-3</v>
      </c>
    </row>
    <row r="44" spans="1:61" x14ac:dyDescent="0.25">
      <c r="A44" s="11" t="s">
        <v>412</v>
      </c>
      <c r="B44" s="71">
        <v>0.04</v>
      </c>
      <c r="C44" s="71">
        <v>7.6999999999999999E-2</v>
      </c>
      <c r="D44" s="11" t="s">
        <v>426</v>
      </c>
      <c r="F44" s="53"/>
      <c r="G44" s="53"/>
      <c r="H44" s="53"/>
      <c r="I44" s="71">
        <v>2.7E-2</v>
      </c>
      <c r="J44" s="71">
        <v>3.3000000000000002E-2</v>
      </c>
      <c r="K44" s="11" t="s">
        <v>427</v>
      </c>
      <c r="M44" s="53"/>
      <c r="N44" s="53"/>
      <c r="O44" s="53"/>
      <c r="P44" s="71">
        <v>0.19900000000000001</v>
      </c>
      <c r="Q44" s="71">
        <v>1.2E-2</v>
      </c>
    </row>
    <row r="45" spans="1:61" x14ac:dyDescent="0.25">
      <c r="A45" s="11" t="s">
        <v>413</v>
      </c>
      <c r="B45" s="71">
        <v>3.2000000000000001E-2</v>
      </c>
      <c r="C45" s="71">
        <v>7.0999999999999994E-2</v>
      </c>
      <c r="D45" s="11" t="s">
        <v>428</v>
      </c>
      <c r="F45" s="53"/>
      <c r="G45" s="53"/>
      <c r="H45" s="53"/>
      <c r="I45" s="71">
        <v>3.4000000000000002E-2</v>
      </c>
      <c r="J45" s="71">
        <v>3.6999999999999998E-2</v>
      </c>
      <c r="K45" s="11" t="s">
        <v>429</v>
      </c>
      <c r="M45" s="53"/>
      <c r="N45" s="53"/>
      <c r="O45" s="53"/>
      <c r="P45" s="71">
        <v>0.217</v>
      </c>
      <c r="Q45" s="71">
        <v>0.02</v>
      </c>
    </row>
    <row r="46" spans="1:61" x14ac:dyDescent="0.25">
      <c r="A46" s="11" t="s">
        <v>414</v>
      </c>
      <c r="B46" s="71">
        <v>0.03</v>
      </c>
      <c r="C46" s="71">
        <v>0.06</v>
      </c>
      <c r="D46" s="11" t="s">
        <v>430</v>
      </c>
      <c r="F46" s="53"/>
      <c r="G46" s="53"/>
      <c r="H46" s="53"/>
      <c r="I46" s="71">
        <v>3.9E-2</v>
      </c>
      <c r="J46" s="71">
        <v>3.6999999999999998E-2</v>
      </c>
      <c r="K46" s="11" t="s">
        <v>431</v>
      </c>
      <c r="M46" s="53"/>
      <c r="N46" s="53"/>
      <c r="O46" s="53"/>
      <c r="P46" s="71">
        <v>0.17599999999999999</v>
      </c>
      <c r="Q46" s="71">
        <v>0.02</v>
      </c>
    </row>
    <row r="47" spans="1:61" x14ac:dyDescent="0.25">
      <c r="A47" s="11" t="s">
        <v>415</v>
      </c>
      <c r="B47" s="71">
        <v>3.1E-2</v>
      </c>
      <c r="C47" s="71">
        <v>5.1999999999999998E-2</v>
      </c>
      <c r="D47" s="11" t="s">
        <v>432</v>
      </c>
      <c r="F47" s="53"/>
      <c r="G47" s="53"/>
      <c r="H47" s="53"/>
      <c r="I47" s="71">
        <v>0.04</v>
      </c>
      <c r="J47" s="71">
        <v>3.6999999999999998E-2</v>
      </c>
      <c r="K47" s="11" t="s">
        <v>433</v>
      </c>
      <c r="M47" s="53"/>
      <c r="N47" s="53"/>
      <c r="O47" s="53"/>
      <c r="P47" s="71">
        <v>0.109</v>
      </c>
      <c r="Q47" s="71">
        <v>1.6E-2</v>
      </c>
    </row>
    <row r="48" spans="1:61" x14ac:dyDescent="0.25">
      <c r="A48" s="11" t="s">
        <v>416</v>
      </c>
      <c r="B48" s="71">
        <v>3.5000000000000003E-2</v>
      </c>
      <c r="C48" s="71">
        <v>4.7E-2</v>
      </c>
      <c r="D48" s="11" t="s">
        <v>434</v>
      </c>
      <c r="F48" s="53"/>
      <c r="G48" s="53"/>
      <c r="H48" s="53"/>
      <c r="I48" s="71">
        <v>4.7E-2</v>
      </c>
      <c r="J48" s="71">
        <v>4.2999999999999997E-2</v>
      </c>
      <c r="K48" s="11" t="s">
        <v>435</v>
      </c>
      <c r="M48" s="53"/>
      <c r="N48" s="53"/>
      <c r="O48" s="53"/>
      <c r="P48" s="71">
        <v>5.7000000000000002E-2</v>
      </c>
      <c r="Q48" s="71">
        <v>1.0999999999999999E-2</v>
      </c>
    </row>
    <row r="49" spans="1:18" x14ac:dyDescent="0.25">
      <c r="A49" s="11" t="s">
        <v>417</v>
      </c>
      <c r="B49" s="71">
        <v>4.4999999999999998E-2</v>
      </c>
      <c r="C49" s="71">
        <v>4.9000000000000002E-2</v>
      </c>
      <c r="D49" s="11" t="s">
        <v>436</v>
      </c>
      <c r="F49" s="53"/>
      <c r="G49" s="53"/>
      <c r="H49" s="53"/>
      <c r="I49" s="71">
        <v>6.9000000000000006E-2</v>
      </c>
      <c r="J49" s="71">
        <v>6.0999999999999999E-2</v>
      </c>
      <c r="K49" s="11" t="s">
        <v>437</v>
      </c>
      <c r="M49" s="53"/>
      <c r="N49" s="53"/>
      <c r="O49" s="53"/>
      <c r="P49" s="71">
        <v>2.3E-2</v>
      </c>
      <c r="Q49" s="71">
        <v>7.0000000000000001E-3</v>
      </c>
    </row>
    <row r="50" spans="1:18" x14ac:dyDescent="0.25">
      <c r="A50" s="11" t="s">
        <v>418</v>
      </c>
      <c r="B50" s="71">
        <v>4.8000000000000001E-2</v>
      </c>
      <c r="C50" s="71">
        <v>4.9000000000000002E-2</v>
      </c>
      <c r="D50" s="11" t="s">
        <v>438</v>
      </c>
      <c r="F50" s="53"/>
      <c r="G50" s="53"/>
      <c r="H50" s="53"/>
      <c r="I50" s="71">
        <v>8.5000000000000006E-2</v>
      </c>
      <c r="J50" s="71">
        <v>7.8E-2</v>
      </c>
      <c r="K50" s="11" t="s">
        <v>439</v>
      </c>
      <c r="M50" s="53"/>
      <c r="N50" s="53"/>
      <c r="O50" s="53"/>
      <c r="P50" s="71">
        <v>5.0000000000000001E-3</v>
      </c>
      <c r="Q50" s="71">
        <v>4.0000000000000001E-3</v>
      </c>
    </row>
    <row r="51" spans="1:18" x14ac:dyDescent="0.25">
      <c r="A51" s="11" t="s">
        <v>419</v>
      </c>
      <c r="B51" s="71">
        <v>5.2999999999999999E-2</v>
      </c>
      <c r="C51" s="71">
        <v>4.8000000000000001E-2</v>
      </c>
      <c r="D51" s="11" t="s">
        <v>440</v>
      </c>
      <c r="F51" s="53"/>
      <c r="G51" s="53"/>
      <c r="H51" s="53"/>
      <c r="I51" s="71">
        <v>0.11899999999999999</v>
      </c>
      <c r="J51" s="71">
        <v>0.10299999999999999</v>
      </c>
      <c r="K51" s="11" t="s">
        <v>441</v>
      </c>
      <c r="M51" s="53"/>
      <c r="N51" s="53"/>
      <c r="O51" s="53"/>
      <c r="P51" s="71">
        <v>2E-3</v>
      </c>
      <c r="Q51" s="71">
        <v>2E-3</v>
      </c>
    </row>
    <row r="52" spans="1:18" x14ac:dyDescent="0.25">
      <c r="A52" s="11" t="s">
        <v>420</v>
      </c>
      <c r="B52" s="71">
        <v>1.0999999999999999E-2</v>
      </c>
      <c r="C52" s="71">
        <v>8.0000000000000002E-3</v>
      </c>
      <c r="D52" s="11" t="s">
        <v>442</v>
      </c>
      <c r="F52" s="53"/>
      <c r="G52" s="53"/>
      <c r="H52" s="53"/>
      <c r="I52" s="71">
        <v>1.0999999999999999E-2</v>
      </c>
      <c r="J52" s="71">
        <v>1.2E-2</v>
      </c>
      <c r="K52" s="11" t="s">
        <v>443</v>
      </c>
      <c r="M52" s="53"/>
      <c r="N52" s="53"/>
      <c r="O52" s="53"/>
      <c r="P52" s="71">
        <v>0</v>
      </c>
      <c r="Q52" s="71">
        <v>0</v>
      </c>
    </row>
    <row r="53" spans="1:18" x14ac:dyDescent="0.25">
      <c r="A53" s="11"/>
      <c r="B53" s="11"/>
      <c r="C53" s="72">
        <f>SUM($B$42:$C$52)</f>
        <v>1.0000000000000004</v>
      </c>
      <c r="D53" s="2"/>
      <c r="E53" s="2"/>
      <c r="F53" s="2"/>
      <c r="G53" s="2"/>
      <c r="H53" s="2"/>
      <c r="I53" s="11"/>
      <c r="J53" s="72">
        <f>SUM($I$42:$J$52)</f>
        <v>0.99999999999999978</v>
      </c>
      <c r="K53" s="2"/>
      <c r="L53" s="2"/>
      <c r="M53" s="2"/>
      <c r="N53" s="2"/>
      <c r="O53" s="2"/>
      <c r="P53" s="11"/>
      <c r="Q53" s="72">
        <f>SUM($P$42:$Q$52)</f>
        <v>1</v>
      </c>
    </row>
    <row r="54" spans="1:18" x14ac:dyDescent="0.25">
      <c r="A54" s="11"/>
      <c r="B54" s="11"/>
      <c r="C54" s="11" t="s">
        <v>76</v>
      </c>
      <c r="D54" s="11"/>
      <c r="E54" s="11"/>
      <c r="F54" s="11"/>
      <c r="G54" s="11"/>
      <c r="H54" s="70"/>
      <c r="I54" s="70"/>
    </row>
    <row r="55" spans="1:18" x14ac:dyDescent="0.25">
      <c r="A55" s="9" t="s">
        <v>421</v>
      </c>
      <c r="B55" s="11" t="s">
        <v>77</v>
      </c>
      <c r="C55" s="11" t="s">
        <v>78</v>
      </c>
      <c r="D55" s="11" t="s">
        <v>80</v>
      </c>
      <c r="E55" s="11" t="s">
        <v>79</v>
      </c>
      <c r="F55" s="11"/>
      <c r="G55" s="11"/>
      <c r="H55" s="70"/>
      <c r="I55" s="70"/>
    </row>
    <row r="56" spans="1:18" x14ac:dyDescent="0.25">
      <c r="A56" s="11" t="s">
        <v>69</v>
      </c>
      <c r="B56" s="71">
        <v>0.105</v>
      </c>
      <c r="C56" s="73">
        <v>15600</v>
      </c>
      <c r="D56" s="73">
        <f>$C$56*(1-$B$56)</f>
        <v>13962</v>
      </c>
      <c r="E56" s="73">
        <f>$C$56-$D$56</f>
        <v>1638</v>
      </c>
      <c r="F56" s="70"/>
      <c r="G56" s="70"/>
      <c r="H56" s="70"/>
      <c r="I56" s="70"/>
    </row>
    <row r="57" spans="1:18" x14ac:dyDescent="0.25">
      <c r="A57" s="11" t="s">
        <v>70</v>
      </c>
      <c r="B57" s="71">
        <v>0.17499999999999999</v>
      </c>
      <c r="C57" s="73">
        <v>53500</v>
      </c>
      <c r="D57" s="73">
        <f>$C$57-($C$57-$C$56)*$B$57-$C$56*$B$56</f>
        <v>45229.5</v>
      </c>
      <c r="E57" s="73">
        <f>$C$57-$D$57</f>
        <v>8270.5</v>
      </c>
      <c r="F57" s="70"/>
      <c r="G57" s="70"/>
      <c r="H57" s="70"/>
      <c r="I57" s="70"/>
    </row>
    <row r="58" spans="1:18" x14ac:dyDescent="0.25">
      <c r="A58" s="11" t="s">
        <v>71</v>
      </c>
      <c r="B58" s="71">
        <v>0.3</v>
      </c>
      <c r="C58" s="73">
        <v>78100</v>
      </c>
      <c r="D58" s="73">
        <f>$C$58-($C$58-$C$57)*$B$58-($C$57-$C$56)*$B$57-$C$56*$B$56</f>
        <v>62449.5</v>
      </c>
      <c r="E58" s="73">
        <f>$C$58-$D$58</f>
        <v>15650.5</v>
      </c>
      <c r="F58" s="70"/>
      <c r="G58" s="70"/>
      <c r="H58" s="70"/>
      <c r="I58" s="70"/>
    </row>
    <row r="59" spans="1:18" x14ac:dyDescent="0.25">
      <c r="A59" s="11" t="s">
        <v>72</v>
      </c>
      <c r="B59" s="71">
        <v>0.33</v>
      </c>
      <c r="C59" s="73">
        <v>180000</v>
      </c>
      <c r="D59" s="73">
        <f>$C$59-($C$59-$C$58)*$B$59-($C$58-$C$57)*$B$58-($C$57-$C$56)*$B$57-$C$56*$B$56</f>
        <v>130722.5</v>
      </c>
      <c r="E59" s="73">
        <f>$C$59-$D$59</f>
        <v>49277.5</v>
      </c>
      <c r="F59" s="70"/>
      <c r="G59" s="70"/>
      <c r="H59" s="70"/>
      <c r="I59" s="70"/>
    </row>
    <row r="60" spans="1:18" x14ac:dyDescent="0.25">
      <c r="A60" s="11" t="s">
        <v>73</v>
      </c>
      <c r="B60" s="71">
        <v>0.39</v>
      </c>
      <c r="C60" s="70"/>
      <c r="D60" s="70"/>
      <c r="E60" s="70"/>
      <c r="F60" s="70"/>
      <c r="G60" s="70"/>
      <c r="H60" s="70"/>
      <c r="I60" s="70"/>
    </row>
    <row r="61" spans="1:18" x14ac:dyDescent="0.25">
      <c r="A61" s="11" t="s">
        <v>74</v>
      </c>
      <c r="B61" s="74">
        <v>1.6E-2</v>
      </c>
      <c r="C61" s="70"/>
      <c r="D61" s="70"/>
      <c r="E61" s="70"/>
      <c r="F61" s="70"/>
      <c r="G61" s="70"/>
      <c r="H61" s="70"/>
      <c r="I61" s="70"/>
    </row>
    <row r="63" spans="1:18" x14ac:dyDescent="0.25">
      <c r="A63" s="9" t="s">
        <v>1123</v>
      </c>
      <c r="B63" s="9" t="s">
        <v>1124</v>
      </c>
      <c r="G63" s="9" t="s">
        <v>1175</v>
      </c>
      <c r="L63" s="9" t="s">
        <v>1191</v>
      </c>
      <c r="Q63" s="9" t="s">
        <v>1192</v>
      </c>
    </row>
    <row r="64" spans="1:18" x14ac:dyDescent="0.25">
      <c r="B64" s="9" t="s">
        <v>87</v>
      </c>
      <c r="C64" s="9" t="s">
        <v>88</v>
      </c>
      <c r="G64" s="9" t="s">
        <v>87</v>
      </c>
      <c r="H64" s="9" t="s">
        <v>88</v>
      </c>
      <c r="L64" s="9" t="s">
        <v>87</v>
      </c>
      <c r="M64" s="9" t="s">
        <v>88</v>
      </c>
      <c r="Q64" s="9" t="s">
        <v>87</v>
      </c>
      <c r="R64" s="9" t="s">
        <v>88</v>
      </c>
    </row>
    <row r="65" spans="1:18" x14ac:dyDescent="0.25">
      <c r="A65" s="11" t="s">
        <v>1125</v>
      </c>
      <c r="B65" s="71">
        <v>2.5999999999999999E-2</v>
      </c>
      <c r="C65" s="71">
        <v>2.8000000000000001E-2</v>
      </c>
      <c r="E65" s="11" t="s">
        <v>1176</v>
      </c>
      <c r="G65" s="71">
        <v>5.2999999999999999E-2</v>
      </c>
      <c r="H65" s="71">
        <v>5.5E-2</v>
      </c>
      <c r="J65" s="11" t="s">
        <v>1184</v>
      </c>
      <c r="L65" s="71">
        <v>5.6000000000000001E-2</v>
      </c>
      <c r="M65" s="71">
        <v>5.8999999999999997E-2</v>
      </c>
      <c r="O65" s="11" t="s">
        <v>1188</v>
      </c>
      <c r="Q65" s="71">
        <v>1.2999999999999999E-2</v>
      </c>
      <c r="R65" s="71">
        <v>1.4999999999999999E-2</v>
      </c>
    </row>
    <row r="66" spans="1:18" x14ac:dyDescent="0.25">
      <c r="A66" s="11" t="s">
        <v>1126</v>
      </c>
      <c r="B66" s="71">
        <v>7.2999999999999995E-2</v>
      </c>
      <c r="C66" s="71">
        <v>7.6999999999999999E-2</v>
      </c>
      <c r="E66" s="11" t="s">
        <v>1177</v>
      </c>
      <c r="G66" s="71">
        <v>5.7000000000000002E-2</v>
      </c>
      <c r="H66" s="71">
        <v>6.0999999999999999E-2</v>
      </c>
      <c r="J66" s="11" t="s">
        <v>1185</v>
      </c>
      <c r="L66" s="71">
        <v>0.11</v>
      </c>
      <c r="M66" s="71">
        <v>0.11600000000000001</v>
      </c>
      <c r="O66" s="11" t="s">
        <v>1193</v>
      </c>
      <c r="Q66" s="71">
        <v>0.1</v>
      </c>
      <c r="R66" s="71">
        <v>8.1000000000000003E-2</v>
      </c>
    </row>
    <row r="67" spans="1:18" x14ac:dyDescent="0.25">
      <c r="A67" s="11" t="s">
        <v>1127</v>
      </c>
      <c r="B67" s="71">
        <v>0.104</v>
      </c>
      <c r="C67" s="71">
        <v>0.11</v>
      </c>
      <c r="E67" s="11" t="s">
        <v>1178</v>
      </c>
      <c r="G67" s="71">
        <v>5.8000000000000003E-2</v>
      </c>
      <c r="H67" s="71">
        <v>6.0999999999999999E-2</v>
      </c>
      <c r="J67" s="11" t="s">
        <v>1186</v>
      </c>
      <c r="L67" s="71">
        <v>0.109</v>
      </c>
      <c r="M67" s="71">
        <v>0.114</v>
      </c>
      <c r="O67" s="11" t="s">
        <v>1194</v>
      </c>
      <c r="Q67" s="71">
        <v>0.219</v>
      </c>
      <c r="R67" s="71">
        <v>0.16500000000000001</v>
      </c>
    </row>
    <row r="68" spans="1:18" x14ac:dyDescent="0.25">
      <c r="A68" s="11" t="s">
        <v>1128</v>
      </c>
      <c r="B68" s="71">
        <v>0.13500000000000001</v>
      </c>
      <c r="C68" s="71">
        <v>0.14099999999999999</v>
      </c>
      <c r="E68" s="11" t="s">
        <v>1179</v>
      </c>
      <c r="G68" s="71">
        <v>5.8000000000000003E-2</v>
      </c>
      <c r="H68" s="71">
        <v>6.2E-2</v>
      </c>
      <c r="J68" s="11" t="s">
        <v>1187</v>
      </c>
      <c r="L68" s="71">
        <v>0.10299999999999999</v>
      </c>
      <c r="M68" s="71">
        <v>0.104</v>
      </c>
      <c r="O68" s="11" t="s">
        <v>1195</v>
      </c>
      <c r="Q68" s="71">
        <v>0.156</v>
      </c>
      <c r="R68" s="71">
        <v>9.2999999999999999E-2</v>
      </c>
    </row>
    <row r="69" spans="1:18" x14ac:dyDescent="0.25">
      <c r="A69" s="11" t="s">
        <v>1129</v>
      </c>
      <c r="B69" s="71">
        <v>0.14199999999999999</v>
      </c>
      <c r="C69" s="71">
        <v>0.14899999999999999</v>
      </c>
      <c r="E69" s="11" t="s">
        <v>1180</v>
      </c>
      <c r="G69" s="71">
        <v>5.8000000000000003E-2</v>
      </c>
      <c r="H69" s="71">
        <v>6.2E-2</v>
      </c>
      <c r="J69" s="11" t="s">
        <v>1188</v>
      </c>
      <c r="L69" s="71">
        <v>8.7999999999999995E-2</v>
      </c>
      <c r="M69" s="71">
        <v>8.3000000000000004E-2</v>
      </c>
      <c r="O69" s="11" t="s">
        <v>1196</v>
      </c>
      <c r="Q69" s="71">
        <v>0.109</v>
      </c>
      <c r="R69" s="71">
        <v>4.9000000000000002E-2</v>
      </c>
    </row>
    <row r="70" spans="1:18" x14ac:dyDescent="0.25">
      <c r="A70" s="11" t="s">
        <v>1130</v>
      </c>
      <c r="B70" s="71">
        <v>7.0000000000000001E-3</v>
      </c>
      <c r="C70" s="71">
        <v>8.0000000000000002E-3</v>
      </c>
      <c r="E70" s="11" t="s">
        <v>1181</v>
      </c>
      <c r="G70" s="71">
        <v>5.8000000000000003E-2</v>
      </c>
      <c r="H70" s="71">
        <v>6.0999999999999999E-2</v>
      </c>
      <c r="J70" s="11" t="s">
        <v>1189</v>
      </c>
      <c r="L70" s="71">
        <v>0.02</v>
      </c>
      <c r="M70" s="71">
        <v>0.02</v>
      </c>
      <c r="O70" s="9" t="s">
        <v>108</v>
      </c>
      <c r="R70" s="72">
        <f>SUM($Q$65:$R$69)</f>
        <v>1</v>
      </c>
    </row>
    <row r="71" spans="1:18" x14ac:dyDescent="0.25">
      <c r="A71" s="9" t="s">
        <v>108</v>
      </c>
      <c r="C71" s="72">
        <f>SUM($B$65:$C$70)</f>
        <v>1</v>
      </c>
      <c r="E71" s="11" t="s">
        <v>1182</v>
      </c>
      <c r="G71" s="71">
        <v>5.8000000000000003E-2</v>
      </c>
      <c r="H71" s="71">
        <v>6.0999999999999999E-2</v>
      </c>
      <c r="J71" s="11" t="s">
        <v>1190</v>
      </c>
      <c r="L71" s="71">
        <v>0.01</v>
      </c>
      <c r="M71" s="71">
        <v>8.0000000000000002E-3</v>
      </c>
    </row>
    <row r="72" spans="1:18" x14ac:dyDescent="0.25">
      <c r="E72" s="11" t="s">
        <v>1183</v>
      </c>
      <c r="G72" s="71">
        <v>5.8000000000000003E-2</v>
      </c>
      <c r="H72" s="71">
        <v>6.0999999999999999E-2</v>
      </c>
      <c r="J72" s="9" t="s">
        <v>108</v>
      </c>
      <c r="M72" s="72">
        <f>SUM($L$65:$M$71)</f>
        <v>0.99999999999999989</v>
      </c>
    </row>
    <row r="73" spans="1:18" x14ac:dyDescent="0.25">
      <c r="E73" s="11" t="s">
        <v>1184</v>
      </c>
      <c r="G73" s="71">
        <v>2.8000000000000001E-2</v>
      </c>
      <c r="H73" s="71">
        <v>0.03</v>
      </c>
      <c r="J73" s="9"/>
    </row>
    <row r="74" spans="1:18" x14ac:dyDescent="0.25">
      <c r="E74" s="9" t="s">
        <v>108</v>
      </c>
      <c r="G74" s="72"/>
      <c r="H74" s="72">
        <f>SUM($G$65:$H$73)</f>
        <v>1</v>
      </c>
      <c r="J74" s="9"/>
      <c r="L74" s="72"/>
      <c r="M74" s="72"/>
    </row>
    <row r="76" spans="1:18" x14ac:dyDescent="0.25">
      <c r="A76" s="9" t="s">
        <v>1203</v>
      </c>
    </row>
    <row r="77" spans="1:18" x14ac:dyDescent="0.25">
      <c r="A77" s="1" t="s">
        <v>1204</v>
      </c>
      <c r="B77" s="1" t="s">
        <v>1205</v>
      </c>
      <c r="C77" s="2"/>
      <c r="D77" s="2"/>
      <c r="E77" s="1" t="s">
        <v>1205</v>
      </c>
      <c r="F77" s="2"/>
      <c r="G77" s="2"/>
      <c r="H77" s="2"/>
      <c r="I77" s="2"/>
      <c r="J77" s="2"/>
      <c r="K77" s="1" t="s">
        <v>1206</v>
      </c>
      <c r="L77" s="2"/>
      <c r="M77" s="2"/>
      <c r="N77" s="1" t="s">
        <v>1206</v>
      </c>
      <c r="O77" s="2"/>
      <c r="P77" s="2"/>
      <c r="Q77" s="1"/>
      <c r="R77" s="2"/>
    </row>
    <row r="78" spans="1:18" x14ac:dyDescent="0.25">
      <c r="A78" s="1" t="s">
        <v>1207</v>
      </c>
      <c r="B78" s="1" t="s">
        <v>1208</v>
      </c>
      <c r="C78" s="2"/>
      <c r="D78" s="2"/>
      <c r="E78" s="1" t="s">
        <v>1209</v>
      </c>
      <c r="F78" s="2"/>
      <c r="G78" s="2"/>
      <c r="H78" s="1" t="s">
        <v>1210</v>
      </c>
      <c r="I78" s="2"/>
      <c r="J78" s="2"/>
      <c r="K78" s="1" t="s">
        <v>1211</v>
      </c>
      <c r="L78" s="2"/>
      <c r="M78" s="2"/>
      <c r="N78" s="1" t="s">
        <v>1212</v>
      </c>
      <c r="O78" s="2"/>
      <c r="P78" s="2"/>
      <c r="Q78" s="1"/>
      <c r="R78" s="2"/>
    </row>
    <row r="79" spans="1:18" x14ac:dyDescent="0.25">
      <c r="A79" s="98" t="s">
        <v>1213</v>
      </c>
      <c r="B79" s="99">
        <v>0.186</v>
      </c>
      <c r="C79" s="100"/>
      <c r="D79" s="100"/>
      <c r="E79" s="99">
        <v>0.57699999999999996</v>
      </c>
      <c r="F79" s="100"/>
      <c r="G79" s="100"/>
      <c r="H79" s="99">
        <v>9.1999999999999998E-2</v>
      </c>
      <c r="I79" s="100"/>
      <c r="J79" s="100"/>
      <c r="K79" s="99">
        <v>7.4999999999999997E-2</v>
      </c>
      <c r="L79" s="100"/>
      <c r="M79" s="100"/>
      <c r="N79" s="99">
        <v>7.0000000000000007E-2</v>
      </c>
      <c r="O79" s="100"/>
      <c r="P79" s="100"/>
      <c r="Q79" s="1"/>
      <c r="R79" s="2"/>
    </row>
    <row r="80" spans="1:18" x14ac:dyDescent="0.25">
      <c r="A80" s="2"/>
      <c r="B80" s="1" t="s">
        <v>1214</v>
      </c>
      <c r="C80" s="2"/>
      <c r="D80" s="2"/>
      <c r="E80" s="1" t="s">
        <v>1214</v>
      </c>
      <c r="F80" s="2"/>
      <c r="G80" s="2"/>
      <c r="H80" s="1" t="s">
        <v>1214</v>
      </c>
      <c r="I80" s="2"/>
      <c r="J80" s="2"/>
      <c r="K80" s="1" t="s">
        <v>1214</v>
      </c>
      <c r="L80" s="2"/>
      <c r="M80" s="2"/>
      <c r="N80" s="1" t="s">
        <v>1214</v>
      </c>
      <c r="O80" s="2"/>
      <c r="P80" s="2"/>
      <c r="Q80" s="1"/>
      <c r="R80" s="2"/>
    </row>
    <row r="81" spans="1:18" x14ac:dyDescent="0.25">
      <c r="A81" s="2"/>
      <c r="B81" s="1" t="s">
        <v>87</v>
      </c>
      <c r="C81" s="1" t="s">
        <v>88</v>
      </c>
      <c r="D81" s="2"/>
      <c r="E81" s="1" t="s">
        <v>87</v>
      </c>
      <c r="F81" s="1" t="s">
        <v>88</v>
      </c>
      <c r="G81" s="1"/>
      <c r="H81" s="1" t="s">
        <v>87</v>
      </c>
      <c r="I81" s="1" t="s">
        <v>88</v>
      </c>
      <c r="J81" s="2"/>
      <c r="K81" s="1" t="s">
        <v>87</v>
      </c>
      <c r="L81" s="1" t="s">
        <v>88</v>
      </c>
      <c r="M81" s="2"/>
      <c r="N81" s="1" t="s">
        <v>87</v>
      </c>
      <c r="O81" s="1" t="s">
        <v>88</v>
      </c>
      <c r="P81" s="2"/>
      <c r="Q81" s="1"/>
      <c r="R81" s="2"/>
    </row>
    <row r="82" spans="1:18" x14ac:dyDescent="0.25">
      <c r="A82" s="2" t="s">
        <v>1215</v>
      </c>
      <c r="B82" s="101">
        <v>4.350881781627295E-3</v>
      </c>
      <c r="C82" s="101">
        <v>6.2981456335640769E-3</v>
      </c>
      <c r="D82" s="101"/>
      <c r="E82" s="101">
        <v>3.4130415711532205E-2</v>
      </c>
      <c r="F82" s="101">
        <v>4.2345288163769548E-2</v>
      </c>
      <c r="G82" s="101"/>
      <c r="H82" s="101">
        <v>7.7319714762276752E-4</v>
      </c>
      <c r="I82" s="101">
        <v>9.8641626465477894E-4</v>
      </c>
      <c r="J82" s="101"/>
      <c r="K82" s="101">
        <v>0</v>
      </c>
      <c r="L82" s="101">
        <v>0</v>
      </c>
      <c r="M82" s="101"/>
      <c r="N82" s="101">
        <v>5.1244437700743656E-3</v>
      </c>
      <c r="O82" s="101">
        <v>7.3409234613322199E-3</v>
      </c>
      <c r="P82" s="101"/>
      <c r="Q82" s="1"/>
      <c r="R82" s="2"/>
    </row>
    <row r="83" spans="1:18" x14ac:dyDescent="0.25">
      <c r="A83" s="2" t="s">
        <v>1216</v>
      </c>
      <c r="B83" s="101">
        <v>4.4381839610874501E-3</v>
      </c>
      <c r="C83" s="101">
        <v>6.0518211497011818E-3</v>
      </c>
      <c r="D83" s="101"/>
      <c r="E83" s="101">
        <v>7.1893151431543355E-3</v>
      </c>
      <c r="F83" s="101">
        <v>1.0718663677707414E-2</v>
      </c>
      <c r="G83" s="101"/>
      <c r="H83" s="101">
        <v>2.2100815103073533E-3</v>
      </c>
      <c r="I83" s="101">
        <v>4.8670318454908327E-3</v>
      </c>
      <c r="J83" s="101"/>
      <c r="K83" s="101">
        <v>0</v>
      </c>
      <c r="L83" s="101">
        <v>0</v>
      </c>
      <c r="M83" s="101"/>
      <c r="N83" s="101">
        <v>2.7726751140324368E-3</v>
      </c>
      <c r="O83" s="101">
        <v>2.9189866326661778E-3</v>
      </c>
      <c r="P83" s="101"/>
      <c r="Q83" s="1"/>
      <c r="R83" s="2"/>
    </row>
    <row r="84" spans="1:18" x14ac:dyDescent="0.25">
      <c r="A84" s="2" t="s">
        <v>1217</v>
      </c>
      <c r="B84" s="101">
        <v>7.1366422912255241E-3</v>
      </c>
      <c r="C84" s="101">
        <v>9.2005288699563547E-3</v>
      </c>
      <c r="D84" s="101"/>
      <c r="E84" s="101">
        <v>8.7145537612154707E-3</v>
      </c>
      <c r="F84" s="101">
        <v>1.0287656444306093E-2</v>
      </c>
      <c r="G84" s="101"/>
      <c r="H84" s="101">
        <v>1.3983178215216843E-2</v>
      </c>
      <c r="I84" s="101">
        <v>1.2094517173507817E-2</v>
      </c>
      <c r="J84" s="101"/>
      <c r="K84" s="101">
        <v>0</v>
      </c>
      <c r="L84" s="101">
        <v>0</v>
      </c>
      <c r="M84" s="101"/>
      <c r="N84" s="101">
        <v>1.1480768610365121E-3</v>
      </c>
      <c r="O84" s="101">
        <v>2.1601036130047871E-3</v>
      </c>
      <c r="P84" s="101"/>
      <c r="Q84" s="1"/>
      <c r="R84" s="2"/>
    </row>
    <row r="85" spans="1:18" x14ac:dyDescent="0.25">
      <c r="A85" s="2" t="s">
        <v>1218</v>
      </c>
      <c r="B85" s="101">
        <v>1.1961983044255255E-2</v>
      </c>
      <c r="C85" s="101">
        <v>1.1846059036461569E-2</v>
      </c>
      <c r="D85" s="101"/>
      <c r="E85" s="101">
        <v>1.3726140652411588E-2</v>
      </c>
      <c r="F85" s="101">
        <v>1.133551941982922E-2</v>
      </c>
      <c r="G85" s="101"/>
      <c r="H85" s="101">
        <v>5.5022478754672623E-2</v>
      </c>
      <c r="I85" s="101">
        <v>3.4598999702022792E-2</v>
      </c>
      <c r="J85" s="101"/>
      <c r="K85" s="101">
        <v>0</v>
      </c>
      <c r="L85" s="101">
        <v>0</v>
      </c>
      <c r="M85" s="101"/>
      <c r="N85" s="101">
        <v>5.3224027572570292E-4</v>
      </c>
      <c r="O85" s="101">
        <v>1.2393686148619387E-3</v>
      </c>
      <c r="P85" s="101"/>
      <c r="Q85" s="1"/>
      <c r="R85" s="2"/>
    </row>
    <row r="86" spans="1:18" x14ac:dyDescent="0.25">
      <c r="A86" s="2" t="s">
        <v>1194</v>
      </c>
      <c r="B86" s="101">
        <v>1.660966230031978E-2</v>
      </c>
      <c r="C86" s="101">
        <v>1.0965420563592686E-2</v>
      </c>
      <c r="D86" s="101"/>
      <c r="E86" s="101">
        <v>2.0756406091897064E-2</v>
      </c>
      <c r="F86" s="101">
        <v>1.106642162499985E-2</v>
      </c>
      <c r="G86" s="101"/>
      <c r="H86" s="101">
        <v>5.0885047832252839E-2</v>
      </c>
      <c r="I86" s="101">
        <v>5.4053570813621679E-2</v>
      </c>
      <c r="J86" s="101"/>
      <c r="K86" s="101">
        <v>0</v>
      </c>
      <c r="L86" s="101">
        <v>0</v>
      </c>
      <c r="M86" s="101"/>
      <c r="N86" s="101">
        <v>6.673925294559172E-4</v>
      </c>
      <c r="O86" s="101">
        <v>3.19648239691348E-4</v>
      </c>
      <c r="P86" s="101"/>
      <c r="Q86" s="1"/>
      <c r="R86" s="2"/>
    </row>
    <row r="87" spans="1:18" x14ac:dyDescent="0.25">
      <c r="A87" s="2" t="s">
        <v>1219</v>
      </c>
      <c r="B87" s="101">
        <v>2.1116476920713417E-2</v>
      </c>
      <c r="C87" s="101">
        <v>1.5132460173991075E-2</v>
      </c>
      <c r="D87" s="101"/>
      <c r="E87" s="101">
        <v>2.9032939541781138E-2</v>
      </c>
      <c r="F87" s="101">
        <v>1.2658259547503062E-2</v>
      </c>
      <c r="G87" s="101"/>
      <c r="H87" s="101">
        <v>4.7090832486294844E-2</v>
      </c>
      <c r="I87" s="101">
        <v>5.6435925417111829E-2</v>
      </c>
      <c r="J87" s="101"/>
      <c r="K87" s="101">
        <v>0</v>
      </c>
      <c r="L87" s="101">
        <v>0</v>
      </c>
      <c r="M87" s="101"/>
      <c r="N87" s="101">
        <v>7.8669376449036878E-4</v>
      </c>
      <c r="O87" s="101">
        <v>3.5439491987233722E-4</v>
      </c>
      <c r="P87" s="101"/>
      <c r="Q87" s="1"/>
      <c r="R87" s="2"/>
    </row>
    <row r="88" spans="1:18" x14ac:dyDescent="0.25">
      <c r="A88" s="2" t="s">
        <v>1220</v>
      </c>
      <c r="B88" s="101">
        <v>2.7694452639852006E-2</v>
      </c>
      <c r="C88" s="101">
        <v>1.9226717434331693E-2</v>
      </c>
      <c r="D88" s="101"/>
      <c r="E88" s="101">
        <v>4.0639386265293578E-2</v>
      </c>
      <c r="F88" s="101">
        <v>1.3711493461033295E-2</v>
      </c>
      <c r="G88" s="101"/>
      <c r="H88" s="101">
        <v>4.9145850504712769E-2</v>
      </c>
      <c r="I88" s="101">
        <v>5.5919141201373798E-2</v>
      </c>
      <c r="J88" s="101"/>
      <c r="K88" s="101">
        <v>0</v>
      </c>
      <c r="L88" s="101">
        <v>0</v>
      </c>
      <c r="M88" s="101"/>
      <c r="N88" s="101">
        <v>1.4320080236018742E-3</v>
      </c>
      <c r="O88" s="101">
        <v>6.8298415225902535E-4</v>
      </c>
      <c r="P88" s="101"/>
      <c r="Q88" s="1"/>
      <c r="R88" s="2"/>
    </row>
    <row r="89" spans="1:18" x14ac:dyDescent="0.25">
      <c r="A89" s="2" t="s">
        <v>1221</v>
      </c>
      <c r="B89" s="101">
        <v>3.0305277799914855E-2</v>
      </c>
      <c r="C89" s="101">
        <v>2.0329015060508587E-2</v>
      </c>
      <c r="D89" s="101"/>
      <c r="E89" s="101">
        <v>3.2090629056181208E-2</v>
      </c>
      <c r="F89" s="101">
        <v>1.375117261584885E-2</v>
      </c>
      <c r="G89" s="101"/>
      <c r="H89" s="101">
        <v>3.9651973585460069E-2</v>
      </c>
      <c r="I89" s="101">
        <v>4.9794307214391507E-2</v>
      </c>
      <c r="J89" s="101"/>
      <c r="K89" s="101">
        <v>0</v>
      </c>
      <c r="L89" s="101">
        <v>0</v>
      </c>
      <c r="M89" s="101"/>
      <c r="N89" s="101">
        <v>1.856260412129072E-3</v>
      </c>
      <c r="O89" s="101">
        <v>9.7161170318954115E-4</v>
      </c>
      <c r="P89" s="101"/>
      <c r="Q89" s="1"/>
      <c r="R89" s="2"/>
    </row>
    <row r="90" spans="1:18" x14ac:dyDescent="0.25">
      <c r="A90" s="2" t="s">
        <v>1222</v>
      </c>
      <c r="B90" s="101">
        <v>3.0939685862359255E-2</v>
      </c>
      <c r="C90" s="101">
        <v>2.1850924497481317E-2</v>
      </c>
      <c r="D90" s="101"/>
      <c r="E90" s="101">
        <v>2.2636507467773508E-2</v>
      </c>
      <c r="F90" s="101">
        <v>1.5282762430933008E-2</v>
      </c>
      <c r="G90" s="101"/>
      <c r="H90" s="101">
        <v>3.3859601404525874E-2</v>
      </c>
      <c r="I90" s="101">
        <v>4.471213654023036E-2</v>
      </c>
      <c r="J90" s="101"/>
      <c r="K90" s="101">
        <v>0</v>
      </c>
      <c r="L90" s="101">
        <v>0</v>
      </c>
      <c r="M90" s="101"/>
      <c r="N90" s="101">
        <v>1.8173915824284514E-3</v>
      </c>
      <c r="O90" s="101">
        <v>2.2428032583326494E-3</v>
      </c>
      <c r="P90" s="101"/>
      <c r="Q90" s="1"/>
      <c r="R90" s="2"/>
    </row>
    <row r="91" spans="1:18" x14ac:dyDescent="0.25">
      <c r="A91" s="2" t="s">
        <v>1223</v>
      </c>
      <c r="B91" s="101">
        <v>3.9080566895548292E-2</v>
      </c>
      <c r="C91" s="101">
        <v>2.6357825261918034E-2</v>
      </c>
      <c r="D91" s="101"/>
      <c r="E91" s="101">
        <v>2.2560986362080496E-2</v>
      </c>
      <c r="F91" s="101">
        <v>1.8456376693046485E-2</v>
      </c>
      <c r="G91" s="101"/>
      <c r="H91" s="101">
        <v>3.2461453148365627E-2</v>
      </c>
      <c r="I91" s="101">
        <v>4.4389485885416913E-2</v>
      </c>
      <c r="J91" s="101"/>
      <c r="K91" s="101">
        <v>0</v>
      </c>
      <c r="L91" s="101">
        <v>0</v>
      </c>
      <c r="M91" s="101"/>
      <c r="N91" s="101">
        <v>4.4829117695184802E-3</v>
      </c>
      <c r="O91" s="101">
        <v>1.8990926129542898E-3</v>
      </c>
      <c r="P91" s="101"/>
      <c r="Q91" s="1"/>
      <c r="R91" s="2"/>
    </row>
    <row r="92" spans="1:18" x14ac:dyDescent="0.25">
      <c r="A92" s="2" t="s">
        <v>1224</v>
      </c>
      <c r="B92" s="101">
        <v>4.5144214132948994E-2</v>
      </c>
      <c r="C92" s="101">
        <v>3.4800338414687243E-2</v>
      </c>
      <c r="D92" s="101"/>
      <c r="E92" s="101">
        <v>2.8111521477222394E-2</v>
      </c>
      <c r="F92" s="101">
        <v>2.657001529529333E-2</v>
      </c>
      <c r="G92" s="101"/>
      <c r="H92" s="101">
        <v>3.9240005996852984E-2</v>
      </c>
      <c r="I92" s="101">
        <v>4.8425394636792116E-2</v>
      </c>
      <c r="J92" s="101"/>
      <c r="K92" s="101">
        <v>3.7675598557267292E-3</v>
      </c>
      <c r="L92" s="101">
        <v>4.4618997084572582E-3</v>
      </c>
      <c r="M92" s="101"/>
      <c r="N92" s="101">
        <v>7.4300983129089856E-3</v>
      </c>
      <c r="O92" s="101">
        <v>3.5971741627526593E-3</v>
      </c>
      <c r="P92" s="101"/>
      <c r="Q92" s="1"/>
      <c r="R92" s="2"/>
    </row>
    <row r="93" spans="1:18" x14ac:dyDescent="0.25">
      <c r="A93" s="2" t="s">
        <v>1225</v>
      </c>
      <c r="B93" s="101">
        <v>4.7209194761795269E-2</v>
      </c>
      <c r="C93" s="101">
        <v>4.1372455277857455E-2</v>
      </c>
      <c r="D93" s="101"/>
      <c r="E93" s="101">
        <v>3.2215700109051261E-2</v>
      </c>
      <c r="F93" s="101">
        <v>3.5679597819899392E-2</v>
      </c>
      <c r="G93" s="101"/>
      <c r="H93" s="101">
        <v>3.7445024494593492E-2</v>
      </c>
      <c r="I93" s="101">
        <v>3.834869498982349E-2</v>
      </c>
      <c r="J93" s="101"/>
      <c r="K93" s="101">
        <v>9.236320925008517E-3</v>
      </c>
      <c r="L93" s="101">
        <v>8.7192976224724685E-3</v>
      </c>
      <c r="M93" s="101"/>
      <c r="N93" s="101">
        <v>1.092702524898446E-2</v>
      </c>
      <c r="O93" s="101">
        <v>8.7175932852851298E-3</v>
      </c>
      <c r="P93" s="101"/>
      <c r="Q93" s="1"/>
      <c r="R93" s="2"/>
    </row>
    <row r="94" spans="1:18" x14ac:dyDescent="0.25">
      <c r="A94" s="2" t="s">
        <v>1226</v>
      </c>
      <c r="B94" s="101">
        <v>5.0882448300614176E-2</v>
      </c>
      <c r="C94" s="101">
        <v>4.804624094512816E-2</v>
      </c>
      <c r="D94" s="101"/>
      <c r="E94" s="101">
        <v>3.7550067216010077E-2</v>
      </c>
      <c r="F94" s="101">
        <v>4.3909845071212768E-2</v>
      </c>
      <c r="G94" s="101"/>
      <c r="H94" s="101">
        <v>2.8618819661694425E-2</v>
      </c>
      <c r="I94" s="101">
        <v>3.2780395518076821E-2</v>
      </c>
      <c r="J94" s="101"/>
      <c r="K94" s="101">
        <v>1.4673593053294758E-2</v>
      </c>
      <c r="L94" s="101">
        <v>1.6214044700345157E-2</v>
      </c>
      <c r="M94" s="101"/>
      <c r="N94" s="101">
        <v>2.2742972248287644E-2</v>
      </c>
      <c r="O94" s="101">
        <v>1.3969898493398311E-2</v>
      </c>
      <c r="P94" s="101"/>
      <c r="Q94" s="1"/>
      <c r="R94" s="2"/>
    </row>
    <row r="95" spans="1:18" x14ac:dyDescent="0.25">
      <c r="A95" s="2" t="s">
        <v>1227</v>
      </c>
      <c r="B95" s="101">
        <v>4.842249993224728E-2</v>
      </c>
      <c r="C95" s="101">
        <v>5.0709274205325068E-2</v>
      </c>
      <c r="D95" s="101"/>
      <c r="E95" s="101">
        <v>3.887939344163726E-2</v>
      </c>
      <c r="F95" s="101">
        <v>4.8122343148902236E-2</v>
      </c>
      <c r="G95" s="101"/>
      <c r="H95" s="101">
        <v>1.9223071882410861E-2</v>
      </c>
      <c r="I95" s="101">
        <v>2.0931099140232126E-2</v>
      </c>
      <c r="J95" s="101"/>
      <c r="K95" s="101">
        <v>2.4315000742857463E-2</v>
      </c>
      <c r="L95" s="101">
        <v>2.7856963962010477E-2</v>
      </c>
      <c r="M95" s="101"/>
      <c r="N95" s="101">
        <v>4.0549190786868305E-2</v>
      </c>
      <c r="O95" s="101">
        <v>3.2663080713806442E-2</v>
      </c>
      <c r="P95" s="101"/>
      <c r="Q95" s="1"/>
      <c r="R95" s="2"/>
    </row>
    <row r="96" spans="1:18" x14ac:dyDescent="0.25">
      <c r="A96" s="2" t="s">
        <v>1228</v>
      </c>
      <c r="B96" s="101">
        <v>4.5611255231418707E-2</v>
      </c>
      <c r="C96" s="101">
        <v>5.2549559514270761E-2</v>
      </c>
      <c r="D96" s="101"/>
      <c r="E96" s="101">
        <v>4.0919950536248376E-2</v>
      </c>
      <c r="F96" s="101">
        <v>5.0774734593269366E-2</v>
      </c>
      <c r="G96" s="101"/>
      <c r="H96" s="101">
        <v>1.2399906270913153E-2</v>
      </c>
      <c r="I96" s="101">
        <v>1.1940447902826912E-2</v>
      </c>
      <c r="J96" s="101"/>
      <c r="K96" s="101">
        <v>4.4267329539327112E-2</v>
      </c>
      <c r="L96" s="101">
        <v>4.1320399858589082E-2</v>
      </c>
      <c r="M96" s="101"/>
      <c r="N96" s="101">
        <v>6.0609852312197593E-2</v>
      </c>
      <c r="O96" s="101">
        <v>5.202710288975354E-2</v>
      </c>
      <c r="P96" s="101"/>
      <c r="Q96" s="1"/>
      <c r="R96" s="2"/>
    </row>
    <row r="97" spans="1:18" x14ac:dyDescent="0.25">
      <c r="A97" s="2" t="s">
        <v>1229</v>
      </c>
      <c r="B97" s="101">
        <v>3.7621051885007181E-2</v>
      </c>
      <c r="C97" s="101">
        <v>4.4354317310340383E-2</v>
      </c>
      <c r="D97" s="101"/>
      <c r="E97" s="101">
        <v>3.8439390785275016E-2</v>
      </c>
      <c r="F97" s="101">
        <v>4.5016015804859803E-2</v>
      </c>
      <c r="G97" s="101"/>
      <c r="H97" s="101">
        <v>8.3366355387155013E-3</v>
      </c>
      <c r="I97" s="101">
        <v>5.6799150402192964E-3</v>
      </c>
      <c r="J97" s="101"/>
      <c r="K97" s="101">
        <v>7.3074533391041918E-2</v>
      </c>
      <c r="L97" s="101">
        <v>5.6436908692406376E-2</v>
      </c>
      <c r="M97" s="101"/>
      <c r="N97" s="101">
        <v>8.8609593297096556E-2</v>
      </c>
      <c r="O97" s="101">
        <v>6.2434112519949382E-2</v>
      </c>
      <c r="P97" s="101"/>
      <c r="Q97" s="1"/>
      <c r="R97" s="2"/>
    </row>
    <row r="98" spans="1:18" x14ac:dyDescent="0.25">
      <c r="A98" s="2" t="s">
        <v>1230</v>
      </c>
      <c r="B98" s="101">
        <v>2.8686508850895479E-2</v>
      </c>
      <c r="C98" s="101">
        <v>3.3051482037761579E-2</v>
      </c>
      <c r="D98" s="101"/>
      <c r="E98" s="101">
        <v>3.3642065509954792E-2</v>
      </c>
      <c r="F98" s="101">
        <v>3.5515384236242904E-2</v>
      </c>
      <c r="G98" s="101"/>
      <c r="H98" s="101">
        <v>4.459434304997071E-3</v>
      </c>
      <c r="I98" s="101">
        <v>3.9622923202758493E-3</v>
      </c>
      <c r="J98" s="101"/>
      <c r="K98" s="101">
        <v>0.11204660425759357</v>
      </c>
      <c r="L98" s="101">
        <v>7.574008897422603E-2</v>
      </c>
      <c r="M98" s="101"/>
      <c r="N98" s="101">
        <v>0.11298900584572293</v>
      </c>
      <c r="O98" s="101">
        <v>8.0888014072476727E-2</v>
      </c>
      <c r="P98" s="101"/>
      <c r="Q98" s="1"/>
      <c r="R98" s="2"/>
    </row>
    <row r="99" spans="1:18" x14ac:dyDescent="0.25">
      <c r="A99" s="2" t="s">
        <v>1311</v>
      </c>
      <c r="B99" s="101">
        <v>2.659085923494299E-2</v>
      </c>
      <c r="C99" s="101">
        <v>2.4055568786349589E-2</v>
      </c>
      <c r="D99" s="101"/>
      <c r="E99" s="101">
        <v>3.9149928929262452E-2</v>
      </c>
      <c r="F99" s="101">
        <v>3.441315189336118E-2</v>
      </c>
      <c r="G99" s="101"/>
      <c r="H99" s="101">
        <v>3.0916144348261065E-3</v>
      </c>
      <c r="I99" s="101">
        <v>2.1820212194958674E-3</v>
      </c>
      <c r="J99" s="101"/>
      <c r="K99" s="101">
        <v>0.3447236494439877</v>
      </c>
      <c r="L99" s="101">
        <v>0.1431458052726555</v>
      </c>
      <c r="M99" s="101"/>
      <c r="N99" s="101">
        <v>0.2344445238461802</v>
      </c>
      <c r="O99" s="101">
        <v>0.12665075065367376</v>
      </c>
      <c r="P99" s="101"/>
      <c r="Q99" s="1"/>
      <c r="R99" s="2"/>
    </row>
    <row r="100" spans="1:18" x14ac:dyDescent="0.25">
      <c r="A100" s="2" t="s">
        <v>1231</v>
      </c>
      <c r="B100" s="101">
        <v>0.01</v>
      </c>
      <c r="C100" s="101">
        <v>5.0000000000000001E-3</v>
      </c>
      <c r="D100" s="101"/>
      <c r="E100" s="101">
        <v>1.4E-2</v>
      </c>
      <c r="F100" s="101">
        <v>8.0000000000000002E-3</v>
      </c>
      <c r="G100" s="101"/>
      <c r="H100" s="101">
        <v>2E-3</v>
      </c>
      <c r="I100" s="101">
        <v>1E-3</v>
      </c>
      <c r="J100" s="101"/>
      <c r="K100" s="101">
        <v>0.21</v>
      </c>
      <c r="L100" s="101">
        <v>5.3999999999999999E-2</v>
      </c>
      <c r="M100" s="101"/>
      <c r="N100" s="101">
        <v>9.6000000000000002E-2</v>
      </c>
      <c r="O100" s="101">
        <v>3.6999999999999998E-2</v>
      </c>
      <c r="P100" s="101"/>
      <c r="Q100" s="1"/>
      <c r="R100" s="2"/>
    </row>
    <row r="101" spans="1:18" x14ac:dyDescent="0.25">
      <c r="A101" s="9" t="s">
        <v>108</v>
      </c>
      <c r="C101" s="72">
        <f>SUM($B$82:$C$99)</f>
        <v>0.99999999999999989</v>
      </c>
      <c r="F101" s="72">
        <f>SUM($E$82:$F$99)</f>
        <v>1.0000000000000002</v>
      </c>
      <c r="I101" s="72">
        <f>SUM($H$82:$I$99)</f>
        <v>1</v>
      </c>
      <c r="L101" s="72">
        <f>SUM($K$82:$L$99)</f>
        <v>1</v>
      </c>
      <c r="O101" s="72">
        <f>SUM($N$82:$O$99)</f>
        <v>1.0000000000000002</v>
      </c>
      <c r="Q101" s="1"/>
      <c r="R101" s="2"/>
    </row>
  </sheetData>
  <phoneticPr fontId="37"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D4B0-A37D-4839-95F0-862584FB05F3}">
  <dimension ref="A1:G52"/>
  <sheetViews>
    <sheetView workbookViewId="0"/>
  </sheetViews>
  <sheetFormatPr defaultRowHeight="15" x14ac:dyDescent="0.25"/>
  <cols>
    <col min="1" max="1" width="90.7109375" style="11" customWidth="1"/>
    <col min="2" max="2" width="12.7109375" customWidth="1"/>
    <col min="3" max="7" width="10.7109375" customWidth="1"/>
  </cols>
  <sheetData>
    <row r="1" spans="1:7" x14ac:dyDescent="0.25">
      <c r="A1" s="9" t="s">
        <v>1103</v>
      </c>
    </row>
    <row r="2" spans="1:7" x14ac:dyDescent="0.25">
      <c r="A2" s="10" t="s">
        <v>135</v>
      </c>
      <c r="C2" s="9" t="s">
        <v>1067</v>
      </c>
    </row>
    <row r="3" spans="1:7" x14ac:dyDescent="0.25">
      <c r="A3" s="9" t="s">
        <v>1</v>
      </c>
      <c r="C3" s="13" t="s">
        <v>37</v>
      </c>
      <c r="D3" s="13" t="s">
        <v>38</v>
      </c>
      <c r="E3" s="13" t="s">
        <v>39</v>
      </c>
      <c r="F3" s="13" t="s">
        <v>40</v>
      </c>
      <c r="G3" s="13" t="s">
        <v>41</v>
      </c>
    </row>
    <row r="4" spans="1:7" x14ac:dyDescent="0.25">
      <c r="C4" s="9">
        <v>2025</v>
      </c>
      <c r="D4" s="9">
        <v>2026</v>
      </c>
      <c r="E4" s="9">
        <v>2027</v>
      </c>
      <c r="F4" s="9">
        <v>2028</v>
      </c>
      <c r="G4" s="9">
        <v>2029</v>
      </c>
    </row>
    <row r="5" spans="1:7" x14ac:dyDescent="0.25">
      <c r="A5" s="9" t="s">
        <v>1312</v>
      </c>
      <c r="C5" s="96">
        <v>0</v>
      </c>
      <c r="D5" s="96">
        <v>1.72</v>
      </c>
      <c r="E5" s="96">
        <v>2.7189999999999999</v>
      </c>
      <c r="F5" s="96">
        <v>5.3689999999999998</v>
      </c>
      <c r="G5" s="96">
        <v>7.9029999999999996</v>
      </c>
    </row>
    <row r="6" spans="1:7" x14ac:dyDescent="0.25">
      <c r="A6" s="9" t="s">
        <v>464</v>
      </c>
      <c r="C6" s="96">
        <v>-2.7</v>
      </c>
      <c r="D6" s="96">
        <v>-0.9</v>
      </c>
      <c r="E6" s="96">
        <v>-0.6</v>
      </c>
      <c r="F6" s="96">
        <v>-0.6</v>
      </c>
      <c r="G6" s="96">
        <v>-0.6</v>
      </c>
    </row>
    <row r="7" spans="1:7" x14ac:dyDescent="0.25">
      <c r="A7" s="9" t="s">
        <v>1104</v>
      </c>
      <c r="C7" s="94">
        <f>SUM(C$5:C$6)</f>
        <v>-2.7</v>
      </c>
      <c r="D7" s="94">
        <f t="shared" ref="D7:G7" si="0">SUM(D$5:D$6)</f>
        <v>0.82</v>
      </c>
      <c r="E7" s="94">
        <f t="shared" si="0"/>
        <v>2.1189999999999998</v>
      </c>
      <c r="F7" s="94">
        <f t="shared" si="0"/>
        <v>4.7690000000000001</v>
      </c>
      <c r="G7" s="94">
        <f t="shared" si="0"/>
        <v>7.3029999999999999</v>
      </c>
    </row>
    <row r="8" spans="1:7" x14ac:dyDescent="0.25">
      <c r="A8" s="9" t="s">
        <v>1117</v>
      </c>
      <c r="C8" s="96">
        <v>0</v>
      </c>
      <c r="D8" s="96">
        <v>0</v>
      </c>
      <c r="E8" s="96">
        <v>1.37</v>
      </c>
      <c r="F8" s="96">
        <v>1.37</v>
      </c>
      <c r="G8" s="96">
        <v>1.37</v>
      </c>
    </row>
    <row r="9" spans="1:7" x14ac:dyDescent="0.25">
      <c r="A9" s="9" t="s">
        <v>1313</v>
      </c>
      <c r="C9" s="94">
        <f>C$7+C$8-C$6</f>
        <v>0</v>
      </c>
      <c r="D9" s="94">
        <f t="shared" ref="D9:G9" si="1">D$7+D$8-D$6</f>
        <v>1.72</v>
      </c>
      <c r="E9" s="94">
        <f t="shared" si="1"/>
        <v>4.0889999999999995</v>
      </c>
      <c r="F9" s="94">
        <f t="shared" si="1"/>
        <v>6.7389999999999999</v>
      </c>
      <c r="G9" s="94">
        <f t="shared" si="1"/>
        <v>9.2729999999999997</v>
      </c>
    </row>
    <row r="10" spans="1:7" x14ac:dyDescent="0.25">
      <c r="B10" s="9" t="s">
        <v>1105</v>
      </c>
    </row>
    <row r="11" spans="1:7" x14ac:dyDescent="0.25">
      <c r="A11" s="9" t="s">
        <v>1106</v>
      </c>
      <c r="B11" s="9" t="s">
        <v>1107</v>
      </c>
    </row>
    <row r="12" spans="1:7" x14ac:dyDescent="0.25">
      <c r="A12" s="11" t="s">
        <v>1108</v>
      </c>
      <c r="B12" s="72">
        <v>0.04</v>
      </c>
      <c r="C12" s="16">
        <f>$B$12*C$9+$B$12/SUM($B$12,$B$15,$B$17,$B$19,$B$20,$B$21,$B$22)*C$6</f>
        <v>-0.53999999999999981</v>
      </c>
      <c r="D12" s="16">
        <f t="shared" ref="D12:G12" si="2">$B$12*D$9+$B$12/SUM($B$12,$B$15,$B$17,$B$19,$B$20,$B$21,$B$22)*D$6</f>
        <v>-0.11119999999999994</v>
      </c>
      <c r="E12" s="16">
        <f t="shared" si="2"/>
        <v>4.3560000000000029E-2</v>
      </c>
      <c r="F12" s="16">
        <f t="shared" si="2"/>
        <v>0.14956000000000008</v>
      </c>
      <c r="G12" s="16">
        <f t="shared" si="2"/>
        <v>0.25092000000000003</v>
      </c>
    </row>
    <row r="13" spans="1:7" x14ac:dyDescent="0.25">
      <c r="A13" s="11" t="s">
        <v>1314</v>
      </c>
      <c r="B13" s="72">
        <v>0.36</v>
      </c>
      <c r="C13" s="16">
        <f>$B$13*C$9-C$8</f>
        <v>0</v>
      </c>
      <c r="D13" s="16">
        <f t="shared" ref="D13:G13" si="3">$B$13*D$9-D$8</f>
        <v>0.61919999999999997</v>
      </c>
      <c r="E13" s="16">
        <f t="shared" si="3"/>
        <v>0.10203999999999969</v>
      </c>
      <c r="F13" s="16">
        <f t="shared" si="3"/>
        <v>1.0560399999999999</v>
      </c>
      <c r="G13" s="16">
        <f t="shared" si="3"/>
        <v>1.9682799999999996</v>
      </c>
    </row>
    <row r="14" spans="1:7" x14ac:dyDescent="0.25">
      <c r="A14" s="11" t="s">
        <v>1315</v>
      </c>
      <c r="B14" s="72">
        <v>0.255</v>
      </c>
      <c r="C14" s="16">
        <f>$B$14*C$9</f>
        <v>0</v>
      </c>
      <c r="D14" s="16">
        <f t="shared" ref="D14:G14" si="4">$B$14*D$9</f>
        <v>0.43859999999999999</v>
      </c>
      <c r="E14" s="16">
        <f t="shared" si="4"/>
        <v>1.0426949999999999</v>
      </c>
      <c r="F14" s="16">
        <f t="shared" si="4"/>
        <v>1.718445</v>
      </c>
      <c r="G14" s="16">
        <f t="shared" si="4"/>
        <v>2.3646150000000001</v>
      </c>
    </row>
    <row r="15" spans="1:7" x14ac:dyDescent="0.25">
      <c r="A15" s="11" t="s">
        <v>481</v>
      </c>
      <c r="B15" s="72">
        <v>7.0000000000000007E-2</v>
      </c>
      <c r="C15" s="16">
        <f>$B$15*C$9+$B$15/SUM($B$12,$B$15,$B$17,$B$19,$B$20,$B$21,$B$22)*C$6</f>
        <v>-0.94499999999999984</v>
      </c>
      <c r="D15" s="16">
        <f t="shared" ref="D15:G15" si="5">$B$15*D$9+$B$15/SUM($B$12,$B$15,$B$17,$B$19,$B$20,$B$21,$B$22)*D$6</f>
        <v>-0.19459999999999994</v>
      </c>
      <c r="E15" s="16">
        <f t="shared" si="5"/>
        <v>7.6230000000000048E-2</v>
      </c>
      <c r="F15" s="16">
        <f t="shared" si="5"/>
        <v>0.26173000000000013</v>
      </c>
      <c r="G15" s="16">
        <f t="shared" si="5"/>
        <v>0.43911000000000011</v>
      </c>
    </row>
    <row r="16" spans="1:7" x14ac:dyDescent="0.25">
      <c r="A16" s="11" t="s">
        <v>1316</v>
      </c>
      <c r="B16" s="72">
        <v>8.5000000000000006E-2</v>
      </c>
      <c r="C16" s="16">
        <f>$B$16*C$9</f>
        <v>0</v>
      </c>
      <c r="D16" s="16">
        <f t="shared" ref="D16:G16" si="6">$B$16*D$9</f>
        <v>0.1462</v>
      </c>
      <c r="E16" s="16">
        <f t="shared" si="6"/>
        <v>0.34756499999999996</v>
      </c>
      <c r="F16" s="16">
        <f t="shared" si="6"/>
        <v>0.57281500000000007</v>
      </c>
      <c r="G16" s="16">
        <f t="shared" si="6"/>
        <v>0.78820500000000004</v>
      </c>
    </row>
    <row r="17" spans="1:7" x14ac:dyDescent="0.25">
      <c r="A17" s="11" t="s">
        <v>484</v>
      </c>
      <c r="B17" s="72">
        <v>0.03</v>
      </c>
      <c r="C17" s="16">
        <f>$B$17*C$9+$B$17/SUM($B$12,$B$15,$B$17,$B$19,$B$20,$B$21,$B$22)*C$6</f>
        <v>-0.40499999999999986</v>
      </c>
      <c r="D17" s="16">
        <f t="shared" ref="D17:G17" si="7">$B$17*D$9+$B$17/SUM($B$12,$B$15,$B$17,$B$19,$B$20,$B$21,$B$22)*D$6</f>
        <v>-8.3399999999999946E-2</v>
      </c>
      <c r="E17" s="16">
        <f t="shared" si="7"/>
        <v>3.2670000000000032E-2</v>
      </c>
      <c r="F17" s="16">
        <f t="shared" si="7"/>
        <v>0.11217000000000003</v>
      </c>
      <c r="G17" s="16">
        <f t="shared" si="7"/>
        <v>0.18819000000000002</v>
      </c>
    </row>
    <row r="18" spans="1:7" x14ac:dyDescent="0.25">
      <c r="A18" s="11" t="s">
        <v>1317</v>
      </c>
      <c r="B18" s="72">
        <v>0.1</v>
      </c>
      <c r="C18" s="16">
        <f>$B$18*C$9</f>
        <v>0</v>
      </c>
      <c r="D18" s="16">
        <f t="shared" ref="D18:G18" si="8">$B$18*D$9</f>
        <v>0.17200000000000001</v>
      </c>
      <c r="E18" s="16">
        <f t="shared" si="8"/>
        <v>0.40889999999999999</v>
      </c>
      <c r="F18" s="16">
        <f t="shared" si="8"/>
        <v>0.67390000000000005</v>
      </c>
      <c r="G18" s="16">
        <f t="shared" si="8"/>
        <v>0.92730000000000001</v>
      </c>
    </row>
    <row r="19" spans="1:7" x14ac:dyDescent="0.25">
      <c r="A19" s="11" t="s">
        <v>486</v>
      </c>
      <c r="B19" s="72">
        <v>1.4999999999999999E-2</v>
      </c>
      <c r="C19" s="16">
        <f>$B$19*C$9+$B$19/SUM($B$12,$B$15,$B$17,$B$19,$B$20,$B$21,$B$22)*C$6</f>
        <v>-0.20249999999999993</v>
      </c>
      <c r="D19" s="16">
        <f t="shared" ref="D19:G19" si="9">$B$19*D$9+$B$19/SUM($B$12,$B$15,$B$17,$B$19,$B$20,$B$21,$B$22)*D$6</f>
        <v>-4.1699999999999973E-2</v>
      </c>
      <c r="E19" s="16">
        <f t="shared" si="9"/>
        <v>1.6335000000000016E-2</v>
      </c>
      <c r="F19" s="16">
        <f t="shared" si="9"/>
        <v>5.6085000000000017E-2</v>
      </c>
      <c r="G19" s="16">
        <f t="shared" si="9"/>
        <v>9.4095000000000012E-2</v>
      </c>
    </row>
    <row r="20" spans="1:7" x14ac:dyDescent="0.25">
      <c r="A20" s="11" t="s">
        <v>487</v>
      </c>
      <c r="B20" s="72">
        <v>1.4999999999999999E-2</v>
      </c>
      <c r="C20" s="16">
        <f>$B$20*C$9+$B$20/SUM($B$12,$B$15,$B$17,$B$19,$B$20,$B$21,$B$22)*C$6</f>
        <v>-0.20249999999999993</v>
      </c>
      <c r="D20" s="16">
        <f t="shared" ref="D20:G20" si="10">$B$20*D$9+$B$20/SUM($B$12,$B$15,$B$17,$B$19,$B$20,$B$21,$B$22)*D$6</f>
        <v>-4.1699999999999973E-2</v>
      </c>
      <c r="E20" s="16">
        <f t="shared" si="10"/>
        <v>1.6335000000000016E-2</v>
      </c>
      <c r="F20" s="16">
        <f t="shared" si="10"/>
        <v>5.6085000000000017E-2</v>
      </c>
      <c r="G20" s="16">
        <f t="shared" si="10"/>
        <v>9.4095000000000012E-2</v>
      </c>
    </row>
    <row r="21" spans="1:7" x14ac:dyDescent="0.25">
      <c r="A21" s="11" t="s">
        <v>488</v>
      </c>
      <c r="B21" s="72">
        <v>1.4999999999999999E-2</v>
      </c>
      <c r="C21" s="16">
        <f>$B$21*C$9+$B$21/SUM($B$12,$B$15,$B$17,$B$19,$B$20,$B$21,$B$22)*C$6</f>
        <v>-0.20249999999999993</v>
      </c>
      <c r="D21" s="16">
        <f t="shared" ref="D21:G21" si="11">$B$21*D$9+$B$21/SUM($B$12,$B$15,$B$17,$B$19,$B$20,$B$21,$B$22)*D$6</f>
        <v>-4.1699999999999973E-2</v>
      </c>
      <c r="E21" s="16">
        <f t="shared" si="11"/>
        <v>1.6335000000000016E-2</v>
      </c>
      <c r="F21" s="16">
        <f t="shared" si="11"/>
        <v>5.6085000000000017E-2</v>
      </c>
      <c r="G21" s="16">
        <f t="shared" si="11"/>
        <v>9.4095000000000012E-2</v>
      </c>
    </row>
    <row r="22" spans="1:7" x14ac:dyDescent="0.25">
      <c r="A22" s="11" t="s">
        <v>489</v>
      </c>
      <c r="B22" s="72">
        <v>1.4999999999999999E-2</v>
      </c>
      <c r="C22" s="16">
        <f>$B$22*C$9+$B$22/SUM($B$12,$B$15,$B$17,$B$19,$B$20,$B$21,$B$22)*C$6</f>
        <v>-0.20249999999999993</v>
      </c>
      <c r="D22" s="16">
        <f t="shared" ref="D22:G22" si="12">$B$22*D$9+$B$22/SUM($B$12,$B$15,$B$17,$B$19,$B$20,$B$21,$B$22)*D$6</f>
        <v>-4.1699999999999973E-2</v>
      </c>
      <c r="E22" s="16">
        <f t="shared" si="12"/>
        <v>1.6335000000000016E-2</v>
      </c>
      <c r="F22" s="16">
        <f t="shared" si="12"/>
        <v>5.6085000000000017E-2</v>
      </c>
      <c r="G22" s="16">
        <f t="shared" si="12"/>
        <v>9.4095000000000012E-2</v>
      </c>
    </row>
    <row r="23" spans="1:7" x14ac:dyDescent="0.25">
      <c r="A23" s="55" t="s">
        <v>1325</v>
      </c>
      <c r="B23" s="97">
        <f>SUM(B$2:B$22)</f>
        <v>1</v>
      </c>
      <c r="C23" s="94">
        <f>SUM(C$12:C$22)</f>
        <v>-2.6999999999999997</v>
      </c>
      <c r="D23" s="94">
        <f t="shared" ref="D23:G23" si="13">SUM(D$12:D$22)</f>
        <v>0.82000000000000028</v>
      </c>
      <c r="E23" s="94">
        <f t="shared" si="13"/>
        <v>2.1190000000000002</v>
      </c>
      <c r="F23" s="94">
        <f t="shared" si="13"/>
        <v>4.769000000000001</v>
      </c>
      <c r="G23" s="94">
        <f t="shared" si="13"/>
        <v>7.3030000000000008</v>
      </c>
    </row>
    <row r="25" spans="1:7" x14ac:dyDescent="0.25">
      <c r="A25" s="55" t="s">
        <v>1109</v>
      </c>
    </row>
    <row r="26" spans="1:7" x14ac:dyDescent="0.25">
      <c r="A26" s="11" t="s">
        <v>1110</v>
      </c>
      <c r="B26" s="72">
        <v>0.13500000000000001</v>
      </c>
      <c r="C26" s="16">
        <f>$B$26*C$14</f>
        <v>0</v>
      </c>
      <c r="D26" s="16">
        <f t="shared" ref="D26:G26" si="14">$B$26*D$14</f>
        <v>5.9211E-2</v>
      </c>
      <c r="E26" s="16">
        <f t="shared" si="14"/>
        <v>0.14076382500000001</v>
      </c>
      <c r="F26" s="16">
        <f t="shared" si="14"/>
        <v>0.23199007500000002</v>
      </c>
      <c r="G26" s="16">
        <f t="shared" si="14"/>
        <v>0.31922302500000005</v>
      </c>
    </row>
    <row r="27" spans="1:7" x14ac:dyDescent="0.25">
      <c r="A27" s="11" t="s">
        <v>1111</v>
      </c>
      <c r="B27" s="72">
        <v>0.28000000000000003</v>
      </c>
      <c r="C27" s="16">
        <f>$B$27*C$14</f>
        <v>0</v>
      </c>
      <c r="D27" s="16">
        <f t="shared" ref="D27:G27" si="15">$B$27*D$14</f>
        <v>0.12280800000000001</v>
      </c>
      <c r="E27" s="16">
        <f t="shared" si="15"/>
        <v>0.29195460000000001</v>
      </c>
      <c r="F27" s="16">
        <f t="shared" si="15"/>
        <v>0.48116460000000005</v>
      </c>
      <c r="G27" s="16">
        <f t="shared" si="15"/>
        <v>0.66209220000000013</v>
      </c>
    </row>
    <row r="28" spans="1:7" x14ac:dyDescent="0.25">
      <c r="A28" s="11" t="s">
        <v>1112</v>
      </c>
      <c r="B28" s="72">
        <v>0.22</v>
      </c>
      <c r="C28" s="16">
        <f>$B$28*C$14</f>
        <v>0</v>
      </c>
      <c r="D28" s="16">
        <f t="shared" ref="D28:G28" si="16">$B$28*D$14</f>
        <v>9.6491999999999994E-2</v>
      </c>
      <c r="E28" s="16">
        <f t="shared" si="16"/>
        <v>0.22939289999999998</v>
      </c>
      <c r="F28" s="16">
        <f t="shared" si="16"/>
        <v>0.3780579</v>
      </c>
      <c r="G28" s="16">
        <f t="shared" si="16"/>
        <v>0.52021530000000005</v>
      </c>
    </row>
    <row r="29" spans="1:7" x14ac:dyDescent="0.25">
      <c r="A29" s="11" t="s">
        <v>1113</v>
      </c>
      <c r="B29" s="72">
        <v>0.23</v>
      </c>
      <c r="C29" s="16">
        <f>$B$29*C$14</f>
        <v>0</v>
      </c>
      <c r="D29" s="16">
        <f t="shared" ref="D29:G29" si="17">$B$29*D$14</f>
        <v>0.100878</v>
      </c>
      <c r="E29" s="16">
        <f t="shared" si="17"/>
        <v>0.23981985</v>
      </c>
      <c r="F29" s="16">
        <f t="shared" si="17"/>
        <v>0.39524235000000002</v>
      </c>
      <c r="G29" s="16">
        <f t="shared" si="17"/>
        <v>0.54386145000000008</v>
      </c>
    </row>
    <row r="30" spans="1:7" x14ac:dyDescent="0.25">
      <c r="A30" s="11" t="s">
        <v>1114</v>
      </c>
      <c r="B30" s="72">
        <v>0.13500000000000001</v>
      </c>
      <c r="C30" s="16">
        <f>$B$30*C$14</f>
        <v>0</v>
      </c>
      <c r="D30" s="16">
        <f t="shared" ref="D30:G30" si="18">$B$30*D$14</f>
        <v>5.9211E-2</v>
      </c>
      <c r="E30" s="16">
        <f t="shared" si="18"/>
        <v>0.14076382500000001</v>
      </c>
      <c r="F30" s="16">
        <f t="shared" si="18"/>
        <v>0.23199007500000002</v>
      </c>
      <c r="G30" s="16">
        <f t="shared" si="18"/>
        <v>0.31922302500000005</v>
      </c>
    </row>
    <row r="31" spans="1:7" x14ac:dyDescent="0.25">
      <c r="A31" s="55" t="s">
        <v>1115</v>
      </c>
      <c r="B31" s="97">
        <f>SUM(B$26:B$30)</f>
        <v>1</v>
      </c>
      <c r="C31" s="94">
        <f>SUM(C$26:C$30)</f>
        <v>0</v>
      </c>
      <c r="D31" s="94">
        <f t="shared" ref="D31:G31" si="19">SUM(D$26:D$30)</f>
        <v>0.43859999999999999</v>
      </c>
      <c r="E31" s="94">
        <f t="shared" si="19"/>
        <v>1.0426950000000001</v>
      </c>
      <c r="F31" s="94">
        <f t="shared" si="19"/>
        <v>1.718445</v>
      </c>
      <c r="G31" s="94">
        <f t="shared" si="19"/>
        <v>2.3646150000000001</v>
      </c>
    </row>
    <row r="33" spans="1:7" x14ac:dyDescent="0.25">
      <c r="A33" s="9" t="s">
        <v>1318</v>
      </c>
      <c r="C33" s="16">
        <v>0</v>
      </c>
      <c r="D33" s="16">
        <v>2.56</v>
      </c>
      <c r="E33" s="16">
        <v>5.702</v>
      </c>
      <c r="F33" s="16">
        <v>9.1790000000000003</v>
      </c>
      <c r="G33" s="16">
        <v>13.21</v>
      </c>
    </row>
    <row r="34" spans="1:7" x14ac:dyDescent="0.25">
      <c r="A34" s="9" t="s">
        <v>1319</v>
      </c>
      <c r="C34" s="16">
        <v>-1.5</v>
      </c>
      <c r="D34" s="16">
        <v>-2.4</v>
      </c>
      <c r="E34" s="16">
        <v>-2.5</v>
      </c>
      <c r="F34" s="16">
        <v>-2.6</v>
      </c>
      <c r="G34" s="16">
        <v>-2.7</v>
      </c>
    </row>
    <row r="35" spans="1:7" x14ac:dyDescent="0.25">
      <c r="A35" s="9" t="s">
        <v>1320</v>
      </c>
      <c r="C35" s="94">
        <f>SUM(C$33:C$34)</f>
        <v>-1.5</v>
      </c>
      <c r="D35" s="94">
        <f t="shared" ref="D35:G35" si="20">SUM(D$33:D$34)</f>
        <v>0.16000000000000014</v>
      </c>
      <c r="E35" s="94">
        <f t="shared" si="20"/>
        <v>3.202</v>
      </c>
      <c r="F35" s="94">
        <f t="shared" si="20"/>
        <v>6.5790000000000006</v>
      </c>
      <c r="G35" s="94">
        <f t="shared" si="20"/>
        <v>10.510000000000002</v>
      </c>
    </row>
    <row r="37" spans="1:7" x14ac:dyDescent="0.25">
      <c r="A37" s="9" t="s">
        <v>1327</v>
      </c>
      <c r="C37" s="16">
        <f>C$33-B$33</f>
        <v>0</v>
      </c>
      <c r="D37" s="16">
        <f t="shared" ref="D37:G37" si="21">D$33-C$33</f>
        <v>2.56</v>
      </c>
      <c r="E37" s="16">
        <f t="shared" si="21"/>
        <v>3.1419999999999999</v>
      </c>
      <c r="F37" s="16">
        <f t="shared" si="21"/>
        <v>3.4770000000000003</v>
      </c>
      <c r="G37" s="16">
        <f t="shared" si="21"/>
        <v>4.0310000000000006</v>
      </c>
    </row>
    <row r="38" spans="1:7" x14ac:dyDescent="0.25">
      <c r="A38" s="9" t="s">
        <v>1328</v>
      </c>
      <c r="C38" s="16">
        <f>C$34-B$34</f>
        <v>-1.5</v>
      </c>
      <c r="D38" s="16">
        <f t="shared" ref="D38:G38" si="22">D$34-C$34</f>
        <v>-0.89999999999999991</v>
      </c>
      <c r="E38" s="16">
        <f t="shared" si="22"/>
        <v>-0.10000000000000009</v>
      </c>
      <c r="F38" s="16">
        <f t="shared" si="22"/>
        <v>-0.10000000000000009</v>
      </c>
      <c r="G38" s="16">
        <f t="shared" si="22"/>
        <v>-0.10000000000000009</v>
      </c>
    </row>
    <row r="39" spans="1:7" x14ac:dyDescent="0.25">
      <c r="A39" s="9" t="s">
        <v>1329</v>
      </c>
      <c r="C39" s="94">
        <f>SUM(C$37:C$38)</f>
        <v>-1.5</v>
      </c>
      <c r="D39" s="94">
        <f t="shared" ref="D39:G39" si="23">SUM(D$37:D$38)</f>
        <v>1.6600000000000001</v>
      </c>
      <c r="E39" s="94">
        <f t="shared" si="23"/>
        <v>3.0419999999999998</v>
      </c>
      <c r="F39" s="94">
        <f t="shared" si="23"/>
        <v>3.3770000000000002</v>
      </c>
      <c r="G39" s="94">
        <f t="shared" si="23"/>
        <v>3.9310000000000005</v>
      </c>
    </row>
    <row r="41" spans="1:7" x14ac:dyDescent="0.25">
      <c r="A41" s="9" t="s">
        <v>1321</v>
      </c>
    </row>
    <row r="42" spans="1:7" x14ac:dyDescent="0.25">
      <c r="A42" s="11" t="s">
        <v>974</v>
      </c>
      <c r="B42" s="72">
        <v>0.33</v>
      </c>
      <c r="C42" s="16">
        <f>$B$42*C$35</f>
        <v>-0.495</v>
      </c>
      <c r="D42" s="16">
        <f t="shared" ref="D42:G42" si="24">$B$42*D$35</f>
        <v>5.2800000000000048E-2</v>
      </c>
      <c r="E42" s="16">
        <f t="shared" si="24"/>
        <v>1.0566599999999999</v>
      </c>
      <c r="F42" s="16">
        <f t="shared" si="24"/>
        <v>2.1710700000000003</v>
      </c>
      <c r="G42" s="16">
        <f t="shared" si="24"/>
        <v>3.4683000000000006</v>
      </c>
    </row>
    <row r="43" spans="1:7" x14ac:dyDescent="0.25">
      <c r="A43" s="11" t="s">
        <v>550</v>
      </c>
      <c r="B43" s="72">
        <v>0.41</v>
      </c>
      <c r="C43" s="16">
        <f>$B$43*C$35</f>
        <v>-0.61499999999999999</v>
      </c>
      <c r="D43" s="16">
        <f t="shared" ref="D43:G43" si="25">$B$43*D$35</f>
        <v>6.5600000000000061E-2</v>
      </c>
      <c r="E43" s="16">
        <f t="shared" si="25"/>
        <v>1.3128199999999999</v>
      </c>
      <c r="F43" s="16">
        <f t="shared" si="25"/>
        <v>2.69739</v>
      </c>
      <c r="G43" s="16">
        <f t="shared" si="25"/>
        <v>4.3091000000000008</v>
      </c>
    </row>
    <row r="44" spans="1:7" x14ac:dyDescent="0.25">
      <c r="A44" s="11" t="s">
        <v>545</v>
      </c>
      <c r="B44" s="72">
        <v>0.25</v>
      </c>
      <c r="C44" s="16">
        <f>$B$44*C$35</f>
        <v>-0.375</v>
      </c>
      <c r="D44" s="16">
        <f t="shared" ref="D44:G44" si="26">$B$44*D$35</f>
        <v>4.0000000000000036E-2</v>
      </c>
      <c r="E44" s="16">
        <f t="shared" si="26"/>
        <v>0.80049999999999999</v>
      </c>
      <c r="F44" s="16">
        <f t="shared" si="26"/>
        <v>1.6447500000000002</v>
      </c>
      <c r="G44" s="16">
        <f t="shared" si="26"/>
        <v>2.6275000000000004</v>
      </c>
    </row>
    <row r="45" spans="1:7" x14ac:dyDescent="0.25">
      <c r="A45" s="11" t="s">
        <v>1322</v>
      </c>
      <c r="B45" s="72">
        <v>0.01</v>
      </c>
      <c r="C45" s="16">
        <f>$B$45*C$35</f>
        <v>-1.4999999999999999E-2</v>
      </c>
      <c r="D45" s="16">
        <f t="shared" ref="D45:G45" si="27">$B$45*D$35</f>
        <v>1.6000000000000014E-3</v>
      </c>
      <c r="E45" s="16">
        <f t="shared" si="27"/>
        <v>3.202E-2</v>
      </c>
      <c r="F45" s="16">
        <f t="shared" si="27"/>
        <v>6.5790000000000001E-2</v>
      </c>
      <c r="G45" s="16">
        <f t="shared" si="27"/>
        <v>0.10510000000000001</v>
      </c>
    </row>
    <row r="46" spans="1:7" x14ac:dyDescent="0.25">
      <c r="A46" s="55" t="s">
        <v>1324</v>
      </c>
      <c r="B46" s="97">
        <f>SUM(B$42:B$45)</f>
        <v>1</v>
      </c>
      <c r="C46" s="94">
        <f>SUM(C$42:C$45)</f>
        <v>-1.4999999999999998</v>
      </c>
      <c r="D46" s="94">
        <f t="shared" ref="D46:G46" si="28">SUM(D$42:D$45)</f>
        <v>0.16000000000000014</v>
      </c>
      <c r="E46" s="94">
        <f t="shared" si="28"/>
        <v>3.202</v>
      </c>
      <c r="F46" s="94">
        <f t="shared" si="28"/>
        <v>6.5790000000000006</v>
      </c>
      <c r="G46" s="94">
        <f t="shared" si="28"/>
        <v>10.510000000000002</v>
      </c>
    </row>
    <row r="47" spans="1:7" x14ac:dyDescent="0.25">
      <c r="A47" s="9" t="s">
        <v>1323</v>
      </c>
    </row>
    <row r="48" spans="1:7" x14ac:dyDescent="0.25">
      <c r="A48" s="11" t="s">
        <v>974</v>
      </c>
      <c r="C48" s="16">
        <f>$B$42*C$39</f>
        <v>-0.495</v>
      </c>
      <c r="D48" s="16">
        <f t="shared" ref="D48:G48" si="29">$B$42*D$39</f>
        <v>0.54780000000000006</v>
      </c>
      <c r="E48" s="16">
        <f t="shared" si="29"/>
        <v>1.00386</v>
      </c>
      <c r="F48" s="16">
        <f t="shared" si="29"/>
        <v>1.1144100000000001</v>
      </c>
      <c r="G48" s="16">
        <f t="shared" si="29"/>
        <v>1.2972300000000003</v>
      </c>
    </row>
    <row r="49" spans="1:7" x14ac:dyDescent="0.25">
      <c r="A49" s="11" t="s">
        <v>550</v>
      </c>
      <c r="C49" s="16">
        <f>$B$43*C$39</f>
        <v>-0.61499999999999999</v>
      </c>
      <c r="D49" s="16">
        <f t="shared" ref="D49:G49" si="30">$B$43*D$39</f>
        <v>0.68059999999999998</v>
      </c>
      <c r="E49" s="16">
        <f t="shared" si="30"/>
        <v>1.2472199999999998</v>
      </c>
      <c r="F49" s="16">
        <f t="shared" si="30"/>
        <v>1.3845700000000001</v>
      </c>
      <c r="G49" s="16">
        <f t="shared" si="30"/>
        <v>1.6117100000000002</v>
      </c>
    </row>
    <row r="50" spans="1:7" x14ac:dyDescent="0.25">
      <c r="A50" s="11" t="s">
        <v>545</v>
      </c>
      <c r="C50" s="16">
        <f>$B$44*C$39</f>
        <v>-0.375</v>
      </c>
      <c r="D50" s="16">
        <f t="shared" ref="D50:G50" si="31">$B$44*D$39</f>
        <v>0.41500000000000004</v>
      </c>
      <c r="E50" s="16">
        <f t="shared" si="31"/>
        <v>0.76049999999999995</v>
      </c>
      <c r="F50" s="16">
        <f t="shared" si="31"/>
        <v>0.84425000000000006</v>
      </c>
      <c r="G50" s="16">
        <f t="shared" si="31"/>
        <v>0.98275000000000012</v>
      </c>
    </row>
    <row r="51" spans="1:7" x14ac:dyDescent="0.25">
      <c r="A51" s="11" t="s">
        <v>1322</v>
      </c>
      <c r="C51" s="16">
        <f>$B$45*C$39</f>
        <v>-1.4999999999999999E-2</v>
      </c>
      <c r="D51" s="16">
        <f t="shared" ref="D51:G51" si="32">$B$45*D$39</f>
        <v>1.66E-2</v>
      </c>
      <c r="E51" s="16">
        <f t="shared" si="32"/>
        <v>3.0419999999999999E-2</v>
      </c>
      <c r="F51" s="16">
        <f t="shared" si="32"/>
        <v>3.3770000000000001E-2</v>
      </c>
      <c r="G51" s="16">
        <f t="shared" si="32"/>
        <v>3.9310000000000005E-2</v>
      </c>
    </row>
    <row r="52" spans="1:7" x14ac:dyDescent="0.25">
      <c r="A52" s="55" t="s">
        <v>1326</v>
      </c>
      <c r="C52" s="94">
        <f>SUM(C$48:C$51)</f>
        <v>-1.4999999999999998</v>
      </c>
      <c r="D52" s="94">
        <f t="shared" ref="D52:G52" si="33">SUM(D$48:D$51)</f>
        <v>1.6600000000000001</v>
      </c>
      <c r="E52" s="94">
        <f t="shared" si="33"/>
        <v>3.0419999999999998</v>
      </c>
      <c r="F52" s="94">
        <f t="shared" si="33"/>
        <v>3.3770000000000007</v>
      </c>
      <c r="G52" s="94">
        <f t="shared" si="33"/>
        <v>3.9310000000000005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1516-F4B2-49DB-980D-E1C1C9DA7598}">
  <dimension ref="A1:P70"/>
  <sheetViews>
    <sheetView workbookViewId="0">
      <pane xSplit="1" ySplit="11" topLeftCell="B12" activePane="bottomRight" state="frozen"/>
      <selection pane="topRight" activeCell="B1" sqref="B1"/>
      <selection pane="bottomLeft" activeCell="A12" sqref="A12"/>
      <selection pane="bottomRight" activeCell="B12" sqref="B12"/>
    </sheetView>
  </sheetViews>
  <sheetFormatPr defaultRowHeight="15" x14ac:dyDescent="0.25"/>
  <cols>
    <col min="1" max="1" width="85.7109375" customWidth="1"/>
    <col min="2" max="16" width="10.7109375" customWidth="1"/>
  </cols>
  <sheetData>
    <row r="1" spans="1:16" x14ac:dyDescent="0.25">
      <c r="A1" s="9" t="s">
        <v>1081</v>
      </c>
    </row>
    <row r="2" spans="1:16" x14ac:dyDescent="0.25">
      <c r="A2" s="10" t="s">
        <v>1068</v>
      </c>
    </row>
    <row r="3" spans="1:16" x14ac:dyDescent="0.25">
      <c r="A3" s="10" t="s">
        <v>1069</v>
      </c>
    </row>
    <row r="4" spans="1:16" x14ac:dyDescent="0.25">
      <c r="A4" s="10" t="s">
        <v>1070</v>
      </c>
    </row>
    <row r="5" spans="1:16" x14ac:dyDescent="0.25">
      <c r="A5" s="10" t="s">
        <v>1071</v>
      </c>
    </row>
    <row r="6" spans="1:16" x14ac:dyDescent="0.25">
      <c r="A6" s="10" t="s">
        <v>1072</v>
      </c>
    </row>
    <row r="7" spans="1:16" x14ac:dyDescent="0.25">
      <c r="A7" s="10" t="s">
        <v>135</v>
      </c>
    </row>
    <row r="8" spans="1:16" x14ac:dyDescent="0.25">
      <c r="A8" s="62" t="s">
        <v>747</v>
      </c>
      <c r="B8" s="13" t="s">
        <v>22</v>
      </c>
      <c r="C8" s="13" t="s">
        <v>23</v>
      </c>
      <c r="D8" s="13" t="s">
        <v>24</v>
      </c>
      <c r="E8" s="13" t="s">
        <v>25</v>
      </c>
      <c r="F8" s="13" t="s">
        <v>26</v>
      </c>
      <c r="G8" s="13" t="s">
        <v>27</v>
      </c>
      <c r="H8" s="13" t="s">
        <v>28</v>
      </c>
      <c r="I8" s="13" t="s">
        <v>29</v>
      </c>
      <c r="J8" s="13" t="s">
        <v>30</v>
      </c>
      <c r="K8" s="13" t="s">
        <v>31</v>
      </c>
      <c r="L8" s="13" t="s">
        <v>32</v>
      </c>
      <c r="M8" s="13" t="s">
        <v>33</v>
      </c>
      <c r="N8" s="13" t="s">
        <v>34</v>
      </c>
      <c r="O8" s="13" t="s">
        <v>35</v>
      </c>
      <c r="P8" s="13" t="s">
        <v>36</v>
      </c>
    </row>
    <row r="9" spans="1:16" x14ac:dyDescent="0.25">
      <c r="A9" s="62"/>
      <c r="B9" s="9">
        <v>2010</v>
      </c>
      <c r="C9" s="9">
        <v>2011</v>
      </c>
      <c r="D9" s="9">
        <v>2012</v>
      </c>
      <c r="E9" s="9">
        <v>2013</v>
      </c>
      <c r="F9" s="9">
        <v>2014</v>
      </c>
      <c r="G9" s="9">
        <v>2015</v>
      </c>
      <c r="H9" s="9">
        <v>2016</v>
      </c>
      <c r="I9" s="9">
        <v>2017</v>
      </c>
      <c r="J9" s="9">
        <v>2018</v>
      </c>
      <c r="K9" s="9">
        <v>2019</v>
      </c>
      <c r="L9" s="9">
        <v>2020</v>
      </c>
      <c r="M9" s="9">
        <v>2021</v>
      </c>
      <c r="N9" s="9">
        <v>2022</v>
      </c>
      <c r="O9" s="9">
        <v>2023</v>
      </c>
      <c r="P9" s="9">
        <v>2024</v>
      </c>
    </row>
    <row r="10" spans="1:16" x14ac:dyDescent="0.25">
      <c r="A10" s="9" t="s">
        <v>1073</v>
      </c>
      <c r="B10" s="47">
        <v>197.35300000000001</v>
      </c>
      <c r="C10" s="47">
        <v>206.09800000000001</v>
      </c>
      <c r="D10" s="47">
        <v>215.197</v>
      </c>
      <c r="E10" s="47">
        <v>219.18299999999999</v>
      </c>
      <c r="F10" s="47">
        <v>237.05099999999999</v>
      </c>
      <c r="G10" s="47">
        <v>245.87200000000001</v>
      </c>
      <c r="H10" s="47">
        <v>258.92899999999997</v>
      </c>
      <c r="I10" s="47">
        <v>275.87599999999998</v>
      </c>
      <c r="J10" s="47">
        <v>295.81700000000001</v>
      </c>
      <c r="K10" s="47">
        <v>310.512</v>
      </c>
      <c r="L10" s="47">
        <v>317.63099999999997</v>
      </c>
      <c r="M10" s="47">
        <v>343.39299999999997</v>
      </c>
      <c r="N10" s="47">
        <v>365.71600000000001</v>
      </c>
      <c r="O10" s="47">
        <v>401.54700000000003</v>
      </c>
      <c r="P10" s="47">
        <v>420.62200000000001</v>
      </c>
    </row>
    <row r="11" spans="1:16" x14ac:dyDescent="0.25">
      <c r="A11" s="10" t="s">
        <v>142</v>
      </c>
    </row>
    <row r="12" spans="1:16" x14ac:dyDescent="0.25">
      <c r="A12" s="9"/>
    </row>
    <row r="13" spans="1:16" ht="16.5" x14ac:dyDescent="0.25">
      <c r="A13" s="41" t="s">
        <v>1074</v>
      </c>
    </row>
    <row r="14" spans="1:16" x14ac:dyDescent="0.25">
      <c r="A14" s="9" t="s">
        <v>749</v>
      </c>
      <c r="B14" s="47">
        <v>-6.3149999999999977</v>
      </c>
      <c r="C14" s="47">
        <v>-18.396000000000001</v>
      </c>
      <c r="D14" s="47">
        <v>-9.24</v>
      </c>
      <c r="E14" s="47">
        <v>-4.4139999999999997</v>
      </c>
      <c r="F14" s="47">
        <v>-2.8020000000000005</v>
      </c>
      <c r="G14" s="47">
        <v>0.41399999999999998</v>
      </c>
      <c r="H14" s="47">
        <v>1.831</v>
      </c>
      <c r="I14" s="47">
        <v>4.069</v>
      </c>
      <c r="J14" s="47">
        <v>5.5339999999999998</v>
      </c>
      <c r="K14" s="47">
        <v>7.4290000000000003</v>
      </c>
      <c r="L14" s="47">
        <v>-23.056999999999999</v>
      </c>
      <c r="M14" s="47">
        <v>-4.5599999999999996</v>
      </c>
      <c r="N14" s="47">
        <v>-9.6910000000000007</v>
      </c>
      <c r="O14" s="47">
        <v>-9.4459999999999997</v>
      </c>
      <c r="P14" s="47">
        <v>-12.853999999999999</v>
      </c>
    </row>
    <row r="15" spans="1:16" x14ac:dyDescent="0.25">
      <c r="A15" s="10" t="s">
        <v>1075</v>
      </c>
      <c r="B15" s="71">
        <f>B14/B$10</f>
        <v>-3.1998500149478332E-2</v>
      </c>
      <c r="C15" s="71">
        <f t="shared" ref="C15:P17" si="0">C14/C$10</f>
        <v>-8.9258508088385133E-2</v>
      </c>
      <c r="D15" s="71">
        <f t="shared" si="0"/>
        <v>-4.293740154370182E-2</v>
      </c>
      <c r="E15" s="71">
        <f t="shared" si="0"/>
        <v>-2.0138423144130703E-2</v>
      </c>
      <c r="F15" s="71">
        <f t="shared" si="0"/>
        <v>-1.1820241213915995E-2</v>
      </c>
      <c r="G15" s="71">
        <f t="shared" si="0"/>
        <v>1.683802954382768E-3</v>
      </c>
      <c r="H15" s="71">
        <f t="shared" si="0"/>
        <v>7.0714365714153304E-3</v>
      </c>
      <c r="I15" s="71">
        <f t="shared" si="0"/>
        <v>1.4749380156302108E-2</v>
      </c>
      <c r="J15" s="71">
        <f t="shared" si="0"/>
        <v>1.8707511738676276E-2</v>
      </c>
      <c r="K15" s="71">
        <f t="shared" si="0"/>
        <v>2.3925001288194983E-2</v>
      </c>
      <c r="L15" s="71">
        <f t="shared" si="0"/>
        <v>-7.2590521706004774E-2</v>
      </c>
      <c r="M15" s="71">
        <f t="shared" si="0"/>
        <v>-1.3279245645659637E-2</v>
      </c>
      <c r="N15" s="71">
        <f t="shared" si="0"/>
        <v>-2.6498703912325412E-2</v>
      </c>
      <c r="O15" s="71">
        <f t="shared" si="0"/>
        <v>-2.3524020849365078E-2</v>
      </c>
      <c r="P15" s="71">
        <f t="shared" si="0"/>
        <v>-3.055950473346615E-2</v>
      </c>
    </row>
    <row r="16" spans="1:16" x14ac:dyDescent="0.25">
      <c r="A16" s="9" t="s">
        <v>1094</v>
      </c>
      <c r="B16" s="71"/>
      <c r="C16" s="71"/>
      <c r="D16" s="71"/>
      <c r="E16" s="71"/>
      <c r="F16" s="47">
        <v>-3.8330000000000002</v>
      </c>
      <c r="G16" s="47">
        <v>0.33300000000000002</v>
      </c>
      <c r="H16" s="47">
        <v>2.121</v>
      </c>
      <c r="I16" s="47">
        <v>4.6529999999999996</v>
      </c>
      <c r="J16" s="47">
        <v>5.9420000000000002</v>
      </c>
      <c r="K16" s="47">
        <v>8.5039999999999996</v>
      </c>
      <c r="L16" s="47">
        <v>-20.902000000000001</v>
      </c>
      <c r="M16" s="47">
        <v>-2.5590000000000002</v>
      </c>
      <c r="N16" s="47">
        <v>-8.6639999999999997</v>
      </c>
      <c r="O16" s="47">
        <v>-7.1989999999999998</v>
      </c>
      <c r="P16" s="47">
        <v>-8.7729999999999997</v>
      </c>
    </row>
    <row r="17" spans="1:16" x14ac:dyDescent="0.25">
      <c r="A17" s="10" t="str">
        <f>$A$15</f>
        <v>As percentage of nominal GDP</v>
      </c>
      <c r="B17" s="71"/>
      <c r="C17" s="71"/>
      <c r="D17" s="71"/>
      <c r="E17" s="71"/>
      <c r="F17" s="71">
        <f t="shared" si="0"/>
        <v>-1.6169516264432551E-2</v>
      </c>
      <c r="G17" s="71">
        <f t="shared" si="0"/>
        <v>1.3543632459165746E-3</v>
      </c>
      <c r="H17" s="71">
        <f t="shared" si="0"/>
        <v>8.1914347176252952E-3</v>
      </c>
      <c r="I17" s="71">
        <f t="shared" si="0"/>
        <v>1.6866273253200715E-2</v>
      </c>
      <c r="J17" s="71">
        <f t="shared" si="0"/>
        <v>2.0086742817349915E-2</v>
      </c>
      <c r="K17" s="71">
        <f t="shared" si="0"/>
        <v>2.7387025300149428E-2</v>
      </c>
      <c r="L17" s="71">
        <f t="shared" si="0"/>
        <v>-6.5805919447409114E-2</v>
      </c>
      <c r="M17" s="71">
        <f t="shared" si="0"/>
        <v>-7.4521029840445216E-3</v>
      </c>
      <c r="N17" s="71">
        <f t="shared" si="0"/>
        <v>-2.3690513950715853E-2</v>
      </c>
      <c r="O17" s="71">
        <f t="shared" si="0"/>
        <v>-1.7928162830253992E-2</v>
      </c>
      <c r="P17" s="71">
        <f t="shared" si="0"/>
        <v>-2.0857206708160769E-2</v>
      </c>
    </row>
    <row r="18" spans="1:16" x14ac:dyDescent="0.25">
      <c r="A18" s="9" t="s">
        <v>579</v>
      </c>
      <c r="B18" s="47">
        <v>5.125</v>
      </c>
      <c r="C18" s="47">
        <v>14.554</v>
      </c>
      <c r="D18" s="47">
        <v>23.893000000000001</v>
      </c>
      <c r="E18" s="47">
        <v>25.297999999999998</v>
      </c>
      <c r="F18" s="47">
        <v>25.207999999999998</v>
      </c>
      <c r="G18" s="47">
        <v>22.824999999999999</v>
      </c>
      <c r="H18" s="47">
        <v>23.193000000000001</v>
      </c>
      <c r="I18" s="47">
        <v>16.248999999999999</v>
      </c>
      <c r="J18" s="47">
        <v>11.218999999999999</v>
      </c>
      <c r="K18" s="47">
        <v>5.4320000000000004</v>
      </c>
      <c r="L18" s="47">
        <v>35.71</v>
      </c>
      <c r="M18" s="47">
        <v>35.920999999999999</v>
      </c>
      <c r="N18" s="47">
        <v>61.85</v>
      </c>
      <c r="O18" s="47">
        <v>71.367000000000004</v>
      </c>
      <c r="P18" s="47">
        <v>82.197000000000003</v>
      </c>
    </row>
    <row r="19" spans="1:16" x14ac:dyDescent="0.25">
      <c r="A19" s="10" t="str">
        <f>$A$15</f>
        <v>As percentage of nominal GDP</v>
      </c>
      <c r="B19" s="71">
        <f t="shared" ref="B19:N19" si="1">B$18/B$10</f>
        <v>2.5968695687423042E-2</v>
      </c>
      <c r="C19" s="71">
        <f t="shared" si="1"/>
        <v>7.0616890993604978E-2</v>
      </c>
      <c r="D19" s="71">
        <f t="shared" si="1"/>
        <v>0.11102849946792939</v>
      </c>
      <c r="E19" s="71">
        <f t="shared" si="1"/>
        <v>0.11541953527417728</v>
      </c>
      <c r="F19" s="71">
        <f t="shared" si="1"/>
        <v>0.10633998591020498</v>
      </c>
      <c r="G19" s="71">
        <f t="shared" si="1"/>
        <v>9.2832856120257684E-2</v>
      </c>
      <c r="H19" s="71">
        <f t="shared" si="1"/>
        <v>8.9572817258785242E-2</v>
      </c>
      <c r="I19" s="71">
        <f t="shared" si="1"/>
        <v>5.8899650567646337E-2</v>
      </c>
      <c r="J19" s="71">
        <f t="shared" si="1"/>
        <v>3.7925474195195E-2</v>
      </c>
      <c r="K19" s="71">
        <f t="shared" si="1"/>
        <v>1.7493687844592157E-2</v>
      </c>
      <c r="L19" s="71">
        <f t="shared" si="1"/>
        <v>0.11242605413199594</v>
      </c>
      <c r="M19" s="71">
        <f t="shared" si="1"/>
        <v>0.10460609272757454</v>
      </c>
      <c r="N19" s="71">
        <f t="shared" si="1"/>
        <v>0.16912030099858907</v>
      </c>
      <c r="O19" s="71">
        <f>O$18/O$10</f>
        <v>0.17773012872714775</v>
      </c>
      <c r="P19" s="71">
        <f>P$18/P$10</f>
        <v>0.19541773849204275</v>
      </c>
    </row>
    <row r="20" spans="1:16" x14ac:dyDescent="0.25">
      <c r="A20" s="9" t="s">
        <v>1076</v>
      </c>
      <c r="B20" s="47">
        <v>20.706</v>
      </c>
      <c r="C20" s="47">
        <v>33.171999999999997</v>
      </c>
      <c r="D20" s="47">
        <v>42.503</v>
      </c>
      <c r="E20" s="47">
        <v>47.96</v>
      </c>
      <c r="F20" s="47">
        <v>51.332999999999998</v>
      </c>
      <c r="G20" s="47">
        <v>52.131</v>
      </c>
      <c r="H20" s="47">
        <v>53.228999999999999</v>
      </c>
      <c r="I20" s="47">
        <v>51.548000000000002</v>
      </c>
      <c r="J20" s="47">
        <v>50.762999999999998</v>
      </c>
      <c r="K20" s="47">
        <v>50.822000000000003</v>
      </c>
      <c r="L20" s="47">
        <v>79.930000000000007</v>
      </c>
      <c r="M20" s="47">
        <v>95.188000000000002</v>
      </c>
      <c r="N20" s="47">
        <v>117.11499999999999</v>
      </c>
      <c r="O20" s="47">
        <v>136.268</v>
      </c>
      <c r="P20" s="47">
        <v>158.255</v>
      </c>
    </row>
    <row r="21" spans="1:16" x14ac:dyDescent="0.25">
      <c r="A21" s="10" t="str">
        <f>$A$15</f>
        <v>As percentage of nominal GDP</v>
      </c>
      <c r="B21" s="71">
        <f>B$20/B$10</f>
        <v>0.10491859763976225</v>
      </c>
      <c r="C21" s="71">
        <f t="shared" ref="C21:P21" si="2">C$20/C$10</f>
        <v>0.1609525565507671</v>
      </c>
      <c r="D21" s="71">
        <f t="shared" si="2"/>
        <v>0.19750740019609939</v>
      </c>
      <c r="E21" s="71">
        <f t="shared" si="2"/>
        <v>0.21881259039250309</v>
      </c>
      <c r="F21" s="71">
        <f t="shared" si="2"/>
        <v>0.2165483376994824</v>
      </c>
      <c r="G21" s="71">
        <f t="shared" si="2"/>
        <v>0.21202495607470553</v>
      </c>
      <c r="H21" s="71">
        <f t="shared" si="2"/>
        <v>0.20557372870555252</v>
      </c>
      <c r="I21" s="71">
        <f t="shared" si="2"/>
        <v>0.18685206397076951</v>
      </c>
      <c r="J21" s="71">
        <f t="shared" si="2"/>
        <v>0.17160271383997538</v>
      </c>
      <c r="K21" s="71">
        <f t="shared" si="2"/>
        <v>0.16367161333539446</v>
      </c>
      <c r="L21" s="71">
        <f t="shared" si="2"/>
        <v>0.25164420349399153</v>
      </c>
      <c r="M21" s="71">
        <f t="shared" si="2"/>
        <v>0.27719842862259864</v>
      </c>
      <c r="N21" s="71">
        <f t="shared" si="2"/>
        <v>0.32023482702424833</v>
      </c>
      <c r="O21" s="71">
        <f t="shared" si="2"/>
        <v>0.33935753473441466</v>
      </c>
      <c r="P21" s="71">
        <f t="shared" si="2"/>
        <v>0.37624042489456089</v>
      </c>
    </row>
    <row r="22" spans="1:16" x14ac:dyDescent="0.25">
      <c r="A22" s="9" t="s">
        <v>1077</v>
      </c>
      <c r="B22" s="47">
        <v>26.737999999999996</v>
      </c>
      <c r="C22" s="47">
        <v>40.128</v>
      </c>
      <c r="D22" s="47">
        <v>50.671000000000006</v>
      </c>
      <c r="E22" s="47">
        <v>55.835000000000001</v>
      </c>
      <c r="F22" s="47">
        <v>59.930999999999997</v>
      </c>
      <c r="G22" s="47">
        <v>60.631</v>
      </c>
      <c r="H22" s="47">
        <v>61.88</v>
      </c>
      <c r="I22" s="47">
        <v>59.48</v>
      </c>
      <c r="J22" s="47">
        <v>57.494999999999997</v>
      </c>
      <c r="K22" s="47">
        <v>57.735999999999997</v>
      </c>
      <c r="L22" s="47">
        <v>83.375</v>
      </c>
      <c r="M22" s="47">
        <v>102.08</v>
      </c>
      <c r="N22" s="47">
        <v>128.87299999999999</v>
      </c>
      <c r="O22" s="47">
        <v>155.273</v>
      </c>
      <c r="P22" s="47">
        <v>175.464</v>
      </c>
    </row>
    <row r="23" spans="1:16" x14ac:dyDescent="0.25">
      <c r="A23" s="10" t="str">
        <f>$A$15</f>
        <v>As percentage of nominal GDP</v>
      </c>
      <c r="B23" s="71">
        <f t="shared" ref="B23:N23" si="3">B$22/B$10</f>
        <v>0.1354831190810375</v>
      </c>
      <c r="C23" s="71">
        <f t="shared" si="3"/>
        <v>0.1947034905724461</v>
      </c>
      <c r="D23" s="71">
        <f t="shared" si="3"/>
        <v>0.23546331965594319</v>
      </c>
      <c r="E23" s="71">
        <f t="shared" si="3"/>
        <v>0.25474147173822786</v>
      </c>
      <c r="F23" s="71">
        <f t="shared" si="3"/>
        <v>0.25281901362997838</v>
      </c>
      <c r="G23" s="71">
        <f t="shared" si="3"/>
        <v>0.24659578967918266</v>
      </c>
      <c r="H23" s="71">
        <f t="shared" si="3"/>
        <v>0.23898443202576772</v>
      </c>
      <c r="I23" s="71">
        <f t="shared" si="3"/>
        <v>0.21560411199234439</v>
      </c>
      <c r="J23" s="71">
        <f t="shared" si="3"/>
        <v>0.19436002663809043</v>
      </c>
      <c r="K23" s="71">
        <f t="shared" si="3"/>
        <v>0.18593806358530426</v>
      </c>
      <c r="L23" s="71">
        <f t="shared" si="3"/>
        <v>0.26249012218580681</v>
      </c>
      <c r="M23" s="71">
        <f t="shared" si="3"/>
        <v>0.29726872708529295</v>
      </c>
      <c r="N23" s="71">
        <f t="shared" si="3"/>
        <v>0.35238545756816764</v>
      </c>
      <c r="O23" s="71">
        <f>O$22/O$10</f>
        <v>0.38668698807362523</v>
      </c>
      <c r="P23" s="71">
        <f>P$22/P$10</f>
        <v>0.41715364388928777</v>
      </c>
    </row>
    <row r="24" spans="1:16" x14ac:dyDescent="0.25">
      <c r="A24" s="9" t="s">
        <v>752</v>
      </c>
      <c r="B24" s="47">
        <v>-9</v>
      </c>
      <c r="C24" s="47">
        <v>-13.343</v>
      </c>
      <c r="D24" s="47">
        <v>-10.644</v>
      </c>
      <c r="E24" s="47">
        <v>-5.742</v>
      </c>
      <c r="F24" s="47">
        <v>-4.109</v>
      </c>
      <c r="G24" s="47">
        <v>-1.827</v>
      </c>
      <c r="H24" s="47">
        <v>-1.3220000000000001</v>
      </c>
      <c r="I24" s="47">
        <v>2.5739999999999998</v>
      </c>
      <c r="J24" s="47">
        <v>1.3460000000000001</v>
      </c>
      <c r="K24" s="47">
        <v>-0.71</v>
      </c>
      <c r="L24" s="47">
        <v>-23.692</v>
      </c>
      <c r="M24" s="47">
        <v>-13.766999999999999</v>
      </c>
      <c r="N24" s="47">
        <v>-27.042999999999999</v>
      </c>
      <c r="O24" s="47">
        <v>-25.648</v>
      </c>
      <c r="P24" s="47">
        <v>-19.302</v>
      </c>
    </row>
    <row r="25" spans="1:16" x14ac:dyDescent="0.25">
      <c r="A25" s="10" t="str">
        <f>$A$15</f>
        <v>As percentage of nominal GDP</v>
      </c>
      <c r="B25" s="71">
        <f>B$24/B$10</f>
        <v>-4.5603563158401444E-2</v>
      </c>
      <c r="C25" s="71">
        <f t="shared" ref="C25:P25" si="4">C$24/C$10</f>
        <v>-6.4741045522033205E-2</v>
      </c>
      <c r="D25" s="71">
        <f t="shared" si="4"/>
        <v>-4.9461656063978586E-2</v>
      </c>
      <c r="E25" s="71">
        <f t="shared" si="4"/>
        <v>-2.6197287198368488E-2</v>
      </c>
      <c r="F25" s="71">
        <f t="shared" si="4"/>
        <v>-1.7333822679507786E-2</v>
      </c>
      <c r="G25" s="71">
        <f t="shared" si="4"/>
        <v>-7.430695646515259E-3</v>
      </c>
      <c r="H25" s="71">
        <f t="shared" si="4"/>
        <v>-5.1056467216881859E-3</v>
      </c>
      <c r="I25" s="71">
        <f t="shared" si="4"/>
        <v>9.3302788209195433E-3</v>
      </c>
      <c r="J25" s="71">
        <f t="shared" si="4"/>
        <v>4.5501103722909771E-3</v>
      </c>
      <c r="K25" s="71">
        <f t="shared" si="4"/>
        <v>-2.2865460916164271E-3</v>
      </c>
      <c r="L25" s="71">
        <f t="shared" si="4"/>
        <v>-7.4589696849488879E-2</v>
      </c>
      <c r="M25" s="71">
        <f t="shared" si="4"/>
        <v>-4.0091090965744793E-2</v>
      </c>
      <c r="N25" s="71">
        <f t="shared" si="4"/>
        <v>-7.3945356506141369E-2</v>
      </c>
      <c r="O25" s="71">
        <f t="shared" si="4"/>
        <v>-6.3872971283560828E-2</v>
      </c>
      <c r="P25" s="71">
        <f t="shared" si="4"/>
        <v>-4.5889183162079017E-2</v>
      </c>
    </row>
    <row r="26" spans="1:16" x14ac:dyDescent="0.25">
      <c r="A26" s="9" t="s">
        <v>584</v>
      </c>
      <c r="B26" s="47">
        <v>55.756999999999998</v>
      </c>
      <c r="C26" s="47">
        <v>57.198999999999998</v>
      </c>
      <c r="D26" s="47">
        <v>60.427999999999997</v>
      </c>
      <c r="E26" s="47">
        <v>63.805</v>
      </c>
      <c r="F26" s="47">
        <v>67.093000000000004</v>
      </c>
      <c r="G26" s="47">
        <v>72.212999999999994</v>
      </c>
      <c r="H26" s="47">
        <v>76.120999999999995</v>
      </c>
      <c r="I26" s="47">
        <v>81.781999999999996</v>
      </c>
      <c r="J26" s="47">
        <v>86.778000000000006</v>
      </c>
      <c r="K26" s="47">
        <v>93.474000000000004</v>
      </c>
      <c r="L26" s="47">
        <v>91.923000000000002</v>
      </c>
      <c r="M26" s="47">
        <v>104.968</v>
      </c>
      <c r="N26" s="47">
        <v>117.515</v>
      </c>
      <c r="O26" s="47">
        <v>123.398</v>
      </c>
      <c r="P26" s="47">
        <v>133.22</v>
      </c>
    </row>
    <row r="27" spans="1:16" x14ac:dyDescent="0.25">
      <c r="A27" s="10" t="str">
        <f>$A$15</f>
        <v>As percentage of nominal GDP</v>
      </c>
      <c r="B27" s="71">
        <f t="shared" ref="B27:N27" si="5">B$26/B$10</f>
        <v>0.28252420789144322</v>
      </c>
      <c r="C27" s="71">
        <f t="shared" si="5"/>
        <v>0.27753301827286048</v>
      </c>
      <c r="D27" s="71">
        <f t="shared" si="5"/>
        <v>0.28080317104792352</v>
      </c>
      <c r="E27" s="71">
        <f t="shared" si="5"/>
        <v>0.29110378085891697</v>
      </c>
      <c r="F27" s="71">
        <f t="shared" si="5"/>
        <v>0.28303192140088002</v>
      </c>
      <c r="G27" s="71">
        <f t="shared" si="5"/>
        <v>0.29370160083295371</v>
      </c>
      <c r="H27" s="71">
        <f t="shared" si="5"/>
        <v>0.29398406512982322</v>
      </c>
      <c r="I27" s="71">
        <f t="shared" si="5"/>
        <v>0.2964447795386333</v>
      </c>
      <c r="J27" s="71">
        <f t="shared" si="5"/>
        <v>0.29335028074789482</v>
      </c>
      <c r="K27" s="71">
        <f t="shared" si="5"/>
        <v>0.30103184417993506</v>
      </c>
      <c r="L27" s="71">
        <f t="shared" si="5"/>
        <v>0.28940185309368421</v>
      </c>
      <c r="M27" s="71">
        <f t="shared" si="5"/>
        <v>0.30567891599421076</v>
      </c>
      <c r="N27" s="71">
        <f t="shared" si="5"/>
        <v>0.32132857189731923</v>
      </c>
      <c r="O27" s="71">
        <f>O$26/O$10</f>
        <v>0.30730649214164218</v>
      </c>
      <c r="P27" s="71">
        <f>P$26/P$10</f>
        <v>0.31672142683929988</v>
      </c>
    </row>
    <row r="28" spans="1:16" x14ac:dyDescent="0.25">
      <c r="A28" s="9" t="s">
        <v>589</v>
      </c>
      <c r="B28" s="47">
        <v>63.553999999999995</v>
      </c>
      <c r="C28" s="47">
        <v>70.099000000000004</v>
      </c>
      <c r="D28" s="47">
        <v>68.938999999999993</v>
      </c>
      <c r="E28" s="47">
        <v>69.962000000000003</v>
      </c>
      <c r="F28" s="47">
        <v>71.173999999999992</v>
      </c>
      <c r="G28" s="47">
        <v>72.362999999999985</v>
      </c>
      <c r="H28" s="47">
        <v>73.929000000000002</v>
      </c>
      <c r="I28" s="47">
        <v>76.338999999999999</v>
      </c>
      <c r="J28" s="47">
        <v>80.575999999999993</v>
      </c>
      <c r="K28" s="47">
        <v>86.959000000000003</v>
      </c>
      <c r="L28" s="47">
        <v>108.83199999999999</v>
      </c>
      <c r="M28" s="47">
        <v>107.764</v>
      </c>
      <c r="N28" s="47">
        <v>125.64100000000001</v>
      </c>
      <c r="O28" s="47">
        <v>127.574</v>
      </c>
      <c r="P28" s="47">
        <v>138.99799999999999</v>
      </c>
    </row>
    <row r="29" spans="1:16" x14ac:dyDescent="0.25">
      <c r="A29" s="10" t="str">
        <f>$A$15</f>
        <v>As percentage of nominal GDP</v>
      </c>
      <c r="B29" s="71">
        <f>B$28/B$10</f>
        <v>0.32203209477433831</v>
      </c>
      <c r="C29" s="71">
        <f t="shared" ref="C29:P29" si="6">C$28/C$10</f>
        <v>0.34012460091800989</v>
      </c>
      <c r="D29" s="71">
        <f t="shared" si="6"/>
        <v>0.32035297889840469</v>
      </c>
      <c r="E29" s="71">
        <f t="shared" si="6"/>
        <v>0.31919446307423482</v>
      </c>
      <c r="F29" s="71">
        <f t="shared" si="6"/>
        <v>0.30024762603827865</v>
      </c>
      <c r="G29" s="71">
        <f t="shared" si="6"/>
        <v>0.29431167436715033</v>
      </c>
      <c r="H29" s="71">
        <f t="shared" si="6"/>
        <v>0.28551842396950516</v>
      </c>
      <c r="I29" s="71">
        <f t="shared" si="6"/>
        <v>0.27671490089750467</v>
      </c>
      <c r="J29" s="71">
        <f t="shared" si="6"/>
        <v>0.27238461616472343</v>
      </c>
      <c r="K29" s="71">
        <f t="shared" si="6"/>
        <v>0.28005036842376463</v>
      </c>
      <c r="L29" s="71">
        <f t="shared" si="6"/>
        <v>0.34263658144198772</v>
      </c>
      <c r="M29" s="71">
        <f t="shared" si="6"/>
        <v>0.31382119029799677</v>
      </c>
      <c r="N29" s="71">
        <f t="shared" si="6"/>
        <v>0.34354799899375471</v>
      </c>
      <c r="O29" s="71">
        <f t="shared" si="6"/>
        <v>0.31770627099691939</v>
      </c>
      <c r="P29" s="71">
        <f t="shared" si="6"/>
        <v>0.33045822615079568</v>
      </c>
    </row>
    <row r="30" spans="1:16" x14ac:dyDescent="0.25">
      <c r="A30" s="9" t="s">
        <v>592</v>
      </c>
      <c r="B30" s="47">
        <v>-7</v>
      </c>
      <c r="C30" s="47">
        <v>-9.2669999999999995</v>
      </c>
      <c r="D30" s="47">
        <v>-11.670999999999999</v>
      </c>
      <c r="E30" s="47">
        <v>0.371</v>
      </c>
      <c r="F30" s="47">
        <v>0.29199999999999998</v>
      </c>
      <c r="G30" s="47">
        <v>3.879</v>
      </c>
      <c r="H30" s="47">
        <v>-0.91200000000000003</v>
      </c>
      <c r="I30" s="47">
        <v>12.064</v>
      </c>
      <c r="J30" s="47">
        <v>9.4429999999999996</v>
      </c>
      <c r="K30" s="47">
        <v>9.7070000000000007</v>
      </c>
      <c r="L30" s="47">
        <v>-20.882999999999999</v>
      </c>
      <c r="M30" s="47">
        <v>4.7039999999999997</v>
      </c>
      <c r="N30" s="47">
        <v>-19.532</v>
      </c>
      <c r="O30" s="47">
        <v>8.2929999999999993</v>
      </c>
      <c r="P30" s="47">
        <v>2.1059999999999999</v>
      </c>
    </row>
    <row r="31" spans="1:16" x14ac:dyDescent="0.25">
      <c r="A31" s="10" t="str">
        <f>$A$15</f>
        <v>As percentage of nominal GDP</v>
      </c>
      <c r="B31" s="71">
        <f t="shared" ref="B31:N31" si="7">B$30/B$10</f>
        <v>-3.5469438012090009E-2</v>
      </c>
      <c r="C31" s="71">
        <f t="shared" si="7"/>
        <v>-4.4964046230434061E-2</v>
      </c>
      <c r="D31" s="71">
        <f t="shared" si="7"/>
        <v>-5.4234027426032887E-2</v>
      </c>
      <c r="E31" s="71">
        <f t="shared" si="7"/>
        <v>1.6926495211763686E-3</v>
      </c>
      <c r="F31" s="71">
        <f t="shared" si="7"/>
        <v>1.2318024391375696E-3</v>
      </c>
      <c r="G31" s="71">
        <f t="shared" si="7"/>
        <v>1.57765015943255E-2</v>
      </c>
      <c r="H31" s="71">
        <f t="shared" si="7"/>
        <v>-3.5222010667016832E-3</v>
      </c>
      <c r="I31" s="71">
        <f t="shared" si="7"/>
        <v>4.3729791645521904E-2</v>
      </c>
      <c r="J31" s="71">
        <f t="shared" si="7"/>
        <v>3.1921762440968567E-2</v>
      </c>
      <c r="K31" s="71">
        <f t="shared" si="7"/>
        <v>3.1261271706085433E-2</v>
      </c>
      <c r="L31" s="71">
        <f t="shared" si="7"/>
        <v>-6.5746101608470206E-2</v>
      </c>
      <c r="M31" s="71">
        <f t="shared" si="7"/>
        <v>1.3698590244996258E-2</v>
      </c>
      <c r="N31" s="71">
        <f t="shared" si="7"/>
        <v>-5.3407562152052411E-2</v>
      </c>
      <c r="O31" s="71">
        <f>O$30/O$10</f>
        <v>2.0652625969064638E-2</v>
      </c>
      <c r="P31" s="71">
        <f>P$30/P$10</f>
        <v>5.0068707770872653E-3</v>
      </c>
    </row>
    <row r="32" spans="1:16" x14ac:dyDescent="0.25">
      <c r="A32" s="9" t="s">
        <v>754</v>
      </c>
      <c r="B32" s="47">
        <v>73.733000000000004</v>
      </c>
      <c r="C32" s="47">
        <v>80.647000000000006</v>
      </c>
      <c r="D32" s="47">
        <v>82.748999999999995</v>
      </c>
      <c r="E32" s="47">
        <v>85.677999999999997</v>
      </c>
      <c r="F32" s="47">
        <v>88.536000000000001</v>
      </c>
      <c r="G32" s="47">
        <v>93.805000000000007</v>
      </c>
      <c r="H32" s="47">
        <v>97.415999999999997</v>
      </c>
      <c r="I32" s="47">
        <v>103.422</v>
      </c>
      <c r="J32" s="47">
        <v>109.973</v>
      </c>
      <c r="K32" s="47">
        <v>119.142</v>
      </c>
      <c r="L32" s="47">
        <v>116.003</v>
      </c>
      <c r="M32" s="47">
        <v>129.33500000000001</v>
      </c>
      <c r="N32" s="47">
        <v>141.62700000000001</v>
      </c>
      <c r="O32" s="47">
        <v>153.011</v>
      </c>
      <c r="P32" s="47">
        <v>167.34700000000001</v>
      </c>
    </row>
    <row r="33" spans="1:16" x14ac:dyDescent="0.25">
      <c r="A33" s="10" t="str">
        <f>$A$15</f>
        <v>As percentage of nominal GDP</v>
      </c>
      <c r="B33" s="71">
        <f>B$32/B$10</f>
        <v>0.3736097247064904</v>
      </c>
      <c r="C33" s="71">
        <f t="shared" ref="C33:P33" si="8">C$32/C$10</f>
        <v>0.39130413686692739</v>
      </c>
      <c r="D33" s="71">
        <f t="shared" si="8"/>
        <v>0.3845267359675088</v>
      </c>
      <c r="E33" s="71">
        <f t="shared" si="8"/>
        <v>0.39089710424622348</v>
      </c>
      <c r="F33" s="71">
        <f t="shared" si="8"/>
        <v>0.37348924914891735</v>
      </c>
      <c r="G33" s="71">
        <f t="shared" si="8"/>
        <v>0.38151965250211495</v>
      </c>
      <c r="H33" s="71">
        <f t="shared" si="8"/>
        <v>0.37622668762479294</v>
      </c>
      <c r="I33" s="71">
        <f t="shared" si="8"/>
        <v>0.37488581826617756</v>
      </c>
      <c r="J33" s="71">
        <f t="shared" si="8"/>
        <v>0.37176024366415722</v>
      </c>
      <c r="K33" s="71">
        <f t="shared" si="8"/>
        <v>0.38369531612304836</v>
      </c>
      <c r="L33" s="71">
        <f t="shared" si="8"/>
        <v>0.36521309318045159</v>
      </c>
      <c r="M33" s="71">
        <f t="shared" si="8"/>
        <v>0.37663842885556786</v>
      </c>
      <c r="N33" s="71">
        <f t="shared" si="8"/>
        <v>0.38725951284603355</v>
      </c>
      <c r="O33" s="71">
        <f t="shared" si="8"/>
        <v>0.38105377452701672</v>
      </c>
      <c r="P33" s="71">
        <f t="shared" si="8"/>
        <v>0.39785603225699084</v>
      </c>
    </row>
    <row r="34" spans="1:16" x14ac:dyDescent="0.25">
      <c r="A34" s="9" t="s">
        <v>755</v>
      </c>
      <c r="B34" s="47">
        <v>80.048000000000002</v>
      </c>
      <c r="C34" s="47">
        <v>99.043000000000006</v>
      </c>
      <c r="D34" s="47">
        <v>91.989000000000004</v>
      </c>
      <c r="E34" s="47">
        <v>90.03</v>
      </c>
      <c r="F34" s="47">
        <v>91.179000000000002</v>
      </c>
      <c r="G34" s="47">
        <v>93.063999999999993</v>
      </c>
      <c r="H34" s="47">
        <v>95.137</v>
      </c>
      <c r="I34" s="47">
        <v>99.007000000000005</v>
      </c>
      <c r="J34" s="47">
        <v>104.014</v>
      </c>
      <c r="K34" s="47">
        <v>111.376</v>
      </c>
      <c r="L34" s="47">
        <v>138.916</v>
      </c>
      <c r="M34" s="47">
        <v>133.72200000000001</v>
      </c>
      <c r="N34" s="47">
        <v>150.95599999999999</v>
      </c>
      <c r="O34" s="47">
        <v>161.822</v>
      </c>
      <c r="P34" s="47">
        <v>180.06100000000001</v>
      </c>
    </row>
    <row r="35" spans="1:16" x14ac:dyDescent="0.25">
      <c r="A35" s="10" t="str">
        <f>$A$15</f>
        <v>As percentage of nominal GDP</v>
      </c>
      <c r="B35" s="71">
        <f t="shared" ref="B35:N35" si="9">B$34/B$10</f>
        <v>0.40560822485596876</v>
      </c>
      <c r="C35" s="71">
        <f t="shared" si="9"/>
        <v>0.48056264495531253</v>
      </c>
      <c r="D35" s="71">
        <f t="shared" si="9"/>
        <v>0.42746413751121065</v>
      </c>
      <c r="E35" s="71">
        <f t="shared" si="9"/>
        <v>0.41075265873721961</v>
      </c>
      <c r="F35" s="71">
        <f t="shared" si="9"/>
        <v>0.38463874862371389</v>
      </c>
      <c r="G35" s="71">
        <f t="shared" si="9"/>
        <v>0.3785058892431834</v>
      </c>
      <c r="H35" s="71">
        <f t="shared" si="9"/>
        <v>0.36742504702061185</v>
      </c>
      <c r="I35" s="71">
        <f t="shared" si="9"/>
        <v>0.35888225144630204</v>
      </c>
      <c r="J35" s="71">
        <f t="shared" si="9"/>
        <v>0.35161603288519588</v>
      </c>
      <c r="K35" s="71">
        <f t="shared" si="9"/>
        <v>0.35868501056319885</v>
      </c>
      <c r="L35" s="71">
        <f t="shared" si="9"/>
        <v>0.43735025863344573</v>
      </c>
      <c r="M35" s="71">
        <f t="shared" si="9"/>
        <v>0.38941387855896892</v>
      </c>
      <c r="N35" s="71">
        <f t="shared" si="9"/>
        <v>0.41276837764822971</v>
      </c>
      <c r="O35" s="71">
        <f>O$34/O$10</f>
        <v>0.40299641137899173</v>
      </c>
      <c r="P35" s="71">
        <f>P$34/P$10</f>
        <v>0.42808269657792508</v>
      </c>
    </row>
    <row r="36" spans="1:16" x14ac:dyDescent="0.25">
      <c r="A36" s="9" t="s">
        <v>756</v>
      </c>
      <c r="B36" s="47">
        <v>-4.5090000000000003</v>
      </c>
      <c r="C36" s="47">
        <v>-13.36</v>
      </c>
      <c r="D36" s="47">
        <v>-14.897</v>
      </c>
      <c r="E36" s="47">
        <v>6.9249999999999998</v>
      </c>
      <c r="F36" s="47">
        <v>2.9390000000000001</v>
      </c>
      <c r="G36" s="47">
        <v>5.7709999999999999</v>
      </c>
      <c r="H36" s="47">
        <v>-5.3689999999999998</v>
      </c>
      <c r="I36" s="47">
        <v>12.317</v>
      </c>
      <c r="J36" s="47">
        <v>8.3960000000000008</v>
      </c>
      <c r="K36" s="47">
        <v>0.38900000000000001</v>
      </c>
      <c r="L36" s="47">
        <v>-30.04</v>
      </c>
      <c r="M36" s="47">
        <v>16.158999999999999</v>
      </c>
      <c r="N36" s="47">
        <v>-16.931999999999999</v>
      </c>
      <c r="O36" s="47">
        <v>5.3209999999999997</v>
      </c>
      <c r="P36" s="47">
        <v>-8.3650000000000002</v>
      </c>
    </row>
    <row r="37" spans="1:16" x14ac:dyDescent="0.25">
      <c r="A37" s="10" t="str">
        <f>$A$15</f>
        <v>As percentage of nominal GDP</v>
      </c>
      <c r="B37" s="71">
        <f>B$36/B$10</f>
        <v>-2.2847385142359122E-2</v>
      </c>
      <c r="C37" s="71">
        <f t="shared" ref="C37:P37" si="10">C$36/C$10</f>
        <v>-6.4823530553426031E-2</v>
      </c>
      <c r="D37" s="71">
        <f t="shared" si="10"/>
        <v>-6.9224942726896749E-2</v>
      </c>
      <c r="E37" s="71">
        <f t="shared" si="10"/>
        <v>3.1594603596081815E-2</v>
      </c>
      <c r="F37" s="71">
        <f t="shared" si="10"/>
        <v>1.2398175919949716E-2</v>
      </c>
      <c r="G37" s="71">
        <f t="shared" si="10"/>
        <v>2.3471562438992646E-2</v>
      </c>
      <c r="H37" s="71">
        <f t="shared" si="10"/>
        <v>-2.0735413955176904E-2</v>
      </c>
      <c r="I37" s="71">
        <f t="shared" si="10"/>
        <v>4.4646870333048184E-2</v>
      </c>
      <c r="J37" s="71">
        <f t="shared" si="10"/>
        <v>2.8382412099372249E-2</v>
      </c>
      <c r="K37" s="71">
        <f t="shared" si="10"/>
        <v>1.2527696192095635E-3</v>
      </c>
      <c r="L37" s="71">
        <f t="shared" si="10"/>
        <v>-9.4575151669704788E-2</v>
      </c>
      <c r="M37" s="71">
        <f t="shared" si="10"/>
        <v>4.7056870699169757E-2</v>
      </c>
      <c r="N37" s="71">
        <f t="shared" si="10"/>
        <v>-4.6298220477091506E-2</v>
      </c>
      <c r="O37" s="71">
        <f t="shared" si="10"/>
        <v>1.3251250787579036E-2</v>
      </c>
      <c r="P37" s="71">
        <f t="shared" si="10"/>
        <v>-1.9887214648782042E-2</v>
      </c>
    </row>
    <row r="38" spans="1:16" x14ac:dyDescent="0.25">
      <c r="A38" s="9" t="s">
        <v>582</v>
      </c>
      <c r="B38" s="47">
        <v>53.591000000000001</v>
      </c>
      <c r="C38" s="47">
        <v>72.42</v>
      </c>
      <c r="D38" s="47">
        <v>79.635000000000005</v>
      </c>
      <c r="E38" s="47">
        <v>77.983999999999995</v>
      </c>
      <c r="F38" s="47">
        <v>81.956000000000003</v>
      </c>
      <c r="G38" s="47">
        <v>86.125</v>
      </c>
      <c r="H38" s="47">
        <v>86.927999999999997</v>
      </c>
      <c r="I38" s="47">
        <v>87.141000000000005</v>
      </c>
      <c r="J38" s="47">
        <v>88.052999999999997</v>
      </c>
      <c r="K38" s="47">
        <v>84.448999999999998</v>
      </c>
      <c r="L38" s="47">
        <v>102.25700000000001</v>
      </c>
      <c r="M38" s="47">
        <v>100.83499999999999</v>
      </c>
      <c r="N38" s="47">
        <v>118.95</v>
      </c>
      <c r="O38" s="47">
        <v>135.78899999999999</v>
      </c>
      <c r="P38" s="47">
        <v>175.96600000000001</v>
      </c>
    </row>
    <row r="39" spans="1:16" x14ac:dyDescent="0.25">
      <c r="A39" s="10" t="str">
        <f>$A$15</f>
        <v>As percentage of nominal GDP</v>
      </c>
      <c r="B39" s="71">
        <f>B$38/B$10</f>
        <v>0.27154895035798798</v>
      </c>
      <c r="C39" s="71">
        <f t="shared" ref="C39:P39" si="11">C$38/C$10</f>
        <v>0.35138623373346661</v>
      </c>
      <c r="D39" s="71">
        <f t="shared" si="11"/>
        <v>0.37005627401868985</v>
      </c>
      <c r="E39" s="71">
        <f t="shared" si="11"/>
        <v>0.35579401687174644</v>
      </c>
      <c r="F39" s="71">
        <f t="shared" si="11"/>
        <v>0.34573150925328305</v>
      </c>
      <c r="G39" s="71">
        <f t="shared" si="11"/>
        <v>0.35028388755124618</v>
      </c>
      <c r="H39" s="71">
        <f t="shared" si="11"/>
        <v>0.33572137535772356</v>
      </c>
      <c r="I39" s="71">
        <f t="shared" si="11"/>
        <v>0.31587017355623548</v>
      </c>
      <c r="J39" s="71">
        <f t="shared" si="11"/>
        <v>0.29766037786874994</v>
      </c>
      <c r="K39" s="71">
        <f t="shared" si="11"/>
        <v>0.27196694491678258</v>
      </c>
      <c r="L39" s="71">
        <f t="shared" si="11"/>
        <v>0.32193646086181771</v>
      </c>
      <c r="M39" s="71">
        <f t="shared" si="11"/>
        <v>0.29364314357019511</v>
      </c>
      <c r="N39" s="71">
        <f t="shared" si="11"/>
        <v>0.32525238162946113</v>
      </c>
      <c r="O39" s="71">
        <f t="shared" si="11"/>
        <v>0.33816464822299752</v>
      </c>
      <c r="P39" s="71">
        <f t="shared" si="11"/>
        <v>0.41834711451136652</v>
      </c>
    </row>
    <row r="40" spans="1:16" x14ac:dyDescent="0.25">
      <c r="A40" s="9" t="s">
        <v>757</v>
      </c>
      <c r="B40" s="47">
        <v>50.744</v>
      </c>
      <c r="C40" s="47">
        <v>51.557000000000002</v>
      </c>
      <c r="D40" s="47">
        <v>55.081000000000003</v>
      </c>
      <c r="E40" s="47">
        <v>58.651000000000003</v>
      </c>
      <c r="F40" s="47">
        <v>61.563000000000002</v>
      </c>
      <c r="G40" s="47">
        <v>66.635999999999996</v>
      </c>
      <c r="H40" s="47">
        <v>70.444999999999993</v>
      </c>
      <c r="I40" s="47">
        <v>75.644000000000005</v>
      </c>
      <c r="J40" s="47">
        <v>80.224000000000004</v>
      </c>
      <c r="K40" s="47">
        <v>86.468000000000004</v>
      </c>
      <c r="L40" s="47">
        <v>85.102000000000004</v>
      </c>
      <c r="M40" s="47">
        <v>97.983000000000004</v>
      </c>
      <c r="N40" s="47">
        <v>108.458</v>
      </c>
      <c r="O40" s="47">
        <v>112.358</v>
      </c>
      <c r="P40" s="47">
        <v>120.566</v>
      </c>
    </row>
    <row r="41" spans="1:16" x14ac:dyDescent="0.25">
      <c r="A41" s="10" t="str">
        <f>$A$15</f>
        <v>As percentage of nominal GDP</v>
      </c>
      <c r="B41" s="71">
        <f t="shared" ref="B41:N41" si="12">B$40/B$10</f>
        <v>0.25712302321221364</v>
      </c>
      <c r="C41" s="71">
        <f t="shared" si="12"/>
        <v>0.25015769197178039</v>
      </c>
      <c r="D41" s="71">
        <f t="shared" si="12"/>
        <v>0.25595617039270996</v>
      </c>
      <c r="E41" s="71">
        <f t="shared" si="12"/>
        <v>0.26758918346769595</v>
      </c>
      <c r="F41" s="71">
        <f t="shared" si="12"/>
        <v>0.25970360808433629</v>
      </c>
      <c r="G41" s="71">
        <f t="shared" si="12"/>
        <v>0.27101906683152205</v>
      </c>
      <c r="H41" s="71">
        <f t="shared" si="12"/>
        <v>0.27206299796469302</v>
      </c>
      <c r="I41" s="71">
        <f t="shared" si="12"/>
        <v>0.27419565311951749</v>
      </c>
      <c r="J41" s="71">
        <f t="shared" si="12"/>
        <v>0.27119469131253443</v>
      </c>
      <c r="K41" s="71">
        <f t="shared" si="12"/>
        <v>0.27846910908435102</v>
      </c>
      <c r="L41" s="71">
        <f t="shared" si="12"/>
        <v>0.26792724891462111</v>
      </c>
      <c r="M41" s="71">
        <f t="shared" si="12"/>
        <v>0.28533779081111149</v>
      </c>
      <c r="N41" s="71">
        <f t="shared" si="12"/>
        <v>0.2965634536088112</v>
      </c>
      <c r="O41" s="71">
        <f>O$40/O$10</f>
        <v>0.279812823903553</v>
      </c>
      <c r="P41" s="71">
        <f>P$40/P$10</f>
        <v>0.28663740840945079</v>
      </c>
    </row>
    <row r="42" spans="1:16" x14ac:dyDescent="0.25">
      <c r="A42" s="9" t="s">
        <v>758</v>
      </c>
      <c r="B42" s="47">
        <v>50.347000000000001</v>
      </c>
      <c r="C42" s="47">
        <v>51.128</v>
      </c>
      <c r="D42" s="47">
        <v>54.664999999999999</v>
      </c>
      <c r="E42" s="47">
        <v>58.134</v>
      </c>
      <c r="F42" s="47">
        <v>60.968000000000004</v>
      </c>
      <c r="G42" s="47">
        <v>66.055000000000007</v>
      </c>
      <c r="H42" s="47">
        <v>69.668000000000006</v>
      </c>
      <c r="I42" s="47">
        <v>74.972999999999999</v>
      </c>
      <c r="J42" s="47">
        <v>79.596000000000004</v>
      </c>
      <c r="K42" s="47">
        <v>85.722999999999999</v>
      </c>
      <c r="L42" s="47">
        <v>84.521000000000001</v>
      </c>
      <c r="M42" s="47">
        <v>97.361999999999995</v>
      </c>
      <c r="N42" s="47">
        <v>107.873</v>
      </c>
      <c r="O42" s="47">
        <v>111.712</v>
      </c>
      <c r="P42" s="47">
        <v>119.9</v>
      </c>
    </row>
    <row r="43" spans="1:16" x14ac:dyDescent="0.25">
      <c r="A43" s="10" t="str">
        <f>$A$15</f>
        <v>As percentage of nominal GDP</v>
      </c>
      <c r="B43" s="71">
        <f>B$42/B$10</f>
        <v>0.25511139937067084</v>
      </c>
      <c r="C43" s="71">
        <f t="shared" ref="C43:P43" si="13">C$42/C$10</f>
        <v>0.24807615794427892</v>
      </c>
      <c r="D43" s="71">
        <f t="shared" si="13"/>
        <v>0.25402305794225755</v>
      </c>
      <c r="E43" s="71">
        <f t="shared" si="13"/>
        <v>0.2652304238923639</v>
      </c>
      <c r="F43" s="71">
        <f t="shared" si="13"/>
        <v>0.25719359968951833</v>
      </c>
      <c r="G43" s="71">
        <f t="shared" si="13"/>
        <v>0.26865604867573373</v>
      </c>
      <c r="H43" s="71">
        <f t="shared" si="13"/>
        <v>0.26906217534536497</v>
      </c>
      <c r="I43" s="71">
        <f t="shared" si="13"/>
        <v>0.27176340094825213</v>
      </c>
      <c r="J43" s="71">
        <f t="shared" si="13"/>
        <v>0.26907175720124266</v>
      </c>
      <c r="K43" s="71">
        <f t="shared" si="13"/>
        <v>0.27606984593188022</v>
      </c>
      <c r="L43" s="71">
        <f t="shared" si="13"/>
        <v>0.26609808236601595</v>
      </c>
      <c r="M43" s="71">
        <f t="shared" si="13"/>
        <v>0.28352936722647232</v>
      </c>
      <c r="N43" s="71">
        <f t="shared" si="13"/>
        <v>0.294963851731945</v>
      </c>
      <c r="O43" s="71">
        <f t="shared" si="13"/>
        <v>0.27820404585266478</v>
      </c>
      <c r="P43" s="71">
        <f t="shared" si="13"/>
        <v>0.28505403901840609</v>
      </c>
    </row>
    <row r="44" spans="1:16" x14ac:dyDescent="0.25">
      <c r="A44" s="9" t="s">
        <v>759</v>
      </c>
      <c r="B44" s="47">
        <v>94.988</v>
      </c>
      <c r="C44" s="47">
        <v>80.887</v>
      </c>
      <c r="D44" s="47">
        <v>59.78</v>
      </c>
      <c r="E44" s="47">
        <v>70.010999999999996</v>
      </c>
      <c r="F44" s="47">
        <v>80.697000000000003</v>
      </c>
      <c r="G44" s="47">
        <v>92.236000000000004</v>
      </c>
      <c r="H44" s="47">
        <v>95.521000000000001</v>
      </c>
      <c r="I44" s="47">
        <v>116.47199999999999</v>
      </c>
      <c r="J44" s="47">
        <v>135.637</v>
      </c>
      <c r="K44" s="47">
        <v>143.339</v>
      </c>
      <c r="L44" s="47">
        <v>115.943</v>
      </c>
      <c r="M44" s="47">
        <v>157.19300000000001</v>
      </c>
      <c r="N44" s="47">
        <v>174.31899999999999</v>
      </c>
      <c r="O44" s="47">
        <v>191.47200000000001</v>
      </c>
      <c r="P44" s="47">
        <v>191.04900000000001</v>
      </c>
    </row>
    <row r="45" spans="1:16" x14ac:dyDescent="0.25">
      <c r="A45" s="10" t="str">
        <f>$A$15</f>
        <v>As percentage of nominal GDP</v>
      </c>
      <c r="B45" s="71">
        <f t="shared" ref="B45:N45" si="14">B$44/B$10</f>
        <v>0.48131013969891512</v>
      </c>
      <c r="C45" s="71">
        <f t="shared" si="14"/>
        <v>0.39246863142776733</v>
      </c>
      <c r="D45" s="71">
        <f t="shared" si="14"/>
        <v>0.27779197665394961</v>
      </c>
      <c r="E45" s="71">
        <f t="shared" si="14"/>
        <v>0.31941802055816371</v>
      </c>
      <c r="F45" s="71">
        <f t="shared" si="14"/>
        <v>0.34042041585987826</v>
      </c>
      <c r="G45" s="71">
        <f t="shared" si="14"/>
        <v>0.3751382833344179</v>
      </c>
      <c r="H45" s="71">
        <f t="shared" si="14"/>
        <v>0.36890807904869677</v>
      </c>
      <c r="I45" s="71">
        <f t="shared" si="14"/>
        <v>0.42218967942118923</v>
      </c>
      <c r="J45" s="71">
        <f t="shared" si="14"/>
        <v>0.45851658288739322</v>
      </c>
      <c r="K45" s="71">
        <f t="shared" si="14"/>
        <v>0.46162145102282681</v>
      </c>
      <c r="L45" s="71">
        <f t="shared" si="14"/>
        <v>0.36502419474169717</v>
      </c>
      <c r="M45" s="71">
        <f t="shared" si="14"/>
        <v>0.45776413613556488</v>
      </c>
      <c r="N45" s="71">
        <f t="shared" si="14"/>
        <v>0.47665128132211876</v>
      </c>
      <c r="O45" s="71">
        <f>O$44/O$10</f>
        <v>0.47683583739885987</v>
      </c>
      <c r="P45" s="71">
        <f>P$44/P$10</f>
        <v>0.45420591409864441</v>
      </c>
    </row>
    <row r="46" spans="1:16" x14ac:dyDescent="0.25">
      <c r="A46" s="9" t="s">
        <v>760</v>
      </c>
      <c r="B46" s="47">
        <v>94.585999999999999</v>
      </c>
      <c r="C46" s="47">
        <v>80.578999999999994</v>
      </c>
      <c r="D46" s="47">
        <v>59.347999999999999</v>
      </c>
      <c r="E46" s="47">
        <v>68.070999999999998</v>
      </c>
      <c r="F46" s="47">
        <v>75.486000000000004</v>
      </c>
      <c r="G46" s="47">
        <v>86.454000000000008</v>
      </c>
      <c r="H46" s="47">
        <v>89.366</v>
      </c>
      <c r="I46" s="47">
        <v>110.532</v>
      </c>
      <c r="J46" s="47">
        <v>129.64400000000001</v>
      </c>
      <c r="K46" s="47">
        <v>136.94900000000001</v>
      </c>
      <c r="L46" s="47">
        <v>110.32</v>
      </c>
      <c r="M46" s="47">
        <v>151.46899999999999</v>
      </c>
      <c r="N46" s="47">
        <v>167.036</v>
      </c>
      <c r="O46" s="47">
        <v>183.51400000000001</v>
      </c>
      <c r="P46" s="47">
        <v>181.81800000000001</v>
      </c>
    </row>
    <row r="47" spans="1:16" x14ac:dyDescent="0.25">
      <c r="A47" s="10" t="str">
        <f>$A$15</f>
        <v>As percentage of nominal GDP</v>
      </c>
      <c r="B47" s="71">
        <f>B$46/B$10</f>
        <v>0.47927318054450652</v>
      </c>
      <c r="C47" s="71">
        <f t="shared" ref="C47:P47" si="15">C$46/C$10</f>
        <v>0.39097419674135597</v>
      </c>
      <c r="D47" s="71">
        <f t="shared" si="15"/>
        <v>0.2757845137246337</v>
      </c>
      <c r="E47" s="71">
        <f t="shared" si="15"/>
        <v>0.31056696915362964</v>
      </c>
      <c r="F47" s="71">
        <f t="shared" si="15"/>
        <v>0.31843780452307735</v>
      </c>
      <c r="G47" s="71">
        <f t="shared" si="15"/>
        <v>0.35162198216958418</v>
      </c>
      <c r="H47" s="71">
        <f t="shared" si="15"/>
        <v>0.34513708391103354</v>
      </c>
      <c r="I47" s="71">
        <f t="shared" si="15"/>
        <v>0.40065826675752875</v>
      </c>
      <c r="J47" s="71">
        <f t="shared" si="15"/>
        <v>0.43825743618520913</v>
      </c>
      <c r="K47" s="71">
        <f t="shared" si="15"/>
        <v>0.44104253619827899</v>
      </c>
      <c r="L47" s="71">
        <f t="shared" si="15"/>
        <v>0.34732126272309694</v>
      </c>
      <c r="M47" s="71">
        <f t="shared" si="15"/>
        <v>0.44109518831193417</v>
      </c>
      <c r="N47" s="71">
        <f t="shared" si="15"/>
        <v>0.45673692154568024</v>
      </c>
      <c r="O47" s="71">
        <f t="shared" si="15"/>
        <v>0.45701748487723726</v>
      </c>
      <c r="P47" s="71">
        <f t="shared" si="15"/>
        <v>0.43225984375520066</v>
      </c>
    </row>
    <row r="48" spans="1:16" x14ac:dyDescent="0.25">
      <c r="A48" s="9" t="s">
        <v>599</v>
      </c>
      <c r="B48" s="47">
        <v>44.668999999999997</v>
      </c>
      <c r="C48" s="47">
        <v>34.930999999999997</v>
      </c>
      <c r="D48" s="47">
        <v>23.370999999999999</v>
      </c>
      <c r="E48" s="47">
        <v>25.613</v>
      </c>
      <c r="F48" s="47">
        <v>28.675999999999998</v>
      </c>
      <c r="G48" s="47">
        <v>33.402000000000001</v>
      </c>
      <c r="H48" s="47">
        <v>36.619</v>
      </c>
      <c r="I48" s="47">
        <v>51.747999999999998</v>
      </c>
      <c r="J48" s="47">
        <v>62.521000000000001</v>
      </c>
      <c r="K48" s="47">
        <v>68.543999999999997</v>
      </c>
      <c r="L48" s="47">
        <v>47.116</v>
      </c>
      <c r="M48" s="47">
        <v>60.537999999999997</v>
      </c>
      <c r="N48" s="47">
        <v>45.283999999999999</v>
      </c>
      <c r="O48" s="47">
        <v>59.341000000000001</v>
      </c>
      <c r="P48" s="47">
        <v>65.040000000000006</v>
      </c>
    </row>
    <row r="49" spans="1:16" x14ac:dyDescent="0.25">
      <c r="A49" s="10" t="str">
        <f>$A$15</f>
        <v>As percentage of nominal GDP</v>
      </c>
      <c r="B49" s="71">
        <f t="shared" ref="B49:N49" si="16">B$48/B$10</f>
        <v>0.22634061808029265</v>
      </c>
      <c r="C49" s="71">
        <f t="shared" si="16"/>
        <v>0.16948733126959017</v>
      </c>
      <c r="D49" s="71">
        <f t="shared" si="16"/>
        <v>0.10860281509500597</v>
      </c>
      <c r="E49" s="71">
        <f t="shared" si="16"/>
        <v>0.11685669052800628</v>
      </c>
      <c r="F49" s="71">
        <f t="shared" si="16"/>
        <v>0.12096974912571556</v>
      </c>
      <c r="G49" s="71">
        <f t="shared" si="16"/>
        <v>0.13585117459491117</v>
      </c>
      <c r="H49" s="71">
        <f t="shared" si="16"/>
        <v>0.14142486936573348</v>
      </c>
      <c r="I49" s="71">
        <f t="shared" si="16"/>
        <v>0.18757702736011833</v>
      </c>
      <c r="J49" s="71">
        <f t="shared" si="16"/>
        <v>0.21135026046508484</v>
      </c>
      <c r="K49" s="71">
        <f t="shared" si="16"/>
        <v>0.22074509197712164</v>
      </c>
      <c r="L49" s="71">
        <f t="shared" si="16"/>
        <v>0.14833564733920809</v>
      </c>
      <c r="M49" s="71">
        <f t="shared" si="16"/>
        <v>0.17629363440722437</v>
      </c>
      <c r="N49" s="71">
        <f t="shared" si="16"/>
        <v>0.12382285708035742</v>
      </c>
      <c r="O49" s="71">
        <f>O$48/O$10</f>
        <v>0.14778095714822923</v>
      </c>
      <c r="P49" s="71">
        <f>P$48/P$10</f>
        <v>0.15462814593625632</v>
      </c>
    </row>
    <row r="50" spans="1:16" x14ac:dyDescent="0.25">
      <c r="A50" s="9" t="s">
        <v>761</v>
      </c>
      <c r="B50" s="47">
        <v>69.733000000000004</v>
      </c>
      <c r="C50" s="47">
        <v>90.245000000000005</v>
      </c>
      <c r="D50" s="47">
        <v>100.53400000000001</v>
      </c>
      <c r="E50" s="47">
        <v>100.087</v>
      </c>
      <c r="F50" s="47">
        <v>103.419</v>
      </c>
      <c r="G50" s="47">
        <v>112.58</v>
      </c>
      <c r="H50" s="47">
        <v>113.956</v>
      </c>
      <c r="I50" s="47">
        <v>111.806</v>
      </c>
      <c r="J50" s="47">
        <v>115.652</v>
      </c>
      <c r="K50" s="47">
        <v>110.248</v>
      </c>
      <c r="L50" s="47">
        <v>152.71700000000001</v>
      </c>
      <c r="M50" s="47">
        <v>162.56</v>
      </c>
      <c r="N50" s="47">
        <v>203.965</v>
      </c>
      <c r="O50" s="47">
        <v>226.755</v>
      </c>
      <c r="P50" s="47">
        <v>250.94300000000001</v>
      </c>
    </row>
    <row r="51" spans="1:16" x14ac:dyDescent="0.25">
      <c r="A51" s="10" t="str">
        <f>$A$15</f>
        <v>As percentage of nominal GDP</v>
      </c>
      <c r="B51" s="71">
        <f>B$50/B$10</f>
        <v>0.35334147441386754</v>
      </c>
      <c r="C51" s="71">
        <f t="shared" ref="C51:P51" si="17">C$50/C$10</f>
        <v>0.43787421517918662</v>
      </c>
      <c r="D51" s="71">
        <f t="shared" si="17"/>
        <v>0.46717194012927693</v>
      </c>
      <c r="E51" s="71">
        <f t="shared" si="17"/>
        <v>0.45663669171422971</v>
      </c>
      <c r="F51" s="71">
        <f t="shared" si="17"/>
        <v>0.43627320703139832</v>
      </c>
      <c r="G51" s="71">
        <f t="shared" si="17"/>
        <v>0.45788052319906292</v>
      </c>
      <c r="H51" s="71">
        <f t="shared" si="17"/>
        <v>0.44010520258449232</v>
      </c>
      <c r="I51" s="71">
        <f t="shared" si="17"/>
        <v>0.40527628354768086</v>
      </c>
      <c r="J51" s="71">
        <f t="shared" si="17"/>
        <v>0.39095792331069545</v>
      </c>
      <c r="K51" s="71">
        <f t="shared" si="17"/>
        <v>0.35505230071623645</v>
      </c>
      <c r="L51" s="71">
        <f t="shared" si="17"/>
        <v>0.48080004785427122</v>
      </c>
      <c r="M51" s="71">
        <f t="shared" si="17"/>
        <v>0.47339345880667344</v>
      </c>
      <c r="N51" s="71">
        <f t="shared" si="17"/>
        <v>0.55771418258976913</v>
      </c>
      <c r="O51" s="71">
        <f t="shared" si="17"/>
        <v>0.56470350917825307</v>
      </c>
      <c r="P51" s="71">
        <f t="shared" si="17"/>
        <v>0.59659979744283465</v>
      </c>
    </row>
    <row r="52" spans="1:16" x14ac:dyDescent="0.25">
      <c r="A52" s="11"/>
    </row>
    <row r="53" spans="1:16" ht="16.5" x14ac:dyDescent="0.25">
      <c r="A53" s="41" t="s">
        <v>1078</v>
      </c>
      <c r="B53" s="11"/>
      <c r="C53" s="11"/>
      <c r="D53" s="11"/>
      <c r="E53" s="11"/>
      <c r="F53" s="11"/>
      <c r="G53" s="11"/>
      <c r="H53" s="11"/>
      <c r="I53" s="11"/>
      <c r="J53" s="11"/>
      <c r="K53" s="11"/>
      <c r="L53" s="11"/>
      <c r="M53" s="11"/>
      <c r="N53" s="11"/>
      <c r="O53" s="11"/>
      <c r="P53" s="11"/>
    </row>
    <row r="54" spans="1:16" x14ac:dyDescent="0.25">
      <c r="A54" s="11" t="s">
        <v>478</v>
      </c>
      <c r="B54" s="16">
        <v>20.814</v>
      </c>
      <c r="C54" s="16">
        <v>21.724</v>
      </c>
      <c r="D54" s="16">
        <v>21.956</v>
      </c>
      <c r="E54" s="16">
        <v>22.459</v>
      </c>
      <c r="F54" s="16">
        <v>23.026</v>
      </c>
      <c r="G54" s="16">
        <v>23.523</v>
      </c>
      <c r="H54" s="16">
        <v>24.081</v>
      </c>
      <c r="I54" s="16">
        <v>25.294</v>
      </c>
      <c r="J54" s="16">
        <v>25.998999999999999</v>
      </c>
      <c r="K54" s="16">
        <v>28.74</v>
      </c>
      <c r="L54" s="16">
        <v>44.027999999999999</v>
      </c>
      <c r="M54" s="16">
        <v>36.759</v>
      </c>
      <c r="N54" s="16">
        <v>42.86</v>
      </c>
      <c r="O54" s="16">
        <v>41.514000000000003</v>
      </c>
      <c r="P54" s="16">
        <v>44.588999999999999</v>
      </c>
    </row>
    <row r="55" spans="1:16" x14ac:dyDescent="0.25">
      <c r="A55" s="11" t="s">
        <v>479</v>
      </c>
      <c r="B55" s="16">
        <v>13.128</v>
      </c>
      <c r="C55" s="16">
        <v>13.753</v>
      </c>
      <c r="D55" s="16">
        <v>14.16</v>
      </c>
      <c r="E55" s="16">
        <v>14.497999999999999</v>
      </c>
      <c r="F55" s="16">
        <v>14.898</v>
      </c>
      <c r="G55" s="16">
        <v>15.058</v>
      </c>
      <c r="H55" s="16">
        <v>15.625999999999999</v>
      </c>
      <c r="I55" s="16">
        <v>16.222999999999999</v>
      </c>
      <c r="J55" s="16">
        <v>17.158999999999999</v>
      </c>
      <c r="K55" s="16">
        <v>18.268000000000001</v>
      </c>
      <c r="L55" s="16">
        <v>19.890999999999998</v>
      </c>
      <c r="M55" s="16">
        <v>22.783999999999999</v>
      </c>
      <c r="N55" s="16">
        <v>27.780999999999999</v>
      </c>
      <c r="O55" s="16">
        <v>28.489000000000001</v>
      </c>
      <c r="P55" s="16">
        <v>29.998999999999999</v>
      </c>
    </row>
    <row r="56" spans="1:16" x14ac:dyDescent="0.25">
      <c r="A56" s="11" t="s">
        <v>480</v>
      </c>
      <c r="B56" s="16">
        <v>11.724</v>
      </c>
      <c r="C56" s="16">
        <v>11.65</v>
      </c>
      <c r="D56" s="16">
        <v>11.654</v>
      </c>
      <c r="E56" s="16">
        <v>12.504</v>
      </c>
      <c r="F56" s="16">
        <v>12.3</v>
      </c>
      <c r="G56" s="16">
        <v>12.879</v>
      </c>
      <c r="H56" s="16">
        <v>13.157999999999999</v>
      </c>
      <c r="I56" s="16">
        <v>13.281000000000001</v>
      </c>
      <c r="J56" s="16">
        <v>13.629</v>
      </c>
      <c r="K56" s="16">
        <v>14.292999999999999</v>
      </c>
      <c r="L56" s="16">
        <v>16.321999999999999</v>
      </c>
      <c r="M56" s="16">
        <v>16.039000000000001</v>
      </c>
      <c r="N56" s="16">
        <v>18.023</v>
      </c>
      <c r="O56" s="16">
        <v>18.402999999999999</v>
      </c>
      <c r="P56" s="16">
        <v>20.222999999999999</v>
      </c>
    </row>
    <row r="57" spans="1:16" x14ac:dyDescent="0.25">
      <c r="A57" s="11" t="s">
        <v>481</v>
      </c>
      <c r="B57" s="16">
        <v>2.9740000000000002</v>
      </c>
      <c r="C57" s="16">
        <v>5.5629999999999997</v>
      </c>
      <c r="D57" s="16">
        <v>5.4279999999999999</v>
      </c>
      <c r="E57" s="16">
        <v>4.2939999999999996</v>
      </c>
      <c r="F57" s="16">
        <v>4.5019999999999998</v>
      </c>
      <c r="G57" s="16">
        <v>4.1340000000000003</v>
      </c>
      <c r="H57" s="16">
        <v>4.1020000000000003</v>
      </c>
      <c r="I57" s="16">
        <v>3.9569999999999999</v>
      </c>
      <c r="J57" s="16">
        <v>4.67</v>
      </c>
      <c r="K57" s="16">
        <v>5.1660000000000004</v>
      </c>
      <c r="L57" s="16">
        <v>6.0830000000000002</v>
      </c>
      <c r="M57" s="16">
        <v>5.7539999999999996</v>
      </c>
      <c r="N57" s="16">
        <v>5.72</v>
      </c>
      <c r="O57" s="16">
        <v>6.806</v>
      </c>
      <c r="P57" s="16">
        <v>8.468</v>
      </c>
    </row>
    <row r="58" spans="1:16" x14ac:dyDescent="0.25">
      <c r="A58" s="11" t="s">
        <v>482</v>
      </c>
      <c r="B58" s="16">
        <v>3.1030000000000002</v>
      </c>
      <c r="C58" s="16">
        <v>3.3119999999999998</v>
      </c>
      <c r="D58" s="16">
        <v>3.3380000000000001</v>
      </c>
      <c r="E58" s="16">
        <v>3.3940000000000001</v>
      </c>
      <c r="F58" s="16">
        <v>3.4630000000000001</v>
      </c>
      <c r="G58" s="16">
        <v>3.5150000000000001</v>
      </c>
      <c r="H58" s="16">
        <v>3.6480000000000001</v>
      </c>
      <c r="I58" s="16">
        <v>3.8820000000000001</v>
      </c>
      <c r="J58" s="16">
        <v>4.1840000000000002</v>
      </c>
      <c r="K58" s="16">
        <v>4.625</v>
      </c>
      <c r="L58" s="16">
        <v>4.9109999999999996</v>
      </c>
      <c r="M58" s="16">
        <v>5.202</v>
      </c>
      <c r="N58" s="16">
        <v>5.444</v>
      </c>
      <c r="O58" s="16">
        <v>6.165</v>
      </c>
      <c r="P58" s="16">
        <v>6.5270000000000001</v>
      </c>
    </row>
    <row r="59" spans="1:16" x14ac:dyDescent="0.25">
      <c r="A59" s="11" t="s">
        <v>483</v>
      </c>
      <c r="B59" s="16">
        <v>2.3450000000000002</v>
      </c>
      <c r="C59" s="16">
        <v>2.2810000000000001</v>
      </c>
      <c r="D59" s="16">
        <v>2.2320000000000002</v>
      </c>
      <c r="E59" s="16">
        <v>2.2549999999999999</v>
      </c>
      <c r="F59" s="16">
        <v>2.2370000000000001</v>
      </c>
      <c r="G59" s="16">
        <v>2.2909999999999999</v>
      </c>
      <c r="H59" s="16">
        <v>2.1779999999999999</v>
      </c>
      <c r="I59" s="16">
        <v>2.1760000000000002</v>
      </c>
      <c r="J59" s="16">
        <v>2.5590000000000002</v>
      </c>
      <c r="K59" s="16">
        <v>2.8889999999999998</v>
      </c>
      <c r="L59" s="16">
        <v>3.1789999999999998</v>
      </c>
      <c r="M59" s="16">
        <v>5.6559999999999997</v>
      </c>
      <c r="N59" s="16">
        <v>4.657</v>
      </c>
      <c r="O59" s="16">
        <v>5.4720000000000004</v>
      </c>
      <c r="P59" s="16">
        <v>5.4870000000000001</v>
      </c>
    </row>
    <row r="60" spans="1:16" x14ac:dyDescent="0.25">
      <c r="A60" s="11" t="s">
        <v>484</v>
      </c>
      <c r="B60" s="16">
        <v>2.806</v>
      </c>
      <c r="C60" s="16">
        <v>2.5419999999999998</v>
      </c>
      <c r="D60" s="16">
        <v>2.073</v>
      </c>
      <c r="E60" s="16">
        <v>1.978</v>
      </c>
      <c r="F60" s="16">
        <v>2.0579999999999998</v>
      </c>
      <c r="G60" s="16">
        <v>2.2280000000000002</v>
      </c>
      <c r="H60" s="16">
        <v>2.1070000000000002</v>
      </c>
      <c r="I60" s="16">
        <v>2.544</v>
      </c>
      <c r="J60" s="16">
        <v>2.7320000000000002</v>
      </c>
      <c r="K60" s="16">
        <v>3.0059999999999998</v>
      </c>
      <c r="L60" s="16">
        <v>3.988</v>
      </c>
      <c r="M60" s="16">
        <v>4.4809999999999999</v>
      </c>
      <c r="N60" s="16">
        <v>8.0779999999999994</v>
      </c>
      <c r="O60" s="16">
        <v>3.69</v>
      </c>
      <c r="P60" s="16">
        <v>4.01</v>
      </c>
    </row>
    <row r="61" spans="1:16" x14ac:dyDescent="0.25">
      <c r="A61" s="11" t="s">
        <v>485</v>
      </c>
      <c r="B61" s="16">
        <v>1.8140000000000001</v>
      </c>
      <c r="C61" s="16">
        <v>1.8089999999999999</v>
      </c>
      <c r="D61" s="16">
        <v>1.736</v>
      </c>
      <c r="E61" s="16">
        <v>1.804</v>
      </c>
      <c r="F61" s="16">
        <v>1.8109999999999999</v>
      </c>
      <c r="G61" s="16">
        <v>1.9610000000000001</v>
      </c>
      <c r="H61" s="16">
        <v>2.0259999999999998</v>
      </c>
      <c r="I61" s="16">
        <v>2.1459999999999999</v>
      </c>
      <c r="J61" s="16">
        <v>2.2509999999999999</v>
      </c>
      <c r="K61" s="16">
        <v>2.395</v>
      </c>
      <c r="L61" s="16">
        <v>2.4990000000000001</v>
      </c>
      <c r="M61" s="16">
        <v>2.6640000000000001</v>
      </c>
      <c r="N61" s="16">
        <v>2.8319999999999999</v>
      </c>
      <c r="O61" s="16">
        <v>2.8860000000000001</v>
      </c>
      <c r="P61" s="16">
        <v>3.1629999999999998</v>
      </c>
    </row>
    <row r="62" spans="1:16" x14ac:dyDescent="0.25">
      <c r="A62" s="11" t="s">
        <v>486</v>
      </c>
      <c r="B62" s="16">
        <v>0.63</v>
      </c>
      <c r="C62" s="16">
        <v>0.74099999999999999</v>
      </c>
      <c r="D62" s="16">
        <v>0.86299999999999999</v>
      </c>
      <c r="E62" s="16">
        <v>0.80400000000000005</v>
      </c>
      <c r="F62" s="16">
        <v>0.84199999999999997</v>
      </c>
      <c r="G62" s="16">
        <v>0.77800000000000002</v>
      </c>
      <c r="H62" s="16">
        <v>0.78700000000000003</v>
      </c>
      <c r="I62" s="16">
        <v>0.85</v>
      </c>
      <c r="J62" s="16">
        <v>0.85</v>
      </c>
      <c r="K62" s="16">
        <v>0.91800000000000004</v>
      </c>
      <c r="L62" s="16">
        <v>1.1060000000000001</v>
      </c>
      <c r="M62" s="16">
        <v>1.42</v>
      </c>
      <c r="N62" s="16">
        <v>1.468</v>
      </c>
      <c r="O62" s="16">
        <v>1.5369999999999999</v>
      </c>
      <c r="P62" s="16">
        <v>1.504</v>
      </c>
    </row>
    <row r="63" spans="1:16" x14ac:dyDescent="0.25">
      <c r="A63" s="11" t="s">
        <v>487</v>
      </c>
      <c r="B63" s="16">
        <v>0.50700000000000001</v>
      </c>
      <c r="C63" s="16">
        <v>0.70599999999999996</v>
      </c>
      <c r="D63" s="16">
        <v>0.64800000000000002</v>
      </c>
      <c r="E63" s="16">
        <v>0.65900000000000003</v>
      </c>
      <c r="F63" s="16">
        <v>0.67600000000000005</v>
      </c>
      <c r="G63" s="16">
        <v>0.66700000000000004</v>
      </c>
      <c r="H63" s="16">
        <v>0.749</v>
      </c>
      <c r="I63" s="16">
        <v>0.64400000000000002</v>
      </c>
      <c r="J63" s="16">
        <v>0.80700000000000005</v>
      </c>
      <c r="K63" s="16">
        <v>0.96</v>
      </c>
      <c r="L63" s="16">
        <v>0.96099999999999997</v>
      </c>
      <c r="M63" s="16">
        <v>1.0149999999999999</v>
      </c>
      <c r="N63" s="16">
        <v>0.94899999999999995</v>
      </c>
      <c r="O63" s="16">
        <v>1.1559999999999999</v>
      </c>
      <c r="P63" s="16">
        <v>1.0620000000000001</v>
      </c>
    </row>
    <row r="64" spans="1:16" x14ac:dyDescent="0.25">
      <c r="A64" s="11" t="s">
        <v>488</v>
      </c>
      <c r="B64" s="16">
        <v>0.33900000000000002</v>
      </c>
      <c r="C64" s="16">
        <v>0.94299999999999995</v>
      </c>
      <c r="D64" s="16">
        <v>-4.5999999999999999E-2</v>
      </c>
      <c r="E64" s="16">
        <v>0.28299999999999997</v>
      </c>
      <c r="F64" s="16">
        <v>0.34699999999999998</v>
      </c>
      <c r="G64" s="16">
        <v>0.32</v>
      </c>
      <c r="H64" s="16">
        <v>0.55800000000000005</v>
      </c>
      <c r="I64" s="16">
        <v>0.53900000000000003</v>
      </c>
      <c r="J64" s="16">
        <v>0.55200000000000005</v>
      </c>
      <c r="K64" s="16">
        <v>0.72699999999999998</v>
      </c>
      <c r="L64" s="16">
        <v>1.0149999999999999</v>
      </c>
      <c r="M64" s="16">
        <v>1.8129999999999999</v>
      </c>
      <c r="N64" s="16">
        <v>2.0329999999999999</v>
      </c>
      <c r="O64" s="16">
        <v>2.3119999999999998</v>
      </c>
      <c r="P64" s="16">
        <v>2.512</v>
      </c>
    </row>
    <row r="65" spans="1:16" x14ac:dyDescent="0.25">
      <c r="A65" s="11" t="s">
        <v>489</v>
      </c>
      <c r="B65" s="16">
        <v>0.65100000000000002</v>
      </c>
      <c r="C65" s="16">
        <v>1.2250000000000001</v>
      </c>
      <c r="D65" s="16">
        <v>0.76900000000000002</v>
      </c>
      <c r="E65" s="16">
        <v>0.53</v>
      </c>
      <c r="F65" s="16">
        <v>0.53300000000000003</v>
      </c>
      <c r="G65" s="16">
        <v>0.72299999999999998</v>
      </c>
      <c r="H65" s="16">
        <v>0.58699999999999997</v>
      </c>
      <c r="I65" s="16">
        <v>0.871</v>
      </c>
      <c r="J65" s="16">
        <v>1.238</v>
      </c>
      <c r="K65" s="16">
        <v>1.119</v>
      </c>
      <c r="L65" s="16">
        <v>1.4850000000000001</v>
      </c>
      <c r="M65" s="16">
        <v>1.9059999999999999</v>
      </c>
      <c r="N65" s="16">
        <v>2.5489999999999999</v>
      </c>
      <c r="O65" s="16">
        <v>2.3809999999999998</v>
      </c>
      <c r="P65" s="16">
        <v>2.2970000000000002</v>
      </c>
    </row>
    <row r="66" spans="1:16" x14ac:dyDescent="0.25">
      <c r="A66" s="11" t="s">
        <v>490</v>
      </c>
      <c r="B66" s="16">
        <v>0.32800000000000001</v>
      </c>
      <c r="C66" s="16">
        <v>0.30499999999999999</v>
      </c>
      <c r="D66" s="16">
        <v>0.192</v>
      </c>
      <c r="E66" s="16">
        <v>0.27800000000000002</v>
      </c>
      <c r="F66" s="16">
        <v>0.28199999999999997</v>
      </c>
      <c r="G66" s="16">
        <v>0.35799999999999998</v>
      </c>
      <c r="H66" s="16">
        <v>0.27100000000000002</v>
      </c>
      <c r="I66" s="16">
        <v>0.217</v>
      </c>
      <c r="J66" s="16">
        <v>0.15</v>
      </c>
      <c r="K66" s="16">
        <v>6.6000000000000003E-2</v>
      </c>
      <c r="L66" s="16">
        <v>7.2999999999999995E-2</v>
      </c>
      <c r="M66" s="16">
        <v>9.9000000000000005E-2</v>
      </c>
      <c r="N66" s="16">
        <v>9.4E-2</v>
      </c>
      <c r="O66" s="16">
        <v>6.0999999999999999E-2</v>
      </c>
      <c r="P66" s="16">
        <v>6.9000000000000006E-2</v>
      </c>
    </row>
    <row r="67" spans="1:16" x14ac:dyDescent="0.25">
      <c r="A67" s="11" t="s">
        <v>491</v>
      </c>
      <c r="B67" s="16">
        <v>0.08</v>
      </c>
      <c r="C67" s="16">
        <v>0.47899999999999998</v>
      </c>
      <c r="D67" s="16">
        <v>0.42499999999999999</v>
      </c>
      <c r="E67" s="16">
        <v>0.60299999999999998</v>
      </c>
      <c r="F67" s="16">
        <v>0.57899999999999996</v>
      </c>
      <c r="G67" s="16">
        <v>0.14499999999999999</v>
      </c>
      <c r="H67" s="16">
        <v>0.46100000000000002</v>
      </c>
      <c r="I67" s="16">
        <v>0.18099999999999999</v>
      </c>
      <c r="J67" s="16">
        <v>0.29899999999999999</v>
      </c>
      <c r="K67" s="16">
        <v>9.6000000000000002E-2</v>
      </c>
      <c r="L67" s="16">
        <v>6.3E-2</v>
      </c>
      <c r="M67" s="16">
        <v>0.254</v>
      </c>
      <c r="N67" s="16">
        <v>0.26900000000000002</v>
      </c>
      <c r="O67" s="16">
        <v>0.13300000000000001</v>
      </c>
      <c r="P67" s="16">
        <v>0.14499999999999999</v>
      </c>
    </row>
    <row r="68" spans="1:16" x14ac:dyDescent="0.25">
      <c r="A68" s="11" t="s">
        <v>492</v>
      </c>
      <c r="B68" s="16">
        <v>2.3109999999999999</v>
      </c>
      <c r="C68" s="16">
        <v>3.0659999999999998</v>
      </c>
      <c r="D68" s="16">
        <v>3.5110000000000001</v>
      </c>
      <c r="E68" s="16">
        <v>3.6190000000000002</v>
      </c>
      <c r="F68" s="16">
        <v>3.62</v>
      </c>
      <c r="G68" s="16">
        <v>3.7829999999999999</v>
      </c>
      <c r="H68" s="16">
        <v>3.59</v>
      </c>
      <c r="I68" s="16">
        <v>3.5339999999999998</v>
      </c>
      <c r="J68" s="16">
        <v>3.4969999999999999</v>
      </c>
      <c r="K68" s="16">
        <v>3.6909999999999998</v>
      </c>
      <c r="L68" s="16">
        <v>3.2280000000000002</v>
      </c>
      <c r="M68" s="16">
        <v>1.9179999999999999</v>
      </c>
      <c r="N68" s="16">
        <v>2.8839999999999999</v>
      </c>
      <c r="O68" s="16">
        <v>6.569</v>
      </c>
      <c r="P68" s="16">
        <v>8.9429999999999996</v>
      </c>
    </row>
    <row r="69" spans="1:16" x14ac:dyDescent="0.25">
      <c r="A69" s="9" t="s">
        <v>1079</v>
      </c>
      <c r="B69" s="94">
        <v>63.554000000000002</v>
      </c>
      <c r="C69" s="94">
        <v>70.099000000000004</v>
      </c>
      <c r="D69" s="94">
        <v>68.938999999999979</v>
      </c>
      <c r="E69" s="94">
        <v>69.962000000000003</v>
      </c>
      <c r="F69" s="94">
        <v>71.174000000000007</v>
      </c>
      <c r="G69" s="94">
        <v>72.363</v>
      </c>
      <c r="H69" s="94">
        <v>73.929000000000016</v>
      </c>
      <c r="I69" s="94">
        <v>76.338999999999984</v>
      </c>
      <c r="J69" s="94">
        <v>80.576000000000022</v>
      </c>
      <c r="K69" s="94">
        <v>86.959000000000003</v>
      </c>
      <c r="L69" s="94">
        <v>108.83199999999998</v>
      </c>
      <c r="M69" s="94">
        <v>107.76400000000002</v>
      </c>
      <c r="N69" s="94">
        <v>125.64099999999999</v>
      </c>
      <c r="O69" s="94">
        <v>127.57400000000001</v>
      </c>
      <c r="P69" s="94">
        <v>138.99799999999999</v>
      </c>
    </row>
    <row r="70" spans="1:16" x14ac:dyDescent="0.25">
      <c r="A70" s="10" t="str">
        <f>$A$15</f>
        <v>As percentage of nominal GDP</v>
      </c>
      <c r="B70" s="71">
        <f>B$69/B$10</f>
        <v>0.32203209477433836</v>
      </c>
      <c r="C70" s="71">
        <f t="shared" ref="C70:P70" si="18">C$69/C$10</f>
        <v>0.34012460091800989</v>
      </c>
      <c r="D70" s="71">
        <f t="shared" si="18"/>
        <v>0.32035297889840464</v>
      </c>
      <c r="E70" s="71">
        <f t="shared" si="18"/>
        <v>0.31919446307423482</v>
      </c>
      <c r="F70" s="71">
        <f t="shared" si="18"/>
        <v>0.3002476260382787</v>
      </c>
      <c r="G70" s="71">
        <f t="shared" si="18"/>
        <v>0.29431167436715039</v>
      </c>
      <c r="H70" s="71">
        <f t="shared" si="18"/>
        <v>0.28551842396950522</v>
      </c>
      <c r="I70" s="71">
        <f t="shared" si="18"/>
        <v>0.27671490089750467</v>
      </c>
      <c r="J70" s="71">
        <f t="shared" si="18"/>
        <v>0.27238461616472354</v>
      </c>
      <c r="K70" s="71">
        <f t="shared" si="18"/>
        <v>0.28005036842376463</v>
      </c>
      <c r="L70" s="71">
        <f t="shared" si="18"/>
        <v>0.34263658144198766</v>
      </c>
      <c r="M70" s="71">
        <f t="shared" si="18"/>
        <v>0.31382119029799688</v>
      </c>
      <c r="N70" s="71">
        <f t="shared" si="18"/>
        <v>0.34354799899375471</v>
      </c>
      <c r="O70" s="71">
        <f t="shared" si="18"/>
        <v>0.31770627099691945</v>
      </c>
      <c r="P70" s="71">
        <f t="shared" si="18"/>
        <v>0.33045822615079568</v>
      </c>
    </row>
  </sheetData>
  <phoneticPr fontId="3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4E26-0628-46C8-BFD2-FE5B5AB69E5C}">
  <dimension ref="A1:AA21"/>
  <sheetViews>
    <sheetView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RowHeight="15" x14ac:dyDescent="0.25"/>
  <cols>
    <col min="1" max="1" width="85.7109375" customWidth="1"/>
    <col min="2" max="2" width="5.7109375" customWidth="1"/>
    <col min="3" max="27" width="10.7109375" customWidth="1"/>
  </cols>
  <sheetData>
    <row r="1" spans="1:27" x14ac:dyDescent="0.25">
      <c r="A1" s="9" t="s">
        <v>52</v>
      </c>
      <c r="B1" s="9"/>
    </row>
    <row r="2" spans="1:27" x14ac:dyDescent="0.25">
      <c r="A2" s="10" t="s">
        <v>1361</v>
      </c>
      <c r="B2" s="10"/>
    </row>
    <row r="3" spans="1:27" x14ac:dyDescent="0.25">
      <c r="A3" s="11"/>
      <c r="B3" s="11"/>
      <c r="W3" s="15" t="s">
        <v>1257</v>
      </c>
    </row>
    <row r="4" spans="1:27" x14ac:dyDescent="0.25">
      <c r="A4" s="9" t="s">
        <v>1</v>
      </c>
      <c r="B4" s="9"/>
      <c r="C4" s="13" t="s">
        <v>75</v>
      </c>
      <c r="D4" s="13" t="s">
        <v>18</v>
      </c>
      <c r="E4" s="13" t="s">
        <v>19</v>
      </c>
      <c r="F4" s="13" t="s">
        <v>20</v>
      </c>
      <c r="G4" s="13" t="s">
        <v>21</v>
      </c>
      <c r="H4" s="13" t="s">
        <v>22</v>
      </c>
      <c r="I4" s="13" t="s">
        <v>23</v>
      </c>
      <c r="J4" s="13" t="s">
        <v>24</v>
      </c>
      <c r="K4" s="13" t="s">
        <v>25</v>
      </c>
      <c r="L4" s="13" t="s">
        <v>26</v>
      </c>
      <c r="M4" s="13" t="s">
        <v>27</v>
      </c>
      <c r="N4" s="13" t="s">
        <v>28</v>
      </c>
      <c r="O4" s="13" t="s">
        <v>29</v>
      </c>
      <c r="P4" s="13" t="s">
        <v>30</v>
      </c>
      <c r="Q4" s="13" t="s">
        <v>31</v>
      </c>
      <c r="R4" s="13" t="s">
        <v>32</v>
      </c>
      <c r="S4" s="13" t="s">
        <v>33</v>
      </c>
      <c r="T4" s="13" t="s">
        <v>34</v>
      </c>
      <c r="U4" s="13" t="s">
        <v>35</v>
      </c>
      <c r="V4" s="13" t="s">
        <v>36</v>
      </c>
      <c r="W4" s="14" t="s">
        <v>37</v>
      </c>
      <c r="X4" s="14" t="s">
        <v>38</v>
      </c>
      <c r="Y4" s="14" t="s">
        <v>39</v>
      </c>
      <c r="Z4" s="14" t="s">
        <v>40</v>
      </c>
      <c r="AA4" s="14" t="s">
        <v>41</v>
      </c>
    </row>
    <row r="5" spans="1:27" x14ac:dyDescent="0.25">
      <c r="A5" s="11"/>
      <c r="B5" s="11"/>
      <c r="C5" s="9">
        <v>2005</v>
      </c>
      <c r="D5" s="9">
        <v>2006</v>
      </c>
      <c r="E5" s="9">
        <v>2007</v>
      </c>
      <c r="F5" s="9">
        <v>2008</v>
      </c>
      <c r="G5" s="9">
        <v>2009</v>
      </c>
      <c r="H5" s="9">
        <v>2010</v>
      </c>
      <c r="I5" s="9">
        <v>2011</v>
      </c>
      <c r="J5" s="9">
        <v>2012</v>
      </c>
      <c r="K5" s="9">
        <v>2013</v>
      </c>
      <c r="L5" s="9">
        <v>2014</v>
      </c>
      <c r="M5" s="9">
        <v>2015</v>
      </c>
      <c r="N5" s="9">
        <v>2016</v>
      </c>
      <c r="O5" s="9">
        <v>2017</v>
      </c>
      <c r="P5" s="9">
        <v>2018</v>
      </c>
      <c r="Q5" s="9">
        <v>2019</v>
      </c>
      <c r="R5" s="9">
        <v>2020</v>
      </c>
      <c r="S5" s="9">
        <v>2021</v>
      </c>
      <c r="T5" s="9">
        <v>2022</v>
      </c>
      <c r="U5" s="9">
        <v>2023</v>
      </c>
      <c r="V5" s="9">
        <v>2024</v>
      </c>
      <c r="W5" s="15">
        <v>2025</v>
      </c>
      <c r="X5" s="15">
        <v>2026</v>
      </c>
      <c r="Y5" s="15">
        <v>2027</v>
      </c>
      <c r="Z5" s="15">
        <v>2028</v>
      </c>
      <c r="AA5" s="15">
        <v>2029</v>
      </c>
    </row>
    <row r="6" spans="1:27" x14ac:dyDescent="0.25">
      <c r="A6" s="9" t="s">
        <v>53</v>
      </c>
      <c r="B6" s="9"/>
      <c r="C6" s="16">
        <v>181.39699999999999</v>
      </c>
      <c r="D6" s="16">
        <v>186.864</v>
      </c>
      <c r="E6" s="16">
        <v>192.75800000000001</v>
      </c>
      <c r="F6" s="16">
        <v>197.018</v>
      </c>
      <c r="G6" s="16">
        <v>193.922</v>
      </c>
      <c r="H6" s="16">
        <v>196.09</v>
      </c>
      <c r="I6" s="16">
        <v>197.91200000000001</v>
      </c>
      <c r="J6" s="16">
        <v>203.14500000000001</v>
      </c>
      <c r="K6" s="16">
        <v>207.68899999999999</v>
      </c>
      <c r="L6" s="16">
        <v>213.39699999999999</v>
      </c>
      <c r="M6" s="16">
        <v>222.11199999999999</v>
      </c>
      <c r="N6" s="16">
        <v>230.43600000000001</v>
      </c>
      <c r="O6" s="16">
        <v>238.66</v>
      </c>
      <c r="P6" s="16">
        <v>246.99100000000001</v>
      </c>
      <c r="Q6" s="16">
        <v>254.887</v>
      </c>
      <c r="R6" s="16">
        <v>252.81299999999999</v>
      </c>
      <c r="S6" s="16">
        <v>268.59800000000001</v>
      </c>
      <c r="T6" s="16">
        <v>270.51100000000002</v>
      </c>
      <c r="U6" s="16">
        <v>281.255</v>
      </c>
      <c r="V6" s="16">
        <v>283.03100000000001</v>
      </c>
      <c r="W6" s="17">
        <v>280.76</v>
      </c>
      <c r="X6" s="17">
        <v>288.976</v>
      </c>
      <c r="Y6" s="17">
        <v>297.50799999999998</v>
      </c>
      <c r="Z6" s="17">
        <v>306.02300000000002</v>
      </c>
      <c r="AA6" s="17">
        <v>313.94099999999997</v>
      </c>
    </row>
    <row r="7" spans="1:27" x14ac:dyDescent="0.25">
      <c r="A7" s="9" t="s">
        <v>54</v>
      </c>
      <c r="B7" s="9"/>
      <c r="C7" s="16">
        <v>156.81</v>
      </c>
      <c r="D7" s="16">
        <v>164.458</v>
      </c>
      <c r="E7" s="16">
        <v>175.363</v>
      </c>
      <c r="F7" s="16">
        <v>188.89500000000001</v>
      </c>
      <c r="G7" s="16">
        <v>189.834</v>
      </c>
      <c r="H7" s="16">
        <v>197.35300000000001</v>
      </c>
      <c r="I7" s="16">
        <v>206.09800000000001</v>
      </c>
      <c r="J7" s="16">
        <v>215.197</v>
      </c>
      <c r="K7" s="16">
        <v>219.18299999999999</v>
      </c>
      <c r="L7" s="16">
        <v>237.05099999999999</v>
      </c>
      <c r="M7" s="16">
        <v>245.87200000000001</v>
      </c>
      <c r="N7" s="16">
        <v>258.92899999999997</v>
      </c>
      <c r="O7" s="16">
        <v>275.87599999999998</v>
      </c>
      <c r="P7" s="16">
        <v>295.81700000000001</v>
      </c>
      <c r="Q7" s="16">
        <v>310.512</v>
      </c>
      <c r="R7" s="16">
        <v>317.63099999999997</v>
      </c>
      <c r="S7" s="16">
        <v>343.39299999999997</v>
      </c>
      <c r="T7" s="16">
        <v>365.71600000000001</v>
      </c>
      <c r="U7" s="16">
        <v>401.54700000000003</v>
      </c>
      <c r="V7" s="16">
        <v>420.62200000000001</v>
      </c>
      <c r="W7" s="17">
        <v>435.14800000000002</v>
      </c>
      <c r="X7" s="17">
        <v>456.464</v>
      </c>
      <c r="Y7" s="17">
        <v>477.77</v>
      </c>
      <c r="Z7" s="17">
        <v>500.86599999999999</v>
      </c>
      <c r="AA7" s="17">
        <v>524.12199999999996</v>
      </c>
    </row>
    <row r="8" spans="1:27" x14ac:dyDescent="0.25">
      <c r="A8" s="9" t="s">
        <v>55</v>
      </c>
      <c r="B8" s="9"/>
      <c r="C8" s="16">
        <v>2.1385000000000001</v>
      </c>
      <c r="D8" s="16">
        <v>2.1983000000000001</v>
      </c>
      <c r="E8" s="16">
        <v>2.2328000000000001</v>
      </c>
      <c r="F8" s="16">
        <v>2.2585000000000002</v>
      </c>
      <c r="G8" s="16">
        <v>2.2808000000000002</v>
      </c>
      <c r="H8" s="16">
        <v>2.2854999999999999</v>
      </c>
      <c r="I8" s="16">
        <v>2.3130000000000002</v>
      </c>
      <c r="J8" s="16">
        <v>2.3353000000000002</v>
      </c>
      <c r="K8" s="16">
        <v>2.3384999999999998</v>
      </c>
      <c r="L8" s="16">
        <v>2.4015</v>
      </c>
      <c r="M8" s="16">
        <v>2.484</v>
      </c>
      <c r="N8" s="16">
        <v>2.5438000000000001</v>
      </c>
      <c r="O8" s="16">
        <v>2.6718000000000002</v>
      </c>
      <c r="P8" s="16">
        <v>2.7538</v>
      </c>
      <c r="Q8" s="16">
        <v>2.7963</v>
      </c>
      <c r="R8" s="16">
        <v>2.8405</v>
      </c>
      <c r="S8" s="16">
        <v>2.875</v>
      </c>
      <c r="T8" s="16">
        <v>2.9104999999999999</v>
      </c>
      <c r="U8" s="16">
        <v>2.9918</v>
      </c>
      <c r="V8" s="16">
        <v>3.0680000000000001</v>
      </c>
      <c r="W8" s="17">
        <v>3.0784000000000002</v>
      </c>
      <c r="X8" s="17">
        <v>3.1261000000000001</v>
      </c>
      <c r="Y8" s="17">
        <v>3.1818</v>
      </c>
      <c r="Z8" s="17">
        <v>3.2342</v>
      </c>
      <c r="AA8" s="17">
        <v>3.2824</v>
      </c>
    </row>
    <row r="9" spans="1:27" x14ac:dyDescent="0.25">
      <c r="A9" s="9" t="s">
        <v>56</v>
      </c>
      <c r="B9" s="9"/>
      <c r="C9" s="16">
        <v>3.1745999999999999</v>
      </c>
      <c r="D9" s="16">
        <v>3.2250999999999999</v>
      </c>
      <c r="E9" s="16">
        <v>3.2725999999999997</v>
      </c>
      <c r="F9" s="16">
        <v>3.3045999999999998</v>
      </c>
      <c r="G9" s="16">
        <v>3.3358000000000003</v>
      </c>
      <c r="H9" s="16">
        <v>3.3767</v>
      </c>
      <c r="I9" s="16">
        <v>3.4116</v>
      </c>
      <c r="J9" s="16">
        <v>3.4369999999999998</v>
      </c>
      <c r="K9" s="16">
        <v>3.4639000000000002</v>
      </c>
      <c r="L9" s="16">
        <v>3.5153000000000003</v>
      </c>
      <c r="M9" s="16">
        <v>3.5958000000000001</v>
      </c>
      <c r="N9" s="16">
        <v>3.6896999999999998</v>
      </c>
      <c r="O9" s="16">
        <v>3.7873999999999999</v>
      </c>
      <c r="P9" s="16">
        <v>3.8691</v>
      </c>
      <c r="Q9" s="16">
        <v>3.9466000000000001</v>
      </c>
      <c r="R9" s="16">
        <v>4.0335999999999999</v>
      </c>
      <c r="S9" s="16">
        <v>4.0891999999999999</v>
      </c>
      <c r="T9" s="16">
        <v>4.1008000000000004</v>
      </c>
      <c r="U9" s="16">
        <v>4.1555</v>
      </c>
      <c r="V9" s="16">
        <v>4.2751000000000001</v>
      </c>
      <c r="W9" s="17">
        <v>4.3324999999999996</v>
      </c>
      <c r="X9" s="17">
        <v>4.3881999999999994</v>
      </c>
      <c r="Y9" s="17">
        <v>4.4468000000000005</v>
      </c>
      <c r="Z9" s="17">
        <v>4.5060000000000002</v>
      </c>
      <c r="AA9" s="17">
        <v>4.5653000000000006</v>
      </c>
    </row>
    <row r="10" spans="1:27" x14ac:dyDescent="0.25">
      <c r="A10" s="9" t="s">
        <v>57</v>
      </c>
      <c r="B10" s="9"/>
      <c r="C10" s="16">
        <v>4.1189</v>
      </c>
      <c r="D10" s="16">
        <v>4.1669</v>
      </c>
      <c r="E10" s="16">
        <v>4.2119999999999997</v>
      </c>
      <c r="F10" s="16">
        <v>4.2488999999999999</v>
      </c>
      <c r="G10" s="16">
        <v>4.2865000000000002</v>
      </c>
      <c r="H10" s="16">
        <v>4.3365</v>
      </c>
      <c r="I10" s="16">
        <v>4.3757999999999999</v>
      </c>
      <c r="J10" s="16">
        <v>4.4015000000000004</v>
      </c>
      <c r="K10" s="16">
        <v>4.4298999999999999</v>
      </c>
      <c r="L10" s="16">
        <v>4.4882</v>
      </c>
      <c r="M10" s="16">
        <v>4.5765000000000002</v>
      </c>
      <c r="N10" s="16">
        <v>4.6772</v>
      </c>
      <c r="O10" s="16">
        <v>4.7797000000000001</v>
      </c>
      <c r="P10" s="16">
        <v>4.8706000000000005</v>
      </c>
      <c r="Q10" s="16">
        <v>4.9516999999999998</v>
      </c>
      <c r="R10" s="16">
        <v>5.0551000000000004</v>
      </c>
      <c r="S10" s="16">
        <v>5.1053999999999995</v>
      </c>
      <c r="T10" s="16">
        <v>5.1158999999999999</v>
      </c>
      <c r="U10" s="16">
        <v>5.1861000000000006</v>
      </c>
      <c r="V10" s="16">
        <v>5.3128000000000002</v>
      </c>
      <c r="W10" s="17">
        <v>5.3654999999999999</v>
      </c>
      <c r="X10" s="17">
        <v>5.4257</v>
      </c>
      <c r="Y10" s="17">
        <v>5.4906999999999995</v>
      </c>
      <c r="Z10" s="17">
        <v>5.5564</v>
      </c>
      <c r="AA10" s="17">
        <v>5.6223999999999998</v>
      </c>
    </row>
    <row r="11" spans="1:27" x14ac:dyDescent="0.25">
      <c r="A11" s="9" t="s">
        <v>58</v>
      </c>
      <c r="B11" s="9"/>
      <c r="C11" s="18">
        <v>3.8300000000000001E-2</v>
      </c>
      <c r="D11" s="18">
        <v>3.8300000000000001E-2</v>
      </c>
      <c r="E11" s="18">
        <v>3.7999999999999999E-2</v>
      </c>
      <c r="F11" s="18">
        <v>3.6499999999999998E-2</v>
      </c>
      <c r="G11" s="18">
        <v>4.8300000000000003E-2</v>
      </c>
      <c r="H11" s="18">
        <v>6.3299999999999995E-2</v>
      </c>
      <c r="I11" s="18">
        <v>6.0999999999999999E-2</v>
      </c>
      <c r="J11" s="18">
        <v>6.2300000000000001E-2</v>
      </c>
      <c r="K11" s="18">
        <v>6.2E-2</v>
      </c>
      <c r="L11" s="18">
        <v>5.5999999999999994E-2</v>
      </c>
      <c r="M11" s="18">
        <v>5.45E-2</v>
      </c>
      <c r="N11" s="18">
        <v>5.28E-2</v>
      </c>
      <c r="O11" s="18">
        <v>5.0300000000000004E-2</v>
      </c>
      <c r="P11" s="18">
        <v>4.5499999999999999E-2</v>
      </c>
      <c r="Q11" s="18">
        <v>4.1299999999999996E-2</v>
      </c>
      <c r="R11" s="18">
        <v>4.1299999999999996E-2</v>
      </c>
      <c r="S11" s="18">
        <v>4.6799999999999994E-2</v>
      </c>
      <c r="T11" s="18">
        <v>3.2500000000000001E-2</v>
      </c>
      <c r="U11" s="18">
        <v>3.4300000000000004E-2</v>
      </c>
      <c r="V11" s="18">
        <v>4.2300000000000004E-2</v>
      </c>
      <c r="W11" s="19">
        <v>5.16E-2</v>
      </c>
      <c r="X11" s="19">
        <v>5.1900000000000002E-2</v>
      </c>
      <c r="Y11" s="19">
        <v>4.8799999999999996E-2</v>
      </c>
      <c r="Z11" s="19">
        <v>4.5599999999999995E-2</v>
      </c>
      <c r="AA11" s="19">
        <v>4.3799999999999999E-2</v>
      </c>
    </row>
    <row r="12" spans="1:27" x14ac:dyDescent="0.25">
      <c r="A12" s="9" t="s">
        <v>59</v>
      </c>
      <c r="B12" s="9"/>
      <c r="C12" s="20">
        <v>34.799999999999997</v>
      </c>
      <c r="D12" s="20">
        <v>34.520000000000003</v>
      </c>
      <c r="E12" s="20">
        <v>34.33</v>
      </c>
      <c r="F12" s="20">
        <v>33.94</v>
      </c>
      <c r="G12" s="20">
        <v>33.58</v>
      </c>
      <c r="H12" s="20">
        <v>33.450000000000003</v>
      </c>
      <c r="I12" s="20">
        <v>33.54</v>
      </c>
      <c r="J12" s="20">
        <v>33.409999999999997</v>
      </c>
      <c r="K12" s="20">
        <v>33.67</v>
      </c>
      <c r="L12" s="20">
        <v>33.68</v>
      </c>
      <c r="M12" s="20">
        <v>33.520000000000003</v>
      </c>
      <c r="N12" s="20">
        <v>33.74</v>
      </c>
      <c r="O12" s="20">
        <v>33.700000000000003</v>
      </c>
      <c r="P12" s="20">
        <v>33.93</v>
      </c>
      <c r="Q12" s="20">
        <v>34.119999999999997</v>
      </c>
      <c r="R12" s="20">
        <v>33.18</v>
      </c>
      <c r="S12" s="20">
        <v>34.119999999999997</v>
      </c>
      <c r="T12" s="20">
        <v>32.94</v>
      </c>
      <c r="U12" s="20">
        <v>33.729999999999997</v>
      </c>
      <c r="V12" s="20">
        <v>33.549999999999997</v>
      </c>
      <c r="W12" s="21">
        <v>33.29</v>
      </c>
      <c r="X12" s="21">
        <v>33.380000000000003</v>
      </c>
      <c r="Y12" s="21">
        <v>33.409999999999997</v>
      </c>
      <c r="Z12" s="21">
        <v>33.44</v>
      </c>
      <c r="AA12" s="21">
        <v>33.44</v>
      </c>
    </row>
    <row r="13" spans="1:27" x14ac:dyDescent="0.25">
      <c r="A13" s="9" t="s">
        <v>60</v>
      </c>
      <c r="B13" s="9"/>
      <c r="C13" s="18">
        <v>7.1000000000000004E-3</v>
      </c>
      <c r="D13" s="18">
        <v>1.0200000000000001E-2</v>
      </c>
      <c r="E13" s="18">
        <v>2.0899999999999998E-2</v>
      </c>
      <c r="F13" s="18">
        <v>2.0299999999999999E-2</v>
      </c>
      <c r="G13" s="18">
        <v>-2.5000000000000001E-3</v>
      </c>
      <c r="H13" s="18">
        <v>2.93E-2</v>
      </c>
      <c r="I13" s="18">
        <v>-7.6E-3</v>
      </c>
      <c r="J13" s="18">
        <v>2.1499999999999998E-2</v>
      </c>
      <c r="K13" s="18">
        <v>1.35E-2</v>
      </c>
      <c r="L13" s="18">
        <v>-6.4000000000000003E-3</v>
      </c>
      <c r="M13" s="18">
        <v>9.7999999999999997E-3</v>
      </c>
      <c r="N13" s="18">
        <v>4.1000000000000003E-3</v>
      </c>
      <c r="O13" s="18">
        <v>-1.55E-2</v>
      </c>
      <c r="P13" s="18">
        <v>-7.6E-3</v>
      </c>
      <c r="Q13" s="18">
        <v>6.7000000000000002E-3</v>
      </c>
      <c r="R13" s="18">
        <v>3.7000000000000002E-3</v>
      </c>
      <c r="S13" s="18">
        <v>2.6800000000000001E-2</v>
      </c>
      <c r="T13" s="18">
        <v>1.54E-2</v>
      </c>
      <c r="U13" s="18">
        <v>-1.0500000000000001E-2</v>
      </c>
      <c r="V13" s="18">
        <v>-5.4000000000000003E-3</v>
      </c>
      <c r="W13" s="19">
        <v>6.3E-3</v>
      </c>
      <c r="X13" s="19">
        <v>1.0999999999999999E-2</v>
      </c>
      <c r="Y13" s="19">
        <v>7.3000000000000001E-3</v>
      </c>
      <c r="Z13" s="19">
        <v>8.0000000000000002E-3</v>
      </c>
      <c r="AA13" s="19">
        <v>8.6999999999999994E-3</v>
      </c>
    </row>
    <row r="14" spans="1:27" x14ac:dyDescent="0.25">
      <c r="A14" s="9" t="s">
        <v>61</v>
      </c>
      <c r="B14" s="9"/>
      <c r="C14" s="22">
        <v>784.4</v>
      </c>
      <c r="D14" s="22">
        <v>815.7</v>
      </c>
      <c r="E14" s="22">
        <v>832</v>
      </c>
      <c r="F14" s="22">
        <v>865.4</v>
      </c>
      <c r="G14" s="22">
        <v>881.7</v>
      </c>
      <c r="H14" s="22">
        <v>896.4</v>
      </c>
      <c r="I14" s="22">
        <v>943.7</v>
      </c>
      <c r="J14" s="22">
        <v>952.7</v>
      </c>
      <c r="K14" s="22">
        <v>959.2</v>
      </c>
      <c r="L14" s="22">
        <v>974.7</v>
      </c>
      <c r="M14" s="22">
        <v>978.8</v>
      </c>
      <c r="N14" s="22">
        <v>982.9</v>
      </c>
      <c r="O14" s="22">
        <v>1000</v>
      </c>
      <c r="P14" s="22">
        <v>1015</v>
      </c>
      <c r="Q14" s="22">
        <v>1032</v>
      </c>
      <c r="R14" s="22">
        <v>1047</v>
      </c>
      <c r="S14" s="22">
        <v>1082</v>
      </c>
      <c r="T14" s="22">
        <v>1161</v>
      </c>
      <c r="U14" s="22">
        <v>1231</v>
      </c>
      <c r="V14" s="22">
        <v>1272</v>
      </c>
      <c r="W14" s="23">
        <v>1299.5999999999999</v>
      </c>
      <c r="X14" s="23">
        <v>1326.7</v>
      </c>
      <c r="Y14" s="23">
        <v>1352.9</v>
      </c>
      <c r="Z14" s="23">
        <v>1379.7</v>
      </c>
      <c r="AA14" s="23">
        <v>1407.3</v>
      </c>
    </row>
    <row r="15" spans="1:27" x14ac:dyDescent="0.25">
      <c r="A15" s="9" t="s">
        <v>62</v>
      </c>
      <c r="B15" s="9"/>
      <c r="C15" s="18">
        <v>3.2099999999999997E-2</v>
      </c>
      <c r="D15" s="18">
        <v>4.9799999999999997E-2</v>
      </c>
      <c r="E15" s="18">
        <v>4.8099999999999997E-2</v>
      </c>
      <c r="F15" s="18">
        <v>4.58E-2</v>
      </c>
      <c r="G15" s="18">
        <v>5.2999999999999999E-2</v>
      </c>
      <c r="H15" s="18">
        <v>2.18E-2</v>
      </c>
      <c r="I15" s="18">
        <v>2.47E-2</v>
      </c>
      <c r="J15" s="18">
        <v>2.9700000000000001E-2</v>
      </c>
      <c r="K15" s="18">
        <v>2.6100000000000002E-2</v>
      </c>
      <c r="L15" s="18">
        <v>2.5999999999999999E-2</v>
      </c>
      <c r="M15" s="18">
        <v>2.64E-2</v>
      </c>
      <c r="N15" s="18">
        <v>2.23E-2</v>
      </c>
      <c r="O15" s="18">
        <v>2.24E-2</v>
      </c>
      <c r="P15" s="18">
        <v>2.76E-2</v>
      </c>
      <c r="Q15" s="18">
        <v>3.3700000000000001E-2</v>
      </c>
      <c r="R15" s="18">
        <v>3.3300000000000003E-2</v>
      </c>
      <c r="S15" s="18">
        <v>4.1200000000000001E-2</v>
      </c>
      <c r="T15" s="18">
        <v>4.6100000000000002E-2</v>
      </c>
      <c r="U15" s="18">
        <v>7.2900000000000006E-2</v>
      </c>
      <c r="V15" s="18">
        <v>5.96E-2</v>
      </c>
      <c r="W15" s="19">
        <v>4.1200000000000001E-2</v>
      </c>
      <c r="X15" s="19">
        <v>3.0099999999999998E-2</v>
      </c>
      <c r="Y15" s="19">
        <v>2.6499999999999999E-2</v>
      </c>
      <c r="Z15" s="19">
        <v>2.6800000000000001E-2</v>
      </c>
      <c r="AA15" s="19">
        <v>2.7199999999999998E-2</v>
      </c>
    </row>
    <row r="16" spans="1:27" x14ac:dyDescent="0.25">
      <c r="A16" s="9" t="s">
        <v>63</v>
      </c>
      <c r="B16" s="9"/>
      <c r="C16" s="18">
        <v>6.0199999999999997E-2</v>
      </c>
      <c r="D16" s="18">
        <v>5.79E-2</v>
      </c>
      <c r="E16" s="18">
        <v>5.96E-2</v>
      </c>
      <c r="F16" s="18">
        <v>6.4100000000000004E-2</v>
      </c>
      <c r="G16" s="18">
        <v>5.4299999999999994E-2</v>
      </c>
      <c r="H16" s="18">
        <v>5.8200000000000002E-2</v>
      </c>
      <c r="I16" s="18">
        <v>5.4199999999999998E-2</v>
      </c>
      <c r="J16" s="18">
        <v>4.1399999999999999E-2</v>
      </c>
      <c r="K16" s="18">
        <v>3.5699999999999996E-2</v>
      </c>
      <c r="L16" s="18">
        <v>4.5499999999999999E-2</v>
      </c>
      <c r="M16" s="18">
        <v>3.7699999999999997E-2</v>
      </c>
      <c r="N16" s="18">
        <v>3.1600000000000003E-2</v>
      </c>
      <c r="O16" s="18">
        <v>2.86E-2</v>
      </c>
      <c r="P16" s="18">
        <v>2.8799999999999999E-2</v>
      </c>
      <c r="Q16" s="18">
        <v>2.3099999999999999E-2</v>
      </c>
      <c r="R16" s="18">
        <v>1.18E-2</v>
      </c>
      <c r="S16" s="18">
        <v>1.1599999999999999E-2</v>
      </c>
      <c r="T16" s="18">
        <v>2.6499999999999999E-2</v>
      </c>
      <c r="U16" s="18">
        <v>4.1500000000000002E-2</v>
      </c>
      <c r="V16" s="18">
        <v>4.8499999999999995E-2</v>
      </c>
      <c r="W16" s="19">
        <v>4.4400000000000002E-2</v>
      </c>
      <c r="X16" s="19">
        <v>4.2999999999999997E-2</v>
      </c>
      <c r="Y16" s="19">
        <v>4.2900000000000001E-2</v>
      </c>
      <c r="Z16" s="19">
        <v>4.24E-2</v>
      </c>
      <c r="AA16" s="19">
        <v>4.2599999999999999E-2</v>
      </c>
    </row>
    <row r="17" spans="1:27" x14ac:dyDescent="0.25">
      <c r="A17" s="9" t="s">
        <v>64</v>
      </c>
      <c r="B17" s="9"/>
      <c r="C17" s="24">
        <v>11.3</v>
      </c>
      <c r="D17" s="24">
        <v>13.6</v>
      </c>
      <c r="E17" s="24">
        <v>14.7</v>
      </c>
      <c r="F17" s="24">
        <v>12.5</v>
      </c>
      <c r="G17" s="24">
        <v>16</v>
      </c>
      <c r="H17" s="24">
        <v>8.9</v>
      </c>
      <c r="I17" s="24">
        <v>-9.4</v>
      </c>
      <c r="J17" s="24">
        <v>-15</v>
      </c>
      <c r="K17" s="24">
        <v>1.2</v>
      </c>
      <c r="L17" s="24">
        <v>33.9</v>
      </c>
      <c r="M17" s="24">
        <v>53.6</v>
      </c>
      <c r="N17" s="24">
        <v>64.8</v>
      </c>
      <c r="O17" s="24">
        <v>59.6</v>
      </c>
      <c r="P17" s="24">
        <v>49</v>
      </c>
      <c r="Q17" s="24">
        <v>52.8</v>
      </c>
      <c r="R17" s="24">
        <v>75.5</v>
      </c>
      <c r="S17" s="24">
        <v>-6.6</v>
      </c>
      <c r="T17" s="24">
        <v>-17.7</v>
      </c>
      <c r="U17" s="24">
        <v>112.8</v>
      </c>
      <c r="V17" s="24">
        <v>70.3</v>
      </c>
      <c r="W17" s="25">
        <v>32.9</v>
      </c>
      <c r="X17" s="25">
        <v>38.200000000000003</v>
      </c>
      <c r="Y17" s="25">
        <v>39.5</v>
      </c>
      <c r="Z17" s="25">
        <v>39.9</v>
      </c>
      <c r="AA17" s="25">
        <v>40</v>
      </c>
    </row>
    <row r="18" spans="1:27" x14ac:dyDescent="0.25">
      <c r="A18" s="9" t="s">
        <v>65</v>
      </c>
      <c r="B18" s="9"/>
      <c r="C18" s="26">
        <v>752.5</v>
      </c>
      <c r="D18" s="26">
        <v>778.67</v>
      </c>
      <c r="E18" s="26">
        <v>826.88</v>
      </c>
      <c r="F18" s="26">
        <v>855.43</v>
      </c>
      <c r="G18" s="26">
        <v>899.3</v>
      </c>
      <c r="H18" s="26">
        <v>932.25</v>
      </c>
      <c r="I18" s="26">
        <v>963.99</v>
      </c>
      <c r="J18" s="26">
        <v>995.36</v>
      </c>
      <c r="K18" s="26">
        <v>1021.57</v>
      </c>
      <c r="L18" s="26">
        <v>1048.06</v>
      </c>
      <c r="M18" s="26">
        <v>1079.03</v>
      </c>
      <c r="N18" s="26">
        <v>1113.2</v>
      </c>
      <c r="O18" s="26">
        <v>1137.1099999999999</v>
      </c>
      <c r="P18" s="26">
        <v>1172.6300000000001</v>
      </c>
      <c r="Q18" s="26">
        <v>1205.79</v>
      </c>
      <c r="R18" s="26">
        <v>1241.4100000000001</v>
      </c>
      <c r="S18" s="26">
        <v>1287.81</v>
      </c>
      <c r="T18" s="26">
        <v>1360.1</v>
      </c>
      <c r="U18" s="26">
        <v>1462.81</v>
      </c>
      <c r="V18" s="26">
        <v>1556.16</v>
      </c>
      <c r="W18" s="27">
        <v>1622.73</v>
      </c>
      <c r="X18" s="27">
        <v>1651.37</v>
      </c>
      <c r="Y18" s="27">
        <v>1688.46</v>
      </c>
      <c r="Z18" s="27">
        <v>1731.59</v>
      </c>
      <c r="AA18" s="27">
        <v>1778.16</v>
      </c>
    </row>
    <row r="19" spans="1:27" x14ac:dyDescent="0.25">
      <c r="A19" s="9" t="s">
        <v>68</v>
      </c>
      <c r="B19" s="9"/>
      <c r="C19" s="26">
        <v>597.66999999999996</v>
      </c>
      <c r="D19" s="26">
        <v>614.05999999999995</v>
      </c>
      <c r="E19" s="26">
        <v>645.82000000000005</v>
      </c>
      <c r="F19" s="26">
        <v>664.02</v>
      </c>
      <c r="G19" s="26">
        <v>723.19</v>
      </c>
      <c r="H19" s="26">
        <v>741.53</v>
      </c>
      <c r="I19" s="26">
        <v>792.36</v>
      </c>
      <c r="J19" s="26">
        <v>813.32</v>
      </c>
      <c r="K19" s="26">
        <v>833.14</v>
      </c>
      <c r="L19" s="26">
        <v>855.33</v>
      </c>
      <c r="M19" s="26">
        <v>873.01</v>
      </c>
      <c r="N19" s="26">
        <v>896.89</v>
      </c>
      <c r="O19" s="26">
        <v>909.56</v>
      </c>
      <c r="P19" s="26">
        <v>934.42</v>
      </c>
      <c r="Q19" s="26">
        <v>958.37</v>
      </c>
      <c r="R19" s="26">
        <v>987.95</v>
      </c>
      <c r="S19" s="26">
        <v>1018.53</v>
      </c>
      <c r="T19" s="26">
        <v>1066.06</v>
      </c>
      <c r="U19" s="26">
        <v>1132.5999999999999</v>
      </c>
      <c r="V19" s="26">
        <v>1192.4000000000001</v>
      </c>
      <c r="W19" s="27">
        <v>1255.05</v>
      </c>
      <c r="X19" s="27">
        <v>1272.31</v>
      </c>
      <c r="Y19" s="27">
        <v>1295.19</v>
      </c>
      <c r="Z19" s="27">
        <v>1323.35</v>
      </c>
      <c r="AA19" s="27">
        <v>1353.55</v>
      </c>
    </row>
    <row r="20" spans="1:27" x14ac:dyDescent="0.25">
      <c r="A20" s="9" t="s">
        <v>67</v>
      </c>
      <c r="B20" s="9"/>
      <c r="C20" s="26">
        <v>235.16</v>
      </c>
      <c r="D20" s="26">
        <v>243.06</v>
      </c>
      <c r="E20" s="26">
        <v>255.7</v>
      </c>
      <c r="F20" s="26">
        <v>264.37</v>
      </c>
      <c r="G20" s="26">
        <v>273.63</v>
      </c>
      <c r="H20" s="26">
        <v>280.62</v>
      </c>
      <c r="I20" s="26">
        <v>294.08000000000004</v>
      </c>
      <c r="J20" s="26">
        <v>302.39999999999998</v>
      </c>
      <c r="K20" s="26">
        <v>310.33999999999997</v>
      </c>
      <c r="L20" s="26">
        <v>319.23</v>
      </c>
      <c r="M20" s="26">
        <v>326.3</v>
      </c>
      <c r="N20" s="26">
        <v>335.74</v>
      </c>
      <c r="O20" s="26">
        <v>340.8</v>
      </c>
      <c r="P20" s="26">
        <v>350.76</v>
      </c>
      <c r="Q20" s="26">
        <v>360.42</v>
      </c>
      <c r="R20" s="26">
        <v>372.27</v>
      </c>
      <c r="S20" s="26">
        <v>384.46</v>
      </c>
      <c r="T20" s="26">
        <v>408.66</v>
      </c>
      <c r="U20" s="26">
        <v>439.79</v>
      </c>
      <c r="V20" s="26">
        <v>461.41</v>
      </c>
      <c r="W20" s="27">
        <v>476.47</v>
      </c>
      <c r="X20" s="27">
        <v>488.1</v>
      </c>
      <c r="Y20" s="27">
        <v>498.32</v>
      </c>
      <c r="Z20" s="27">
        <v>508.71</v>
      </c>
      <c r="AA20" s="27">
        <v>519.45000000000005</v>
      </c>
    </row>
    <row r="21" spans="1:27" x14ac:dyDescent="0.25">
      <c r="A21" s="9" t="s">
        <v>66</v>
      </c>
      <c r="B21" s="9"/>
      <c r="C21" s="26">
        <v>196.78</v>
      </c>
      <c r="D21" s="26">
        <v>203</v>
      </c>
      <c r="E21" s="26">
        <v>213.12</v>
      </c>
      <c r="F21" s="26">
        <v>219.9</v>
      </c>
      <c r="G21" s="26">
        <v>239.19</v>
      </c>
      <c r="H21" s="26">
        <v>244.71</v>
      </c>
      <c r="I21" s="26">
        <v>261.48</v>
      </c>
      <c r="J21" s="26">
        <v>268.39999999999998</v>
      </c>
      <c r="K21" s="26">
        <v>274.94</v>
      </c>
      <c r="L21" s="26">
        <v>282.26</v>
      </c>
      <c r="M21" s="26">
        <v>288.10000000000002</v>
      </c>
      <c r="N21" s="26">
        <v>295.97000000000003</v>
      </c>
      <c r="O21" s="26">
        <v>300.14999999999998</v>
      </c>
      <c r="P21" s="26">
        <v>308.36</v>
      </c>
      <c r="Q21" s="26">
        <v>316.27</v>
      </c>
      <c r="R21" s="26">
        <v>326.02</v>
      </c>
      <c r="S21" s="26">
        <v>336.11</v>
      </c>
      <c r="T21" s="26">
        <v>356.11</v>
      </c>
      <c r="U21" s="26">
        <v>381.82</v>
      </c>
      <c r="V21" s="26">
        <v>399.59</v>
      </c>
      <c r="W21" s="27">
        <v>414.17</v>
      </c>
      <c r="X21" s="27">
        <v>423.7</v>
      </c>
      <c r="Y21" s="27">
        <v>432.17</v>
      </c>
      <c r="Z21" s="27">
        <v>440.81</v>
      </c>
      <c r="AA21" s="27">
        <v>449.63</v>
      </c>
    </row>
  </sheetData>
  <phoneticPr fontId="3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3318-8634-46E0-B437-4B6BB12B6A48}">
  <dimension ref="A1:N415"/>
  <sheetViews>
    <sheetView workbookViewId="0"/>
  </sheetViews>
  <sheetFormatPr defaultRowHeight="15" x14ac:dyDescent="0.25"/>
  <cols>
    <col min="1" max="1" width="90.7109375" customWidth="1"/>
    <col min="2" max="2" width="7.7109375" customWidth="1"/>
    <col min="3" max="14" width="10.7109375" customWidth="1"/>
  </cols>
  <sheetData>
    <row r="1" spans="1:14" x14ac:dyDescent="0.25">
      <c r="A1" s="9" t="s">
        <v>445</v>
      </c>
      <c r="B1" s="9"/>
      <c r="C1" s="11"/>
      <c r="D1" s="11"/>
      <c r="E1" s="11"/>
      <c r="F1" s="11"/>
      <c r="G1" s="11"/>
      <c r="H1" s="11"/>
      <c r="I1" s="11"/>
      <c r="J1" s="11"/>
      <c r="K1" s="11"/>
      <c r="L1" s="11"/>
      <c r="M1" s="11"/>
      <c r="N1" s="11"/>
    </row>
    <row r="2" spans="1:14" x14ac:dyDescent="0.25">
      <c r="A2" s="10" t="s">
        <v>1361</v>
      </c>
      <c r="B2" s="11"/>
      <c r="C2" s="11"/>
      <c r="D2" s="11"/>
      <c r="E2" s="11"/>
      <c r="F2" s="11"/>
      <c r="G2" s="11"/>
      <c r="H2" s="11"/>
      <c r="I2" s="11"/>
      <c r="J2" s="11"/>
      <c r="K2" s="11"/>
      <c r="L2" s="11"/>
      <c r="M2" s="11"/>
      <c r="N2" s="11"/>
    </row>
    <row r="3" spans="1:14" x14ac:dyDescent="0.25">
      <c r="A3" s="10" t="s">
        <v>446</v>
      </c>
      <c r="B3" s="11"/>
      <c r="C3" s="11"/>
      <c r="D3" s="11"/>
      <c r="E3" s="11"/>
      <c r="F3" s="11"/>
      <c r="G3" s="11"/>
      <c r="H3" s="11"/>
      <c r="I3" s="11"/>
      <c r="J3" s="11"/>
      <c r="K3" s="11"/>
      <c r="L3" s="11"/>
      <c r="M3" s="11"/>
      <c r="N3" s="11"/>
    </row>
    <row r="4" spans="1:14" x14ac:dyDescent="0.25">
      <c r="A4" s="10" t="s">
        <v>447</v>
      </c>
      <c r="B4" s="11"/>
      <c r="C4" s="11"/>
      <c r="D4" s="11"/>
      <c r="E4" s="11"/>
      <c r="F4" s="11"/>
      <c r="G4" s="11"/>
      <c r="H4" s="11"/>
      <c r="I4" s="11"/>
      <c r="J4" s="11"/>
      <c r="K4" s="11"/>
      <c r="L4" s="11"/>
      <c r="M4" s="11"/>
      <c r="N4" s="11"/>
    </row>
    <row r="5" spans="1:14" x14ac:dyDescent="0.25">
      <c r="A5" s="10" t="s">
        <v>135</v>
      </c>
      <c r="B5" s="11"/>
      <c r="C5" s="11"/>
      <c r="D5" s="15"/>
      <c r="E5" s="15"/>
      <c r="F5" s="15"/>
      <c r="G5" s="15"/>
      <c r="H5" s="15"/>
      <c r="I5" s="15"/>
      <c r="J5" s="15" t="s">
        <v>1257</v>
      </c>
      <c r="K5" s="11"/>
      <c r="L5" s="11"/>
      <c r="M5" s="11"/>
      <c r="N5" s="11"/>
    </row>
    <row r="6" spans="1:14" x14ac:dyDescent="0.25">
      <c r="A6" s="9" t="s">
        <v>1</v>
      </c>
      <c r="B6" s="9"/>
      <c r="C6" s="11"/>
      <c r="D6" s="13" t="s">
        <v>31</v>
      </c>
      <c r="E6" s="13" t="s">
        <v>32</v>
      </c>
      <c r="F6" s="13" t="s">
        <v>33</v>
      </c>
      <c r="G6" s="13" t="s">
        <v>34</v>
      </c>
      <c r="H6" s="13" t="s">
        <v>35</v>
      </c>
      <c r="I6" s="13" t="s">
        <v>36</v>
      </c>
      <c r="J6" s="14" t="s">
        <v>37</v>
      </c>
      <c r="K6" s="14" t="s">
        <v>38</v>
      </c>
      <c r="L6" s="14" t="s">
        <v>39</v>
      </c>
      <c r="M6" s="14" t="s">
        <v>40</v>
      </c>
      <c r="N6" s="14" t="s">
        <v>41</v>
      </c>
    </row>
    <row r="7" spans="1:14" x14ac:dyDescent="0.25">
      <c r="A7" s="11"/>
      <c r="B7" s="11"/>
      <c r="C7" s="11"/>
      <c r="D7" s="9">
        <v>2019</v>
      </c>
      <c r="E7" s="9">
        <v>2020</v>
      </c>
      <c r="F7" s="9">
        <v>2021</v>
      </c>
      <c r="G7" s="9">
        <v>2022</v>
      </c>
      <c r="H7" s="9">
        <v>2023</v>
      </c>
      <c r="I7" s="9">
        <v>2024</v>
      </c>
      <c r="J7" s="15">
        <v>2025</v>
      </c>
      <c r="K7" s="15">
        <v>2026</v>
      </c>
      <c r="L7" s="15">
        <v>2027</v>
      </c>
      <c r="M7" s="15">
        <v>2028</v>
      </c>
      <c r="N7" s="15">
        <v>2029</v>
      </c>
    </row>
    <row r="8" spans="1:14" x14ac:dyDescent="0.25">
      <c r="A8" s="9" t="s">
        <v>448</v>
      </c>
      <c r="B8" s="9"/>
      <c r="C8" s="9"/>
      <c r="D8" s="15"/>
      <c r="E8" s="15"/>
      <c r="F8" s="15"/>
      <c r="G8" s="15"/>
      <c r="H8" s="15"/>
      <c r="I8" s="15"/>
      <c r="J8" s="15"/>
      <c r="K8" s="15"/>
      <c r="L8" s="15"/>
      <c r="M8" s="15"/>
      <c r="N8" s="15"/>
    </row>
    <row r="9" spans="1:14" x14ac:dyDescent="0.25">
      <c r="A9" s="11" t="s">
        <v>449</v>
      </c>
      <c r="B9" s="92" t="s">
        <v>450</v>
      </c>
      <c r="C9" s="16"/>
      <c r="D9" s="16">
        <v>85.722999999999999</v>
      </c>
      <c r="E9" s="16">
        <v>84.521000000000001</v>
      </c>
      <c r="F9" s="16">
        <v>97.361999999999995</v>
      </c>
      <c r="G9" s="16">
        <v>107.873</v>
      </c>
      <c r="H9" s="16">
        <v>111.712</v>
      </c>
      <c r="I9" s="16">
        <v>119.9</v>
      </c>
      <c r="J9" s="17">
        <v>120.16</v>
      </c>
      <c r="K9" s="17">
        <v>124.21</v>
      </c>
      <c r="L9" s="17">
        <v>132.09700000000001</v>
      </c>
      <c r="M9" s="17">
        <v>139.47999999999999</v>
      </c>
      <c r="N9" s="17">
        <v>147.054</v>
      </c>
    </row>
    <row r="10" spans="1:14" x14ac:dyDescent="0.25">
      <c r="A10" s="11" t="s">
        <v>451</v>
      </c>
      <c r="B10" s="92" t="s">
        <v>452</v>
      </c>
      <c r="C10" s="16"/>
      <c r="D10" s="16">
        <v>6.0279999999999996</v>
      </c>
      <c r="E10" s="16">
        <v>6.2690000000000001</v>
      </c>
      <c r="F10" s="16">
        <v>7.0380000000000003</v>
      </c>
      <c r="G10" s="16">
        <v>8.8940000000000001</v>
      </c>
      <c r="H10" s="16">
        <v>8.407</v>
      </c>
      <c r="I10" s="16">
        <v>9.4260000000000002</v>
      </c>
      <c r="J10" s="17">
        <v>10.456</v>
      </c>
      <c r="K10" s="17">
        <v>11.006</v>
      </c>
      <c r="L10" s="17">
        <v>11.57</v>
      </c>
      <c r="M10" s="17">
        <v>12.173999999999999</v>
      </c>
      <c r="N10" s="17">
        <v>12.81</v>
      </c>
    </row>
    <row r="11" spans="1:14" x14ac:dyDescent="0.25">
      <c r="A11" s="11" t="s">
        <v>453</v>
      </c>
      <c r="B11" s="92" t="str">
        <f>$B$10</f>
        <v>UIM</v>
      </c>
      <c r="C11" s="16"/>
      <c r="D11" s="16">
        <v>19.795999999999999</v>
      </c>
      <c r="E11" s="16">
        <v>18.437000000000001</v>
      </c>
      <c r="F11" s="16">
        <v>18.5</v>
      </c>
      <c r="G11" s="16">
        <v>17.442</v>
      </c>
      <c r="H11" s="16">
        <v>21.954000000000001</v>
      </c>
      <c r="I11" s="16">
        <v>25.135000000000002</v>
      </c>
      <c r="J11" s="17">
        <v>26.361999999999998</v>
      </c>
      <c r="K11" s="17">
        <v>27.553999999999998</v>
      </c>
      <c r="L11" s="17">
        <v>28.504000000000001</v>
      </c>
      <c r="M11" s="17">
        <v>29.87</v>
      </c>
      <c r="N11" s="17">
        <v>30.238</v>
      </c>
    </row>
    <row r="12" spans="1:14" x14ac:dyDescent="0.25">
      <c r="A12" s="11" t="s">
        <v>454</v>
      </c>
      <c r="B12" s="92" t="str">
        <f>$B$9</f>
        <v>NAC</v>
      </c>
      <c r="C12" s="16"/>
      <c r="D12" s="16">
        <v>2.6459999999999999</v>
      </c>
      <c r="E12" s="16">
        <v>2.2999999999999998</v>
      </c>
      <c r="F12" s="16">
        <v>1.9430000000000001</v>
      </c>
      <c r="G12" s="16">
        <v>2.2919999999999998</v>
      </c>
      <c r="H12" s="16">
        <v>5.0119999999999996</v>
      </c>
      <c r="I12" s="16">
        <v>7.12</v>
      </c>
      <c r="J12" s="17">
        <v>6.87</v>
      </c>
      <c r="K12" s="17">
        <v>6.4080000000000004</v>
      </c>
      <c r="L12" s="17">
        <v>6.4589999999999996</v>
      </c>
      <c r="M12" s="17">
        <v>6.7549999999999999</v>
      </c>
      <c r="N12" s="17">
        <v>7.1559999999999997</v>
      </c>
    </row>
    <row r="13" spans="1:14" x14ac:dyDescent="0.25">
      <c r="A13" s="11" t="s">
        <v>455</v>
      </c>
      <c r="B13" s="92" t="str">
        <f>$B$10</f>
        <v>UIM</v>
      </c>
      <c r="C13" s="16"/>
      <c r="D13" s="16">
        <v>4.9489999999999998</v>
      </c>
      <c r="E13" s="16">
        <v>4.476</v>
      </c>
      <c r="F13" s="16">
        <v>4.492</v>
      </c>
      <c r="G13" s="16">
        <v>5.1260000000000003</v>
      </c>
      <c r="H13" s="16">
        <v>5.9260000000000002</v>
      </c>
      <c r="I13" s="16">
        <v>5.766</v>
      </c>
      <c r="J13" s="17">
        <v>5.8029999999999999</v>
      </c>
      <c r="K13" s="17">
        <v>6.6859999999999999</v>
      </c>
      <c r="L13" s="17">
        <v>5.3929999999999998</v>
      </c>
      <c r="M13" s="17">
        <v>5.5110000000000001</v>
      </c>
      <c r="N13" s="17">
        <v>5.7530000000000001</v>
      </c>
    </row>
    <row r="14" spans="1:14" x14ac:dyDescent="0.25">
      <c r="A14" s="55" t="s">
        <v>456</v>
      </c>
      <c r="B14" s="92" t="str">
        <f>$B$9</f>
        <v>NAC</v>
      </c>
      <c r="C14" s="16"/>
      <c r="D14" s="56">
        <f t="shared" ref="D14:N14" si="0">SUM(D$9:D$13)</f>
        <v>119.142</v>
      </c>
      <c r="E14" s="56">
        <f t="shared" si="0"/>
        <v>116.003</v>
      </c>
      <c r="F14" s="56">
        <f t="shared" si="0"/>
        <v>129.33499999999998</v>
      </c>
      <c r="G14" s="56">
        <f t="shared" si="0"/>
        <v>141.62700000000001</v>
      </c>
      <c r="H14" s="56">
        <f t="shared" si="0"/>
        <v>153.011</v>
      </c>
      <c r="I14" s="56">
        <f t="shared" si="0"/>
        <v>167.34699999999998</v>
      </c>
      <c r="J14" s="56">
        <f t="shared" si="0"/>
        <v>169.65099999999998</v>
      </c>
      <c r="K14" s="56">
        <f t="shared" si="0"/>
        <v>175.864</v>
      </c>
      <c r="L14" s="56">
        <f t="shared" si="0"/>
        <v>184.023</v>
      </c>
      <c r="M14" s="56">
        <f t="shared" si="0"/>
        <v>193.79</v>
      </c>
      <c r="N14" s="56">
        <f t="shared" si="0"/>
        <v>203.01100000000002</v>
      </c>
    </row>
    <row r="15" spans="1:14" x14ac:dyDescent="0.25">
      <c r="A15" s="11" t="s">
        <v>457</v>
      </c>
      <c r="B15" s="92" t="str">
        <f t="shared" ref="B15:B23" si="1">$B$9</f>
        <v>NAC</v>
      </c>
      <c r="C15" s="16"/>
      <c r="D15" s="16">
        <v>28.085999999999999</v>
      </c>
      <c r="E15" s="16">
        <v>42.606999999999999</v>
      </c>
      <c r="F15" s="16">
        <v>35.427</v>
      </c>
      <c r="G15" s="16">
        <v>44.087000000000003</v>
      </c>
      <c r="H15" s="16">
        <v>38.802999999999997</v>
      </c>
      <c r="I15" s="16">
        <v>41.936999999999998</v>
      </c>
      <c r="J15" s="17">
        <v>44.863999999999997</v>
      </c>
      <c r="K15" s="17">
        <v>46.523000000000003</v>
      </c>
      <c r="L15" s="17">
        <v>47.962000000000003</v>
      </c>
      <c r="M15" s="17">
        <v>49.622</v>
      </c>
      <c r="N15" s="17">
        <v>50.691000000000003</v>
      </c>
    </row>
    <row r="16" spans="1:14" x14ac:dyDescent="0.25">
      <c r="A16" s="11" t="s">
        <v>458</v>
      </c>
      <c r="B16" s="92" t="str">
        <f t="shared" si="1"/>
        <v>NAC</v>
      </c>
      <c r="C16" s="16"/>
      <c r="D16" s="16">
        <v>25.933</v>
      </c>
      <c r="E16" s="16">
        <v>27.774999999999999</v>
      </c>
      <c r="F16" s="16">
        <v>29.817</v>
      </c>
      <c r="G16" s="16">
        <v>32.648000000000003</v>
      </c>
      <c r="H16" s="16">
        <v>36.052</v>
      </c>
      <c r="I16" s="16">
        <v>39.082999999999998</v>
      </c>
      <c r="J16" s="17">
        <v>39.61</v>
      </c>
      <c r="K16" s="17">
        <v>40.758000000000003</v>
      </c>
      <c r="L16" s="17">
        <v>41.475000000000001</v>
      </c>
      <c r="M16" s="17">
        <v>41.884</v>
      </c>
      <c r="N16" s="17">
        <v>42.311</v>
      </c>
    </row>
    <row r="17" spans="1:14" x14ac:dyDescent="0.25">
      <c r="A17" s="11" t="s">
        <v>459</v>
      </c>
      <c r="B17" s="92" t="str">
        <f t="shared" si="1"/>
        <v>NAC</v>
      </c>
      <c r="C17" s="16"/>
      <c r="D17" s="16">
        <v>4.5540000000000003</v>
      </c>
      <c r="E17" s="16">
        <v>5.2939999999999996</v>
      </c>
      <c r="F17" s="16">
        <v>5.5659999999999998</v>
      </c>
      <c r="G17" s="16">
        <v>6.1520000000000001</v>
      </c>
      <c r="H17" s="16">
        <v>6.601</v>
      </c>
      <c r="I17" s="16">
        <v>7.6210000000000004</v>
      </c>
      <c r="J17" s="17">
        <v>8.06</v>
      </c>
      <c r="K17" s="17">
        <v>8.4239999999999995</v>
      </c>
      <c r="L17" s="17">
        <v>8.7170000000000005</v>
      </c>
      <c r="M17" s="17">
        <v>9.0640000000000001</v>
      </c>
      <c r="N17" s="17">
        <v>9.2050000000000001</v>
      </c>
    </row>
    <row r="18" spans="1:14" x14ac:dyDescent="0.25">
      <c r="A18" s="11" t="s">
        <v>460</v>
      </c>
      <c r="B18" s="92" t="str">
        <f t="shared" si="1"/>
        <v>NAC</v>
      </c>
      <c r="C18" s="16"/>
      <c r="D18" s="16">
        <v>42.692999999999998</v>
      </c>
      <c r="E18" s="16">
        <v>52.582999999999998</v>
      </c>
      <c r="F18" s="16">
        <v>53.802</v>
      </c>
      <c r="G18" s="16">
        <v>58.273000000000003</v>
      </c>
      <c r="H18" s="16">
        <v>64.134</v>
      </c>
      <c r="I18" s="16">
        <v>70.62</v>
      </c>
      <c r="J18" s="17">
        <v>72.674000000000007</v>
      </c>
      <c r="K18" s="17">
        <v>72.900999999999996</v>
      </c>
      <c r="L18" s="17">
        <v>71.614999999999995</v>
      </c>
      <c r="M18" s="17">
        <v>69.317999999999998</v>
      </c>
      <c r="N18" s="17">
        <v>69.343000000000004</v>
      </c>
    </row>
    <row r="19" spans="1:14" x14ac:dyDescent="0.25">
      <c r="A19" s="11" t="s">
        <v>461</v>
      </c>
      <c r="B19" s="92" t="str">
        <f t="shared" si="1"/>
        <v>NAC</v>
      </c>
      <c r="C19" s="16"/>
      <c r="D19" s="16">
        <v>4.298</v>
      </c>
      <c r="E19" s="16">
        <v>3.754</v>
      </c>
      <c r="F19" s="16">
        <v>2.2719999999999998</v>
      </c>
      <c r="G19" s="16">
        <v>3.3490000000000002</v>
      </c>
      <c r="H19" s="16">
        <v>7.4480000000000004</v>
      </c>
      <c r="I19" s="16">
        <v>10.374000000000001</v>
      </c>
      <c r="J19" s="17">
        <v>10.311999999999999</v>
      </c>
      <c r="K19" s="17">
        <v>11.073</v>
      </c>
      <c r="L19" s="17">
        <v>12.122</v>
      </c>
      <c r="M19" s="17">
        <v>13.342000000000001</v>
      </c>
      <c r="N19" s="17">
        <v>14.398999999999999</v>
      </c>
    </row>
    <row r="20" spans="1:14" x14ac:dyDescent="0.25">
      <c r="A20" s="11" t="s">
        <v>462</v>
      </c>
      <c r="B20" s="92" t="str">
        <f t="shared" si="1"/>
        <v>NAC</v>
      </c>
      <c r="C20" s="16"/>
      <c r="D20" s="16">
        <v>5.8120000000000003</v>
      </c>
      <c r="E20" s="16">
        <v>6.9029999999999996</v>
      </c>
      <c r="F20" s="16">
        <v>6.8380000000000001</v>
      </c>
      <c r="G20" s="16">
        <v>6.4470000000000001</v>
      </c>
      <c r="H20" s="16">
        <v>8.7840000000000007</v>
      </c>
      <c r="I20" s="16">
        <v>10.426</v>
      </c>
      <c r="J20" s="17">
        <v>11.292</v>
      </c>
      <c r="K20" s="17">
        <v>10.659000000000001</v>
      </c>
      <c r="L20" s="17">
        <v>11.323</v>
      </c>
      <c r="M20" s="17">
        <v>11.895</v>
      </c>
      <c r="N20" s="17">
        <v>12.323</v>
      </c>
    </row>
    <row r="21" spans="1:14" x14ac:dyDescent="0.25">
      <c r="A21" s="11" t="s">
        <v>463</v>
      </c>
      <c r="B21" s="92" t="str">
        <f t="shared" si="1"/>
        <v>NAC</v>
      </c>
      <c r="C21" s="16"/>
      <c r="D21" s="16">
        <v>0</v>
      </c>
      <c r="E21" s="16">
        <v>0</v>
      </c>
      <c r="F21" s="16">
        <v>0</v>
      </c>
      <c r="G21" s="16">
        <v>0</v>
      </c>
      <c r="H21" s="16">
        <v>0</v>
      </c>
      <c r="I21" s="16">
        <v>0</v>
      </c>
      <c r="J21" s="17">
        <v>0</v>
      </c>
      <c r="K21" s="17">
        <v>1.72</v>
      </c>
      <c r="L21" s="17">
        <v>2.7189999999999999</v>
      </c>
      <c r="M21" s="17">
        <v>5.3689999999999998</v>
      </c>
      <c r="N21" s="17">
        <v>7.9029999999999996</v>
      </c>
    </row>
    <row r="22" spans="1:14" x14ac:dyDescent="0.25">
      <c r="A22" s="11" t="s">
        <v>464</v>
      </c>
      <c r="B22" s="92" t="str">
        <f>$B$10</f>
        <v>UIM</v>
      </c>
      <c r="C22" s="16"/>
      <c r="D22" s="16">
        <v>0</v>
      </c>
      <c r="E22" s="16">
        <v>0</v>
      </c>
      <c r="F22" s="16">
        <v>0</v>
      </c>
      <c r="G22" s="16">
        <v>0</v>
      </c>
      <c r="H22" s="16">
        <v>0</v>
      </c>
      <c r="I22" s="16">
        <v>0</v>
      </c>
      <c r="J22" s="17">
        <v>-2.7</v>
      </c>
      <c r="K22" s="17">
        <v>-0.9</v>
      </c>
      <c r="L22" s="17">
        <v>-0.6</v>
      </c>
      <c r="M22" s="17">
        <v>-0.6</v>
      </c>
      <c r="N22" s="17">
        <v>-0.6</v>
      </c>
    </row>
    <row r="23" spans="1:14" x14ac:dyDescent="0.25">
      <c r="A23" s="55" t="s">
        <v>465</v>
      </c>
      <c r="B23" s="92" t="str">
        <f t="shared" si="1"/>
        <v>NAC</v>
      </c>
      <c r="C23" s="16"/>
      <c r="D23" s="56">
        <f t="shared" ref="D23:N23" si="2">SUM(D$15:D$22)</f>
        <v>111.37599999999999</v>
      </c>
      <c r="E23" s="56">
        <f t="shared" si="2"/>
        <v>138.916</v>
      </c>
      <c r="F23" s="56">
        <f t="shared" si="2"/>
        <v>133.72200000000001</v>
      </c>
      <c r="G23" s="56">
        <f t="shared" si="2"/>
        <v>150.95600000000002</v>
      </c>
      <c r="H23" s="56">
        <f t="shared" si="2"/>
        <v>161.82199999999997</v>
      </c>
      <c r="I23" s="56">
        <f t="shared" si="2"/>
        <v>180.06099999999998</v>
      </c>
      <c r="J23" s="56">
        <f t="shared" si="2"/>
        <v>184.11200000000002</v>
      </c>
      <c r="K23" s="56">
        <f t="shared" si="2"/>
        <v>191.15799999999999</v>
      </c>
      <c r="L23" s="56">
        <f t="shared" si="2"/>
        <v>195.33300000000003</v>
      </c>
      <c r="M23" s="56">
        <f t="shared" si="2"/>
        <v>199.89400000000001</v>
      </c>
      <c r="N23" s="56">
        <f t="shared" si="2"/>
        <v>205.57500000000002</v>
      </c>
    </row>
    <row r="24" spans="1:14" x14ac:dyDescent="0.25">
      <c r="A24" s="11" t="s">
        <v>466</v>
      </c>
      <c r="B24" s="92" t="str">
        <f t="shared" ref="B24:B28" si="3">$B$10</f>
        <v>UIM</v>
      </c>
      <c r="C24" s="16"/>
      <c r="D24" s="16">
        <v>4.444</v>
      </c>
      <c r="E24" s="16">
        <v>-1.35</v>
      </c>
      <c r="F24" s="16">
        <v>14.154</v>
      </c>
      <c r="G24" s="16">
        <v>-9.6869999999999994</v>
      </c>
      <c r="H24" s="16">
        <v>7.7110000000000003</v>
      </c>
      <c r="I24" s="16">
        <v>11.41</v>
      </c>
      <c r="J24" s="17">
        <v>9.2870000000000008</v>
      </c>
      <c r="K24" s="17">
        <v>5.6920000000000002</v>
      </c>
      <c r="L24" s="17">
        <v>6.0170000000000003</v>
      </c>
      <c r="M24" s="17">
        <v>6.4740000000000002</v>
      </c>
      <c r="N24" s="17">
        <v>6.9139999999999997</v>
      </c>
    </row>
    <row r="25" spans="1:14" x14ac:dyDescent="0.25">
      <c r="A25" s="11" t="s">
        <v>467</v>
      </c>
      <c r="B25" s="92" t="str">
        <f t="shared" si="3"/>
        <v>UIM</v>
      </c>
      <c r="C25" s="16"/>
      <c r="D25" s="16">
        <v>-11.574999999999999</v>
      </c>
      <c r="E25" s="16">
        <v>-7.3719999999999999</v>
      </c>
      <c r="F25" s="16">
        <v>6.8689999999999998</v>
      </c>
      <c r="G25" s="16">
        <v>2.9649999999999999</v>
      </c>
      <c r="H25" s="16">
        <v>6.9470000000000001</v>
      </c>
      <c r="I25" s="16">
        <v>-6.7430000000000003</v>
      </c>
      <c r="J25" s="17">
        <v>-0.20599999999999999</v>
      </c>
      <c r="K25" s="17">
        <v>0</v>
      </c>
      <c r="L25" s="17">
        <v>0</v>
      </c>
      <c r="M25" s="17">
        <v>0</v>
      </c>
      <c r="N25" s="17">
        <v>0</v>
      </c>
    </row>
    <row r="26" spans="1:14" x14ac:dyDescent="0.25">
      <c r="A26" s="55" t="s">
        <v>468</v>
      </c>
      <c r="B26" s="92" t="str">
        <f t="shared" ref="B26" si="4">$B$9</f>
        <v>NAC</v>
      </c>
      <c r="C26" s="16"/>
      <c r="D26" s="56">
        <f>SUM(D$24:D$25)</f>
        <v>-7.1309999999999993</v>
      </c>
      <c r="E26" s="56">
        <f t="shared" ref="E26:N26" si="5">SUM(E$24:E$25)</f>
        <v>-8.7219999999999995</v>
      </c>
      <c r="F26" s="56">
        <f t="shared" si="5"/>
        <v>21.023</v>
      </c>
      <c r="G26" s="56">
        <f t="shared" si="5"/>
        <v>-6.7219999999999995</v>
      </c>
      <c r="H26" s="56">
        <f t="shared" si="5"/>
        <v>14.658000000000001</v>
      </c>
      <c r="I26" s="56">
        <f t="shared" si="5"/>
        <v>4.6669999999999998</v>
      </c>
      <c r="J26" s="56">
        <f t="shared" si="5"/>
        <v>9.0810000000000013</v>
      </c>
      <c r="K26" s="56">
        <f t="shared" si="5"/>
        <v>5.6920000000000002</v>
      </c>
      <c r="L26" s="56">
        <f t="shared" si="5"/>
        <v>6.0170000000000003</v>
      </c>
      <c r="M26" s="56">
        <f t="shared" si="5"/>
        <v>6.4740000000000002</v>
      </c>
      <c r="N26" s="56">
        <f t="shared" si="5"/>
        <v>6.9139999999999997</v>
      </c>
    </row>
    <row r="27" spans="1:14" x14ac:dyDescent="0.25">
      <c r="A27" s="11" t="s">
        <v>469</v>
      </c>
      <c r="B27" s="92" t="str">
        <f t="shared" si="3"/>
        <v>UIM</v>
      </c>
      <c r="C27" s="16"/>
      <c r="D27" s="16">
        <v>0.20599999999999999</v>
      </c>
      <c r="E27" s="16">
        <v>1.1930000000000001</v>
      </c>
      <c r="F27" s="16">
        <v>-0.36</v>
      </c>
      <c r="G27" s="16">
        <v>-0.126</v>
      </c>
      <c r="H27" s="16">
        <v>2.9000000000000001E-2</v>
      </c>
      <c r="I27" s="16">
        <v>0.12</v>
      </c>
      <c r="J27" s="17">
        <v>0.192</v>
      </c>
      <c r="K27" s="17">
        <v>7.0999999999999994E-2</v>
      </c>
      <c r="L27" s="17">
        <v>0.114</v>
      </c>
      <c r="M27" s="17">
        <v>0.14799999999999999</v>
      </c>
      <c r="N27" s="17">
        <v>0.21099999999999999</v>
      </c>
    </row>
    <row r="28" spans="1:14" x14ac:dyDescent="0.25">
      <c r="A28" s="11" t="s">
        <v>470</v>
      </c>
      <c r="B28" s="92" t="str">
        <f t="shared" si="3"/>
        <v>UIM</v>
      </c>
      <c r="C28" s="16"/>
      <c r="D28" s="16">
        <v>0.45200000000000001</v>
      </c>
      <c r="E28" s="16">
        <v>-0.40200000000000002</v>
      </c>
      <c r="F28" s="16">
        <v>0.11700000000000001</v>
      </c>
      <c r="G28" s="16">
        <v>0.755</v>
      </c>
      <c r="H28" s="16">
        <v>0.55500000000000005</v>
      </c>
      <c r="I28" s="16">
        <v>0.438</v>
      </c>
      <c r="J28" s="17">
        <v>0.30499999999999999</v>
      </c>
      <c r="K28" s="17">
        <v>0.35299999999999998</v>
      </c>
      <c r="L28" s="17">
        <v>0.48599999999999999</v>
      </c>
      <c r="M28" s="17">
        <v>0.55700000000000005</v>
      </c>
      <c r="N28" s="17">
        <v>0.49</v>
      </c>
    </row>
    <row r="29" spans="1:14" x14ac:dyDescent="0.25">
      <c r="A29" s="55" t="s">
        <v>471</v>
      </c>
      <c r="B29" s="92" t="str">
        <f>$B$9</f>
        <v>NAC</v>
      </c>
      <c r="C29" s="16"/>
      <c r="D29" s="47">
        <v>0.38900000000000001</v>
      </c>
      <c r="E29" s="47">
        <v>-30.04</v>
      </c>
      <c r="F29" s="47">
        <v>16.158999999999999</v>
      </c>
      <c r="G29" s="47">
        <v>-16.931999999999999</v>
      </c>
      <c r="H29" s="47">
        <v>5.3209999999999997</v>
      </c>
      <c r="I29" s="47">
        <v>-8.3650000000000002</v>
      </c>
      <c r="J29" s="43">
        <v>-5.4930000000000003</v>
      </c>
      <c r="K29" s="43">
        <v>-9.8840000000000003</v>
      </c>
      <c r="L29" s="43">
        <v>-5.665</v>
      </c>
      <c r="M29" s="43">
        <v>-3.9E-2</v>
      </c>
      <c r="N29" s="43">
        <v>4.0709999999999997</v>
      </c>
    </row>
    <row r="30" spans="1:14" x14ac:dyDescent="0.25">
      <c r="A30" s="55" t="s">
        <v>472</v>
      </c>
      <c r="B30" s="11"/>
      <c r="C30" s="16"/>
      <c r="D30" s="57" t="str">
        <f t="shared" ref="D30:N30" si="6">IF(ROUND(D$29-(D$14-D$23+D$26+D$27-D$28),3)=0,"OK","ERROR")</f>
        <v>OK</v>
      </c>
      <c r="E30" s="57" t="str">
        <f t="shared" si="6"/>
        <v>OK</v>
      </c>
      <c r="F30" s="57" t="str">
        <f t="shared" si="6"/>
        <v>OK</v>
      </c>
      <c r="G30" s="57" t="str">
        <f t="shared" si="6"/>
        <v>OK</v>
      </c>
      <c r="H30" s="57" t="str">
        <f t="shared" si="6"/>
        <v>OK</v>
      </c>
      <c r="I30" s="57" t="str">
        <f t="shared" si="6"/>
        <v>OK</v>
      </c>
      <c r="J30" s="57" t="str">
        <f t="shared" si="6"/>
        <v>OK</v>
      </c>
      <c r="K30" s="57" t="str">
        <f t="shared" si="6"/>
        <v>OK</v>
      </c>
      <c r="L30" s="57" t="str">
        <f t="shared" si="6"/>
        <v>OK</v>
      </c>
      <c r="M30" s="57" t="str">
        <f t="shared" si="6"/>
        <v>OK</v>
      </c>
      <c r="N30" s="57" t="str">
        <f t="shared" si="6"/>
        <v>OK</v>
      </c>
    </row>
    <row r="31" spans="1:14" x14ac:dyDescent="0.25">
      <c r="A31" s="55" t="s">
        <v>473</v>
      </c>
      <c r="B31" s="16"/>
      <c r="C31" s="16"/>
      <c r="D31" s="56">
        <f t="shared" ref="D31:N31" si="7">SUM(D$14,-D$23,D$26,D$27)</f>
        <v>0.84100000000000597</v>
      </c>
      <c r="E31" s="56">
        <f t="shared" si="7"/>
        <v>-30.441999999999997</v>
      </c>
      <c r="F31" s="56">
        <f t="shared" si="7"/>
        <v>16.275999999999971</v>
      </c>
      <c r="G31" s="56">
        <f t="shared" si="7"/>
        <v>-16.17700000000001</v>
      </c>
      <c r="H31" s="56">
        <f t="shared" si="7"/>
        <v>5.8760000000000225</v>
      </c>
      <c r="I31" s="56">
        <f t="shared" si="7"/>
        <v>-7.9269999999999987</v>
      </c>
      <c r="J31" s="56">
        <f t="shared" si="7"/>
        <v>-5.1880000000000397</v>
      </c>
      <c r="K31" s="56">
        <f t="shared" si="7"/>
        <v>-9.5309999999999828</v>
      </c>
      <c r="L31" s="56">
        <f t="shared" si="7"/>
        <v>-5.1790000000000305</v>
      </c>
      <c r="M31" s="56">
        <f t="shared" si="7"/>
        <v>0.5179999999999868</v>
      </c>
      <c r="N31" s="56">
        <f t="shared" si="7"/>
        <v>4.561000000000007</v>
      </c>
    </row>
    <row r="32" spans="1:14" x14ac:dyDescent="0.25">
      <c r="A32" s="11" t="s">
        <v>474</v>
      </c>
      <c r="B32" s="92" t="str">
        <f>$B$10</f>
        <v>UIM</v>
      </c>
      <c r="C32" s="16"/>
      <c r="D32" s="16">
        <v>0.115</v>
      </c>
      <c r="E32" s="16">
        <v>-0.54600000000000004</v>
      </c>
      <c r="F32" s="16">
        <v>-5.6000000000000001E-2</v>
      </c>
      <c r="G32" s="16">
        <v>0.39300000000000002</v>
      </c>
      <c r="H32" s="16">
        <v>-0.08</v>
      </c>
      <c r="I32" s="16">
        <v>0.29799999999999999</v>
      </c>
      <c r="J32" s="17">
        <v>2.5999999999999999E-2</v>
      </c>
      <c r="K32" s="17">
        <v>4.4999999999999998E-2</v>
      </c>
      <c r="L32" s="17">
        <v>4.1000000000000002E-2</v>
      </c>
      <c r="M32" s="17">
        <v>4.2000000000000003E-2</v>
      </c>
      <c r="N32" s="17">
        <v>4.3999999999999997E-2</v>
      </c>
    </row>
    <row r="33" spans="1:14" x14ac:dyDescent="0.25">
      <c r="A33" s="55" t="s">
        <v>475</v>
      </c>
      <c r="B33" s="92" t="str">
        <f>$B$9</f>
        <v>NAC</v>
      </c>
      <c r="C33" s="16"/>
      <c r="D33" s="47">
        <v>7.4290000000000003</v>
      </c>
      <c r="E33" s="47">
        <v>-23.056999999999999</v>
      </c>
      <c r="F33" s="47">
        <v>-4.5599999999999996</v>
      </c>
      <c r="G33" s="47">
        <v>-9.6910000000000007</v>
      </c>
      <c r="H33" s="47">
        <v>-9.4459999999999997</v>
      </c>
      <c r="I33" s="47">
        <v>-12.853999999999999</v>
      </c>
      <c r="J33" s="43">
        <v>-14.74</v>
      </c>
      <c r="K33" s="43">
        <v>-15.602</v>
      </c>
      <c r="L33" s="43">
        <v>-11.755000000000001</v>
      </c>
      <c r="M33" s="43">
        <v>-6.6189999999999998</v>
      </c>
      <c r="N33" s="43">
        <v>-3.01</v>
      </c>
    </row>
    <row r="34" spans="1:14" x14ac:dyDescent="0.25">
      <c r="A34" s="55" t="s">
        <v>476</v>
      </c>
      <c r="B34" s="92"/>
      <c r="C34" s="16"/>
      <c r="D34" s="57" t="str">
        <f>IF(ROUND(D$33-(D$29-D$26-D$27+D$32),3)=0,"OK","ERROR")</f>
        <v>OK</v>
      </c>
      <c r="E34" s="57" t="str">
        <f t="shared" ref="E34:N34" si="8">IF(ROUND(E$33-(E$29-E$26-E$27+E$32),3)=0,"OK","ERROR")</f>
        <v>OK</v>
      </c>
      <c r="F34" s="57" t="str">
        <f t="shared" si="8"/>
        <v>OK</v>
      </c>
      <c r="G34" s="57" t="str">
        <f t="shared" si="8"/>
        <v>OK</v>
      </c>
      <c r="H34" s="57" t="str">
        <f t="shared" si="8"/>
        <v>OK</v>
      </c>
      <c r="I34" s="57" t="str">
        <f t="shared" si="8"/>
        <v>OK</v>
      </c>
      <c r="J34" s="57" t="str">
        <f t="shared" si="8"/>
        <v>OK</v>
      </c>
      <c r="K34" s="57" t="str">
        <f t="shared" si="8"/>
        <v>OK</v>
      </c>
      <c r="L34" s="57" t="str">
        <f t="shared" si="8"/>
        <v>OK</v>
      </c>
      <c r="M34" s="57" t="str">
        <f t="shared" si="8"/>
        <v>OK</v>
      </c>
      <c r="N34" s="57" t="str">
        <f t="shared" si="8"/>
        <v>OK</v>
      </c>
    </row>
    <row r="35" spans="1:14" x14ac:dyDescent="0.25">
      <c r="A35" s="11" t="s">
        <v>1090</v>
      </c>
      <c r="B35" s="92" t="str">
        <f t="shared" ref="B35:B36" si="9">$B$10</f>
        <v>UIM</v>
      </c>
      <c r="C35" s="16"/>
      <c r="D35" s="16">
        <v>5.827</v>
      </c>
      <c r="E35" s="16">
        <v>5.73</v>
      </c>
      <c r="F35" s="16">
        <v>6.1950000000000003</v>
      </c>
      <c r="G35" s="16">
        <v>6.625</v>
      </c>
      <c r="H35" s="16">
        <v>7.39</v>
      </c>
      <c r="I35" s="16">
        <v>7.9290000000000003</v>
      </c>
      <c r="J35" s="17">
        <v>8.5640000000000001</v>
      </c>
      <c r="K35" s="17">
        <v>9.0779999999999994</v>
      </c>
      <c r="L35" s="17">
        <v>9.76</v>
      </c>
      <c r="M35" s="17">
        <v>10.48</v>
      </c>
      <c r="N35" s="17">
        <v>11.268000000000001</v>
      </c>
    </row>
    <row r="36" spans="1:14" x14ac:dyDescent="0.25">
      <c r="A36" s="11" t="s">
        <v>1091</v>
      </c>
      <c r="B36" s="92" t="str">
        <f t="shared" si="9"/>
        <v>UIM</v>
      </c>
      <c r="C36" s="16"/>
      <c r="D36" s="16">
        <v>6.9020000000000001</v>
      </c>
      <c r="E36" s="16">
        <v>7.8849999999999998</v>
      </c>
      <c r="F36" s="16">
        <v>8.1959999999999997</v>
      </c>
      <c r="G36" s="16">
        <v>7.6520000000000001</v>
      </c>
      <c r="H36" s="16">
        <v>9.6370000000000005</v>
      </c>
      <c r="I36" s="16">
        <v>12.01</v>
      </c>
      <c r="J36" s="17">
        <v>13.129</v>
      </c>
      <c r="K36" s="17">
        <v>12.605</v>
      </c>
      <c r="L36" s="17">
        <v>13.37</v>
      </c>
      <c r="M36" s="17">
        <v>14.006</v>
      </c>
      <c r="N36" s="17">
        <v>14.492000000000001</v>
      </c>
    </row>
    <row r="37" spans="1:14" x14ac:dyDescent="0.25">
      <c r="A37" s="9" t="s">
        <v>1092</v>
      </c>
      <c r="B37" s="92" t="str">
        <f>$B$9</f>
        <v>NAC</v>
      </c>
      <c r="C37" s="16"/>
      <c r="D37" s="47">
        <v>8.5039999999999996</v>
      </c>
      <c r="E37" s="47">
        <v>-20.902000000000001</v>
      </c>
      <c r="F37" s="47">
        <v>-2.5590000000000002</v>
      </c>
      <c r="G37" s="47">
        <v>-8.6639999999999997</v>
      </c>
      <c r="H37" s="47">
        <v>-7.1989999999999998</v>
      </c>
      <c r="I37" s="47">
        <v>-8.7729999999999997</v>
      </c>
      <c r="J37" s="43">
        <v>-10.175000000000001</v>
      </c>
      <c r="K37" s="43">
        <v>-12.074999999999999</v>
      </c>
      <c r="L37" s="43">
        <v>-8.1449999999999996</v>
      </c>
      <c r="M37" s="43">
        <v>-3.093</v>
      </c>
      <c r="N37" s="43">
        <v>0.214</v>
      </c>
    </row>
    <row r="38" spans="1:14" x14ac:dyDescent="0.25">
      <c r="A38" s="55" t="s">
        <v>1093</v>
      </c>
      <c r="B38" s="92"/>
      <c r="C38" s="16"/>
      <c r="D38" s="57" t="str">
        <f>IF(ROUND(D$37-(D$33-(D$35-D$36)),3)=0,"OK","ERROR")</f>
        <v>OK</v>
      </c>
      <c r="E38" s="57" t="str">
        <f t="shared" ref="E38:N38" si="10">IF(ROUND(E$37-(E$33-(E$35-E$36)),3)=0,"OK","ERROR")</f>
        <v>OK</v>
      </c>
      <c r="F38" s="57" t="str">
        <f t="shared" si="10"/>
        <v>OK</v>
      </c>
      <c r="G38" s="57" t="str">
        <f t="shared" si="10"/>
        <v>OK</v>
      </c>
      <c r="H38" s="57" t="str">
        <f t="shared" si="10"/>
        <v>OK</v>
      </c>
      <c r="I38" s="57" t="str">
        <f t="shared" si="10"/>
        <v>OK</v>
      </c>
      <c r="J38" s="57" t="str">
        <f t="shared" si="10"/>
        <v>OK</v>
      </c>
      <c r="K38" s="57" t="str">
        <f t="shared" si="10"/>
        <v>OK</v>
      </c>
      <c r="L38" s="57" t="str">
        <f t="shared" si="10"/>
        <v>OK</v>
      </c>
      <c r="M38" s="57" t="str">
        <f t="shared" si="10"/>
        <v>OK</v>
      </c>
      <c r="N38" s="57" t="str">
        <f t="shared" si="10"/>
        <v>OK</v>
      </c>
    </row>
    <row r="39" spans="1:14" x14ac:dyDescent="0.25">
      <c r="A39" s="55" t="s">
        <v>477</v>
      </c>
      <c r="B39" s="92"/>
      <c r="C39" s="16"/>
      <c r="D39" s="16"/>
      <c r="E39" s="16"/>
      <c r="F39" s="16"/>
      <c r="G39" s="16"/>
      <c r="H39" s="16"/>
      <c r="I39" s="16"/>
      <c r="J39" s="16"/>
      <c r="K39" s="16"/>
      <c r="L39" s="16"/>
      <c r="M39" s="16"/>
      <c r="N39" s="16"/>
    </row>
    <row r="40" spans="1:14" x14ac:dyDescent="0.25">
      <c r="A40" s="11" t="s">
        <v>478</v>
      </c>
      <c r="B40" s="92" t="str">
        <f>$B$10</f>
        <v>UIM</v>
      </c>
      <c r="C40" s="16"/>
      <c r="D40" s="16">
        <v>33.902000000000001</v>
      </c>
      <c r="E40" s="16">
        <v>49.9</v>
      </c>
      <c r="F40" s="16">
        <v>42.892000000000003</v>
      </c>
      <c r="G40" s="16">
        <v>48.302999999999997</v>
      </c>
      <c r="H40" s="16">
        <v>48.844999999999999</v>
      </c>
      <c r="I40" s="16">
        <v>53.996000000000002</v>
      </c>
      <c r="J40" s="17">
        <v>57.838999999999999</v>
      </c>
      <c r="K40" s="17">
        <v>59.475000000000001</v>
      </c>
      <c r="L40" s="17">
        <v>61.591000000000001</v>
      </c>
      <c r="M40" s="17">
        <v>63.673000000000002</v>
      </c>
      <c r="N40" s="17">
        <v>65.144000000000005</v>
      </c>
    </row>
    <row r="41" spans="1:14" x14ac:dyDescent="0.25">
      <c r="A41" s="11" t="s">
        <v>479</v>
      </c>
      <c r="B41" s="92" t="str">
        <f t="shared" ref="B41:B53" si="11">$B$10</f>
        <v>UIM</v>
      </c>
      <c r="C41" s="16"/>
      <c r="D41" s="16">
        <v>18.66</v>
      </c>
      <c r="E41" s="16">
        <v>20.469000000000001</v>
      </c>
      <c r="F41" s="16">
        <v>22.597999999999999</v>
      </c>
      <c r="G41" s="16">
        <v>27.658000000000001</v>
      </c>
      <c r="H41" s="16">
        <v>29.824000000000002</v>
      </c>
      <c r="I41" s="16">
        <v>29.84</v>
      </c>
      <c r="J41" s="17">
        <v>30.713000000000001</v>
      </c>
      <c r="K41" s="17">
        <v>31.224</v>
      </c>
      <c r="L41" s="17">
        <v>32.524999999999999</v>
      </c>
      <c r="M41" s="17">
        <v>32.313000000000002</v>
      </c>
      <c r="N41" s="17">
        <v>32.295999999999999</v>
      </c>
    </row>
    <row r="42" spans="1:14" x14ac:dyDescent="0.25">
      <c r="A42" s="11" t="s">
        <v>480</v>
      </c>
      <c r="B42" s="92" t="str">
        <f t="shared" si="11"/>
        <v>UIM</v>
      </c>
      <c r="C42" s="16"/>
      <c r="D42" s="16">
        <v>15.28</v>
      </c>
      <c r="E42" s="16">
        <v>17.581</v>
      </c>
      <c r="F42" s="16">
        <v>17.384</v>
      </c>
      <c r="G42" s="16">
        <v>18.911000000000001</v>
      </c>
      <c r="H42" s="16">
        <v>19.609000000000002</v>
      </c>
      <c r="I42" s="16">
        <v>21.186</v>
      </c>
      <c r="J42" s="17">
        <v>22.324000000000002</v>
      </c>
      <c r="K42" s="17">
        <v>22.949000000000002</v>
      </c>
      <c r="L42" s="17">
        <v>22.936</v>
      </c>
      <c r="M42" s="17">
        <v>22.811</v>
      </c>
      <c r="N42" s="17">
        <v>22.882000000000001</v>
      </c>
    </row>
    <row r="43" spans="1:14" x14ac:dyDescent="0.25">
      <c r="A43" s="11" t="s">
        <v>481</v>
      </c>
      <c r="B43" s="92" t="str">
        <f t="shared" si="11"/>
        <v>UIM</v>
      </c>
      <c r="C43" s="16"/>
      <c r="D43" s="16">
        <v>4.7320000000000002</v>
      </c>
      <c r="E43" s="16">
        <v>5.8689999999999998</v>
      </c>
      <c r="F43" s="16">
        <v>5.6020000000000003</v>
      </c>
      <c r="G43" s="16">
        <v>5.4260000000000002</v>
      </c>
      <c r="H43" s="16">
        <v>6.6630000000000003</v>
      </c>
      <c r="I43" s="16">
        <v>8.1780000000000008</v>
      </c>
      <c r="J43" s="17">
        <v>7.9550000000000001</v>
      </c>
      <c r="K43" s="17">
        <v>6.5519999999999996</v>
      </c>
      <c r="L43" s="17">
        <v>6.702</v>
      </c>
      <c r="M43" s="17">
        <v>6.0140000000000002</v>
      </c>
      <c r="N43" s="17">
        <v>6.1180000000000003</v>
      </c>
    </row>
    <row r="44" spans="1:14" x14ac:dyDescent="0.25">
      <c r="A44" s="11" t="s">
        <v>482</v>
      </c>
      <c r="B44" s="92" t="str">
        <f t="shared" si="11"/>
        <v>UIM</v>
      </c>
      <c r="C44" s="16"/>
      <c r="D44" s="16">
        <v>5.05</v>
      </c>
      <c r="E44" s="16">
        <v>5.3040000000000003</v>
      </c>
      <c r="F44" s="16">
        <v>5.5330000000000004</v>
      </c>
      <c r="G44" s="16">
        <v>5.9210000000000003</v>
      </c>
      <c r="H44" s="16">
        <v>6.6660000000000004</v>
      </c>
      <c r="I44" s="16">
        <v>7.0720000000000001</v>
      </c>
      <c r="J44" s="17">
        <v>7.55</v>
      </c>
      <c r="K44" s="17">
        <v>7.9459999999999997</v>
      </c>
      <c r="L44" s="17">
        <v>7.7690000000000001</v>
      </c>
      <c r="M44" s="17">
        <v>7.7460000000000004</v>
      </c>
      <c r="N44" s="17">
        <v>7.6929999999999996</v>
      </c>
    </row>
    <row r="45" spans="1:14" x14ac:dyDescent="0.25">
      <c r="A45" s="11" t="s">
        <v>483</v>
      </c>
      <c r="B45" s="92" t="str">
        <f t="shared" si="11"/>
        <v>UIM</v>
      </c>
      <c r="C45" s="16"/>
      <c r="D45" s="16">
        <v>8.4290000000000003</v>
      </c>
      <c r="E45" s="16">
        <v>12.962</v>
      </c>
      <c r="F45" s="16">
        <v>10.335000000000001</v>
      </c>
      <c r="G45" s="16">
        <v>9.5280000000000005</v>
      </c>
      <c r="H45" s="16">
        <v>14.428000000000001</v>
      </c>
      <c r="I45" s="16">
        <v>16.733000000000001</v>
      </c>
      <c r="J45" s="17">
        <v>16.224</v>
      </c>
      <c r="K45" s="17">
        <v>18.323</v>
      </c>
      <c r="L45" s="17">
        <v>16.518999999999998</v>
      </c>
      <c r="M45" s="17">
        <v>16.111999999999998</v>
      </c>
      <c r="N45" s="17">
        <v>16.712</v>
      </c>
    </row>
    <row r="46" spans="1:14" x14ac:dyDescent="0.25">
      <c r="A46" s="11" t="s">
        <v>484</v>
      </c>
      <c r="B46" s="92" t="str">
        <f t="shared" si="11"/>
        <v>UIM</v>
      </c>
      <c r="C46" s="16"/>
      <c r="D46" s="16">
        <v>10.433</v>
      </c>
      <c r="E46" s="16">
        <v>11.246</v>
      </c>
      <c r="F46" s="16">
        <v>13.429</v>
      </c>
      <c r="G46" s="16">
        <v>16.672999999999998</v>
      </c>
      <c r="H46" s="16">
        <v>12.384</v>
      </c>
      <c r="I46" s="16">
        <v>16.007999999999999</v>
      </c>
      <c r="J46" s="17">
        <v>16.617000000000001</v>
      </c>
      <c r="K46" s="17">
        <v>15.885999999999999</v>
      </c>
      <c r="L46" s="17">
        <v>15.853</v>
      </c>
      <c r="M46" s="17">
        <v>16.274000000000001</v>
      </c>
      <c r="N46" s="17">
        <v>16.192</v>
      </c>
    </row>
    <row r="47" spans="1:14" x14ac:dyDescent="0.25">
      <c r="A47" s="11" t="s">
        <v>485</v>
      </c>
      <c r="B47" s="92" t="str">
        <f t="shared" si="11"/>
        <v>UIM</v>
      </c>
      <c r="C47" s="16"/>
      <c r="D47" s="16">
        <v>2.39</v>
      </c>
      <c r="E47" s="16">
        <v>2.4820000000000002</v>
      </c>
      <c r="F47" s="16">
        <v>2.6480000000000001</v>
      </c>
      <c r="G47" s="16">
        <v>2.8029999999999999</v>
      </c>
      <c r="H47" s="16">
        <v>2.8380000000000001</v>
      </c>
      <c r="I47" s="16">
        <v>3.125</v>
      </c>
      <c r="J47" s="17">
        <v>3.2730000000000001</v>
      </c>
      <c r="K47" s="17">
        <v>3.5070000000000001</v>
      </c>
      <c r="L47" s="17">
        <v>3.5289999999999999</v>
      </c>
      <c r="M47" s="17">
        <v>3.5470000000000002</v>
      </c>
      <c r="N47" s="17">
        <v>3.5350000000000001</v>
      </c>
    </row>
    <row r="48" spans="1:14" x14ac:dyDescent="0.25">
      <c r="A48" s="11" t="s">
        <v>486</v>
      </c>
      <c r="B48" s="92" t="str">
        <f t="shared" si="11"/>
        <v>UIM</v>
      </c>
      <c r="C48" s="16"/>
      <c r="D48" s="16">
        <v>2.5030000000000001</v>
      </c>
      <c r="E48" s="16">
        <v>2.9039999999999999</v>
      </c>
      <c r="F48" s="16">
        <v>3.0230000000000001</v>
      </c>
      <c r="G48" s="16">
        <v>3.26</v>
      </c>
      <c r="H48" s="16">
        <v>3.4169999999999998</v>
      </c>
      <c r="I48" s="16">
        <v>3.6080000000000001</v>
      </c>
      <c r="J48" s="17">
        <v>3.2730000000000001</v>
      </c>
      <c r="K48" s="17">
        <v>3.3679999999999999</v>
      </c>
      <c r="L48" s="17">
        <v>3.4129999999999998</v>
      </c>
      <c r="M48" s="17">
        <v>3.4409999999999998</v>
      </c>
      <c r="N48" s="17">
        <v>3.4740000000000002</v>
      </c>
    </row>
    <row r="49" spans="1:14" x14ac:dyDescent="0.25">
      <c r="A49" s="11" t="s">
        <v>487</v>
      </c>
      <c r="B49" s="92" t="str">
        <f t="shared" si="11"/>
        <v>UIM</v>
      </c>
      <c r="C49" s="16"/>
      <c r="D49" s="16">
        <v>2.395</v>
      </c>
      <c r="E49" s="16">
        <v>2.4300000000000002</v>
      </c>
      <c r="F49" s="16">
        <v>2.3980000000000001</v>
      </c>
      <c r="G49" s="16">
        <v>2.302</v>
      </c>
      <c r="H49" s="16">
        <v>2.74</v>
      </c>
      <c r="I49" s="16">
        <v>2.6360000000000001</v>
      </c>
      <c r="J49" s="17">
        <v>2.8730000000000002</v>
      </c>
      <c r="K49" s="17">
        <v>2.5169999999999999</v>
      </c>
      <c r="L49" s="17">
        <v>2.4580000000000002</v>
      </c>
      <c r="M49" s="17">
        <v>2.4089999999999998</v>
      </c>
      <c r="N49" s="17">
        <v>2.3610000000000002</v>
      </c>
    </row>
    <row r="50" spans="1:14" x14ac:dyDescent="0.25">
      <c r="A50" s="11" t="s">
        <v>488</v>
      </c>
      <c r="B50" s="92" t="str">
        <f t="shared" si="11"/>
        <v>UIM</v>
      </c>
      <c r="C50" s="16"/>
      <c r="D50" s="16">
        <v>2.02</v>
      </c>
      <c r="E50" s="16">
        <v>2.3929999999999998</v>
      </c>
      <c r="F50" s="16">
        <v>3.351</v>
      </c>
      <c r="G50" s="16">
        <v>3.9350000000000001</v>
      </c>
      <c r="H50" s="16">
        <v>4.3959999999999999</v>
      </c>
      <c r="I50" s="16">
        <v>4.7889999999999997</v>
      </c>
      <c r="J50" s="17">
        <v>4.8079999999999998</v>
      </c>
      <c r="K50" s="17">
        <v>4.7279999999999998</v>
      </c>
      <c r="L50" s="17">
        <v>4.7789999999999999</v>
      </c>
      <c r="M50" s="17">
        <v>4.4660000000000002</v>
      </c>
      <c r="N50" s="17">
        <v>4.4660000000000002</v>
      </c>
    </row>
    <row r="51" spans="1:14" x14ac:dyDescent="0.25">
      <c r="A51" s="11" t="s">
        <v>489</v>
      </c>
      <c r="B51" s="92" t="str">
        <f t="shared" si="11"/>
        <v>UIM</v>
      </c>
      <c r="C51" s="16"/>
      <c r="D51" s="16">
        <v>1.1080000000000001</v>
      </c>
      <c r="E51" s="16">
        <v>1.472</v>
      </c>
      <c r="F51" s="16">
        <v>1.889</v>
      </c>
      <c r="G51" s="16">
        <v>2.5350000000000001</v>
      </c>
      <c r="H51" s="16">
        <v>2.3530000000000002</v>
      </c>
      <c r="I51" s="16">
        <v>2.2770000000000001</v>
      </c>
      <c r="J51" s="17">
        <v>2.71</v>
      </c>
      <c r="K51" s="17">
        <v>2.6110000000000002</v>
      </c>
      <c r="L51" s="17">
        <v>2.617</v>
      </c>
      <c r="M51" s="17">
        <v>2.577</v>
      </c>
      <c r="N51" s="17">
        <v>2.601</v>
      </c>
    </row>
    <row r="52" spans="1:14" x14ac:dyDescent="0.25">
      <c r="A52" s="11" t="s">
        <v>490</v>
      </c>
      <c r="B52" s="92" t="str">
        <f t="shared" si="11"/>
        <v>UIM</v>
      </c>
      <c r="C52" s="16"/>
      <c r="D52" s="16">
        <v>0.08</v>
      </c>
      <c r="E52" s="16">
        <v>8.6999999999999994E-2</v>
      </c>
      <c r="F52" s="16">
        <v>0.114</v>
      </c>
      <c r="G52" s="16">
        <v>0.11</v>
      </c>
      <c r="H52" s="16">
        <v>7.8E-2</v>
      </c>
      <c r="I52" s="16">
        <v>9.4E-2</v>
      </c>
      <c r="J52" s="17">
        <v>8.5999999999999993E-2</v>
      </c>
      <c r="K52" s="17">
        <v>8.5999999999999993E-2</v>
      </c>
      <c r="L52" s="17">
        <v>8.5000000000000006E-2</v>
      </c>
      <c r="M52" s="17">
        <v>8.4000000000000005E-2</v>
      </c>
      <c r="N52" s="17">
        <v>8.3000000000000004E-2</v>
      </c>
    </row>
    <row r="53" spans="1:14" x14ac:dyDescent="0.25">
      <c r="A53" s="11" t="s">
        <v>491</v>
      </c>
      <c r="B53" s="92" t="str">
        <f t="shared" si="11"/>
        <v>UIM</v>
      </c>
      <c r="C53" s="16"/>
      <c r="D53" s="16">
        <v>9.6000000000000002E-2</v>
      </c>
      <c r="E53" s="16">
        <v>6.3E-2</v>
      </c>
      <c r="F53" s="16">
        <v>0.254</v>
      </c>
      <c r="G53" s="16">
        <v>0.24199999999999999</v>
      </c>
      <c r="H53" s="16">
        <v>0.13300000000000001</v>
      </c>
      <c r="I53" s="16">
        <v>0.14499999999999999</v>
      </c>
      <c r="J53" s="17">
        <v>0.255</v>
      </c>
      <c r="K53" s="17">
        <v>9.2999999999999999E-2</v>
      </c>
      <c r="L53" s="17">
        <v>0.316</v>
      </c>
      <c r="M53" s="17">
        <v>0.316</v>
      </c>
      <c r="N53" s="17">
        <v>0.316</v>
      </c>
    </row>
    <row r="54" spans="1:14" x14ac:dyDescent="0.25">
      <c r="A54" s="11" t="s">
        <v>492</v>
      </c>
      <c r="B54" s="92" t="str">
        <f>$B$9</f>
        <v>NAC</v>
      </c>
      <c r="C54" s="16"/>
      <c r="D54" s="16">
        <v>4.298</v>
      </c>
      <c r="E54" s="16">
        <v>3.754</v>
      </c>
      <c r="F54" s="16">
        <v>2.2719999999999998</v>
      </c>
      <c r="G54" s="16">
        <v>3.3490000000000002</v>
      </c>
      <c r="H54" s="16">
        <v>7.4480000000000004</v>
      </c>
      <c r="I54" s="16">
        <v>10.374000000000001</v>
      </c>
      <c r="J54" s="17">
        <v>10.311999999999999</v>
      </c>
      <c r="K54" s="17">
        <v>11.073</v>
      </c>
      <c r="L54" s="17">
        <v>12.122</v>
      </c>
      <c r="M54" s="17">
        <v>13.342000000000001</v>
      </c>
      <c r="N54" s="17">
        <v>14.398999999999999</v>
      </c>
    </row>
    <row r="55" spans="1:14" x14ac:dyDescent="0.25">
      <c r="A55" s="55" t="s">
        <v>493</v>
      </c>
      <c r="B55" s="16"/>
      <c r="C55" s="16"/>
      <c r="D55" s="56">
        <f t="shared" ref="D55:N55" si="12">SUM(D$21:D$22,D$40:D$54)</f>
        <v>111.37599999999999</v>
      </c>
      <c r="E55" s="56">
        <f t="shared" si="12"/>
        <v>138.916</v>
      </c>
      <c r="F55" s="56">
        <f t="shared" si="12"/>
        <v>133.72200000000001</v>
      </c>
      <c r="G55" s="56">
        <f t="shared" si="12"/>
        <v>150.95599999999999</v>
      </c>
      <c r="H55" s="56">
        <f t="shared" si="12"/>
        <v>161.822</v>
      </c>
      <c r="I55" s="56">
        <f t="shared" si="12"/>
        <v>180.06099999999998</v>
      </c>
      <c r="J55" s="56">
        <f t="shared" si="12"/>
        <v>184.11199999999999</v>
      </c>
      <c r="K55" s="56">
        <f t="shared" si="12"/>
        <v>191.15800000000002</v>
      </c>
      <c r="L55" s="56">
        <f t="shared" si="12"/>
        <v>195.33300000000003</v>
      </c>
      <c r="M55" s="56">
        <f t="shared" si="12"/>
        <v>199.89400000000003</v>
      </c>
      <c r="N55" s="56">
        <f t="shared" si="12"/>
        <v>205.57499999999999</v>
      </c>
    </row>
    <row r="56" spans="1:14" x14ac:dyDescent="0.25">
      <c r="A56" s="55" t="s">
        <v>494</v>
      </c>
      <c r="B56" s="11"/>
      <c r="C56" s="16"/>
      <c r="D56" s="16"/>
      <c r="E56" s="16"/>
      <c r="F56" s="16"/>
      <c r="G56" s="16"/>
      <c r="H56" s="16"/>
      <c r="I56" s="16"/>
      <c r="J56" s="16"/>
      <c r="K56" s="16"/>
      <c r="L56" s="16"/>
      <c r="M56" s="16"/>
      <c r="N56" s="16"/>
    </row>
    <row r="57" spans="1:14" x14ac:dyDescent="0.25">
      <c r="A57" s="11" t="s">
        <v>478</v>
      </c>
      <c r="B57" s="92" t="str">
        <f t="shared" ref="B57:B70" si="13">$B$10</f>
        <v>UIM</v>
      </c>
      <c r="C57" s="16"/>
      <c r="D57" s="16">
        <v>28.74</v>
      </c>
      <c r="E57" s="16">
        <v>44.027999999999999</v>
      </c>
      <c r="F57" s="16">
        <v>36.759</v>
      </c>
      <c r="G57" s="16">
        <v>42.86</v>
      </c>
      <c r="H57" s="16">
        <v>41.514000000000003</v>
      </c>
      <c r="I57" s="16">
        <v>44.588999999999999</v>
      </c>
      <c r="J57" s="17">
        <v>47.671999999999997</v>
      </c>
      <c r="K57" s="17">
        <v>50.161000000000001</v>
      </c>
      <c r="L57" s="17">
        <v>51.673000000000002</v>
      </c>
      <c r="M57" s="17">
        <v>53.234999999999999</v>
      </c>
      <c r="N57" s="17">
        <v>54.317999999999998</v>
      </c>
    </row>
    <row r="58" spans="1:14" x14ac:dyDescent="0.25">
      <c r="A58" s="11" t="s">
        <v>479</v>
      </c>
      <c r="B58" s="92" t="str">
        <f t="shared" si="13"/>
        <v>UIM</v>
      </c>
      <c r="C58" s="16"/>
      <c r="D58" s="16">
        <v>18.268000000000001</v>
      </c>
      <c r="E58" s="16">
        <v>19.890999999999998</v>
      </c>
      <c r="F58" s="16">
        <v>22.783999999999999</v>
      </c>
      <c r="G58" s="16">
        <v>27.780999999999999</v>
      </c>
      <c r="H58" s="16">
        <v>28.489000000000001</v>
      </c>
      <c r="I58" s="16">
        <v>29.998999999999999</v>
      </c>
      <c r="J58" s="17">
        <v>30.934999999999999</v>
      </c>
      <c r="K58" s="17">
        <v>32.709000000000003</v>
      </c>
      <c r="L58" s="17">
        <v>34.055</v>
      </c>
      <c r="M58" s="17">
        <v>34.194000000000003</v>
      </c>
      <c r="N58" s="17">
        <v>34.340000000000003</v>
      </c>
    </row>
    <row r="59" spans="1:14" x14ac:dyDescent="0.25">
      <c r="A59" s="11" t="s">
        <v>480</v>
      </c>
      <c r="B59" s="92" t="str">
        <f t="shared" si="13"/>
        <v>UIM</v>
      </c>
      <c r="C59" s="16"/>
      <c r="D59" s="16">
        <v>14.292999999999999</v>
      </c>
      <c r="E59" s="16">
        <v>16.321999999999999</v>
      </c>
      <c r="F59" s="16">
        <v>16.039000000000001</v>
      </c>
      <c r="G59" s="16">
        <v>18.023</v>
      </c>
      <c r="H59" s="16">
        <v>18.402999999999999</v>
      </c>
      <c r="I59" s="16">
        <v>20.222999999999999</v>
      </c>
      <c r="J59" s="17">
        <v>20.922000000000001</v>
      </c>
      <c r="K59" s="17">
        <v>21.454000000000001</v>
      </c>
      <c r="L59" s="17">
        <v>21.38</v>
      </c>
      <c r="M59" s="17">
        <v>21.178999999999998</v>
      </c>
      <c r="N59" s="17">
        <v>21.196999999999999</v>
      </c>
    </row>
    <row r="60" spans="1:14" x14ac:dyDescent="0.25">
      <c r="A60" s="11" t="s">
        <v>481</v>
      </c>
      <c r="B60" s="92" t="str">
        <f t="shared" si="13"/>
        <v>UIM</v>
      </c>
      <c r="C60" s="16"/>
      <c r="D60" s="16">
        <v>5.1660000000000004</v>
      </c>
      <c r="E60" s="16">
        <v>6.0830000000000002</v>
      </c>
      <c r="F60" s="16">
        <v>5.7539999999999996</v>
      </c>
      <c r="G60" s="16">
        <v>5.72</v>
      </c>
      <c r="H60" s="16">
        <v>6.806</v>
      </c>
      <c r="I60" s="16">
        <v>8.468</v>
      </c>
      <c r="J60" s="17">
        <v>8.2829999999999995</v>
      </c>
      <c r="K60" s="17">
        <v>6.7229999999999999</v>
      </c>
      <c r="L60" s="17">
        <v>6.7919999999999998</v>
      </c>
      <c r="M60" s="17">
        <v>6.1539999999999999</v>
      </c>
      <c r="N60" s="17">
        <v>6.2140000000000004</v>
      </c>
    </row>
    <row r="61" spans="1:14" x14ac:dyDescent="0.25">
      <c r="A61" s="11" t="s">
        <v>482</v>
      </c>
      <c r="B61" s="92" t="str">
        <f t="shared" si="13"/>
        <v>UIM</v>
      </c>
      <c r="C61" s="16"/>
      <c r="D61" s="16">
        <v>4.625</v>
      </c>
      <c r="E61" s="16">
        <v>4.9109999999999996</v>
      </c>
      <c r="F61" s="16">
        <v>5.202</v>
      </c>
      <c r="G61" s="16">
        <v>5.444</v>
      </c>
      <c r="H61" s="16">
        <v>6.165</v>
      </c>
      <c r="I61" s="16">
        <v>6.5270000000000001</v>
      </c>
      <c r="J61" s="17">
        <v>6.9779999999999998</v>
      </c>
      <c r="K61" s="17">
        <v>7.3419999999999996</v>
      </c>
      <c r="L61" s="17">
        <v>7.2629999999999999</v>
      </c>
      <c r="M61" s="17">
        <v>7.1130000000000004</v>
      </c>
      <c r="N61" s="17">
        <v>7.0720000000000001</v>
      </c>
    </row>
    <row r="62" spans="1:14" x14ac:dyDescent="0.25">
      <c r="A62" s="11" t="s">
        <v>483</v>
      </c>
      <c r="B62" s="92" t="str">
        <f t="shared" si="13"/>
        <v>UIM</v>
      </c>
      <c r="C62" s="16"/>
      <c r="D62" s="16">
        <v>2.8889999999999998</v>
      </c>
      <c r="E62" s="16">
        <v>3.1789999999999998</v>
      </c>
      <c r="F62" s="16">
        <v>5.6559999999999997</v>
      </c>
      <c r="G62" s="16">
        <v>4.657</v>
      </c>
      <c r="H62" s="16">
        <v>5.4720000000000004</v>
      </c>
      <c r="I62" s="16">
        <v>5.4870000000000001</v>
      </c>
      <c r="J62" s="17">
        <v>5.9160000000000004</v>
      </c>
      <c r="K62" s="17">
        <v>7.226</v>
      </c>
      <c r="L62" s="17">
        <v>5.0199999999999996</v>
      </c>
      <c r="M62" s="17">
        <v>4.7279999999999998</v>
      </c>
      <c r="N62" s="17">
        <v>5.1059999999999999</v>
      </c>
    </row>
    <row r="63" spans="1:14" x14ac:dyDescent="0.25">
      <c r="A63" s="11" t="s">
        <v>484</v>
      </c>
      <c r="B63" s="92" t="str">
        <f t="shared" si="13"/>
        <v>UIM</v>
      </c>
      <c r="C63" s="16"/>
      <c r="D63" s="16">
        <v>3.0059999999999998</v>
      </c>
      <c r="E63" s="16">
        <v>3.988</v>
      </c>
      <c r="F63" s="16">
        <v>4.4809999999999999</v>
      </c>
      <c r="G63" s="16">
        <v>8.0779999999999994</v>
      </c>
      <c r="H63" s="16">
        <v>3.69</v>
      </c>
      <c r="I63" s="16">
        <v>4.01</v>
      </c>
      <c r="J63" s="17">
        <v>3.903</v>
      </c>
      <c r="K63" s="17">
        <v>3.2349999999999999</v>
      </c>
      <c r="L63" s="17">
        <v>3.1219999999999999</v>
      </c>
      <c r="M63" s="17">
        <v>2.9279999999999999</v>
      </c>
      <c r="N63" s="17">
        <v>2.895</v>
      </c>
    </row>
    <row r="64" spans="1:14" x14ac:dyDescent="0.25">
      <c r="A64" s="11" t="s">
        <v>485</v>
      </c>
      <c r="B64" s="92" t="str">
        <f t="shared" si="13"/>
        <v>UIM</v>
      </c>
      <c r="C64" s="16"/>
      <c r="D64" s="16">
        <v>2.395</v>
      </c>
      <c r="E64" s="16">
        <v>2.4990000000000001</v>
      </c>
      <c r="F64" s="16">
        <v>2.6640000000000001</v>
      </c>
      <c r="G64" s="16">
        <v>2.8319999999999999</v>
      </c>
      <c r="H64" s="16">
        <v>2.8860000000000001</v>
      </c>
      <c r="I64" s="16">
        <v>3.1629999999999998</v>
      </c>
      <c r="J64" s="17">
        <v>3.3180000000000001</v>
      </c>
      <c r="K64" s="17">
        <v>3.552</v>
      </c>
      <c r="L64" s="17">
        <v>3.5750000000000002</v>
      </c>
      <c r="M64" s="17">
        <v>3.593</v>
      </c>
      <c r="N64" s="17">
        <v>3.581</v>
      </c>
    </row>
    <row r="65" spans="1:14" x14ac:dyDescent="0.25">
      <c r="A65" s="11" t="s">
        <v>486</v>
      </c>
      <c r="B65" s="92" t="str">
        <f t="shared" si="13"/>
        <v>UIM</v>
      </c>
      <c r="C65" s="16"/>
      <c r="D65" s="16">
        <v>0.91800000000000004</v>
      </c>
      <c r="E65" s="16">
        <v>1.1060000000000001</v>
      </c>
      <c r="F65" s="16">
        <v>1.42</v>
      </c>
      <c r="G65" s="16">
        <v>1.468</v>
      </c>
      <c r="H65" s="16">
        <v>1.5369999999999999</v>
      </c>
      <c r="I65" s="16">
        <v>1.504</v>
      </c>
      <c r="J65" s="17">
        <v>1.4570000000000001</v>
      </c>
      <c r="K65" s="17">
        <v>1.4159999999999999</v>
      </c>
      <c r="L65" s="17">
        <v>1.36</v>
      </c>
      <c r="M65" s="17">
        <v>1.3360000000000001</v>
      </c>
      <c r="N65" s="17">
        <v>1.3069999999999999</v>
      </c>
    </row>
    <row r="66" spans="1:14" x14ac:dyDescent="0.25">
      <c r="A66" s="11" t="s">
        <v>487</v>
      </c>
      <c r="B66" s="92" t="str">
        <f t="shared" si="13"/>
        <v>UIM</v>
      </c>
      <c r="C66" s="16"/>
      <c r="D66" s="16">
        <v>0.96</v>
      </c>
      <c r="E66" s="16">
        <v>0.96099999999999997</v>
      </c>
      <c r="F66" s="16">
        <v>1.0149999999999999</v>
      </c>
      <c r="G66" s="16">
        <v>0.94899999999999995</v>
      </c>
      <c r="H66" s="16">
        <v>1.1559999999999999</v>
      </c>
      <c r="I66" s="16">
        <v>1.0620000000000001</v>
      </c>
      <c r="J66" s="17">
        <v>1.2569999999999999</v>
      </c>
      <c r="K66" s="17">
        <v>1.0449999999999999</v>
      </c>
      <c r="L66" s="17">
        <v>0.97799999999999998</v>
      </c>
      <c r="M66" s="17">
        <v>0.95899999999999996</v>
      </c>
      <c r="N66" s="17">
        <v>0.95499999999999996</v>
      </c>
    </row>
    <row r="67" spans="1:14" x14ac:dyDescent="0.25">
      <c r="A67" s="11" t="s">
        <v>488</v>
      </c>
      <c r="B67" s="92" t="str">
        <f t="shared" si="13"/>
        <v>UIM</v>
      </c>
      <c r="C67" s="16"/>
      <c r="D67" s="16">
        <v>0.72699999999999998</v>
      </c>
      <c r="E67" s="16">
        <v>1.0149999999999999</v>
      </c>
      <c r="F67" s="16">
        <v>1.8129999999999999</v>
      </c>
      <c r="G67" s="16">
        <v>2.0329999999999999</v>
      </c>
      <c r="H67" s="16">
        <v>2.3119999999999998</v>
      </c>
      <c r="I67" s="16">
        <v>2.512</v>
      </c>
      <c r="J67" s="17">
        <v>2.411</v>
      </c>
      <c r="K67" s="17">
        <v>2.3959999999999999</v>
      </c>
      <c r="L67" s="17">
        <v>2.2610000000000001</v>
      </c>
      <c r="M67" s="17">
        <v>1.927</v>
      </c>
      <c r="N67" s="17">
        <v>2.0310000000000001</v>
      </c>
    </row>
    <row r="68" spans="1:14" x14ac:dyDescent="0.25">
      <c r="A68" s="11" t="s">
        <v>489</v>
      </c>
      <c r="B68" s="92" t="str">
        <f t="shared" si="13"/>
        <v>UIM</v>
      </c>
      <c r="C68" s="16"/>
      <c r="D68" s="16">
        <v>1.119</v>
      </c>
      <c r="E68" s="16">
        <v>1.4850000000000001</v>
      </c>
      <c r="F68" s="16">
        <v>1.9059999999999999</v>
      </c>
      <c r="G68" s="16">
        <v>2.5489999999999999</v>
      </c>
      <c r="H68" s="16">
        <v>2.3809999999999998</v>
      </c>
      <c r="I68" s="16">
        <v>2.2970000000000002</v>
      </c>
      <c r="J68" s="17">
        <v>2.7109999999999999</v>
      </c>
      <c r="K68" s="17">
        <v>2.6150000000000002</v>
      </c>
      <c r="L68" s="17">
        <v>2.621</v>
      </c>
      <c r="M68" s="17">
        <v>2.581</v>
      </c>
      <c r="N68" s="17">
        <v>2.605</v>
      </c>
    </row>
    <row r="69" spans="1:14" x14ac:dyDescent="0.25">
      <c r="A69" s="11" t="s">
        <v>490</v>
      </c>
      <c r="B69" s="92" t="str">
        <f t="shared" si="13"/>
        <v>UIM</v>
      </c>
      <c r="C69" s="16"/>
      <c r="D69" s="16">
        <v>6.6000000000000003E-2</v>
      </c>
      <c r="E69" s="16">
        <v>7.2999999999999995E-2</v>
      </c>
      <c r="F69" s="16">
        <v>9.9000000000000005E-2</v>
      </c>
      <c r="G69" s="16">
        <v>9.4E-2</v>
      </c>
      <c r="H69" s="16">
        <v>6.0999999999999999E-2</v>
      </c>
      <c r="I69" s="16">
        <v>6.9000000000000006E-2</v>
      </c>
      <c r="J69" s="17">
        <v>0.05</v>
      </c>
      <c r="K69" s="17">
        <v>4.9000000000000002E-2</v>
      </c>
      <c r="L69" s="17">
        <v>4.8000000000000001E-2</v>
      </c>
      <c r="M69" s="17">
        <v>4.5999999999999999E-2</v>
      </c>
      <c r="N69" s="17">
        <v>4.4999999999999998E-2</v>
      </c>
    </row>
    <row r="70" spans="1:14" x14ac:dyDescent="0.25">
      <c r="A70" s="11" t="s">
        <v>491</v>
      </c>
      <c r="B70" s="92" t="str">
        <f t="shared" si="13"/>
        <v>UIM</v>
      </c>
      <c r="C70" s="16"/>
      <c r="D70" s="16">
        <v>9.6000000000000002E-2</v>
      </c>
      <c r="E70" s="16">
        <v>6.3E-2</v>
      </c>
      <c r="F70" s="16">
        <v>0.254</v>
      </c>
      <c r="G70" s="16">
        <v>0.26900000000000002</v>
      </c>
      <c r="H70" s="16">
        <v>0.13300000000000001</v>
      </c>
      <c r="I70" s="16">
        <v>0.14499999999999999</v>
      </c>
      <c r="J70" s="17">
        <v>0.255</v>
      </c>
      <c r="K70" s="17">
        <v>9.2999999999999999E-2</v>
      </c>
      <c r="L70" s="17">
        <v>0.316</v>
      </c>
      <c r="M70" s="17">
        <v>0.316</v>
      </c>
      <c r="N70" s="17">
        <v>0.316</v>
      </c>
    </row>
    <row r="71" spans="1:14" x14ac:dyDescent="0.25">
      <c r="A71" s="11" t="s">
        <v>492</v>
      </c>
      <c r="B71" s="92" t="str">
        <f>$B$9</f>
        <v>NAC</v>
      </c>
      <c r="C71" s="16"/>
      <c r="D71" s="16">
        <v>3.6909999999999998</v>
      </c>
      <c r="E71" s="16">
        <v>3.2280000000000002</v>
      </c>
      <c r="F71" s="16">
        <v>1.9179999999999999</v>
      </c>
      <c r="G71" s="16">
        <v>2.8839999999999999</v>
      </c>
      <c r="H71" s="16">
        <v>6.569</v>
      </c>
      <c r="I71" s="16">
        <v>8.9429999999999996</v>
      </c>
      <c r="J71" s="17">
        <v>8.8390000000000004</v>
      </c>
      <c r="K71" s="17">
        <v>9.5129999999999999</v>
      </c>
      <c r="L71" s="17">
        <v>10.558999999999999</v>
      </c>
      <c r="M71" s="17">
        <v>11.769</v>
      </c>
      <c r="N71" s="17">
        <v>12.673999999999999</v>
      </c>
    </row>
    <row r="72" spans="1:14" x14ac:dyDescent="0.25">
      <c r="A72" s="55" t="s">
        <v>495</v>
      </c>
      <c r="B72" s="16"/>
      <c r="C72" s="16"/>
      <c r="D72" s="56">
        <f t="shared" ref="D72:N72" si="14">SUM(D$21:D$22,D$57:D$71)</f>
        <v>86.959000000000003</v>
      </c>
      <c r="E72" s="56">
        <f t="shared" si="14"/>
        <v>108.83199999999998</v>
      </c>
      <c r="F72" s="56">
        <f t="shared" si="14"/>
        <v>107.76400000000002</v>
      </c>
      <c r="G72" s="56">
        <f t="shared" si="14"/>
        <v>125.64099999999999</v>
      </c>
      <c r="H72" s="56">
        <f t="shared" si="14"/>
        <v>127.57400000000001</v>
      </c>
      <c r="I72" s="56">
        <f t="shared" si="14"/>
        <v>138.99800000000002</v>
      </c>
      <c r="J72" s="56">
        <f t="shared" si="14"/>
        <v>142.20699999999999</v>
      </c>
      <c r="K72" s="56">
        <f t="shared" si="14"/>
        <v>150.34899999999999</v>
      </c>
      <c r="L72" s="56">
        <f t="shared" si="14"/>
        <v>153.14200000000005</v>
      </c>
      <c r="M72" s="56">
        <f t="shared" si="14"/>
        <v>156.827</v>
      </c>
      <c r="N72" s="56">
        <f t="shared" si="14"/>
        <v>161.95899999999997</v>
      </c>
    </row>
    <row r="73" spans="1:14" x14ac:dyDescent="0.25">
      <c r="A73" s="9" t="s">
        <v>496</v>
      </c>
      <c r="B73" s="11"/>
      <c r="C73" s="16"/>
      <c r="D73" s="22"/>
      <c r="E73" s="22"/>
      <c r="F73" s="22"/>
      <c r="G73" s="22"/>
      <c r="H73" s="22"/>
      <c r="I73" s="22"/>
      <c r="J73" s="22"/>
      <c r="K73" s="22"/>
      <c r="L73" s="22"/>
      <c r="M73" s="22"/>
      <c r="N73" s="22"/>
    </row>
    <row r="74" spans="1:14" x14ac:dyDescent="0.25">
      <c r="A74" s="11" t="s">
        <v>497</v>
      </c>
      <c r="B74" s="92" t="str">
        <f>$B$10</f>
        <v>UIM</v>
      </c>
      <c r="C74" s="16"/>
      <c r="D74" s="16">
        <v>83.016999999999996</v>
      </c>
      <c r="E74" s="16">
        <v>83.156000000000006</v>
      </c>
      <c r="F74" s="16">
        <v>95.382000000000005</v>
      </c>
      <c r="G74" s="16">
        <v>102.712</v>
      </c>
      <c r="H74" s="16">
        <v>110.78700000000001</v>
      </c>
      <c r="I74" s="16">
        <v>116.042</v>
      </c>
      <c r="J74" s="17">
        <v>121.328</v>
      </c>
      <c r="K74" s="17">
        <v>122.887</v>
      </c>
      <c r="L74" s="17">
        <v>131.096</v>
      </c>
      <c r="M74" s="17">
        <v>138.239</v>
      </c>
      <c r="N74" s="17">
        <v>145.541</v>
      </c>
    </row>
    <row r="75" spans="1:14" x14ac:dyDescent="0.25">
      <c r="A75" s="11" t="s">
        <v>498</v>
      </c>
      <c r="B75" s="92" t="str">
        <f>$B$10</f>
        <v>UIM</v>
      </c>
      <c r="C75" s="16"/>
      <c r="D75" s="16">
        <v>5.1870000000000003</v>
      </c>
      <c r="E75" s="16">
        <v>5.2939999999999996</v>
      </c>
      <c r="F75" s="16">
        <v>6.4240000000000004</v>
      </c>
      <c r="G75" s="16">
        <v>7.8029999999999999</v>
      </c>
      <c r="H75" s="16">
        <v>7.6310000000000002</v>
      </c>
      <c r="I75" s="16">
        <v>7.484</v>
      </c>
      <c r="J75" s="17">
        <v>7.9989999999999997</v>
      </c>
      <c r="K75" s="17">
        <v>8.6050000000000004</v>
      </c>
      <c r="L75" s="17">
        <v>9.2100000000000009</v>
      </c>
      <c r="M75" s="17">
        <v>9.8490000000000002</v>
      </c>
      <c r="N75" s="17">
        <v>10.413</v>
      </c>
    </row>
    <row r="76" spans="1:14" x14ac:dyDescent="0.25">
      <c r="A76" s="11" t="s">
        <v>453</v>
      </c>
      <c r="B76" s="92" t="str">
        <f>$B$10</f>
        <v>UIM</v>
      </c>
      <c r="C76" s="16"/>
      <c r="D76" s="16">
        <v>19.763999999999999</v>
      </c>
      <c r="E76" s="16">
        <v>18.289000000000001</v>
      </c>
      <c r="F76" s="16">
        <v>17.731999999999999</v>
      </c>
      <c r="G76" s="16">
        <v>17.834</v>
      </c>
      <c r="H76" s="16">
        <v>22.283999999999999</v>
      </c>
      <c r="I76" s="16">
        <v>24.359000000000002</v>
      </c>
      <c r="J76" s="17">
        <v>27.206</v>
      </c>
      <c r="K76" s="17">
        <v>27.605</v>
      </c>
      <c r="L76" s="17">
        <v>28.786999999999999</v>
      </c>
      <c r="M76" s="17">
        <v>29.917000000000002</v>
      </c>
      <c r="N76" s="17">
        <v>30.298999999999999</v>
      </c>
    </row>
    <row r="77" spans="1:14" x14ac:dyDescent="0.25">
      <c r="A77" s="11" t="s">
        <v>499</v>
      </c>
      <c r="B77" s="92" t="str">
        <f>$B$10</f>
        <v>UIM</v>
      </c>
      <c r="C77" s="16"/>
      <c r="D77" s="16">
        <v>2.528</v>
      </c>
      <c r="E77" s="16">
        <v>2.3069999999999999</v>
      </c>
      <c r="F77" s="16">
        <v>1.67</v>
      </c>
      <c r="G77" s="16">
        <v>1.9610000000000001</v>
      </c>
      <c r="H77" s="16">
        <v>3.6110000000000002</v>
      </c>
      <c r="I77" s="16">
        <v>5.2830000000000004</v>
      </c>
      <c r="J77" s="17">
        <v>6.0940000000000003</v>
      </c>
      <c r="K77" s="17">
        <v>5.6040000000000001</v>
      </c>
      <c r="L77" s="17">
        <v>4.6559999999999997</v>
      </c>
      <c r="M77" s="17">
        <v>4.6390000000000002</v>
      </c>
      <c r="N77" s="17">
        <v>4.9080000000000004</v>
      </c>
    </row>
    <row r="78" spans="1:14" x14ac:dyDescent="0.25">
      <c r="A78" s="11" t="s">
        <v>500</v>
      </c>
      <c r="B78" s="92" t="str">
        <f>$B$10</f>
        <v>UIM</v>
      </c>
      <c r="C78" s="16"/>
      <c r="D78" s="16">
        <v>4.5629999999999997</v>
      </c>
      <c r="E78" s="16">
        <v>4.5439999999999996</v>
      </c>
      <c r="F78" s="16">
        <v>4.8140000000000001</v>
      </c>
      <c r="G78" s="16">
        <v>4.8019999999999996</v>
      </c>
      <c r="H78" s="16">
        <v>4.9219999999999997</v>
      </c>
      <c r="I78" s="16">
        <v>6.5350000000000001</v>
      </c>
      <c r="J78" s="17">
        <v>6.6260000000000003</v>
      </c>
      <c r="K78" s="17">
        <v>6.0540000000000003</v>
      </c>
      <c r="L78" s="17">
        <v>6.3639999999999999</v>
      </c>
      <c r="M78" s="17">
        <v>6.4029999999999996</v>
      </c>
      <c r="N78" s="17">
        <v>6.6180000000000003</v>
      </c>
    </row>
    <row r="79" spans="1:14" x14ac:dyDescent="0.25">
      <c r="A79" s="55" t="s">
        <v>501</v>
      </c>
      <c r="B79" s="92" t="str">
        <f>$B$9</f>
        <v>NAC</v>
      </c>
      <c r="C79" s="16"/>
      <c r="D79" s="56">
        <f t="shared" ref="D79:N79" si="15">SUM(D$74:D$78)</f>
        <v>115.059</v>
      </c>
      <c r="E79" s="56">
        <f t="shared" si="15"/>
        <v>113.59</v>
      </c>
      <c r="F79" s="56">
        <f t="shared" si="15"/>
        <v>126.02200000000002</v>
      </c>
      <c r="G79" s="56">
        <f t="shared" si="15"/>
        <v>135.11199999999999</v>
      </c>
      <c r="H79" s="56">
        <f t="shared" si="15"/>
        <v>149.23499999999999</v>
      </c>
      <c r="I79" s="56">
        <f t="shared" si="15"/>
        <v>159.70299999999997</v>
      </c>
      <c r="J79" s="56">
        <f t="shared" si="15"/>
        <v>169.25299999999999</v>
      </c>
      <c r="K79" s="56">
        <f t="shared" si="15"/>
        <v>170.755</v>
      </c>
      <c r="L79" s="56">
        <f t="shared" si="15"/>
        <v>180.11300000000003</v>
      </c>
      <c r="M79" s="56">
        <f t="shared" si="15"/>
        <v>189.047</v>
      </c>
      <c r="N79" s="56">
        <f t="shared" si="15"/>
        <v>197.779</v>
      </c>
    </row>
    <row r="80" spans="1:14" x14ac:dyDescent="0.25">
      <c r="A80" s="11" t="s">
        <v>457</v>
      </c>
      <c r="B80" s="92" t="str">
        <f>$B$10</f>
        <v>UIM</v>
      </c>
      <c r="C80" s="16"/>
      <c r="D80" s="16">
        <v>27.981999999999999</v>
      </c>
      <c r="E80" s="16">
        <v>42.945</v>
      </c>
      <c r="F80" s="16">
        <v>35.515000000000001</v>
      </c>
      <c r="G80" s="16">
        <v>44.273000000000003</v>
      </c>
      <c r="H80" s="16">
        <v>39.17</v>
      </c>
      <c r="I80" s="16">
        <v>42.335000000000001</v>
      </c>
      <c r="J80" s="17">
        <v>46.25</v>
      </c>
      <c r="K80" s="17">
        <v>47.412999999999997</v>
      </c>
      <c r="L80" s="17">
        <v>48.414999999999999</v>
      </c>
      <c r="M80" s="17">
        <v>49.828000000000003</v>
      </c>
      <c r="N80" s="17">
        <v>51.317</v>
      </c>
    </row>
    <row r="81" spans="1:14" x14ac:dyDescent="0.25">
      <c r="A81" s="11" t="s">
        <v>502</v>
      </c>
      <c r="B81" s="92" t="str">
        <f>$B$10</f>
        <v>UIM</v>
      </c>
      <c r="C81" s="16"/>
      <c r="D81" s="16">
        <v>72.078999999999994</v>
      </c>
      <c r="E81" s="16">
        <v>77.191999999999993</v>
      </c>
      <c r="F81" s="16">
        <v>84.256</v>
      </c>
      <c r="G81" s="16">
        <v>92.965000000000003</v>
      </c>
      <c r="H81" s="16">
        <v>99.414000000000001</v>
      </c>
      <c r="I81" s="16">
        <v>111.095</v>
      </c>
      <c r="J81" s="17">
        <v>120.33</v>
      </c>
      <c r="K81" s="17">
        <v>116.934</v>
      </c>
      <c r="L81" s="17">
        <v>118.45699999999999</v>
      </c>
      <c r="M81" s="17">
        <v>117.18600000000001</v>
      </c>
      <c r="N81" s="17">
        <v>116.807</v>
      </c>
    </row>
    <row r="82" spans="1:14" x14ac:dyDescent="0.25">
      <c r="A82" s="11" t="s">
        <v>503</v>
      </c>
      <c r="B82" s="92" t="str">
        <f>$B$10</f>
        <v>UIM</v>
      </c>
      <c r="C82" s="16"/>
      <c r="D82" s="16">
        <v>4.0250000000000004</v>
      </c>
      <c r="E82" s="16">
        <v>3.8490000000000002</v>
      </c>
      <c r="F82" s="16">
        <v>3.1469999999999998</v>
      </c>
      <c r="G82" s="16">
        <v>3.2509999999999999</v>
      </c>
      <c r="H82" s="16">
        <v>6.1260000000000003</v>
      </c>
      <c r="I82" s="16">
        <v>8.5790000000000006</v>
      </c>
      <c r="J82" s="17">
        <v>8.5350000000000001</v>
      </c>
      <c r="K82" s="17">
        <v>9.2810000000000006</v>
      </c>
      <c r="L82" s="17">
        <v>10.356999999999999</v>
      </c>
      <c r="M82" s="17">
        <v>10.997</v>
      </c>
      <c r="N82" s="17">
        <v>12.266999999999999</v>
      </c>
    </row>
    <row r="83" spans="1:14" x14ac:dyDescent="0.25">
      <c r="A83" s="55" t="s">
        <v>504</v>
      </c>
      <c r="B83" s="92" t="str">
        <f>$B$9</f>
        <v>NAC</v>
      </c>
      <c r="C83" s="16"/>
      <c r="D83" s="56">
        <f t="shared" ref="D83:N83" si="16">SUM(D$21:D$22,D$80:D$82)</f>
        <v>104.086</v>
      </c>
      <c r="E83" s="56">
        <f t="shared" si="16"/>
        <v>123.986</v>
      </c>
      <c r="F83" s="56">
        <f t="shared" si="16"/>
        <v>122.91800000000001</v>
      </c>
      <c r="G83" s="56">
        <f t="shared" si="16"/>
        <v>140.489</v>
      </c>
      <c r="H83" s="56">
        <f t="shared" si="16"/>
        <v>144.71</v>
      </c>
      <c r="I83" s="56">
        <f t="shared" si="16"/>
        <v>162.00900000000001</v>
      </c>
      <c r="J83" s="56">
        <f t="shared" si="16"/>
        <v>172.41499999999999</v>
      </c>
      <c r="K83" s="56">
        <f t="shared" si="16"/>
        <v>174.44800000000001</v>
      </c>
      <c r="L83" s="56">
        <f t="shared" si="16"/>
        <v>179.34799999999998</v>
      </c>
      <c r="M83" s="56">
        <f t="shared" si="16"/>
        <v>182.78000000000003</v>
      </c>
      <c r="N83" s="56">
        <f t="shared" si="16"/>
        <v>187.69399999999999</v>
      </c>
    </row>
    <row r="84" spans="1:14" x14ac:dyDescent="0.25">
      <c r="A84" s="55" t="s">
        <v>505</v>
      </c>
      <c r="B84" s="92" t="str">
        <f>$B$9</f>
        <v>NAC</v>
      </c>
      <c r="C84" s="16"/>
      <c r="D84" s="56">
        <f t="shared" ref="D84:N84" si="17">SUM(D$79,-D$83)</f>
        <v>10.972999999999999</v>
      </c>
      <c r="E84" s="56">
        <f t="shared" si="17"/>
        <v>-10.396000000000001</v>
      </c>
      <c r="F84" s="56">
        <f t="shared" si="17"/>
        <v>3.1040000000000134</v>
      </c>
      <c r="G84" s="56">
        <f t="shared" si="17"/>
        <v>-5.3770000000000095</v>
      </c>
      <c r="H84" s="56">
        <f t="shared" si="17"/>
        <v>4.5249999999999773</v>
      </c>
      <c r="I84" s="56">
        <f t="shared" si="17"/>
        <v>-2.30600000000004</v>
      </c>
      <c r="J84" s="56">
        <f t="shared" si="17"/>
        <v>-3.1620000000000061</v>
      </c>
      <c r="K84" s="56">
        <f t="shared" si="17"/>
        <v>-3.6930000000000121</v>
      </c>
      <c r="L84" s="56">
        <f t="shared" si="17"/>
        <v>0.7650000000000432</v>
      </c>
      <c r="M84" s="56">
        <f t="shared" si="17"/>
        <v>6.2669999999999675</v>
      </c>
      <c r="N84" s="56">
        <f t="shared" si="17"/>
        <v>10.085000000000008</v>
      </c>
    </row>
    <row r="85" spans="1:14" x14ac:dyDescent="0.25">
      <c r="A85" s="11" t="s">
        <v>506</v>
      </c>
      <c r="B85" s="92" t="str">
        <f>$B$10</f>
        <v>UIM</v>
      </c>
      <c r="C85" s="16"/>
      <c r="D85" s="16">
        <v>-8.4640000000000004</v>
      </c>
      <c r="E85" s="16">
        <v>-9.0709999999999997</v>
      </c>
      <c r="F85" s="16">
        <v>-9.3930000000000007</v>
      </c>
      <c r="G85" s="16">
        <v>-10.571999999999999</v>
      </c>
      <c r="H85" s="16">
        <v>-14.271000000000001</v>
      </c>
      <c r="I85" s="16">
        <v>-16.948</v>
      </c>
      <c r="J85" s="17">
        <v>-15.737</v>
      </c>
      <c r="K85" s="17">
        <v>-17.817</v>
      </c>
      <c r="L85" s="17">
        <v>-15.276999999999999</v>
      </c>
      <c r="M85" s="17">
        <v>-14.224</v>
      </c>
      <c r="N85" s="17">
        <v>-12.698</v>
      </c>
    </row>
    <row r="86" spans="1:14" x14ac:dyDescent="0.25">
      <c r="A86" s="11" t="s">
        <v>507</v>
      </c>
      <c r="B86" s="92" t="str">
        <f>$B$10</f>
        <v>UIM</v>
      </c>
      <c r="C86" s="16"/>
      <c r="D86" s="16">
        <v>3.8039999999999998</v>
      </c>
      <c r="E86" s="16">
        <v>-14.148999999999999</v>
      </c>
      <c r="F86" s="16">
        <v>4.1890000000000001</v>
      </c>
      <c r="G86" s="16">
        <v>-4.9859999999999998</v>
      </c>
      <c r="H86" s="16">
        <v>-4.9059999999999997</v>
      </c>
      <c r="I86" s="16">
        <v>-10.231999999999999</v>
      </c>
      <c r="J86" s="17">
        <v>-6.375</v>
      </c>
      <c r="K86" s="17">
        <v>-4.6929999999999996</v>
      </c>
      <c r="L86" s="17">
        <v>3.2610000000000001</v>
      </c>
      <c r="M86" s="17">
        <v>0.20200000000000001</v>
      </c>
      <c r="N86" s="17">
        <v>0.113</v>
      </c>
    </row>
    <row r="87" spans="1:14" x14ac:dyDescent="0.25">
      <c r="A87" s="11" t="s">
        <v>508</v>
      </c>
      <c r="B87" s="92" t="str">
        <f>$B$10</f>
        <v>UIM</v>
      </c>
      <c r="C87" s="16"/>
      <c r="D87" s="16">
        <v>-0.79100000000000004</v>
      </c>
      <c r="E87" s="16">
        <v>-0.85499999999999998</v>
      </c>
      <c r="F87" s="16">
        <v>-0.89800000000000002</v>
      </c>
      <c r="G87" s="16">
        <v>-0.71</v>
      </c>
      <c r="H87" s="16">
        <v>-0.86799999999999999</v>
      </c>
      <c r="I87" s="16">
        <v>-0.86</v>
      </c>
      <c r="J87" s="17">
        <v>-0.91400000000000003</v>
      </c>
      <c r="K87" s="17">
        <v>-0.74299999999999999</v>
      </c>
      <c r="L87" s="17">
        <v>-0.621</v>
      </c>
      <c r="M87" s="17">
        <v>-0.59199999999999997</v>
      </c>
      <c r="N87" s="17">
        <v>-0.622</v>
      </c>
    </row>
    <row r="88" spans="1:14" x14ac:dyDescent="0.25">
      <c r="A88" s="11" t="s">
        <v>509</v>
      </c>
      <c r="B88" s="92" t="str">
        <f>$B$10</f>
        <v>UIM</v>
      </c>
      <c r="C88" s="16"/>
      <c r="D88" s="16">
        <v>-1.9019999999999999</v>
      </c>
      <c r="E88" s="16">
        <v>-1.29</v>
      </c>
      <c r="F88" s="16">
        <v>-5.6630000000000003</v>
      </c>
      <c r="G88" s="16">
        <v>-12.958</v>
      </c>
      <c r="H88" s="16">
        <v>-8.2149999999999999</v>
      </c>
      <c r="I88" s="16">
        <v>0.151</v>
      </c>
      <c r="J88" s="17">
        <v>6.0140000000000002</v>
      </c>
      <c r="K88" s="17">
        <v>2.7429999999999999</v>
      </c>
      <c r="L88" s="17">
        <v>-3.83</v>
      </c>
      <c r="M88" s="17">
        <v>-4.2050000000000001</v>
      </c>
      <c r="N88" s="17">
        <v>-3.948</v>
      </c>
    </row>
    <row r="89" spans="1:14" x14ac:dyDescent="0.25">
      <c r="A89" s="11" t="s">
        <v>510</v>
      </c>
      <c r="B89" s="92" t="str">
        <f>$B$10</f>
        <v>UIM</v>
      </c>
      <c r="C89" s="16"/>
      <c r="D89" s="16">
        <v>0.13600000000000001</v>
      </c>
      <c r="E89" s="16">
        <v>-0.28599999999999998</v>
      </c>
      <c r="F89" s="16">
        <v>-0.39200000000000002</v>
      </c>
      <c r="G89" s="16">
        <v>-0.44800000000000001</v>
      </c>
      <c r="H89" s="16">
        <v>-0.20200000000000001</v>
      </c>
      <c r="I89" s="16">
        <v>-0.39700000000000002</v>
      </c>
      <c r="J89" s="17">
        <v>-0.45600000000000002</v>
      </c>
      <c r="K89" s="17">
        <v>-0.26600000000000001</v>
      </c>
      <c r="L89" s="17">
        <v>-0.193</v>
      </c>
      <c r="M89" s="17">
        <v>-0.26800000000000002</v>
      </c>
      <c r="N89" s="17">
        <v>-8.7999999999999995E-2</v>
      </c>
    </row>
    <row r="90" spans="1:14" x14ac:dyDescent="0.25">
      <c r="A90" s="55" t="s">
        <v>511</v>
      </c>
      <c r="B90" s="92" t="str">
        <f>$B$9</f>
        <v>NAC</v>
      </c>
      <c r="C90" s="16"/>
      <c r="D90" s="56">
        <f t="shared" ref="D90:N90" si="18">SUM(D$85:D$89)-SUM(D$131-C$131,D$132-C$132)</f>
        <v>-7.2170000000000005</v>
      </c>
      <c r="E90" s="56">
        <f t="shared" si="18"/>
        <v>-25.651</v>
      </c>
      <c r="F90" s="56">
        <f t="shared" si="18"/>
        <v>-12.157</v>
      </c>
      <c r="G90" s="56">
        <f t="shared" si="18"/>
        <v>-29.673999999999999</v>
      </c>
      <c r="H90" s="56">
        <f t="shared" si="18"/>
        <v>-28.462</v>
      </c>
      <c r="I90" s="56">
        <f t="shared" si="18"/>
        <v>-28.285999999999998</v>
      </c>
      <c r="J90" s="56">
        <f t="shared" si="18"/>
        <v>-15.968000000000004</v>
      </c>
      <c r="K90" s="56">
        <f t="shared" si="18"/>
        <v>-22.435999999999996</v>
      </c>
      <c r="L90" s="56">
        <f t="shared" si="18"/>
        <v>-19.701999999999998</v>
      </c>
      <c r="M90" s="56">
        <f t="shared" si="18"/>
        <v>-22.464000000000002</v>
      </c>
      <c r="N90" s="56">
        <f t="shared" si="18"/>
        <v>-21.174000000000003</v>
      </c>
    </row>
    <row r="91" spans="1:14" x14ac:dyDescent="0.25">
      <c r="A91" s="55" t="s">
        <v>512</v>
      </c>
      <c r="B91" s="92" t="str">
        <f>$B$9</f>
        <v>NAC</v>
      </c>
      <c r="C91" s="16"/>
      <c r="D91" s="56">
        <f t="shared" ref="D91:N91" si="19">SUM(D$84,D$90)</f>
        <v>3.7559999999999985</v>
      </c>
      <c r="E91" s="56">
        <f t="shared" si="19"/>
        <v>-36.046999999999997</v>
      </c>
      <c r="F91" s="56">
        <f t="shared" si="19"/>
        <v>-9.0529999999999866</v>
      </c>
      <c r="G91" s="56">
        <f t="shared" si="19"/>
        <v>-35.051000000000009</v>
      </c>
      <c r="H91" s="56">
        <f t="shared" si="19"/>
        <v>-23.937000000000022</v>
      </c>
      <c r="I91" s="56">
        <f t="shared" si="19"/>
        <v>-30.592000000000038</v>
      </c>
      <c r="J91" s="56">
        <f t="shared" si="19"/>
        <v>-19.13000000000001</v>
      </c>
      <c r="K91" s="56">
        <f t="shared" si="19"/>
        <v>-26.129000000000008</v>
      </c>
      <c r="L91" s="56">
        <f t="shared" si="19"/>
        <v>-18.936999999999955</v>
      </c>
      <c r="M91" s="56">
        <f t="shared" si="19"/>
        <v>-16.197000000000035</v>
      </c>
      <c r="N91" s="56">
        <f t="shared" si="19"/>
        <v>-11.088999999999995</v>
      </c>
    </row>
    <row r="92" spans="1:14" x14ac:dyDescent="0.25">
      <c r="A92" s="11" t="s">
        <v>513</v>
      </c>
      <c r="B92" s="92" t="str">
        <f t="shared" ref="B92:B97" si="20">$B$10</f>
        <v>UIM</v>
      </c>
      <c r="C92" s="16"/>
      <c r="D92" s="16">
        <v>0.437</v>
      </c>
      <c r="E92" s="16">
        <v>1.2090000000000001</v>
      </c>
      <c r="F92" s="16">
        <v>0.23400000000000001</v>
      </c>
      <c r="G92" s="16">
        <v>0.80500000000000005</v>
      </c>
      <c r="H92" s="16">
        <v>-5.8999999999999997E-2</v>
      </c>
      <c r="I92" s="16">
        <v>-2.4E-2</v>
      </c>
      <c r="J92" s="17">
        <v>8.8999999999999996E-2</v>
      </c>
      <c r="K92" s="17">
        <v>9.0999999999999998E-2</v>
      </c>
      <c r="L92" s="17">
        <v>9.1999999999999998E-2</v>
      </c>
      <c r="M92" s="17">
        <v>9.1999999999999998E-2</v>
      </c>
      <c r="N92" s="17">
        <v>9.2999999999999999E-2</v>
      </c>
    </row>
    <row r="93" spans="1:14" x14ac:dyDescent="0.25">
      <c r="A93" s="11" t="s">
        <v>514</v>
      </c>
      <c r="B93" s="92" t="str">
        <f t="shared" si="20"/>
        <v>UIM</v>
      </c>
      <c r="C93" s="16"/>
      <c r="D93" s="16">
        <v>-3.536</v>
      </c>
      <c r="E93" s="16">
        <v>7.5979999999999999</v>
      </c>
      <c r="F93" s="16">
        <v>1.1579999999999999</v>
      </c>
      <c r="G93" s="16">
        <v>18.373000000000001</v>
      </c>
      <c r="H93" s="16">
        <v>15.744</v>
      </c>
      <c r="I93" s="16">
        <v>26.422000000000001</v>
      </c>
      <c r="J93" s="17">
        <v>31.431000000000001</v>
      </c>
      <c r="K93" s="17">
        <v>24.812000000000001</v>
      </c>
      <c r="L93" s="17">
        <v>22.541</v>
      </c>
      <c r="M93" s="17">
        <v>13.182</v>
      </c>
      <c r="N93" s="17">
        <v>9.0090000000000003</v>
      </c>
    </row>
    <row r="94" spans="1:14" x14ac:dyDescent="0.25">
      <c r="A94" s="11" t="s">
        <v>515</v>
      </c>
      <c r="B94" s="92" t="str">
        <f t="shared" si="20"/>
        <v>UIM</v>
      </c>
      <c r="C94" s="16"/>
      <c r="D94" s="16">
        <v>1.4870000000000001</v>
      </c>
      <c r="E94" s="16">
        <v>1.1919999999999999</v>
      </c>
      <c r="F94" s="16">
        <v>0.34799999999999998</v>
      </c>
      <c r="G94" s="16">
        <v>2.2589999999999999</v>
      </c>
      <c r="H94" s="16">
        <v>-0.113</v>
      </c>
      <c r="I94" s="16">
        <v>0.65100000000000002</v>
      </c>
      <c r="J94" s="17">
        <v>0.84799999999999998</v>
      </c>
      <c r="K94" s="17">
        <v>-1.333</v>
      </c>
      <c r="L94" s="17">
        <v>0.56000000000000005</v>
      </c>
      <c r="M94" s="17">
        <v>0.159</v>
      </c>
      <c r="N94" s="17">
        <v>-6.6000000000000003E-2</v>
      </c>
    </row>
    <row r="95" spans="1:14" x14ac:dyDescent="0.25">
      <c r="A95" s="11" t="s">
        <v>516</v>
      </c>
      <c r="B95" s="92" t="str">
        <f t="shared" si="20"/>
        <v>UIM</v>
      </c>
      <c r="C95" s="16"/>
      <c r="D95" s="16">
        <v>-0.53</v>
      </c>
      <c r="E95" s="16">
        <v>27.366</v>
      </c>
      <c r="F95" s="16">
        <v>5.8470000000000004</v>
      </c>
      <c r="G95" s="16">
        <v>11.879</v>
      </c>
      <c r="H95" s="16">
        <v>9.298</v>
      </c>
      <c r="I95" s="16">
        <v>1.5149999999999999</v>
      </c>
      <c r="J95" s="17">
        <v>-7.3380000000000001</v>
      </c>
      <c r="K95" s="17">
        <v>3.161</v>
      </c>
      <c r="L95" s="17">
        <v>-3.1219999999999999</v>
      </c>
      <c r="M95" s="17">
        <v>2.609</v>
      </c>
      <c r="N95" s="17">
        <v>2.4409999999999998</v>
      </c>
    </row>
    <row r="96" spans="1:14" x14ac:dyDescent="0.25">
      <c r="A96" s="11" t="s">
        <v>517</v>
      </c>
      <c r="B96" s="92" t="str">
        <f t="shared" si="20"/>
        <v>UIM</v>
      </c>
      <c r="C96" s="16"/>
      <c r="D96" s="16">
        <v>0</v>
      </c>
      <c r="E96" s="16">
        <v>0</v>
      </c>
      <c r="F96" s="16">
        <v>0</v>
      </c>
      <c r="G96" s="16">
        <v>0.89800000000000002</v>
      </c>
      <c r="H96" s="16">
        <v>0</v>
      </c>
      <c r="I96" s="16">
        <v>0</v>
      </c>
      <c r="J96" s="17">
        <v>0.251</v>
      </c>
      <c r="K96" s="17">
        <v>0</v>
      </c>
      <c r="L96" s="17">
        <v>9.5000000000000001E-2</v>
      </c>
      <c r="M96" s="17">
        <v>0</v>
      </c>
      <c r="N96" s="17">
        <v>0</v>
      </c>
    </row>
    <row r="97" spans="1:14" x14ac:dyDescent="0.25">
      <c r="A97" s="11" t="s">
        <v>518</v>
      </c>
      <c r="B97" s="92" t="str">
        <f t="shared" si="20"/>
        <v>UIM</v>
      </c>
      <c r="C97" s="16"/>
      <c r="D97" s="16">
        <v>-0.504</v>
      </c>
      <c r="E97" s="16">
        <v>-0.47899999999999998</v>
      </c>
      <c r="F97" s="16">
        <v>-0.373</v>
      </c>
      <c r="G97" s="16">
        <v>-0.30399999999999999</v>
      </c>
      <c r="H97" s="16">
        <v>-0.372</v>
      </c>
      <c r="I97" s="16">
        <v>-0.505</v>
      </c>
      <c r="J97" s="17">
        <v>-0.438</v>
      </c>
      <c r="K97" s="17">
        <v>-0.46200000000000002</v>
      </c>
      <c r="L97" s="17">
        <v>-0.46300000000000002</v>
      </c>
      <c r="M97" s="17">
        <v>-0.504</v>
      </c>
      <c r="N97" s="17">
        <v>-0.52600000000000002</v>
      </c>
    </row>
    <row r="98" spans="1:14" x14ac:dyDescent="0.25">
      <c r="A98" s="55" t="s">
        <v>519</v>
      </c>
      <c r="B98" s="92" t="str">
        <f t="shared" ref="B98:B99" si="21">$B$9</f>
        <v>NAC</v>
      </c>
      <c r="C98" s="16"/>
      <c r="D98" s="56">
        <f t="shared" ref="D98:N98" si="22">SUM(D$92:D$97)</f>
        <v>-2.6460000000000004</v>
      </c>
      <c r="E98" s="56">
        <f t="shared" si="22"/>
        <v>36.886000000000003</v>
      </c>
      <c r="F98" s="56">
        <f t="shared" si="22"/>
        <v>7.2139999999999995</v>
      </c>
      <c r="G98" s="56">
        <f t="shared" si="22"/>
        <v>33.910000000000004</v>
      </c>
      <c r="H98" s="56">
        <f t="shared" si="22"/>
        <v>24.498000000000001</v>
      </c>
      <c r="I98" s="56">
        <f t="shared" si="22"/>
        <v>28.059000000000001</v>
      </c>
      <c r="J98" s="56">
        <f t="shared" si="22"/>
        <v>24.843000000000004</v>
      </c>
      <c r="K98" s="56">
        <f t="shared" si="22"/>
        <v>26.269000000000005</v>
      </c>
      <c r="L98" s="56">
        <f t="shared" si="22"/>
        <v>19.702999999999996</v>
      </c>
      <c r="M98" s="56">
        <f t="shared" si="22"/>
        <v>15.538000000000002</v>
      </c>
      <c r="N98" s="56">
        <f t="shared" si="22"/>
        <v>10.951000000000001</v>
      </c>
    </row>
    <row r="99" spans="1:14" x14ac:dyDescent="0.25">
      <c r="A99" s="55" t="s">
        <v>520</v>
      </c>
      <c r="B99" s="92" t="str">
        <f t="shared" si="21"/>
        <v>NAC</v>
      </c>
      <c r="C99" s="16"/>
      <c r="D99" s="56">
        <f t="shared" ref="D99:N99" si="23">SUM(D$91,D$98)</f>
        <v>1.1099999999999981</v>
      </c>
      <c r="E99" s="56">
        <f t="shared" si="23"/>
        <v>0.83900000000000574</v>
      </c>
      <c r="F99" s="56">
        <f t="shared" si="23"/>
        <v>-1.8389999999999871</v>
      </c>
      <c r="G99" s="56">
        <f t="shared" si="23"/>
        <v>-1.1410000000000053</v>
      </c>
      <c r="H99" s="56">
        <f t="shared" si="23"/>
        <v>0.56099999999997863</v>
      </c>
      <c r="I99" s="56">
        <f t="shared" si="23"/>
        <v>-2.5330000000000368</v>
      </c>
      <c r="J99" s="56">
        <f t="shared" si="23"/>
        <v>5.7129999999999939</v>
      </c>
      <c r="K99" s="56">
        <f t="shared" si="23"/>
        <v>0.13999999999999702</v>
      </c>
      <c r="L99" s="56">
        <f t="shared" si="23"/>
        <v>0.76600000000004087</v>
      </c>
      <c r="M99" s="56">
        <f t="shared" si="23"/>
        <v>-0.65900000000003267</v>
      </c>
      <c r="N99" s="56">
        <f t="shared" si="23"/>
        <v>-0.13799999999999457</v>
      </c>
    </row>
    <row r="100" spans="1:14" x14ac:dyDescent="0.25">
      <c r="A100" s="11" t="s">
        <v>521</v>
      </c>
      <c r="B100" s="92" t="str">
        <f>$B$9</f>
        <v>NAC</v>
      </c>
      <c r="C100" s="16"/>
      <c r="D100" s="16">
        <v>0.24399999999999999</v>
      </c>
      <c r="E100" s="16">
        <v>0.84</v>
      </c>
      <c r="F100" s="16">
        <v>-1.333</v>
      </c>
      <c r="G100" s="16">
        <v>0.221</v>
      </c>
      <c r="H100" s="16">
        <v>0.39500000000000002</v>
      </c>
      <c r="I100" s="16">
        <v>-4.5999999999999999E-2</v>
      </c>
      <c r="J100" s="17">
        <v>0.78400000000000003</v>
      </c>
      <c r="K100" s="17">
        <v>0</v>
      </c>
      <c r="L100" s="17">
        <v>0</v>
      </c>
      <c r="M100" s="17">
        <v>0</v>
      </c>
      <c r="N100" s="17">
        <v>0</v>
      </c>
    </row>
    <row r="101" spans="1:14" x14ac:dyDescent="0.25">
      <c r="A101" s="55" t="s">
        <v>522</v>
      </c>
      <c r="B101" s="92"/>
      <c r="C101" s="16"/>
      <c r="D101" s="57" t="str">
        <f t="shared" ref="D101:N101" si="24">IF(ROUND(D$120-C$120-SUM(D$99:D$100),3)=0,"OK","ERROR")</f>
        <v>OK</v>
      </c>
      <c r="E101" s="57" t="str">
        <f t="shared" si="24"/>
        <v>OK</v>
      </c>
      <c r="F101" s="57" t="str">
        <f t="shared" si="24"/>
        <v>OK</v>
      </c>
      <c r="G101" s="57" t="str">
        <f t="shared" si="24"/>
        <v>OK</v>
      </c>
      <c r="H101" s="57" t="str">
        <f t="shared" si="24"/>
        <v>OK</v>
      </c>
      <c r="I101" s="57" t="str">
        <f t="shared" si="24"/>
        <v>OK</v>
      </c>
      <c r="J101" s="57" t="str">
        <f t="shared" si="24"/>
        <v>OK</v>
      </c>
      <c r="K101" s="57" t="str">
        <f t="shared" si="24"/>
        <v>OK</v>
      </c>
      <c r="L101" s="57" t="str">
        <f t="shared" si="24"/>
        <v>OK</v>
      </c>
      <c r="M101" s="57" t="str">
        <f t="shared" si="24"/>
        <v>OK</v>
      </c>
      <c r="N101" s="57" t="str">
        <f t="shared" si="24"/>
        <v>OK</v>
      </c>
    </row>
    <row r="102" spans="1:14" x14ac:dyDescent="0.25">
      <c r="A102" s="9" t="s">
        <v>523</v>
      </c>
      <c r="B102" s="92"/>
      <c r="C102" s="16"/>
      <c r="D102" s="17"/>
      <c r="E102" s="17"/>
      <c r="F102" s="17"/>
      <c r="G102" s="17"/>
      <c r="H102" s="17"/>
      <c r="I102" s="17"/>
      <c r="J102" s="17"/>
      <c r="K102" s="17"/>
      <c r="L102" s="17"/>
      <c r="M102" s="17"/>
      <c r="N102" s="17"/>
    </row>
    <row r="103" spans="1:14" x14ac:dyDescent="0.25">
      <c r="A103" s="55" t="s">
        <v>524</v>
      </c>
      <c r="B103" s="92" t="str">
        <f>$B$9</f>
        <v>NAC</v>
      </c>
      <c r="C103" s="16"/>
      <c r="D103" s="56">
        <f t="shared" ref="D103:N103" si="25">SUM(D$84,D$26,D$27,-D$28)</f>
        <v>3.5960000000000001</v>
      </c>
      <c r="E103" s="56">
        <f t="shared" si="25"/>
        <v>-17.523</v>
      </c>
      <c r="F103" s="56">
        <f t="shared" si="25"/>
        <v>23.650000000000013</v>
      </c>
      <c r="G103" s="56">
        <f t="shared" si="25"/>
        <v>-12.980000000000009</v>
      </c>
      <c r="H103" s="56">
        <f t="shared" si="25"/>
        <v>18.656999999999979</v>
      </c>
      <c r="I103" s="56">
        <f t="shared" si="25"/>
        <v>2.0429999999999597</v>
      </c>
      <c r="J103" s="56">
        <f t="shared" si="25"/>
        <v>5.8059999999999956</v>
      </c>
      <c r="K103" s="56">
        <f t="shared" si="25"/>
        <v>1.7169999999999883</v>
      </c>
      <c r="L103" s="56">
        <f t="shared" si="25"/>
        <v>6.4100000000000437</v>
      </c>
      <c r="M103" s="56">
        <f t="shared" si="25"/>
        <v>12.331999999999967</v>
      </c>
      <c r="N103" s="56">
        <f t="shared" si="25"/>
        <v>16.72000000000001</v>
      </c>
    </row>
    <row r="104" spans="1:14" x14ac:dyDescent="0.25">
      <c r="A104" s="11" t="s">
        <v>1082</v>
      </c>
      <c r="B104" s="92" t="str">
        <f>$B$10</f>
        <v>UIM</v>
      </c>
      <c r="C104" s="16"/>
      <c r="D104" s="16">
        <v>1.5799999999999996</v>
      </c>
      <c r="E104" s="16">
        <v>-2.726</v>
      </c>
      <c r="F104" s="16">
        <v>-1.0489999999999999</v>
      </c>
      <c r="G104" s="16">
        <v>0.26900000000000002</v>
      </c>
      <c r="H104" s="16">
        <v>-0.73399999999999999</v>
      </c>
      <c r="I104" s="16">
        <v>-1.1950000000000001</v>
      </c>
      <c r="J104" s="17">
        <v>-0.84399999999999997</v>
      </c>
      <c r="K104" s="17">
        <v>-1.556</v>
      </c>
      <c r="L104" s="17">
        <v>-0.83</v>
      </c>
      <c r="M104" s="17">
        <v>-0.81299999999999994</v>
      </c>
      <c r="N104" s="17">
        <v>-0.81</v>
      </c>
    </row>
    <row r="105" spans="1:14" x14ac:dyDescent="0.25">
      <c r="A105" s="11" t="s">
        <v>526</v>
      </c>
      <c r="B105" s="92" t="str">
        <f>$B$10</f>
        <v>UIM</v>
      </c>
      <c r="C105" s="16"/>
      <c r="D105" s="16">
        <v>-0.76300000000000001</v>
      </c>
      <c r="E105" s="16">
        <v>-1.2789999999999999</v>
      </c>
      <c r="F105" s="16">
        <v>-1.0389999999999999</v>
      </c>
      <c r="G105" s="16">
        <v>-0.85799999999999998</v>
      </c>
      <c r="H105" s="16">
        <v>-0.73799999999999999</v>
      </c>
      <c r="I105" s="16">
        <v>-0.71899999999999997</v>
      </c>
      <c r="J105" s="17">
        <v>-0.61199999999999999</v>
      </c>
      <c r="K105" s="17">
        <v>-0.68100000000000005</v>
      </c>
      <c r="L105" s="17">
        <v>-0.67400000000000004</v>
      </c>
      <c r="M105" s="17">
        <v>-0.65</v>
      </c>
      <c r="N105" s="17">
        <v>-0.66300000000000003</v>
      </c>
    </row>
    <row r="106" spans="1:14" x14ac:dyDescent="0.25">
      <c r="A106" s="11" t="s">
        <v>527</v>
      </c>
      <c r="B106" s="92" t="str">
        <f t="shared" ref="B106:B109" si="26">$B$10</f>
        <v>UIM</v>
      </c>
      <c r="C106" s="16"/>
      <c r="D106" s="16">
        <v>-4.1000000000000002E-2</v>
      </c>
      <c r="E106" s="16">
        <v>-5.2999999999999999E-2</v>
      </c>
      <c r="F106" s="16">
        <v>-1E-3</v>
      </c>
      <c r="G106" s="16">
        <v>-3.7999999999999999E-2</v>
      </c>
      <c r="H106" s="16">
        <v>-9.7000000000000003E-2</v>
      </c>
      <c r="I106" s="16">
        <v>-0.123</v>
      </c>
      <c r="J106" s="17">
        <v>3.1E-2</v>
      </c>
      <c r="K106" s="17">
        <v>4.7E-2</v>
      </c>
      <c r="L106" s="17">
        <v>3.1E-2</v>
      </c>
      <c r="M106" s="17">
        <v>-1.0999999999999999E-2</v>
      </c>
      <c r="N106" s="17">
        <v>-0.01</v>
      </c>
    </row>
    <row r="107" spans="1:14" x14ac:dyDescent="0.25">
      <c r="A107" s="11" t="s">
        <v>528</v>
      </c>
      <c r="B107" s="92" t="str">
        <f t="shared" si="26"/>
        <v>UIM</v>
      </c>
      <c r="C107" s="16"/>
      <c r="D107" s="16">
        <v>-1.768</v>
      </c>
      <c r="E107" s="16">
        <v>-2.351</v>
      </c>
      <c r="F107" s="16">
        <v>-1.8680000000000001</v>
      </c>
      <c r="G107" s="16">
        <v>-1.696</v>
      </c>
      <c r="H107" s="16">
        <v>-3.5249999999999999</v>
      </c>
      <c r="I107" s="16">
        <v>-3.8380000000000001</v>
      </c>
      <c r="J107" s="17">
        <v>-4.0350000000000001</v>
      </c>
      <c r="K107" s="17">
        <v>-3.0369999999999999</v>
      </c>
      <c r="L107" s="17">
        <v>-3.3239999999999998</v>
      </c>
      <c r="M107" s="17">
        <v>-3.6920000000000002</v>
      </c>
      <c r="N107" s="17">
        <v>-3.85</v>
      </c>
    </row>
    <row r="108" spans="1:14" x14ac:dyDescent="0.25">
      <c r="A108" s="11" t="s">
        <v>529</v>
      </c>
      <c r="B108" s="92" t="str">
        <f t="shared" si="26"/>
        <v>UIM</v>
      </c>
      <c r="C108" s="16"/>
      <c r="D108" s="16">
        <v>0</v>
      </c>
      <c r="E108" s="16">
        <v>0</v>
      </c>
      <c r="F108" s="16">
        <v>0</v>
      </c>
      <c r="G108" s="16">
        <v>0</v>
      </c>
      <c r="H108" s="16">
        <v>0.39500000000000002</v>
      </c>
      <c r="I108" s="16">
        <v>0.61399999999999999</v>
      </c>
      <c r="J108" s="17">
        <v>1.2769999999999999</v>
      </c>
      <c r="K108" s="17">
        <v>1.145</v>
      </c>
      <c r="L108" s="17">
        <v>0.88600000000000001</v>
      </c>
      <c r="M108" s="17">
        <v>0.64300000000000002</v>
      </c>
      <c r="N108" s="17">
        <v>0.64900000000000002</v>
      </c>
    </row>
    <row r="109" spans="1:14" x14ac:dyDescent="0.25">
      <c r="A109" s="11" t="s">
        <v>530</v>
      </c>
      <c r="B109" s="92" t="str">
        <f t="shared" si="26"/>
        <v>UIM</v>
      </c>
      <c r="C109" s="16"/>
      <c r="D109" s="16">
        <v>0.57099999999999995</v>
      </c>
      <c r="E109" s="16">
        <v>-0.80400000000000005</v>
      </c>
      <c r="F109" s="16">
        <v>0.73299999999999998</v>
      </c>
      <c r="G109" s="16">
        <v>0.79</v>
      </c>
      <c r="H109" s="16">
        <v>6.0999999999999999E-2</v>
      </c>
      <c r="I109" s="16">
        <v>6.0999999999999999E-2</v>
      </c>
      <c r="J109" s="17">
        <v>-0.05</v>
      </c>
      <c r="K109" s="17">
        <v>-4.9000000000000002E-2</v>
      </c>
      <c r="L109" s="17">
        <v>-4.8000000000000001E-2</v>
      </c>
      <c r="M109" s="17">
        <v>-4.5999999999999999E-2</v>
      </c>
      <c r="N109" s="17">
        <v>-4.4999999999999998E-2</v>
      </c>
    </row>
    <row r="110" spans="1:14" x14ac:dyDescent="0.25">
      <c r="A110" s="55" t="s">
        <v>531</v>
      </c>
      <c r="B110" s="92" t="str">
        <f>$B$9</f>
        <v>NAC</v>
      </c>
      <c r="C110" s="16"/>
      <c r="D110" s="56">
        <f t="shared" ref="D110:N110" si="27">SUM(-D$17,D$104:D$109)</f>
        <v>-4.9750000000000005</v>
      </c>
      <c r="E110" s="56">
        <f t="shared" si="27"/>
        <v>-12.507</v>
      </c>
      <c r="F110" s="56">
        <f t="shared" si="27"/>
        <v>-8.7899999999999991</v>
      </c>
      <c r="G110" s="56">
        <f t="shared" si="27"/>
        <v>-7.6849999999999996</v>
      </c>
      <c r="H110" s="56">
        <f t="shared" si="27"/>
        <v>-11.239000000000001</v>
      </c>
      <c r="I110" s="56">
        <f t="shared" si="27"/>
        <v>-12.820999999999998</v>
      </c>
      <c r="J110" s="56">
        <f t="shared" si="27"/>
        <v>-12.293000000000001</v>
      </c>
      <c r="K110" s="56">
        <f t="shared" si="27"/>
        <v>-12.555</v>
      </c>
      <c r="L110" s="56">
        <f t="shared" si="27"/>
        <v>-12.676</v>
      </c>
      <c r="M110" s="56">
        <f t="shared" si="27"/>
        <v>-13.632999999999999</v>
      </c>
      <c r="N110" s="56">
        <f t="shared" si="27"/>
        <v>-13.933999999999999</v>
      </c>
    </row>
    <row r="111" spans="1:14" x14ac:dyDescent="0.25">
      <c r="A111" s="11" t="s">
        <v>532</v>
      </c>
      <c r="B111" s="92" t="str">
        <f>$B$10</f>
        <v>UIM</v>
      </c>
      <c r="C111" s="16"/>
      <c r="D111" s="16">
        <v>4.1879999999999997</v>
      </c>
      <c r="E111" s="16">
        <v>0.63100000000000001</v>
      </c>
      <c r="F111" s="16">
        <v>1.4810000000000001</v>
      </c>
      <c r="G111" s="16">
        <v>5.0270000000000001</v>
      </c>
      <c r="H111" s="16">
        <v>1.155</v>
      </c>
      <c r="I111" s="16">
        <v>3.3050000000000002</v>
      </c>
      <c r="J111" s="17">
        <v>-2.56</v>
      </c>
      <c r="K111" s="17">
        <v>1.3380000000000001</v>
      </c>
      <c r="L111" s="17">
        <v>-0.01</v>
      </c>
      <c r="M111" s="17">
        <v>1.1919999999999999</v>
      </c>
      <c r="N111" s="17">
        <v>1.5449999999999999</v>
      </c>
    </row>
    <row r="112" spans="1:14" x14ac:dyDescent="0.25">
      <c r="A112" s="11" t="s">
        <v>533</v>
      </c>
      <c r="B112" s="92" t="str">
        <f>$B$10</f>
        <v>UIM</v>
      </c>
      <c r="C112" s="16"/>
      <c r="D112" s="16">
        <v>3.6999999999999998E-2</v>
      </c>
      <c r="E112" s="16">
        <v>2.1000000000000001E-2</v>
      </c>
      <c r="F112" s="16">
        <v>1.1259999999999999</v>
      </c>
      <c r="G112" s="16">
        <v>0.19700000000000001</v>
      </c>
      <c r="H112" s="16">
        <v>0.183</v>
      </c>
      <c r="I112" s="16">
        <v>0.21099999999999999</v>
      </c>
      <c r="J112" s="17">
        <v>-1.05</v>
      </c>
      <c r="K112" s="17">
        <v>-1.0189999999999999</v>
      </c>
      <c r="L112" s="17">
        <v>-6.7000000000000004E-2</v>
      </c>
      <c r="M112" s="17">
        <v>-0.34699999999999998</v>
      </c>
      <c r="N112" s="17">
        <v>-3.6999999999999998E-2</v>
      </c>
    </row>
    <row r="113" spans="1:14" x14ac:dyDescent="0.25">
      <c r="A113" s="11" t="s">
        <v>534</v>
      </c>
      <c r="B113" s="92" t="str">
        <f t="shared" ref="B113:B116" si="28">$B$10</f>
        <v>UIM</v>
      </c>
      <c r="C113" s="16"/>
      <c r="D113" s="16">
        <v>0.17499999999999999</v>
      </c>
      <c r="E113" s="16">
        <v>0.254</v>
      </c>
      <c r="F113" s="16">
        <v>0.42099999999999999</v>
      </c>
      <c r="G113" s="16">
        <v>0.874</v>
      </c>
      <c r="H113" s="16">
        <v>-2.7E-2</v>
      </c>
      <c r="I113" s="16">
        <v>-0.18</v>
      </c>
      <c r="J113" s="17">
        <v>0.54400000000000004</v>
      </c>
      <c r="K113" s="17">
        <v>0.112</v>
      </c>
      <c r="L113" s="17">
        <v>4.2000000000000003E-2</v>
      </c>
      <c r="M113" s="17">
        <v>-7.0999999999999994E-2</v>
      </c>
      <c r="N113" s="17">
        <v>-9.2999999999999999E-2</v>
      </c>
    </row>
    <row r="114" spans="1:14" x14ac:dyDescent="0.25">
      <c r="A114" s="11" t="s">
        <v>535</v>
      </c>
      <c r="B114" s="92" t="str">
        <f t="shared" si="28"/>
        <v>UIM</v>
      </c>
      <c r="C114" s="16"/>
      <c r="D114" s="16">
        <v>3.5999999999999997E-2</v>
      </c>
      <c r="E114" s="16">
        <v>0.108</v>
      </c>
      <c r="F114" s="16">
        <v>6.3E-2</v>
      </c>
      <c r="G114" s="16">
        <v>0.30299999999999999</v>
      </c>
      <c r="H114" s="16">
        <v>0.113</v>
      </c>
      <c r="I114" s="16">
        <v>0.30499999999999999</v>
      </c>
      <c r="J114" s="17">
        <v>0.58199999999999996</v>
      </c>
      <c r="K114" s="17">
        <v>-0.17799999999999999</v>
      </c>
      <c r="L114" s="17">
        <v>0.109</v>
      </c>
      <c r="M114" s="17">
        <v>0.107</v>
      </c>
      <c r="N114" s="17">
        <v>1.4999999999999999E-2</v>
      </c>
    </row>
    <row r="115" spans="1:14" x14ac:dyDescent="0.25">
      <c r="A115" s="11" t="s">
        <v>536</v>
      </c>
      <c r="B115" s="92" t="str">
        <f t="shared" si="28"/>
        <v>UIM</v>
      </c>
      <c r="C115" s="16"/>
      <c r="D115" s="16">
        <v>-9.7000000000000003E-2</v>
      </c>
      <c r="E115" s="16">
        <v>-6.8000000000000005E-2</v>
      </c>
      <c r="F115" s="16">
        <v>0.04</v>
      </c>
      <c r="G115" s="16">
        <v>-0.81899999999999995</v>
      </c>
      <c r="H115" s="16">
        <v>-0.24399999999999999</v>
      </c>
      <c r="I115" s="16">
        <v>0.158</v>
      </c>
      <c r="J115" s="17">
        <v>-0.183</v>
      </c>
      <c r="K115" s="17">
        <v>-7.0000000000000001E-3</v>
      </c>
      <c r="L115" s="17">
        <v>-9.0999999999999998E-2</v>
      </c>
      <c r="M115" s="17">
        <v>-2.4E-2</v>
      </c>
      <c r="N115" s="17">
        <v>-6.4000000000000001E-2</v>
      </c>
    </row>
    <row r="116" spans="1:14" x14ac:dyDescent="0.25">
      <c r="A116" s="11" t="s">
        <v>537</v>
      </c>
      <c r="B116" s="92" t="str">
        <f t="shared" si="28"/>
        <v>UIM</v>
      </c>
      <c r="C116" s="16"/>
      <c r="D116" s="16">
        <v>-2.5710000000000002</v>
      </c>
      <c r="E116" s="16">
        <v>-0.95599999999999996</v>
      </c>
      <c r="F116" s="16">
        <v>-1.8320000000000001</v>
      </c>
      <c r="G116" s="16">
        <v>-1.849</v>
      </c>
      <c r="H116" s="16">
        <v>-3.2770000000000001</v>
      </c>
      <c r="I116" s="16">
        <v>-1.3859999999999999</v>
      </c>
      <c r="J116" s="17">
        <v>3.661</v>
      </c>
      <c r="K116" s="17">
        <v>0.70799999999999996</v>
      </c>
      <c r="L116" s="17">
        <v>0.61799999999999999</v>
      </c>
      <c r="M116" s="17">
        <v>0.40500000000000003</v>
      </c>
      <c r="N116" s="17">
        <v>-8.1000000000000003E-2</v>
      </c>
    </row>
    <row r="117" spans="1:14" x14ac:dyDescent="0.25">
      <c r="A117" s="55" t="s">
        <v>538</v>
      </c>
      <c r="B117" s="92" t="str">
        <f>$B$9</f>
        <v>NAC</v>
      </c>
      <c r="C117" s="16"/>
      <c r="D117" s="56">
        <f>SUM(D$111:D$116)</f>
        <v>1.7679999999999985</v>
      </c>
      <c r="E117" s="56">
        <f t="shared" ref="E117:N117" si="29">SUM(E$111:E$116)</f>
        <v>-1.0000000000000009E-2</v>
      </c>
      <c r="F117" s="56">
        <f t="shared" si="29"/>
        <v>1.2990000000000002</v>
      </c>
      <c r="G117" s="56">
        <f t="shared" si="29"/>
        <v>3.7329999999999997</v>
      </c>
      <c r="H117" s="56">
        <f t="shared" si="29"/>
        <v>-2.097</v>
      </c>
      <c r="I117" s="56">
        <f t="shared" si="29"/>
        <v>2.4130000000000003</v>
      </c>
      <c r="J117" s="56">
        <f t="shared" si="29"/>
        <v>0.99399999999999977</v>
      </c>
      <c r="K117" s="56">
        <f t="shared" si="29"/>
        <v>0.95400000000000018</v>
      </c>
      <c r="L117" s="56">
        <f t="shared" si="29"/>
        <v>0.60099999999999998</v>
      </c>
      <c r="M117" s="56">
        <f t="shared" si="29"/>
        <v>1.262</v>
      </c>
      <c r="N117" s="56">
        <f t="shared" si="29"/>
        <v>1.2849999999999999</v>
      </c>
    </row>
    <row r="118" spans="1:14" x14ac:dyDescent="0.25">
      <c r="A118" s="55" t="s">
        <v>539</v>
      </c>
      <c r="B118" s="92"/>
      <c r="C118" s="16"/>
      <c r="D118" s="57" t="str">
        <f t="shared" ref="D118:N118" si="30">IF(ROUND(D$29-(D$103+D$110+D$117),3)=0,"OK","ERROR")</f>
        <v>OK</v>
      </c>
      <c r="E118" s="57" t="str">
        <f t="shared" si="30"/>
        <v>OK</v>
      </c>
      <c r="F118" s="57" t="str">
        <f t="shared" si="30"/>
        <v>OK</v>
      </c>
      <c r="G118" s="57" t="str">
        <f t="shared" si="30"/>
        <v>OK</v>
      </c>
      <c r="H118" s="57" t="str">
        <f t="shared" si="30"/>
        <v>OK</v>
      </c>
      <c r="I118" s="57" t="str">
        <f t="shared" si="30"/>
        <v>OK</v>
      </c>
      <c r="J118" s="57" t="str">
        <f t="shared" si="30"/>
        <v>OK</v>
      </c>
      <c r="K118" s="57" t="str">
        <f t="shared" si="30"/>
        <v>OK</v>
      </c>
      <c r="L118" s="57" t="str">
        <f t="shared" si="30"/>
        <v>OK</v>
      </c>
      <c r="M118" s="57" t="str">
        <f t="shared" si="30"/>
        <v>OK</v>
      </c>
      <c r="N118" s="57" t="str">
        <f t="shared" si="30"/>
        <v>OK</v>
      </c>
    </row>
    <row r="119" spans="1:14" x14ac:dyDescent="0.25">
      <c r="A119" s="9" t="s">
        <v>540</v>
      </c>
      <c r="B119" s="92"/>
      <c r="C119" s="16"/>
      <c r="D119" s="17"/>
      <c r="E119" s="17"/>
      <c r="F119" s="17"/>
      <c r="G119" s="17"/>
      <c r="H119" s="17"/>
      <c r="I119" s="17"/>
      <c r="J119" s="17"/>
      <c r="K119" s="17"/>
      <c r="L119" s="17"/>
      <c r="M119" s="17"/>
      <c r="N119" s="17"/>
    </row>
    <row r="120" spans="1:14" x14ac:dyDescent="0.25">
      <c r="A120" s="11" t="s">
        <v>541</v>
      </c>
      <c r="B120" s="92" t="str">
        <f t="shared" ref="B120:B127" si="31">$B$10</f>
        <v>UIM</v>
      </c>
      <c r="C120" s="47">
        <v>18.893999999999998</v>
      </c>
      <c r="D120" s="16">
        <v>20.248000000000001</v>
      </c>
      <c r="E120" s="16">
        <v>21.927</v>
      </c>
      <c r="F120" s="16">
        <v>18.754999999999999</v>
      </c>
      <c r="G120" s="16">
        <v>17.835000000000001</v>
      </c>
      <c r="H120" s="16">
        <v>18.791</v>
      </c>
      <c r="I120" s="16">
        <v>16.212</v>
      </c>
      <c r="J120" s="17">
        <v>22.709</v>
      </c>
      <c r="K120" s="17">
        <v>22.849</v>
      </c>
      <c r="L120" s="17">
        <v>23.614999999999998</v>
      </c>
      <c r="M120" s="17">
        <v>22.956</v>
      </c>
      <c r="N120" s="17">
        <v>22.818000000000001</v>
      </c>
    </row>
    <row r="121" spans="1:14" x14ac:dyDescent="0.25">
      <c r="A121" s="11" t="s">
        <v>542</v>
      </c>
      <c r="B121" s="92" t="str">
        <f t="shared" si="31"/>
        <v>UIM</v>
      </c>
      <c r="C121" s="16"/>
      <c r="D121" s="16">
        <v>23.327000000000002</v>
      </c>
      <c r="E121" s="16">
        <v>24.742999999999999</v>
      </c>
      <c r="F121" s="16">
        <v>26.829000000000001</v>
      </c>
      <c r="G121" s="16">
        <v>35.134999999999998</v>
      </c>
      <c r="H121" s="16">
        <v>33.548000000000002</v>
      </c>
      <c r="I121" s="16">
        <v>37.231999999999999</v>
      </c>
      <c r="J121" s="17">
        <v>36.374000000000002</v>
      </c>
      <c r="K121" s="17">
        <v>37.006999999999998</v>
      </c>
      <c r="L121" s="17">
        <v>37.020000000000003</v>
      </c>
      <c r="M121" s="17">
        <v>38.235999999999997</v>
      </c>
      <c r="N121" s="17">
        <v>39.780999999999999</v>
      </c>
    </row>
    <row r="122" spans="1:14" x14ac:dyDescent="0.25">
      <c r="A122" s="11" t="s">
        <v>543</v>
      </c>
      <c r="B122" s="92" t="str">
        <f t="shared" si="31"/>
        <v>UIM</v>
      </c>
      <c r="C122" s="16"/>
      <c r="D122" s="16">
        <v>43.616</v>
      </c>
      <c r="E122" s="16">
        <v>61.005000000000003</v>
      </c>
      <c r="F122" s="16">
        <v>56.783000000000001</v>
      </c>
      <c r="G122" s="16">
        <v>65.456000000000003</v>
      </c>
      <c r="H122" s="16">
        <v>66.489999999999995</v>
      </c>
      <c r="I122" s="16">
        <v>73.646000000000001</v>
      </c>
      <c r="J122" s="17">
        <v>86.497</v>
      </c>
      <c r="K122" s="17">
        <v>95.932000000000002</v>
      </c>
      <c r="L122" s="17">
        <v>96.971999999999994</v>
      </c>
      <c r="M122" s="17">
        <v>99.695999999999998</v>
      </c>
      <c r="N122" s="17">
        <v>103.152</v>
      </c>
    </row>
    <row r="123" spans="1:14" x14ac:dyDescent="0.25">
      <c r="A123" s="11" t="s">
        <v>544</v>
      </c>
      <c r="B123" s="92" t="str">
        <f t="shared" si="31"/>
        <v>UIM</v>
      </c>
      <c r="C123" s="16"/>
      <c r="D123" s="16">
        <v>39.552</v>
      </c>
      <c r="E123" s="16">
        <v>33.790999999999997</v>
      </c>
      <c r="F123" s="16">
        <v>48.539000000000001</v>
      </c>
      <c r="G123" s="16">
        <v>46.261000000000003</v>
      </c>
      <c r="H123" s="16">
        <v>48.045999999999999</v>
      </c>
      <c r="I123" s="16">
        <v>53.494999999999997</v>
      </c>
      <c r="J123" s="17">
        <v>59.881999999999998</v>
      </c>
      <c r="K123" s="17">
        <v>61.162999999999997</v>
      </c>
      <c r="L123" s="17">
        <v>63.186</v>
      </c>
      <c r="M123" s="17">
        <v>65.207999999999998</v>
      </c>
      <c r="N123" s="17">
        <v>67.191999999999993</v>
      </c>
    </row>
    <row r="124" spans="1:14" x14ac:dyDescent="0.25">
      <c r="A124" s="11" t="s">
        <v>545</v>
      </c>
      <c r="B124" s="92" t="str">
        <f t="shared" si="31"/>
        <v>UIM</v>
      </c>
      <c r="C124" s="16"/>
      <c r="D124" s="16">
        <v>33.69</v>
      </c>
      <c r="E124" s="16">
        <v>37.628999999999998</v>
      </c>
      <c r="F124" s="16">
        <v>45.612000000000002</v>
      </c>
      <c r="G124" s="16">
        <v>54.658999999999999</v>
      </c>
      <c r="H124" s="16">
        <v>66.489000000000004</v>
      </c>
      <c r="I124" s="16">
        <v>69.378</v>
      </c>
      <c r="J124" s="17">
        <v>64.405000000000001</v>
      </c>
      <c r="K124" s="17">
        <v>60.767000000000003</v>
      </c>
      <c r="L124" s="17">
        <v>64.406999999999996</v>
      </c>
      <c r="M124" s="17">
        <v>68.521000000000001</v>
      </c>
      <c r="N124" s="17">
        <v>72.209000000000003</v>
      </c>
    </row>
    <row r="125" spans="1:14" x14ac:dyDescent="0.25">
      <c r="A125" s="11" t="s">
        <v>546</v>
      </c>
      <c r="B125" s="92" t="str">
        <f t="shared" si="31"/>
        <v>UIM</v>
      </c>
      <c r="C125" s="16"/>
      <c r="D125" s="16">
        <v>3.6880000000000002</v>
      </c>
      <c r="E125" s="16">
        <v>4.22</v>
      </c>
      <c r="F125" s="16">
        <v>4.718</v>
      </c>
      <c r="G125" s="16">
        <v>6.0960000000000001</v>
      </c>
      <c r="H125" s="16">
        <v>7.3170000000000002</v>
      </c>
      <c r="I125" s="16">
        <v>7.1740000000000004</v>
      </c>
      <c r="J125" s="17">
        <v>8.3989999999999991</v>
      </c>
      <c r="K125" s="17">
        <v>9.3089999999999993</v>
      </c>
      <c r="L125" s="17">
        <v>10.826000000000001</v>
      </c>
      <c r="M125" s="17">
        <v>12.381</v>
      </c>
      <c r="N125" s="17">
        <v>14.013999999999999</v>
      </c>
    </row>
    <row r="126" spans="1:14" x14ac:dyDescent="0.25">
      <c r="A126" s="11" t="s">
        <v>547</v>
      </c>
      <c r="B126" s="92" t="str">
        <f t="shared" si="31"/>
        <v>UIM</v>
      </c>
      <c r="C126" s="16"/>
      <c r="D126" s="16">
        <v>1.5169999999999999</v>
      </c>
      <c r="E126" s="16">
        <v>1.7729999999999999</v>
      </c>
      <c r="F126" s="16">
        <v>2.194</v>
      </c>
      <c r="G126" s="16">
        <v>3.0680000000000001</v>
      </c>
      <c r="H126" s="16">
        <v>3.0409999999999999</v>
      </c>
      <c r="I126" s="16">
        <v>2.8610000000000002</v>
      </c>
      <c r="J126" s="17">
        <v>3.4049999999999998</v>
      </c>
      <c r="K126" s="17">
        <v>3.5169999999999999</v>
      </c>
      <c r="L126" s="17">
        <v>3.5590000000000002</v>
      </c>
      <c r="M126" s="17">
        <v>3.488</v>
      </c>
      <c r="N126" s="17">
        <v>3.395</v>
      </c>
    </row>
    <row r="127" spans="1:14" x14ac:dyDescent="0.25">
      <c r="A127" s="11" t="s">
        <v>548</v>
      </c>
      <c r="B127" s="92" t="str">
        <f t="shared" si="31"/>
        <v>UIM</v>
      </c>
      <c r="C127" s="16"/>
      <c r="D127" s="16">
        <v>2.8279999999999998</v>
      </c>
      <c r="E127" s="16">
        <v>3.61</v>
      </c>
      <c r="F127" s="16">
        <v>3.9279999999999999</v>
      </c>
      <c r="G127" s="16">
        <v>4.2080000000000002</v>
      </c>
      <c r="H127" s="16">
        <v>4.6120000000000001</v>
      </c>
      <c r="I127" s="16">
        <v>5.0449999999999999</v>
      </c>
      <c r="J127" s="17">
        <v>5.3849999999999998</v>
      </c>
      <c r="K127" s="17">
        <v>5.0410000000000004</v>
      </c>
      <c r="L127" s="17">
        <v>5.1580000000000004</v>
      </c>
      <c r="M127" s="17">
        <v>5.3</v>
      </c>
      <c r="N127" s="17">
        <v>5.3339999999999996</v>
      </c>
    </row>
    <row r="128" spans="1:14" x14ac:dyDescent="0.25">
      <c r="A128" s="11" t="s">
        <v>549</v>
      </c>
      <c r="B128" s="92" t="str">
        <f>$B$9</f>
        <v>NAC</v>
      </c>
      <c r="C128" s="16"/>
      <c r="D128" s="16">
        <v>177.625</v>
      </c>
      <c r="E128" s="16">
        <v>186.50200000000001</v>
      </c>
      <c r="F128" s="16">
        <v>213.21600000000001</v>
      </c>
      <c r="G128" s="16">
        <v>249.18199999999999</v>
      </c>
      <c r="H128" s="16">
        <v>267.39</v>
      </c>
      <c r="I128" s="16">
        <v>283.79000000000002</v>
      </c>
      <c r="J128" s="17">
        <v>292.19600000000003</v>
      </c>
      <c r="K128" s="17">
        <v>302.79000000000002</v>
      </c>
      <c r="L128" s="17">
        <v>308.666</v>
      </c>
      <c r="M128" s="17">
        <v>313.24400000000003</v>
      </c>
      <c r="N128" s="17">
        <v>316.17599999999999</v>
      </c>
    </row>
    <row r="129" spans="1:14" x14ac:dyDescent="0.25">
      <c r="A129" s="11" t="s">
        <v>550</v>
      </c>
      <c r="B129" s="92" t="str">
        <f>$B$10</f>
        <v>UIM</v>
      </c>
      <c r="C129" s="16"/>
      <c r="D129" s="16">
        <v>14.65</v>
      </c>
      <c r="E129" s="16">
        <v>14.308</v>
      </c>
      <c r="F129" s="16">
        <v>14.420999999999999</v>
      </c>
      <c r="G129" s="16">
        <v>16.247</v>
      </c>
      <c r="H129" s="16">
        <v>17.033999999999999</v>
      </c>
      <c r="I129" s="16">
        <v>17.951000000000001</v>
      </c>
      <c r="J129" s="17">
        <v>18.553000000000001</v>
      </c>
      <c r="K129" s="17">
        <v>16.738</v>
      </c>
      <c r="L129" s="17">
        <v>17.015000000000001</v>
      </c>
      <c r="M129" s="17">
        <v>17.399000000000001</v>
      </c>
      <c r="N129" s="17">
        <v>17.648</v>
      </c>
    </row>
    <row r="130" spans="1:14" x14ac:dyDescent="0.25">
      <c r="A130" s="11" t="s">
        <v>551</v>
      </c>
      <c r="B130" s="92" t="str">
        <f>$B$9</f>
        <v>NAC</v>
      </c>
      <c r="C130" s="16"/>
      <c r="D130" s="16">
        <v>3.911</v>
      </c>
      <c r="E130" s="16">
        <v>3.8919999999999999</v>
      </c>
      <c r="F130" s="16">
        <v>3.601</v>
      </c>
      <c r="G130" s="16">
        <v>3.6970000000000001</v>
      </c>
      <c r="H130" s="16">
        <v>3.9079999999999999</v>
      </c>
      <c r="I130" s="16">
        <v>4.0839999999999996</v>
      </c>
      <c r="J130" s="17">
        <v>4.2030000000000003</v>
      </c>
      <c r="K130" s="17">
        <v>4.1909999999999998</v>
      </c>
      <c r="L130" s="17">
        <v>4.1159999999999997</v>
      </c>
      <c r="M130" s="17">
        <v>4.0460000000000003</v>
      </c>
      <c r="N130" s="17">
        <v>4.0069999999999997</v>
      </c>
    </row>
    <row r="131" spans="1:14" x14ac:dyDescent="0.25">
      <c r="A131" s="11" t="s">
        <v>552</v>
      </c>
      <c r="B131" s="92" t="str">
        <f>$B$10</f>
        <v>UIM</v>
      </c>
      <c r="C131" s="16"/>
      <c r="D131" s="16">
        <v>0</v>
      </c>
      <c r="E131" s="16">
        <v>0</v>
      </c>
      <c r="F131" s="16">
        <v>0</v>
      </c>
      <c r="G131" s="16">
        <v>0</v>
      </c>
      <c r="H131" s="16">
        <v>0</v>
      </c>
      <c r="I131" s="16">
        <v>0</v>
      </c>
      <c r="J131" s="17">
        <v>0</v>
      </c>
      <c r="K131" s="17">
        <v>2.56</v>
      </c>
      <c r="L131" s="17">
        <v>5.702</v>
      </c>
      <c r="M131" s="17">
        <v>9.1790000000000003</v>
      </c>
      <c r="N131" s="17">
        <v>13.21</v>
      </c>
    </row>
    <row r="132" spans="1:14" x14ac:dyDescent="0.25">
      <c r="A132" s="11" t="s">
        <v>553</v>
      </c>
      <c r="B132" s="92" t="str">
        <f>$B$10</f>
        <v>UIM</v>
      </c>
      <c r="C132" s="16"/>
      <c r="D132" s="16">
        <v>0</v>
      </c>
      <c r="E132" s="16">
        <v>0</v>
      </c>
      <c r="F132" s="16">
        <v>0</v>
      </c>
      <c r="G132" s="16">
        <v>0</v>
      </c>
      <c r="H132" s="16">
        <v>0</v>
      </c>
      <c r="I132" s="16">
        <v>0</v>
      </c>
      <c r="J132" s="17">
        <v>-1.5</v>
      </c>
      <c r="K132" s="17">
        <v>-2.4</v>
      </c>
      <c r="L132" s="17">
        <v>-2.5</v>
      </c>
      <c r="M132" s="17">
        <v>-2.6</v>
      </c>
      <c r="N132" s="17">
        <v>-2.7</v>
      </c>
    </row>
    <row r="133" spans="1:14" x14ac:dyDescent="0.25">
      <c r="A133" s="55" t="s">
        <v>554</v>
      </c>
      <c r="B133" s="92" t="str">
        <f>$B$9</f>
        <v>NAC</v>
      </c>
      <c r="C133" s="16"/>
      <c r="D133" s="56">
        <f t="shared" ref="D133:N133" si="32">SUM(D$120:D$132)</f>
        <v>364.65199999999999</v>
      </c>
      <c r="E133" s="56">
        <f t="shared" si="32"/>
        <v>393.40000000000003</v>
      </c>
      <c r="F133" s="56">
        <f t="shared" si="32"/>
        <v>438.59599999999995</v>
      </c>
      <c r="G133" s="56">
        <f t="shared" si="32"/>
        <v>501.84399999999999</v>
      </c>
      <c r="H133" s="56">
        <f t="shared" si="32"/>
        <v>536.66599999999994</v>
      </c>
      <c r="I133" s="56">
        <f t="shared" si="32"/>
        <v>570.86800000000005</v>
      </c>
      <c r="J133" s="56">
        <f t="shared" si="32"/>
        <v>600.50799999999992</v>
      </c>
      <c r="K133" s="56">
        <f t="shared" si="32"/>
        <v>619.46400000000006</v>
      </c>
      <c r="L133" s="56">
        <f t="shared" si="32"/>
        <v>637.74200000000008</v>
      </c>
      <c r="M133" s="56">
        <f t="shared" si="32"/>
        <v>657.05399999999997</v>
      </c>
      <c r="N133" s="56">
        <f t="shared" si="32"/>
        <v>676.23599999999988</v>
      </c>
    </row>
    <row r="134" spans="1:14" x14ac:dyDescent="0.25">
      <c r="A134" s="11" t="s">
        <v>555</v>
      </c>
      <c r="B134" s="92" t="str">
        <f>$B$10</f>
        <v>UIM</v>
      </c>
      <c r="C134" s="16"/>
      <c r="D134" s="16">
        <v>6.8129999999999997</v>
      </c>
      <c r="E134" s="16">
        <v>8.0220000000000002</v>
      </c>
      <c r="F134" s="16">
        <v>8.2560000000000002</v>
      </c>
      <c r="G134" s="16">
        <v>9.0609999999999999</v>
      </c>
      <c r="H134" s="16">
        <v>9.0020000000000007</v>
      </c>
      <c r="I134" s="16">
        <v>8.9770000000000003</v>
      </c>
      <c r="J134" s="17">
        <v>9.0660000000000007</v>
      </c>
      <c r="K134" s="17">
        <v>9.1560000000000006</v>
      </c>
      <c r="L134" s="17">
        <v>9.2479999999999993</v>
      </c>
      <c r="M134" s="17">
        <v>9.34</v>
      </c>
      <c r="N134" s="17">
        <v>9.4339999999999993</v>
      </c>
    </row>
    <row r="135" spans="1:14" x14ac:dyDescent="0.25">
      <c r="A135" s="11" t="s">
        <v>556</v>
      </c>
      <c r="B135" s="92" t="str">
        <f>$B$10</f>
        <v>UIM</v>
      </c>
      <c r="C135" s="16"/>
      <c r="D135" s="16">
        <v>16.742000000000001</v>
      </c>
      <c r="E135" s="16">
        <v>16.971</v>
      </c>
      <c r="F135" s="16">
        <v>17.577000000000002</v>
      </c>
      <c r="G135" s="16">
        <v>21.42</v>
      </c>
      <c r="H135" s="16">
        <v>18.725999999999999</v>
      </c>
      <c r="I135" s="16">
        <v>19.863</v>
      </c>
      <c r="J135" s="17">
        <v>26.414999999999999</v>
      </c>
      <c r="K135" s="17">
        <v>26.925000000000001</v>
      </c>
      <c r="L135" s="17">
        <v>28.08</v>
      </c>
      <c r="M135" s="17">
        <v>28.029</v>
      </c>
      <c r="N135" s="17">
        <v>28.588999999999999</v>
      </c>
    </row>
    <row r="136" spans="1:14" x14ac:dyDescent="0.25">
      <c r="A136" s="11" t="s">
        <v>557</v>
      </c>
      <c r="B136" s="92" t="str">
        <f>$B$10</f>
        <v>UIM</v>
      </c>
      <c r="C136" s="16"/>
      <c r="D136" s="16">
        <v>2.5230000000000001</v>
      </c>
      <c r="E136" s="16">
        <v>2.59</v>
      </c>
      <c r="F136" s="16">
        <v>2.5489999999999999</v>
      </c>
      <c r="G136" s="16">
        <v>3.3679999999999999</v>
      </c>
      <c r="H136" s="16">
        <v>3.61</v>
      </c>
      <c r="I136" s="16">
        <v>3.4529999999999998</v>
      </c>
      <c r="J136" s="17">
        <v>3.6360000000000001</v>
      </c>
      <c r="K136" s="17">
        <v>3.6429999999999998</v>
      </c>
      <c r="L136" s="17">
        <v>3.734</v>
      </c>
      <c r="M136" s="17">
        <v>3.758</v>
      </c>
      <c r="N136" s="17">
        <v>3.8220000000000001</v>
      </c>
    </row>
    <row r="137" spans="1:14" x14ac:dyDescent="0.25">
      <c r="A137" s="11" t="s">
        <v>558</v>
      </c>
      <c r="B137" s="92" t="str">
        <f>$B$10</f>
        <v>UIM</v>
      </c>
      <c r="C137" s="16"/>
      <c r="D137" s="16">
        <v>110.248</v>
      </c>
      <c r="E137" s="16">
        <v>152.71700000000001</v>
      </c>
      <c r="F137" s="16">
        <v>162.56</v>
      </c>
      <c r="G137" s="16">
        <v>203.965</v>
      </c>
      <c r="H137" s="16">
        <v>226.755</v>
      </c>
      <c r="I137" s="16">
        <v>250.94300000000001</v>
      </c>
      <c r="J137" s="17">
        <v>277.57</v>
      </c>
      <c r="K137" s="17">
        <v>305.07600000000002</v>
      </c>
      <c r="L137" s="17">
        <v>325.91899999999998</v>
      </c>
      <c r="M137" s="17">
        <v>342.61099999999999</v>
      </c>
      <c r="N137" s="17">
        <v>354.2</v>
      </c>
    </row>
    <row r="138" spans="1:14" x14ac:dyDescent="0.25">
      <c r="A138" s="11" t="s">
        <v>559</v>
      </c>
      <c r="B138" s="92" t="str">
        <f>$B$10</f>
        <v>UIM</v>
      </c>
      <c r="C138" s="47">
        <v>2.5409999999999999</v>
      </c>
      <c r="D138" s="16">
        <v>2.8839999999999999</v>
      </c>
      <c r="E138" s="16">
        <v>3.8039999999999998</v>
      </c>
      <c r="F138" s="16">
        <v>5.8239999999999998</v>
      </c>
      <c r="G138" s="16">
        <v>11.308</v>
      </c>
      <c r="H138" s="16">
        <v>6.125</v>
      </c>
      <c r="I138" s="16">
        <v>6.6260000000000003</v>
      </c>
      <c r="J138" s="17">
        <v>6.556</v>
      </c>
      <c r="K138" s="17">
        <v>5.7409999999999997</v>
      </c>
      <c r="L138" s="17">
        <v>5.1379999999999999</v>
      </c>
      <c r="M138" s="17">
        <v>4.7249999999999996</v>
      </c>
      <c r="N138" s="17">
        <v>4.2530000000000001</v>
      </c>
    </row>
    <row r="139" spans="1:14" x14ac:dyDescent="0.25">
      <c r="A139" s="11" t="s">
        <v>560</v>
      </c>
      <c r="B139" s="92" t="str">
        <f>$B$9</f>
        <v>NAC</v>
      </c>
      <c r="C139" s="16"/>
      <c r="D139" s="16">
        <v>58.216000000000001</v>
      </c>
      <c r="E139" s="16">
        <v>66.69</v>
      </c>
      <c r="F139" s="16">
        <v>60.335999999999999</v>
      </c>
      <c r="G139" s="16">
        <v>55.301000000000002</v>
      </c>
      <c r="H139" s="16">
        <v>57.511000000000003</v>
      </c>
      <c r="I139" s="16">
        <v>66.575000000000003</v>
      </c>
      <c r="J139" s="17">
        <v>69.927999999999997</v>
      </c>
      <c r="K139" s="17">
        <v>72.963999999999999</v>
      </c>
      <c r="L139" s="17">
        <v>76.287999999999997</v>
      </c>
      <c r="M139" s="17">
        <v>79.978999999999999</v>
      </c>
      <c r="N139" s="17">
        <v>83.828999999999994</v>
      </c>
    </row>
    <row r="140" spans="1:14" x14ac:dyDescent="0.25">
      <c r="A140" s="11" t="s">
        <v>561</v>
      </c>
      <c r="B140" s="92" t="str">
        <f>$B$10</f>
        <v>UIM</v>
      </c>
      <c r="C140" s="16"/>
      <c r="D140" s="16">
        <v>13.179</v>
      </c>
      <c r="E140" s="16">
        <v>13.983000000000001</v>
      </c>
      <c r="F140" s="16">
        <v>11.038</v>
      </c>
      <c r="G140" s="16">
        <v>8.7690000000000001</v>
      </c>
      <c r="H140" s="16">
        <v>8.0389999999999997</v>
      </c>
      <c r="I140" s="16">
        <v>7.3369999999999997</v>
      </c>
      <c r="J140" s="17">
        <v>6.5350000000000001</v>
      </c>
      <c r="K140" s="17">
        <v>6.0279999999999996</v>
      </c>
      <c r="L140" s="17">
        <v>5.516</v>
      </c>
      <c r="M140" s="17">
        <v>5.03</v>
      </c>
      <c r="N140" s="17">
        <v>4.57</v>
      </c>
    </row>
    <row r="141" spans="1:14" x14ac:dyDescent="0.25">
      <c r="A141" s="11" t="s">
        <v>562</v>
      </c>
      <c r="B141" s="92" t="str">
        <f>$B$10</f>
        <v>UIM</v>
      </c>
      <c r="C141" s="16"/>
      <c r="D141" s="16">
        <v>10.708</v>
      </c>
      <c r="E141" s="16">
        <v>12.68</v>
      </c>
      <c r="F141" s="16">
        <v>13.263</v>
      </c>
      <c r="G141" s="16">
        <v>14.333</v>
      </c>
      <c r="H141" s="16">
        <v>15.426</v>
      </c>
      <c r="I141" s="16">
        <v>16.045000000000002</v>
      </c>
      <c r="J141" s="17">
        <v>17.672000000000001</v>
      </c>
      <c r="K141" s="17">
        <v>16.707000000000001</v>
      </c>
      <c r="L141" s="17">
        <v>16.04</v>
      </c>
      <c r="M141" s="17">
        <v>15.742000000000001</v>
      </c>
      <c r="N141" s="17">
        <v>15.646000000000001</v>
      </c>
    </row>
    <row r="142" spans="1:14" x14ac:dyDescent="0.25">
      <c r="A142" s="55" t="s">
        <v>563</v>
      </c>
      <c r="B142" s="92" t="str">
        <f>$B$9</f>
        <v>NAC</v>
      </c>
      <c r="C142" s="16"/>
      <c r="D142" s="56">
        <f t="shared" ref="D142:N142" si="33">SUM(D$134:D$141)</f>
        <v>221.31299999999999</v>
      </c>
      <c r="E142" s="56">
        <f t="shared" si="33"/>
        <v>277.45699999999999</v>
      </c>
      <c r="F142" s="56">
        <f t="shared" si="33"/>
        <v>281.40300000000002</v>
      </c>
      <c r="G142" s="56">
        <f t="shared" si="33"/>
        <v>327.52500000000003</v>
      </c>
      <c r="H142" s="56">
        <f t="shared" si="33"/>
        <v>345.19400000000002</v>
      </c>
      <c r="I142" s="56">
        <f t="shared" si="33"/>
        <v>379.81899999999996</v>
      </c>
      <c r="J142" s="56">
        <f t="shared" si="33"/>
        <v>417.37800000000004</v>
      </c>
      <c r="K142" s="56">
        <f t="shared" si="33"/>
        <v>446.24</v>
      </c>
      <c r="L142" s="56">
        <f t="shared" si="33"/>
        <v>469.96300000000002</v>
      </c>
      <c r="M142" s="56">
        <f t="shared" si="33"/>
        <v>489.214</v>
      </c>
      <c r="N142" s="56">
        <f t="shared" si="33"/>
        <v>504.34299999999996</v>
      </c>
    </row>
    <row r="143" spans="1:14" x14ac:dyDescent="0.25">
      <c r="A143" s="55" t="s">
        <v>564</v>
      </c>
      <c r="B143" s="92" t="str">
        <f>$B$9</f>
        <v>NAC</v>
      </c>
      <c r="C143" s="16"/>
      <c r="D143" s="47">
        <v>143.339</v>
      </c>
      <c r="E143" s="47">
        <v>115.943</v>
      </c>
      <c r="F143" s="47">
        <v>157.19300000000001</v>
      </c>
      <c r="G143" s="47">
        <v>174.31899999999999</v>
      </c>
      <c r="H143" s="47">
        <v>191.47200000000001</v>
      </c>
      <c r="I143" s="47">
        <v>191.04900000000001</v>
      </c>
      <c r="J143" s="43">
        <v>183.13</v>
      </c>
      <c r="K143" s="43">
        <v>173.22399999999999</v>
      </c>
      <c r="L143" s="43">
        <v>167.779</v>
      </c>
      <c r="M143" s="43">
        <v>167.84</v>
      </c>
      <c r="N143" s="43">
        <v>171.893</v>
      </c>
    </row>
    <row r="144" spans="1:14" x14ac:dyDescent="0.25">
      <c r="A144" s="55" t="s">
        <v>565</v>
      </c>
      <c r="B144" s="92"/>
      <c r="C144" s="16"/>
      <c r="D144" s="57" t="str">
        <f t="shared" ref="D144:N144" si="34">IF(ROUND(D$143-(D$133-D$142),3)=0,"OK","ERROR")</f>
        <v>OK</v>
      </c>
      <c r="E144" s="57" t="str">
        <f t="shared" si="34"/>
        <v>OK</v>
      </c>
      <c r="F144" s="57" t="str">
        <f t="shared" si="34"/>
        <v>OK</v>
      </c>
      <c r="G144" s="57" t="str">
        <f t="shared" si="34"/>
        <v>OK</v>
      </c>
      <c r="H144" s="57" t="str">
        <f t="shared" si="34"/>
        <v>OK</v>
      </c>
      <c r="I144" s="57" t="str">
        <f t="shared" si="34"/>
        <v>OK</v>
      </c>
      <c r="J144" s="57" t="str">
        <f t="shared" si="34"/>
        <v>OK</v>
      </c>
      <c r="K144" s="57" t="str">
        <f t="shared" si="34"/>
        <v>OK</v>
      </c>
      <c r="L144" s="57" t="str">
        <f t="shared" si="34"/>
        <v>OK</v>
      </c>
      <c r="M144" s="57" t="str">
        <f t="shared" si="34"/>
        <v>OK</v>
      </c>
      <c r="N144" s="57" t="str">
        <f t="shared" si="34"/>
        <v>OK</v>
      </c>
    </row>
    <row r="145" spans="1:14" x14ac:dyDescent="0.25">
      <c r="A145" s="55" t="s">
        <v>566</v>
      </c>
      <c r="B145" s="92" t="str">
        <f>$B$10</f>
        <v>UIM</v>
      </c>
      <c r="C145" s="16"/>
      <c r="D145" s="16">
        <v>6.39</v>
      </c>
      <c r="E145" s="16">
        <v>5.6230000000000002</v>
      </c>
      <c r="F145" s="16">
        <v>5.7240000000000002</v>
      </c>
      <c r="G145" s="16">
        <v>7.2830000000000004</v>
      </c>
      <c r="H145" s="16">
        <v>7.9580000000000002</v>
      </c>
      <c r="I145" s="16">
        <v>9.2309999999999999</v>
      </c>
      <c r="J145" s="17">
        <v>9.4350000000000005</v>
      </c>
      <c r="K145" s="17">
        <v>9.3460000000000001</v>
      </c>
      <c r="L145" s="17">
        <v>9.4849999999999994</v>
      </c>
      <c r="M145" s="17">
        <v>9.5519999999999996</v>
      </c>
      <c r="N145" s="17">
        <v>9.5259999999999998</v>
      </c>
    </row>
    <row r="146" spans="1:14" x14ac:dyDescent="0.25">
      <c r="A146" s="9" t="s">
        <v>567</v>
      </c>
      <c r="B146" s="92"/>
      <c r="C146" s="16"/>
      <c r="D146" s="17"/>
      <c r="E146" s="17"/>
      <c r="F146" s="17"/>
      <c r="G146" s="17"/>
      <c r="H146" s="17"/>
      <c r="I146" s="17"/>
      <c r="J146" s="17"/>
      <c r="K146" s="17"/>
      <c r="L146" s="17"/>
      <c r="M146" s="17"/>
      <c r="N146" s="17"/>
    </row>
    <row r="147" spans="1:14" x14ac:dyDescent="0.25">
      <c r="A147" s="11" t="s">
        <v>568</v>
      </c>
      <c r="B147" s="92" t="str">
        <f>$B$10</f>
        <v>UIM</v>
      </c>
      <c r="C147" s="16"/>
      <c r="D147" s="16">
        <v>91.51</v>
      </c>
      <c r="E147" s="16">
        <v>126.34099999999999</v>
      </c>
      <c r="F147" s="16">
        <v>132.54300000000001</v>
      </c>
      <c r="G147" s="16">
        <v>168.98599999999999</v>
      </c>
      <c r="H147" s="16">
        <v>191.029</v>
      </c>
      <c r="I147" s="16">
        <v>216.34899999999999</v>
      </c>
      <c r="J147" s="17">
        <v>244.69399999999999</v>
      </c>
      <c r="K147" s="17">
        <v>266.68599999999998</v>
      </c>
      <c r="L147" s="17">
        <v>283.69200000000001</v>
      </c>
      <c r="M147" s="17">
        <v>295.63799999999998</v>
      </c>
      <c r="N147" s="17">
        <v>304.26799999999997</v>
      </c>
    </row>
    <row r="148" spans="1:14" x14ac:dyDescent="0.25">
      <c r="A148" s="11" t="s">
        <v>569</v>
      </c>
      <c r="B148" s="92" t="str">
        <f>$B$10</f>
        <v>UIM</v>
      </c>
      <c r="C148" s="16"/>
      <c r="D148" s="16">
        <v>0.251</v>
      </c>
      <c r="E148" s="16">
        <v>5.5E-2</v>
      </c>
      <c r="F148" s="16">
        <v>2.1000000000000001E-2</v>
      </c>
      <c r="G148" s="16">
        <v>0.20799999999999999</v>
      </c>
      <c r="H148" s="16">
        <v>0.96199999999999997</v>
      </c>
      <c r="I148" s="16">
        <v>0.84699999999999998</v>
      </c>
      <c r="J148" s="17">
        <v>5.6289999999999996</v>
      </c>
      <c r="K148" s="17">
        <v>5.2130000000000001</v>
      </c>
      <c r="L148" s="17">
        <v>6.266</v>
      </c>
      <c r="M148" s="17">
        <v>5.5540000000000003</v>
      </c>
      <c r="N148" s="17">
        <v>5.21</v>
      </c>
    </row>
    <row r="149" spans="1:14" x14ac:dyDescent="0.25">
      <c r="A149" s="11" t="s">
        <v>570</v>
      </c>
      <c r="B149" s="92" t="str">
        <f>$B$10</f>
        <v>UIM</v>
      </c>
      <c r="C149" s="16"/>
      <c r="D149" s="16">
        <v>0.90300000000000002</v>
      </c>
      <c r="E149" s="16">
        <v>2.6749999999999998</v>
      </c>
      <c r="F149" s="16">
        <v>2.2170000000000001</v>
      </c>
      <c r="G149" s="16">
        <v>9.99</v>
      </c>
      <c r="H149" s="16">
        <v>3.093</v>
      </c>
      <c r="I149" s="16">
        <v>2.754</v>
      </c>
      <c r="J149" s="17">
        <v>6.6070000000000002</v>
      </c>
      <c r="K149" s="17">
        <v>6.3109999999999999</v>
      </c>
      <c r="L149" s="17">
        <v>7.3639999999999999</v>
      </c>
      <c r="M149" s="17">
        <v>6.6509999999999998</v>
      </c>
      <c r="N149" s="17">
        <v>6.335</v>
      </c>
    </row>
    <row r="150" spans="1:14" x14ac:dyDescent="0.25">
      <c r="A150" s="11" t="s">
        <v>571</v>
      </c>
      <c r="B150" s="92" t="str">
        <f t="shared" ref="B150:B152" si="35">$B$10</f>
        <v>UIM</v>
      </c>
      <c r="C150" s="16"/>
      <c r="D150" s="16">
        <v>92.590999999999994</v>
      </c>
      <c r="E150" s="16">
        <v>101.77800000000001</v>
      </c>
      <c r="F150" s="16">
        <v>108.423</v>
      </c>
      <c r="G150" s="16">
        <v>121.13800000000001</v>
      </c>
      <c r="H150" s="16">
        <v>135.595</v>
      </c>
      <c r="I150" s="16">
        <v>154.9</v>
      </c>
      <c r="J150" s="17">
        <v>178.327</v>
      </c>
      <c r="K150" s="17">
        <v>184.34800000000001</v>
      </c>
      <c r="L150" s="17">
        <v>192.185</v>
      </c>
      <c r="M150" s="17">
        <v>198.71100000000001</v>
      </c>
      <c r="N150" s="17">
        <v>206.35</v>
      </c>
    </row>
    <row r="151" spans="1:14" x14ac:dyDescent="0.25">
      <c r="A151" s="11" t="s">
        <v>572</v>
      </c>
      <c r="B151" s="92" t="str">
        <f t="shared" si="35"/>
        <v>UIM</v>
      </c>
      <c r="C151" s="16"/>
      <c r="D151" s="16">
        <v>0.66900000000000004</v>
      </c>
      <c r="E151" s="16">
        <v>1.9E-2</v>
      </c>
      <c r="F151" s="16">
        <v>5.6000000000000001E-2</v>
      </c>
      <c r="G151" s="16">
        <v>0.55100000000000005</v>
      </c>
      <c r="H151" s="16">
        <v>2.5649999999999999</v>
      </c>
      <c r="I151" s="16">
        <v>3.278</v>
      </c>
      <c r="J151" s="17">
        <v>4.8579999999999997</v>
      </c>
      <c r="K151" s="17">
        <v>4.2329999999999997</v>
      </c>
      <c r="L151" s="17">
        <v>4.2619999999999996</v>
      </c>
      <c r="M151" s="17">
        <v>4.2910000000000004</v>
      </c>
      <c r="N151" s="17">
        <v>4.3239999999999998</v>
      </c>
    </row>
    <row r="152" spans="1:14" x14ac:dyDescent="0.25">
      <c r="A152" s="11" t="s">
        <v>573</v>
      </c>
      <c r="B152" s="92" t="str">
        <f t="shared" si="35"/>
        <v>UIM</v>
      </c>
      <c r="C152" s="16"/>
      <c r="D152" s="16">
        <f>45.967+0.326+D$149-0.903</f>
        <v>46.292999999999999</v>
      </c>
      <c r="E152" s="16">
        <f>46.843+0.052+E$149-2.675</f>
        <v>46.895000000000003</v>
      </c>
      <c r="F152" s="16">
        <f>60.556+0.929+F$149-2.218</f>
        <v>61.483999999999995</v>
      </c>
      <c r="G152" s="16">
        <f>60.07+0.235+G$149-5.04</f>
        <v>65.254999999999995</v>
      </c>
      <c r="H152" s="16">
        <f>66.12+1.045+H$149-2.264</f>
        <v>67.994000000000014</v>
      </c>
      <c r="I152" s="16">
        <v>78.811999999999998</v>
      </c>
      <c r="J152" s="17">
        <v>90.046999999999997</v>
      </c>
      <c r="K152" s="17">
        <v>93.933000000000007</v>
      </c>
      <c r="L152" s="17">
        <v>100.199</v>
      </c>
      <c r="M152" s="17">
        <v>104.995</v>
      </c>
      <c r="N152" s="17">
        <v>110.628</v>
      </c>
    </row>
    <row r="153" spans="1:14" x14ac:dyDescent="0.25">
      <c r="A153" s="11" t="s">
        <v>574</v>
      </c>
      <c r="B153" s="92" t="str">
        <f>$B$10</f>
        <v>UIM</v>
      </c>
      <c r="C153" s="16"/>
      <c r="D153" s="16">
        <v>13.845000000000001</v>
      </c>
      <c r="E153" s="16">
        <v>14.555999999999999</v>
      </c>
      <c r="F153" s="16">
        <f>3.059+15.669</f>
        <v>18.728000000000002</v>
      </c>
      <c r="G153" s="16">
        <f>12.384+13.719</f>
        <v>26.103000000000002</v>
      </c>
      <c r="H153" s="16">
        <v>36.540999999999997</v>
      </c>
      <c r="I153" s="16">
        <v>40.387999999999998</v>
      </c>
      <c r="J153" s="17">
        <v>35.066000000000003</v>
      </c>
      <c r="K153" s="17">
        <v>29.248000000000001</v>
      </c>
      <c r="L153" s="17">
        <v>32.091999999999999</v>
      </c>
      <c r="M153" s="17">
        <v>33.713999999999999</v>
      </c>
      <c r="N153" s="17">
        <v>35.417999999999999</v>
      </c>
    </row>
    <row r="154" spans="1:14" x14ac:dyDescent="0.25">
      <c r="A154" s="55" t="s">
        <v>575</v>
      </c>
      <c r="B154" s="92" t="str">
        <f>$B$9</f>
        <v>NAC</v>
      </c>
      <c r="C154" s="16"/>
      <c r="D154" s="56">
        <f>SUM(D$147,D$148,D$152,D$153)-SUM(D$149,D$150,D$151)</f>
        <v>57.736000000000004</v>
      </c>
      <c r="E154" s="56">
        <f>SUM(E$147,E$148,E$152,E$153)-SUM(E$149,E$150,E$151)</f>
        <v>83.375</v>
      </c>
      <c r="F154" s="56">
        <f>SUM(F$147,F$148,F$152,F$153)-SUM(F$149,F$150,F$151)</f>
        <v>102.08000000000001</v>
      </c>
      <c r="G154" s="56">
        <f>SUM(G$147,G$148,G$152,G$153)-SUM(G$149,G$150,G$151)</f>
        <v>128.87299999999996</v>
      </c>
      <c r="H154" s="56">
        <f>SUM(H$147,H$148,H$152,H$153)-SUM(H$149,H$150,H$151)</f>
        <v>155.27300000000002</v>
      </c>
      <c r="I154" s="56">
        <f t="shared" ref="I154:N154" si="36">SUM(I$147,I$148,I$152,I$153)-SUM(I$149,I$150,I$151)</f>
        <v>175.46399999999997</v>
      </c>
      <c r="J154" s="56">
        <f t="shared" si="36"/>
        <v>185.64400000000003</v>
      </c>
      <c r="K154" s="56">
        <f t="shared" si="36"/>
        <v>200.18799999999996</v>
      </c>
      <c r="L154" s="56">
        <f t="shared" si="36"/>
        <v>218.43800000000002</v>
      </c>
      <c r="M154" s="56">
        <f t="shared" si="36"/>
        <v>230.24799999999993</v>
      </c>
      <c r="N154" s="56">
        <f t="shared" si="36"/>
        <v>238.51499999999993</v>
      </c>
    </row>
    <row r="155" spans="1:14" x14ac:dyDescent="0.25">
      <c r="A155" s="11" t="s">
        <v>576</v>
      </c>
      <c r="B155" s="92" t="str">
        <f>$B$10</f>
        <v>UIM</v>
      </c>
      <c r="C155" s="16"/>
      <c r="D155" s="16">
        <v>6.931</v>
      </c>
      <c r="E155" s="16">
        <v>11.111000000000001</v>
      </c>
      <c r="F155" s="16">
        <v>11.836</v>
      </c>
      <c r="G155" s="16">
        <v>14.345000000000001</v>
      </c>
      <c r="H155" s="16">
        <v>48.11</v>
      </c>
      <c r="I155" s="16">
        <v>56.47</v>
      </c>
      <c r="J155" s="17">
        <v>62.162999999999997</v>
      </c>
      <c r="K155" s="17">
        <v>67.882999999999996</v>
      </c>
      <c r="L155" s="17">
        <v>73.34</v>
      </c>
      <c r="M155" s="17">
        <v>78.39</v>
      </c>
      <c r="N155" s="17">
        <v>82.649000000000001</v>
      </c>
    </row>
    <row r="156" spans="1:14" x14ac:dyDescent="0.25">
      <c r="A156" s="11" t="s">
        <v>577</v>
      </c>
      <c r="B156" s="92" t="str">
        <f t="shared" ref="B156:B160" si="37">$B$10</f>
        <v>UIM</v>
      </c>
      <c r="C156" s="16"/>
      <c r="D156" s="16">
        <v>0</v>
      </c>
      <c r="E156" s="16">
        <v>0</v>
      </c>
      <c r="F156" s="16">
        <v>0</v>
      </c>
      <c r="G156" s="16">
        <v>0</v>
      </c>
      <c r="H156" s="16">
        <f>28.884+1.69</f>
        <v>30.574000000000002</v>
      </c>
      <c r="I156" s="16">
        <v>33.290999999999997</v>
      </c>
      <c r="J156" s="17">
        <v>36.505000000000003</v>
      </c>
      <c r="K156" s="17">
        <v>40.314999999999998</v>
      </c>
      <c r="L156" s="17">
        <v>44.011000000000003</v>
      </c>
      <c r="M156" s="17">
        <v>48.152999999999999</v>
      </c>
      <c r="N156" s="17">
        <v>51.787999999999997</v>
      </c>
    </row>
    <row r="157" spans="1:14" x14ac:dyDescent="0.25">
      <c r="A157" s="55" t="s">
        <v>578</v>
      </c>
      <c r="B157" s="92" t="str">
        <f>$B$9</f>
        <v>NAC</v>
      </c>
      <c r="C157" s="16"/>
      <c r="D157" s="56">
        <f>SUM(D$154,D$155)-SUM(D$156,D$153)</f>
        <v>50.822000000000003</v>
      </c>
      <c r="E157" s="56">
        <f t="shared" ref="E157:N157" si="38">SUM(E$154,E$155)-SUM(E$156,E$153)</f>
        <v>79.930000000000007</v>
      </c>
      <c r="F157" s="56">
        <f t="shared" si="38"/>
        <v>95.188000000000017</v>
      </c>
      <c r="G157" s="56">
        <f t="shared" si="38"/>
        <v>117.11499999999995</v>
      </c>
      <c r="H157" s="56">
        <f t="shared" si="38"/>
        <v>136.26800000000003</v>
      </c>
      <c r="I157" s="56">
        <f t="shared" si="38"/>
        <v>158.25499999999997</v>
      </c>
      <c r="J157" s="56">
        <f t="shared" si="38"/>
        <v>176.23600000000002</v>
      </c>
      <c r="K157" s="56">
        <f t="shared" si="38"/>
        <v>198.50799999999998</v>
      </c>
      <c r="L157" s="56">
        <f t="shared" si="38"/>
        <v>215.67500000000001</v>
      </c>
      <c r="M157" s="56">
        <f t="shared" si="38"/>
        <v>226.77099999999993</v>
      </c>
      <c r="N157" s="56">
        <f t="shared" si="38"/>
        <v>233.95799999999994</v>
      </c>
    </row>
    <row r="158" spans="1:14" x14ac:dyDescent="0.25">
      <c r="A158" s="55" t="s">
        <v>579</v>
      </c>
      <c r="B158" s="92" t="str">
        <f>$B$9</f>
        <v>NAC</v>
      </c>
      <c r="C158" s="16"/>
      <c r="D158" s="47">
        <v>5.4320000000000004</v>
      </c>
      <c r="E158" s="47">
        <v>35.71</v>
      </c>
      <c r="F158" s="47">
        <v>35.920999999999999</v>
      </c>
      <c r="G158" s="47">
        <v>61.85</v>
      </c>
      <c r="H158" s="47">
        <v>71.367000000000004</v>
      </c>
      <c r="I158" s="47">
        <v>82.197000000000003</v>
      </c>
      <c r="J158" s="43">
        <v>92.796000000000006</v>
      </c>
      <c r="K158" s="43">
        <v>110.886</v>
      </c>
      <c r="L158" s="43">
        <v>122.84</v>
      </c>
      <c r="M158" s="43">
        <v>128.42699999999999</v>
      </c>
      <c r="N158" s="43">
        <v>129.66499999999999</v>
      </c>
    </row>
    <row r="159" spans="1:14" x14ac:dyDescent="0.25">
      <c r="A159" s="55" t="s">
        <v>580</v>
      </c>
      <c r="B159" s="92"/>
      <c r="C159" s="16"/>
      <c r="D159" s="57" t="str">
        <f t="shared" ref="D159:G159" si="39">IF(ROUND(D$158-(D$157+D$149-D$152),3)=0,"OK","ERROR")</f>
        <v>OK</v>
      </c>
      <c r="E159" s="57" t="str">
        <f t="shared" si="39"/>
        <v>OK</v>
      </c>
      <c r="F159" s="57" t="str">
        <f t="shared" si="39"/>
        <v>OK</v>
      </c>
      <c r="G159" s="57" t="str">
        <f t="shared" si="39"/>
        <v>OK</v>
      </c>
      <c r="H159" s="57" t="str">
        <f>IF(ROUND(H$158-(H$157+H$149-H$152),3)=0,"OK","ERROR")</f>
        <v>OK</v>
      </c>
      <c r="I159" s="57" t="str">
        <f t="shared" ref="I159:N159" si="40">IF(ROUND(I$158-(I$157+I$149-I$152),3)=0,"OK","ERROR")</f>
        <v>OK</v>
      </c>
      <c r="J159" s="57" t="str">
        <f t="shared" si="40"/>
        <v>OK</v>
      </c>
      <c r="K159" s="57" t="str">
        <f t="shared" si="40"/>
        <v>OK</v>
      </c>
      <c r="L159" s="57" t="str">
        <f t="shared" si="40"/>
        <v>OK</v>
      </c>
      <c r="M159" s="57" t="str">
        <f t="shared" si="40"/>
        <v>OK</v>
      </c>
      <c r="N159" s="57" t="str">
        <f t="shared" si="40"/>
        <v>OK</v>
      </c>
    </row>
    <row r="160" spans="1:14" x14ac:dyDescent="0.25">
      <c r="A160" s="11" t="s">
        <v>581</v>
      </c>
      <c r="B160" s="92" t="str">
        <f t="shared" si="37"/>
        <v>UIM</v>
      </c>
      <c r="C160" s="16"/>
      <c r="D160" s="16">
        <v>6.4809999999999999</v>
      </c>
      <c r="E160" s="16">
        <v>21.887999999999998</v>
      </c>
      <c r="F160" s="16">
        <v>30.420999999999999</v>
      </c>
      <c r="G160" s="16">
        <v>45.088000000000001</v>
      </c>
      <c r="H160" s="16">
        <v>53.109000000000002</v>
      </c>
      <c r="I160" s="16">
        <v>38.475999999999999</v>
      </c>
      <c r="J160" s="17">
        <v>33.716999999999999</v>
      </c>
      <c r="K160" s="17">
        <v>26.771999999999998</v>
      </c>
      <c r="L160" s="17">
        <v>20.100000000000001</v>
      </c>
      <c r="M160" s="17">
        <v>20.100000000000001</v>
      </c>
      <c r="N160" s="17">
        <v>20.100000000000001</v>
      </c>
    </row>
    <row r="161" spans="1:14" x14ac:dyDescent="0.25">
      <c r="A161" s="55" t="s">
        <v>582</v>
      </c>
      <c r="B161" s="16"/>
      <c r="C161" s="16"/>
      <c r="D161" s="56">
        <f t="shared" ref="D161:G161" si="41">SUM(D$147,D$148)-SUM(D$149,D$160)</f>
        <v>84.37700000000001</v>
      </c>
      <c r="E161" s="56">
        <f t="shared" si="41"/>
        <v>101.833</v>
      </c>
      <c r="F161" s="56">
        <f t="shared" si="41"/>
        <v>99.925999999999988</v>
      </c>
      <c r="G161" s="56">
        <f t="shared" si="41"/>
        <v>114.11599999999999</v>
      </c>
      <c r="H161" s="56">
        <f>SUM(H$147,H$148)-SUM(H$149,H$160)</f>
        <v>135.78899999999999</v>
      </c>
      <c r="I161" s="56">
        <f t="shared" ref="I161:N161" si="42">SUM(I$147,I$148)-SUM(I$149,I$160)</f>
        <v>175.96600000000001</v>
      </c>
      <c r="J161" s="56">
        <f t="shared" si="42"/>
        <v>209.99899999999997</v>
      </c>
      <c r="K161" s="56">
        <f t="shared" si="42"/>
        <v>238.816</v>
      </c>
      <c r="L161" s="56">
        <f t="shared" si="42"/>
        <v>262.49400000000003</v>
      </c>
      <c r="M161" s="56">
        <f t="shared" si="42"/>
        <v>274.44099999999997</v>
      </c>
      <c r="N161" s="56">
        <f t="shared" si="42"/>
        <v>283.04299999999995</v>
      </c>
    </row>
    <row r="162" spans="1:14" x14ac:dyDescent="0.25">
      <c r="A162" s="9" t="s">
        <v>583</v>
      </c>
      <c r="B162" s="11"/>
      <c r="C162" s="16"/>
      <c r="D162" s="17"/>
      <c r="E162" s="17"/>
      <c r="F162" s="17"/>
      <c r="G162" s="17"/>
      <c r="H162" s="17"/>
      <c r="I162" s="17"/>
      <c r="J162" s="17"/>
      <c r="K162" s="17"/>
      <c r="L162" s="17"/>
      <c r="M162" s="17"/>
      <c r="N162" s="17"/>
    </row>
    <row r="163" spans="1:14" x14ac:dyDescent="0.25">
      <c r="A163" s="11" t="s">
        <v>449</v>
      </c>
      <c r="B163" s="92" t="str">
        <f>$B$10</f>
        <v>UIM</v>
      </c>
      <c r="C163" s="16"/>
      <c r="D163" s="16">
        <v>86.468000000000004</v>
      </c>
      <c r="E163" s="16">
        <v>85.102000000000004</v>
      </c>
      <c r="F163" s="16">
        <v>97.983000000000004</v>
      </c>
      <c r="G163" s="16">
        <v>108.458</v>
      </c>
      <c r="H163" s="16">
        <v>112.358</v>
      </c>
      <c r="I163" s="16">
        <v>120.566</v>
      </c>
      <c r="J163" s="17">
        <v>120.89400000000001</v>
      </c>
      <c r="K163" s="17">
        <v>125.044</v>
      </c>
      <c r="L163" s="17">
        <v>133.018</v>
      </c>
      <c r="M163" s="17">
        <v>140.49100000000001</v>
      </c>
      <c r="N163" s="17">
        <v>148.19999999999999</v>
      </c>
    </row>
    <row r="164" spans="1:14" x14ac:dyDescent="0.25">
      <c r="A164" s="11" t="s">
        <v>451</v>
      </c>
      <c r="B164" s="92" t="str">
        <f>$B$10</f>
        <v>UIM</v>
      </c>
      <c r="C164" s="16"/>
      <c r="D164" s="16">
        <v>1.9770000000000001</v>
      </c>
      <c r="E164" s="16">
        <v>2.12</v>
      </c>
      <c r="F164" s="16">
        <v>2.7450000000000001</v>
      </c>
      <c r="G164" s="16">
        <v>4.327</v>
      </c>
      <c r="H164" s="16">
        <v>3.2919999999999998</v>
      </c>
      <c r="I164" s="16">
        <v>3.589</v>
      </c>
      <c r="J164" s="17">
        <v>4.306</v>
      </c>
      <c r="K164" s="17">
        <v>4.4169999999999998</v>
      </c>
      <c r="L164" s="17">
        <v>4.4249999999999998</v>
      </c>
      <c r="M164" s="17">
        <v>4.42</v>
      </c>
      <c r="N164" s="17">
        <v>4.4509999999999996</v>
      </c>
    </row>
    <row r="165" spans="1:14" x14ac:dyDescent="0.25">
      <c r="A165" s="11" t="s">
        <v>453</v>
      </c>
      <c r="B165" s="92" t="str">
        <f>$B$10</f>
        <v>UIM</v>
      </c>
      <c r="C165" s="16"/>
      <c r="D165" s="16">
        <v>1.583</v>
      </c>
      <c r="E165" s="16">
        <v>1.5529999999999999</v>
      </c>
      <c r="F165" s="16">
        <v>1.5429999999999999</v>
      </c>
      <c r="G165" s="16">
        <v>1.3859999999999999</v>
      </c>
      <c r="H165" s="16">
        <v>1.631</v>
      </c>
      <c r="I165" s="16">
        <v>1.798</v>
      </c>
      <c r="J165" s="17">
        <v>2.21</v>
      </c>
      <c r="K165" s="17">
        <v>2.3940000000000001</v>
      </c>
      <c r="L165" s="17">
        <v>2.3420000000000001</v>
      </c>
      <c r="M165" s="17">
        <v>2.427</v>
      </c>
      <c r="N165" s="17">
        <v>2.4420000000000002</v>
      </c>
    </row>
    <row r="166" spans="1:14" x14ac:dyDescent="0.25">
      <c r="A166" s="11" t="s">
        <v>454</v>
      </c>
      <c r="B166" s="92" t="str">
        <f>$B$10</f>
        <v>UIM</v>
      </c>
      <c r="C166" s="16"/>
      <c r="D166" s="16">
        <v>1.06</v>
      </c>
      <c r="E166" s="16">
        <v>0.85</v>
      </c>
      <c r="F166" s="16">
        <v>0.71599999999999997</v>
      </c>
      <c r="G166" s="16">
        <v>0.85799999999999998</v>
      </c>
      <c r="H166" s="16">
        <v>2.8620000000000001</v>
      </c>
      <c r="I166" s="16">
        <v>4.4409999999999998</v>
      </c>
      <c r="J166" s="17">
        <v>4.0789999999999997</v>
      </c>
      <c r="K166" s="17">
        <v>3.7160000000000002</v>
      </c>
      <c r="L166" s="17">
        <v>3.8319999999999999</v>
      </c>
      <c r="M166" s="17">
        <v>4.1459999999999999</v>
      </c>
      <c r="N166" s="17">
        <v>4.3929999999999998</v>
      </c>
    </row>
    <row r="167" spans="1:14" x14ac:dyDescent="0.25">
      <c r="A167" s="11" t="s">
        <v>455</v>
      </c>
      <c r="B167" s="92" t="str">
        <f>$B$10</f>
        <v>UIM</v>
      </c>
      <c r="C167" s="16"/>
      <c r="D167" s="16">
        <v>2.3860000000000001</v>
      </c>
      <c r="E167" s="16">
        <v>2.298</v>
      </c>
      <c r="F167" s="16">
        <v>1.9810000000000001</v>
      </c>
      <c r="G167" s="16">
        <v>2.4860000000000002</v>
      </c>
      <c r="H167" s="16">
        <v>3.2549999999999999</v>
      </c>
      <c r="I167" s="16">
        <v>2.8260000000000001</v>
      </c>
      <c r="J167" s="17">
        <v>2.6989999999999998</v>
      </c>
      <c r="K167" s="17">
        <v>4.1550000000000002</v>
      </c>
      <c r="L167" s="17">
        <v>2.806</v>
      </c>
      <c r="M167" s="17">
        <v>2.887</v>
      </c>
      <c r="N167" s="17">
        <v>3.0190000000000001</v>
      </c>
    </row>
    <row r="168" spans="1:14" x14ac:dyDescent="0.25">
      <c r="A168" s="55" t="s">
        <v>584</v>
      </c>
      <c r="B168" s="92" t="str">
        <f>$B$9</f>
        <v>NAC</v>
      </c>
      <c r="C168" s="16"/>
      <c r="D168" s="47">
        <v>93.474000000000004</v>
      </c>
      <c r="E168" s="47">
        <v>91.923000000000002</v>
      </c>
      <c r="F168" s="47">
        <v>104.968</v>
      </c>
      <c r="G168" s="47">
        <v>117.515</v>
      </c>
      <c r="H168" s="47">
        <v>123.398</v>
      </c>
      <c r="I168" s="47">
        <v>133.22</v>
      </c>
      <c r="J168" s="43">
        <v>134.18799999999999</v>
      </c>
      <c r="K168" s="43">
        <v>139.726</v>
      </c>
      <c r="L168" s="43">
        <v>146.423</v>
      </c>
      <c r="M168" s="43">
        <v>154.37100000000001</v>
      </c>
      <c r="N168" s="43">
        <v>162.505</v>
      </c>
    </row>
    <row r="169" spans="1:14" x14ac:dyDescent="0.25">
      <c r="A169" s="55" t="s">
        <v>585</v>
      </c>
      <c r="B169" s="92"/>
      <c r="C169" s="16"/>
      <c r="D169" s="57" t="str">
        <f t="shared" ref="D169:N169" si="43">IF(ROUND(D$168-SUM(D$163:D$167),3)=0,"OK","ERROR")</f>
        <v>OK</v>
      </c>
      <c r="E169" s="57" t="str">
        <f t="shared" si="43"/>
        <v>OK</v>
      </c>
      <c r="F169" s="57" t="str">
        <f t="shared" si="43"/>
        <v>OK</v>
      </c>
      <c r="G169" s="57" t="str">
        <f t="shared" si="43"/>
        <v>OK</v>
      </c>
      <c r="H169" s="57" t="str">
        <f t="shared" si="43"/>
        <v>OK</v>
      </c>
      <c r="I169" s="57" t="str">
        <f t="shared" si="43"/>
        <v>OK</v>
      </c>
      <c r="J169" s="57" t="str">
        <f t="shared" si="43"/>
        <v>OK</v>
      </c>
      <c r="K169" s="57" t="str">
        <f t="shared" si="43"/>
        <v>OK</v>
      </c>
      <c r="L169" s="57" t="str">
        <f t="shared" si="43"/>
        <v>OK</v>
      </c>
      <c r="M169" s="57" t="str">
        <f t="shared" si="43"/>
        <v>OK</v>
      </c>
      <c r="N169" s="57" t="str">
        <f t="shared" si="43"/>
        <v>OK</v>
      </c>
    </row>
    <row r="170" spans="1:14" x14ac:dyDescent="0.25">
      <c r="A170" s="11" t="s">
        <v>586</v>
      </c>
      <c r="B170" s="92" t="str">
        <f>$B$10</f>
        <v>UIM</v>
      </c>
      <c r="C170" s="16"/>
      <c r="D170" s="16">
        <v>29.015000000000001</v>
      </c>
      <c r="E170" s="16">
        <v>43.616</v>
      </c>
      <c r="F170" s="16">
        <v>36.521000000000001</v>
      </c>
      <c r="G170" s="16">
        <v>45.265999999999998</v>
      </c>
      <c r="H170" s="16">
        <v>40.003</v>
      </c>
      <c r="I170" s="16">
        <v>43.265000000000001</v>
      </c>
      <c r="J170" s="17">
        <v>46.338000000000001</v>
      </c>
      <c r="K170" s="17">
        <v>48.189</v>
      </c>
      <c r="L170" s="17">
        <v>49.661999999999999</v>
      </c>
      <c r="M170" s="17">
        <v>51.345999999999997</v>
      </c>
      <c r="N170" s="17">
        <v>52.415999999999997</v>
      </c>
    </row>
    <row r="171" spans="1:14" x14ac:dyDescent="0.25">
      <c r="A171" s="11" t="s">
        <v>587</v>
      </c>
      <c r="B171" s="92" t="str">
        <f>$B$10</f>
        <v>UIM</v>
      </c>
      <c r="C171" s="16"/>
      <c r="D171" s="16">
        <v>7.7939999999999996</v>
      </c>
      <c r="E171" s="16">
        <v>8.48</v>
      </c>
      <c r="F171" s="16">
        <v>9.3580000000000005</v>
      </c>
      <c r="G171" s="16">
        <v>9.9450000000000003</v>
      </c>
      <c r="H171" s="16">
        <v>10.449</v>
      </c>
      <c r="I171" s="16">
        <v>11.26</v>
      </c>
      <c r="J171" s="17">
        <v>11.407</v>
      </c>
      <c r="K171" s="17">
        <v>11.778</v>
      </c>
      <c r="L171" s="17">
        <v>11.878</v>
      </c>
      <c r="M171" s="17">
        <v>11.847</v>
      </c>
      <c r="N171" s="17">
        <v>11.896000000000001</v>
      </c>
    </row>
    <row r="172" spans="1:14" x14ac:dyDescent="0.25">
      <c r="A172" s="11" t="s">
        <v>588</v>
      </c>
      <c r="B172" s="92" t="str">
        <f>$B$9</f>
        <v>NAC</v>
      </c>
      <c r="C172" s="16"/>
      <c r="D172" s="16">
        <v>46.46</v>
      </c>
      <c r="E172" s="16">
        <v>53.508000000000003</v>
      </c>
      <c r="F172" s="16">
        <v>59.966000000000001</v>
      </c>
      <c r="G172" s="16">
        <v>67.545000000000002</v>
      </c>
      <c r="H172" s="16">
        <v>70.55</v>
      </c>
      <c r="I172" s="16">
        <v>75.528000000000006</v>
      </c>
      <c r="J172" s="17">
        <v>78.320999999999998</v>
      </c>
      <c r="K172" s="17">
        <v>80.046000000000006</v>
      </c>
      <c r="L172" s="17">
        <v>78.921000000000006</v>
      </c>
      <c r="M172" s="17">
        <v>77.093999999999994</v>
      </c>
      <c r="N172" s="17">
        <v>77.667000000000002</v>
      </c>
    </row>
    <row r="173" spans="1:14" x14ac:dyDescent="0.25">
      <c r="A173" s="11" t="s">
        <v>461</v>
      </c>
      <c r="B173" s="92" t="str">
        <f>$B$10</f>
        <v>UIM</v>
      </c>
      <c r="C173" s="16"/>
      <c r="D173" s="16">
        <v>3.69</v>
      </c>
      <c r="E173" s="16">
        <v>3.2280000000000002</v>
      </c>
      <c r="F173" s="16">
        <v>1.9179999999999999</v>
      </c>
      <c r="G173" s="16">
        <v>2.8839999999999999</v>
      </c>
      <c r="H173" s="16">
        <v>6.569</v>
      </c>
      <c r="I173" s="16">
        <v>8.9429999999999996</v>
      </c>
      <c r="J173" s="17">
        <v>8.8390000000000004</v>
      </c>
      <c r="K173" s="17">
        <v>9.5129999999999999</v>
      </c>
      <c r="L173" s="17">
        <v>10.558999999999999</v>
      </c>
      <c r="M173" s="17">
        <v>11.769</v>
      </c>
      <c r="N173" s="17">
        <v>12.673999999999999</v>
      </c>
    </row>
    <row r="174" spans="1:14" x14ac:dyDescent="0.25">
      <c r="A174" s="11" t="s">
        <v>462</v>
      </c>
      <c r="B174" s="92" t="str">
        <f>$B$10</f>
        <v>UIM</v>
      </c>
      <c r="C174" s="16"/>
      <c r="D174" s="16">
        <v>0</v>
      </c>
      <c r="E174" s="16">
        <v>0</v>
      </c>
      <c r="F174" s="16">
        <v>1E-3</v>
      </c>
      <c r="G174" s="16">
        <v>1E-3</v>
      </c>
      <c r="H174" s="16">
        <v>3.0000000000000001E-3</v>
      </c>
      <c r="I174" s="16">
        <v>2E-3</v>
      </c>
      <c r="J174" s="17">
        <v>3.0000000000000001E-3</v>
      </c>
      <c r="K174" s="17">
        <v>3.0000000000000001E-3</v>
      </c>
      <c r="L174" s="17">
        <v>3.0000000000000001E-3</v>
      </c>
      <c r="M174" s="17">
        <v>2E-3</v>
      </c>
      <c r="N174" s="17">
        <v>3.0000000000000001E-3</v>
      </c>
    </row>
    <row r="175" spans="1:14" x14ac:dyDescent="0.25">
      <c r="A175" s="55" t="s">
        <v>589</v>
      </c>
      <c r="B175" s="92" t="str">
        <f>$B$9</f>
        <v>NAC</v>
      </c>
      <c r="C175" s="16"/>
      <c r="D175" s="47">
        <v>86.959000000000003</v>
      </c>
      <c r="E175" s="47">
        <v>108.83199999999999</v>
      </c>
      <c r="F175" s="47">
        <v>107.764</v>
      </c>
      <c r="G175" s="47">
        <v>125.64100000000001</v>
      </c>
      <c r="H175" s="47">
        <v>127.574</v>
      </c>
      <c r="I175" s="47">
        <v>138.99799999999999</v>
      </c>
      <c r="J175" s="43">
        <v>142.208</v>
      </c>
      <c r="K175" s="43">
        <v>150.34899999999999</v>
      </c>
      <c r="L175" s="43">
        <v>153.142</v>
      </c>
      <c r="M175" s="43">
        <v>156.827</v>
      </c>
      <c r="N175" s="43">
        <v>161.959</v>
      </c>
    </row>
    <row r="176" spans="1:14" x14ac:dyDescent="0.25">
      <c r="A176" s="55" t="s">
        <v>590</v>
      </c>
      <c r="B176" s="92"/>
      <c r="C176" s="16"/>
      <c r="D176" s="57" t="str">
        <f t="shared" ref="D176:N176" si="44">IF(ROUND(D$175-SUM(D$21:D$22,D$170:D$174),3)=0,"OK","ERROR")</f>
        <v>OK</v>
      </c>
      <c r="E176" s="57" t="str">
        <f t="shared" si="44"/>
        <v>OK</v>
      </c>
      <c r="F176" s="57" t="str">
        <f t="shared" si="44"/>
        <v>OK</v>
      </c>
      <c r="G176" s="57" t="str">
        <f t="shared" si="44"/>
        <v>OK</v>
      </c>
      <c r="H176" s="57" t="str">
        <f t="shared" si="44"/>
        <v>OK</v>
      </c>
      <c r="I176" s="57" t="str">
        <f t="shared" si="44"/>
        <v>OK</v>
      </c>
      <c r="J176" s="57" t="str">
        <f t="shared" si="44"/>
        <v>OK</v>
      </c>
      <c r="K176" s="57" t="str">
        <f t="shared" si="44"/>
        <v>OK</v>
      </c>
      <c r="L176" s="57" t="str">
        <f t="shared" si="44"/>
        <v>OK</v>
      </c>
      <c r="M176" s="57" t="str">
        <f t="shared" si="44"/>
        <v>OK</v>
      </c>
      <c r="N176" s="57" t="str">
        <f t="shared" si="44"/>
        <v>OK</v>
      </c>
    </row>
    <row r="177" spans="1:14" x14ac:dyDescent="0.25">
      <c r="A177" s="58" t="s">
        <v>591</v>
      </c>
      <c r="B177" s="92" t="str">
        <f>$B$10</f>
        <v>UIM</v>
      </c>
      <c r="C177" s="16"/>
      <c r="D177" s="16">
        <v>3.1920000000000002</v>
      </c>
      <c r="E177" s="16">
        <v>-3.9740000000000002</v>
      </c>
      <c r="F177" s="16">
        <v>7.5</v>
      </c>
      <c r="G177" s="16">
        <v>-11.406000000000001</v>
      </c>
      <c r="H177" s="16">
        <v>12.468999999999999</v>
      </c>
      <c r="I177" s="16">
        <v>7.8840000000000003</v>
      </c>
      <c r="J177" s="17">
        <v>7.2460000000000004</v>
      </c>
      <c r="K177" s="17">
        <v>5.1749999999999998</v>
      </c>
      <c r="L177" s="17">
        <v>5.45</v>
      </c>
      <c r="M177" s="17">
        <v>5.758</v>
      </c>
      <c r="N177" s="17">
        <v>6.0970000000000004</v>
      </c>
    </row>
    <row r="178" spans="1:14" x14ac:dyDescent="0.25">
      <c r="A178" s="55" t="s">
        <v>592</v>
      </c>
      <c r="B178" s="92" t="str">
        <f>$B$9</f>
        <v>NAC</v>
      </c>
      <c r="C178" s="16"/>
      <c r="D178" s="47">
        <v>9.7070000000000007</v>
      </c>
      <c r="E178" s="47">
        <v>-20.882999999999999</v>
      </c>
      <c r="F178" s="47">
        <v>4.7039999999999997</v>
      </c>
      <c r="G178" s="47">
        <v>-19.532</v>
      </c>
      <c r="H178" s="47">
        <v>8.2929999999999993</v>
      </c>
      <c r="I178" s="47">
        <v>2.1059999999999999</v>
      </c>
      <c r="J178" s="43">
        <v>-0.77400000000000002</v>
      </c>
      <c r="K178" s="43">
        <v>-5.4480000000000004</v>
      </c>
      <c r="L178" s="43">
        <v>-1.2689999999999999</v>
      </c>
      <c r="M178" s="43">
        <v>3.302</v>
      </c>
      <c r="N178" s="43">
        <v>6.6429999999999998</v>
      </c>
    </row>
    <row r="179" spans="1:14" x14ac:dyDescent="0.25">
      <c r="A179" s="55" t="s">
        <v>593</v>
      </c>
      <c r="B179" s="92"/>
      <c r="C179" s="16"/>
      <c r="D179" s="57" t="str">
        <f t="shared" ref="D179:N179" si="45">IF(ROUND(D$178-(D$168-D$175+D$177),3)=0,"OK","ERROR")</f>
        <v>OK</v>
      </c>
      <c r="E179" s="57" t="str">
        <f t="shared" si="45"/>
        <v>OK</v>
      </c>
      <c r="F179" s="57" t="str">
        <f t="shared" si="45"/>
        <v>OK</v>
      </c>
      <c r="G179" s="57" t="str">
        <f t="shared" si="45"/>
        <v>OK</v>
      </c>
      <c r="H179" s="57" t="str">
        <f t="shared" si="45"/>
        <v>OK</v>
      </c>
      <c r="I179" s="57" t="str">
        <f t="shared" si="45"/>
        <v>OK</v>
      </c>
      <c r="J179" s="57" t="str">
        <f t="shared" si="45"/>
        <v>OK</v>
      </c>
      <c r="K179" s="57" t="str">
        <f t="shared" si="45"/>
        <v>OK</v>
      </c>
      <c r="L179" s="57" t="str">
        <f t="shared" si="45"/>
        <v>OK</v>
      </c>
      <c r="M179" s="57" t="str">
        <f t="shared" si="45"/>
        <v>OK</v>
      </c>
      <c r="N179" s="57" t="str">
        <f t="shared" si="45"/>
        <v>OK</v>
      </c>
    </row>
    <row r="180" spans="1:14" x14ac:dyDescent="0.25">
      <c r="A180" s="11" t="s">
        <v>541</v>
      </c>
      <c r="B180" s="92" t="str">
        <f>$B$10</f>
        <v>UIM</v>
      </c>
      <c r="C180" s="16"/>
      <c r="D180" s="16">
        <v>17.378</v>
      </c>
      <c r="E180" s="16">
        <v>18.181000000000001</v>
      </c>
      <c r="F180" s="16">
        <v>13.129</v>
      </c>
      <c r="G180" s="16">
        <v>11.407999999999999</v>
      </c>
      <c r="H180" s="16">
        <v>10.973000000000001</v>
      </c>
      <c r="I180" s="16">
        <v>9.1110000000000007</v>
      </c>
      <c r="J180" s="17">
        <v>16.379000000000001</v>
      </c>
      <c r="K180" s="17">
        <v>16.774000000000001</v>
      </c>
      <c r="L180" s="17">
        <v>17.631</v>
      </c>
      <c r="M180" s="17">
        <v>16.788</v>
      </c>
      <c r="N180" s="17">
        <v>16.361999999999998</v>
      </c>
    </row>
    <row r="181" spans="1:14" x14ac:dyDescent="0.25">
      <c r="A181" s="11" t="s">
        <v>542</v>
      </c>
      <c r="B181" s="92" t="str">
        <f>$B$10</f>
        <v>UIM</v>
      </c>
      <c r="C181" s="16"/>
      <c r="D181" s="16">
        <v>16.573</v>
      </c>
      <c r="E181" s="16">
        <v>18.100000000000001</v>
      </c>
      <c r="F181" s="16">
        <v>20.236999999999998</v>
      </c>
      <c r="G181" s="16">
        <v>28.288</v>
      </c>
      <c r="H181" s="16">
        <v>25.673999999999999</v>
      </c>
      <c r="I181" s="16">
        <v>28.638999999999999</v>
      </c>
      <c r="J181" s="17">
        <v>27.931999999999999</v>
      </c>
      <c r="K181" s="17">
        <v>28.193000000000001</v>
      </c>
      <c r="L181" s="17">
        <v>27.722999999999999</v>
      </c>
      <c r="M181" s="17">
        <v>28.347999999999999</v>
      </c>
      <c r="N181" s="17">
        <v>29.277999999999999</v>
      </c>
    </row>
    <row r="182" spans="1:14" x14ac:dyDescent="0.25">
      <c r="A182" s="11" t="s">
        <v>543</v>
      </c>
      <c r="B182" s="92" t="str">
        <f>$B$10</f>
        <v>UIM</v>
      </c>
      <c r="C182" s="16"/>
      <c r="D182" s="16">
        <v>27.405999999999999</v>
      </c>
      <c r="E182" s="16">
        <v>43.665999999999997</v>
      </c>
      <c r="F182" s="16">
        <v>37.732999999999997</v>
      </c>
      <c r="G182" s="16">
        <v>43.764000000000003</v>
      </c>
      <c r="H182" s="16">
        <v>44.414999999999999</v>
      </c>
      <c r="I182" s="16">
        <v>51.970999999999997</v>
      </c>
      <c r="J182" s="17">
        <v>64.650999999999996</v>
      </c>
      <c r="K182" s="17">
        <v>73.935000000000002</v>
      </c>
      <c r="L182" s="17">
        <v>74.600999999999999</v>
      </c>
      <c r="M182" s="17">
        <v>76.813000000000002</v>
      </c>
      <c r="N182" s="17">
        <v>79.525000000000006</v>
      </c>
    </row>
    <row r="183" spans="1:14" x14ac:dyDescent="0.25">
      <c r="A183" s="11" t="s">
        <v>544</v>
      </c>
      <c r="B183" s="92" t="str">
        <f>$B$10</f>
        <v>UIM</v>
      </c>
      <c r="C183" s="16"/>
      <c r="D183" s="16">
        <v>26.395</v>
      </c>
      <c r="E183" s="16">
        <v>17.86</v>
      </c>
      <c r="F183" s="16">
        <v>28.643999999999998</v>
      </c>
      <c r="G183" s="16">
        <v>29.152999999999999</v>
      </c>
      <c r="H183" s="16">
        <v>28.998000000000001</v>
      </c>
      <c r="I183" s="16">
        <v>37.338000000000001</v>
      </c>
      <c r="J183" s="17">
        <v>44.015000000000001</v>
      </c>
      <c r="K183" s="17">
        <v>45.262999999999998</v>
      </c>
      <c r="L183" s="17">
        <v>47.216999999999999</v>
      </c>
      <c r="M183" s="17">
        <v>49.198</v>
      </c>
      <c r="N183" s="17">
        <v>51.213000000000001</v>
      </c>
    </row>
    <row r="184" spans="1:14" x14ac:dyDescent="0.25">
      <c r="A184" s="11" t="s">
        <v>546</v>
      </c>
      <c r="B184" s="92" t="str">
        <f>$B$9</f>
        <v>NAC</v>
      </c>
      <c r="C184" s="16"/>
      <c r="D184" s="16">
        <v>3.6880000000000002</v>
      </c>
      <c r="E184" s="16">
        <v>4.22</v>
      </c>
      <c r="F184" s="16">
        <v>4.718</v>
      </c>
      <c r="G184" s="16">
        <v>6.0960000000000001</v>
      </c>
      <c r="H184" s="16">
        <v>7.3170000000000002</v>
      </c>
      <c r="I184" s="16">
        <v>7.1740000000000004</v>
      </c>
      <c r="J184" s="17">
        <v>8.3989999999999991</v>
      </c>
      <c r="K184" s="17">
        <v>9.3089999999999993</v>
      </c>
      <c r="L184" s="17">
        <v>10.826000000000001</v>
      </c>
      <c r="M184" s="17">
        <v>12.381</v>
      </c>
      <c r="N184" s="17">
        <v>14.013999999999999</v>
      </c>
    </row>
    <row r="185" spans="1:14" x14ac:dyDescent="0.25">
      <c r="A185" s="11" t="s">
        <v>545</v>
      </c>
      <c r="B185" s="92" t="str">
        <f>$B$10</f>
        <v>UIM</v>
      </c>
      <c r="C185" s="16"/>
      <c r="D185" s="16">
        <v>15.848000000000001</v>
      </c>
      <c r="E185" s="16">
        <v>18.242000000000001</v>
      </c>
      <c r="F185" s="16">
        <v>24.199000000000002</v>
      </c>
      <c r="G185" s="16">
        <v>30.716999999999999</v>
      </c>
      <c r="H185" s="16">
        <v>43.892000000000003</v>
      </c>
      <c r="I185" s="16">
        <v>49.305999999999997</v>
      </c>
      <c r="J185" s="17">
        <v>44.883000000000003</v>
      </c>
      <c r="K185" s="17">
        <v>39.067</v>
      </c>
      <c r="L185" s="17">
        <v>41.91</v>
      </c>
      <c r="M185" s="17">
        <v>43.530999999999999</v>
      </c>
      <c r="N185" s="17">
        <v>45.235999999999997</v>
      </c>
    </row>
    <row r="186" spans="1:14" x14ac:dyDescent="0.25">
      <c r="A186" s="11" t="s">
        <v>549</v>
      </c>
      <c r="B186" s="92" t="str">
        <f>$B$10</f>
        <v>UIM</v>
      </c>
      <c r="C186" s="47">
        <v>41.279000000000003</v>
      </c>
      <c r="D186" s="16">
        <v>43.683999999999997</v>
      </c>
      <c r="E186" s="16">
        <v>45.167000000000002</v>
      </c>
      <c r="F186" s="16">
        <v>51.92</v>
      </c>
      <c r="G186" s="16">
        <v>56.518999999999998</v>
      </c>
      <c r="H186" s="16">
        <v>63.033999999999999</v>
      </c>
      <c r="I186" s="16">
        <v>67.997</v>
      </c>
      <c r="J186" s="17">
        <v>69.701999999999998</v>
      </c>
      <c r="K186" s="17">
        <v>70.847999999999999</v>
      </c>
      <c r="L186" s="17">
        <v>71.221000000000004</v>
      </c>
      <c r="M186" s="17">
        <v>70.656999999999996</v>
      </c>
      <c r="N186" s="17">
        <v>69.775000000000006</v>
      </c>
    </row>
    <row r="187" spans="1:14" x14ac:dyDescent="0.25">
      <c r="A187" s="11" t="s">
        <v>550</v>
      </c>
      <c r="B187" s="92" t="str">
        <f>$B$10</f>
        <v>UIM</v>
      </c>
      <c r="C187" s="16"/>
      <c r="D187" s="16">
        <v>46.601999999999997</v>
      </c>
      <c r="E187" s="16">
        <v>49.604999999999997</v>
      </c>
      <c r="F187" s="16">
        <v>53.877000000000002</v>
      </c>
      <c r="G187" s="16">
        <v>57.801000000000002</v>
      </c>
      <c r="H187" s="16">
        <v>64.816999999999993</v>
      </c>
      <c r="I187" s="16">
        <v>69.174000000000007</v>
      </c>
      <c r="J187" s="17">
        <v>76.697999999999993</v>
      </c>
      <c r="K187" s="17">
        <v>82.582999999999998</v>
      </c>
      <c r="L187" s="17">
        <v>87.412000000000006</v>
      </c>
      <c r="M187" s="17">
        <v>91.539000000000001</v>
      </c>
      <c r="N187" s="17">
        <v>94.503</v>
      </c>
    </row>
    <row r="188" spans="1:14" x14ac:dyDescent="0.25">
      <c r="A188" s="11" t="s">
        <v>551</v>
      </c>
      <c r="B188" s="92" t="str">
        <f>$B$10</f>
        <v>UIM</v>
      </c>
      <c r="C188" s="16"/>
      <c r="D188" s="16">
        <v>1.681</v>
      </c>
      <c r="E188" s="16">
        <v>1.57</v>
      </c>
      <c r="F188" s="16">
        <v>1.637</v>
      </c>
      <c r="G188" s="16">
        <v>1.4650000000000001</v>
      </c>
      <c r="H188" s="16">
        <v>1.583</v>
      </c>
      <c r="I188" s="16">
        <v>1.577</v>
      </c>
      <c r="J188" s="17">
        <v>1.7330000000000001</v>
      </c>
      <c r="K188" s="17">
        <v>1.764</v>
      </c>
      <c r="L188" s="17">
        <v>1.72</v>
      </c>
      <c r="M188" s="17">
        <v>1.665</v>
      </c>
      <c r="N188" s="17">
        <v>1.607</v>
      </c>
    </row>
    <row r="189" spans="1:14" x14ac:dyDescent="0.25">
      <c r="A189" s="11" t="s">
        <v>594</v>
      </c>
      <c r="B189" s="92" t="str">
        <f>$B$10</f>
        <v>UIM</v>
      </c>
      <c r="C189" s="16"/>
      <c r="D189" s="16">
        <v>2.169</v>
      </c>
      <c r="E189" s="16">
        <v>3.21</v>
      </c>
      <c r="F189" s="16">
        <v>3.2610000000000001</v>
      </c>
      <c r="G189" s="16">
        <v>4.109</v>
      </c>
      <c r="H189" s="16">
        <v>3.9910000000000001</v>
      </c>
      <c r="I189" s="16">
        <v>4.4539999999999997</v>
      </c>
      <c r="J189" s="17">
        <v>4.9009999999999998</v>
      </c>
      <c r="K189" s="17">
        <v>4.4649999999999999</v>
      </c>
      <c r="L189" s="17">
        <v>4.4859999999999998</v>
      </c>
      <c r="M189" s="17">
        <v>4.3680000000000003</v>
      </c>
      <c r="N189" s="17">
        <v>4.2409999999999997</v>
      </c>
    </row>
    <row r="190" spans="1:14" x14ac:dyDescent="0.25">
      <c r="A190" s="55" t="s">
        <v>595</v>
      </c>
      <c r="B190" s="92" t="str">
        <f>$B$9</f>
        <v>NAC</v>
      </c>
      <c r="C190" s="16"/>
      <c r="D190" s="47">
        <v>201.42400000000001</v>
      </c>
      <c r="E190" s="47">
        <v>219.821</v>
      </c>
      <c r="F190" s="47">
        <v>239.35499999999999</v>
      </c>
      <c r="G190" s="47">
        <v>269.32</v>
      </c>
      <c r="H190" s="47">
        <v>294.69400000000002</v>
      </c>
      <c r="I190" s="47">
        <v>326.74099999999999</v>
      </c>
      <c r="J190" s="43">
        <v>357.79300000000001</v>
      </c>
      <c r="K190" s="43">
        <v>372.36099999999999</v>
      </c>
      <c r="L190" s="43">
        <v>387.94900000000001</v>
      </c>
      <c r="M190" s="43">
        <v>401.86700000000002</v>
      </c>
      <c r="N190" s="43">
        <v>416.26400000000001</v>
      </c>
    </row>
    <row r="191" spans="1:14" x14ac:dyDescent="0.25">
      <c r="A191" s="55" t="s">
        <v>596</v>
      </c>
      <c r="B191" s="11"/>
      <c r="C191" s="16"/>
      <c r="D191" s="57" t="str">
        <f t="shared" ref="D191:N191" si="46">IF(ROUND(D$190-SUM(D$131:D$132,D$180:D$189),3)=0,"OK","ERROR")</f>
        <v>OK</v>
      </c>
      <c r="E191" s="57" t="str">
        <f t="shared" si="46"/>
        <v>OK</v>
      </c>
      <c r="F191" s="57" t="str">
        <f t="shared" si="46"/>
        <v>OK</v>
      </c>
      <c r="G191" s="57" t="str">
        <f t="shared" si="46"/>
        <v>OK</v>
      </c>
      <c r="H191" s="57" t="str">
        <f t="shared" si="46"/>
        <v>OK</v>
      </c>
      <c r="I191" s="57" t="str">
        <f t="shared" si="46"/>
        <v>OK</v>
      </c>
      <c r="J191" s="57" t="str">
        <f t="shared" si="46"/>
        <v>OK</v>
      </c>
      <c r="K191" s="57" t="str">
        <f t="shared" si="46"/>
        <v>OK</v>
      </c>
      <c r="L191" s="57" t="str">
        <f t="shared" si="46"/>
        <v>OK</v>
      </c>
      <c r="M191" s="57" t="str">
        <f t="shared" si="46"/>
        <v>OK</v>
      </c>
      <c r="N191" s="57" t="str">
        <f t="shared" si="46"/>
        <v>OK</v>
      </c>
    </row>
    <row r="192" spans="1:14" x14ac:dyDescent="0.25">
      <c r="A192" s="11" t="s">
        <v>556</v>
      </c>
      <c r="B192" s="92" t="str">
        <f t="shared" ref="B192:B197" si="47">$B$10</f>
        <v>UIM</v>
      </c>
      <c r="C192" s="16"/>
      <c r="D192" s="16">
        <v>10.465999999999999</v>
      </c>
      <c r="E192" s="16">
        <v>10.85</v>
      </c>
      <c r="F192" s="16">
        <v>12.038</v>
      </c>
      <c r="G192" s="16">
        <v>16.306999999999999</v>
      </c>
      <c r="H192" s="16">
        <v>12.336</v>
      </c>
      <c r="I192" s="16">
        <v>12.795999999999999</v>
      </c>
      <c r="J192" s="17">
        <v>17.111000000000001</v>
      </c>
      <c r="K192" s="17">
        <v>16.795999999999999</v>
      </c>
      <c r="L192" s="17">
        <v>17.634</v>
      </c>
      <c r="M192" s="17">
        <v>17.382000000000001</v>
      </c>
      <c r="N192" s="17">
        <v>17.393999999999998</v>
      </c>
    </row>
    <row r="193" spans="1:14" x14ac:dyDescent="0.25">
      <c r="A193" s="11" t="s">
        <v>557</v>
      </c>
      <c r="B193" s="92" t="str">
        <f t="shared" si="47"/>
        <v>UIM</v>
      </c>
      <c r="C193" s="16"/>
      <c r="D193" s="16">
        <v>0.44900000000000001</v>
      </c>
      <c r="E193" s="16">
        <v>0.39800000000000002</v>
      </c>
      <c r="F193" s="16">
        <v>0.505</v>
      </c>
      <c r="G193" s="16">
        <v>0.56999999999999995</v>
      </c>
      <c r="H193" s="16">
        <v>0.504</v>
      </c>
      <c r="I193" s="16">
        <v>0.498</v>
      </c>
      <c r="J193" s="17">
        <v>0.47199999999999998</v>
      </c>
      <c r="K193" s="17">
        <v>0.47</v>
      </c>
      <c r="L193" s="17">
        <v>0.47</v>
      </c>
      <c r="M193" s="17">
        <v>0.47</v>
      </c>
      <c r="N193" s="17">
        <v>0.47</v>
      </c>
    </row>
    <row r="194" spans="1:14" x14ac:dyDescent="0.25">
      <c r="A194" s="11" t="s">
        <v>559</v>
      </c>
      <c r="B194" s="92" t="str">
        <f t="shared" si="47"/>
        <v>UIM</v>
      </c>
      <c r="C194" s="16"/>
      <c r="D194" s="16">
        <v>2.8839999999999999</v>
      </c>
      <c r="E194" s="16">
        <v>3.8039999999999998</v>
      </c>
      <c r="F194" s="16">
        <v>5.8239999999999998</v>
      </c>
      <c r="G194" s="16">
        <v>11.461</v>
      </c>
      <c r="H194" s="16">
        <v>6.093</v>
      </c>
      <c r="I194" s="16">
        <v>6.8659999999999997</v>
      </c>
      <c r="J194" s="17">
        <v>6.77</v>
      </c>
      <c r="K194" s="17">
        <v>5.9660000000000002</v>
      </c>
      <c r="L194" s="17">
        <v>5.4269999999999996</v>
      </c>
      <c r="M194" s="17">
        <v>4.952</v>
      </c>
      <c r="N194" s="17">
        <v>4.4619999999999997</v>
      </c>
    </row>
    <row r="195" spans="1:14" x14ac:dyDescent="0.25">
      <c r="A195" s="11" t="s">
        <v>560</v>
      </c>
      <c r="B195" s="92" t="str">
        <f t="shared" si="47"/>
        <v>UIM</v>
      </c>
      <c r="C195" s="16"/>
      <c r="D195" s="16">
        <v>4.0000000000000001E-3</v>
      </c>
      <c r="E195" s="16">
        <v>5.0000000000000001E-3</v>
      </c>
      <c r="F195" s="16">
        <v>4.0000000000000001E-3</v>
      </c>
      <c r="G195" s="16">
        <v>2E-3</v>
      </c>
      <c r="H195" s="16">
        <v>3.0000000000000001E-3</v>
      </c>
      <c r="I195" s="16">
        <v>2E-3</v>
      </c>
      <c r="J195" s="17">
        <v>2E-3</v>
      </c>
      <c r="K195" s="17">
        <v>2E-3</v>
      </c>
      <c r="L195" s="17">
        <v>2E-3</v>
      </c>
      <c r="M195" s="17">
        <v>2E-3</v>
      </c>
      <c r="N195" s="17">
        <v>2E-3</v>
      </c>
    </row>
    <row r="196" spans="1:14" x14ac:dyDescent="0.25">
      <c r="A196" s="11" t="s">
        <v>561</v>
      </c>
      <c r="B196" s="92" t="str">
        <f t="shared" si="47"/>
        <v>UIM</v>
      </c>
      <c r="C196" s="16"/>
      <c r="D196" s="16">
        <v>13.164999999999999</v>
      </c>
      <c r="E196" s="16">
        <v>13.976000000000001</v>
      </c>
      <c r="F196" s="16">
        <v>11.039</v>
      </c>
      <c r="G196" s="16">
        <v>8.7650000000000006</v>
      </c>
      <c r="H196" s="16">
        <v>8.0380000000000003</v>
      </c>
      <c r="I196" s="16">
        <v>7.3339999999999996</v>
      </c>
      <c r="J196" s="17">
        <v>6.532</v>
      </c>
      <c r="K196" s="17">
        <v>6.0250000000000004</v>
      </c>
      <c r="L196" s="17">
        <v>5.5129999999999999</v>
      </c>
      <c r="M196" s="17">
        <v>5.0270000000000001</v>
      </c>
      <c r="N196" s="17">
        <v>4.5670000000000002</v>
      </c>
    </row>
    <row r="197" spans="1:14" x14ac:dyDescent="0.25">
      <c r="A197" s="11" t="s">
        <v>562</v>
      </c>
      <c r="B197" s="92" t="str">
        <f t="shared" si="47"/>
        <v>UIM</v>
      </c>
      <c r="C197" s="16"/>
      <c r="D197" s="16">
        <v>7.5890000000000004</v>
      </c>
      <c r="E197" s="16">
        <v>9.3089999999999993</v>
      </c>
      <c r="F197" s="16">
        <v>8.6080000000000005</v>
      </c>
      <c r="G197" s="16">
        <v>8.8840000000000003</v>
      </c>
      <c r="H197" s="16">
        <v>8.3480000000000008</v>
      </c>
      <c r="I197" s="16">
        <v>8.8789999999999996</v>
      </c>
      <c r="J197" s="17">
        <v>11.801</v>
      </c>
      <c r="K197" s="17">
        <v>11.259</v>
      </c>
      <c r="L197" s="17">
        <v>11.132</v>
      </c>
      <c r="M197" s="17">
        <v>10.846</v>
      </c>
      <c r="N197" s="17">
        <v>10.759</v>
      </c>
    </row>
    <row r="198" spans="1:14" x14ac:dyDescent="0.25">
      <c r="A198" s="55" t="s">
        <v>597</v>
      </c>
      <c r="B198" s="92" t="str">
        <f>$B$9</f>
        <v>NAC</v>
      </c>
      <c r="C198" s="16"/>
      <c r="D198" s="47">
        <v>132.88</v>
      </c>
      <c r="E198" s="47">
        <v>172.70500000000001</v>
      </c>
      <c r="F198" s="47">
        <v>178.81700000000001</v>
      </c>
      <c r="G198" s="47">
        <v>224.036</v>
      </c>
      <c r="H198" s="47">
        <v>235.35300000000001</v>
      </c>
      <c r="I198" s="47">
        <v>261.70100000000002</v>
      </c>
      <c r="J198" s="43">
        <v>296.44799999999998</v>
      </c>
      <c r="K198" s="43">
        <v>316.36</v>
      </c>
      <c r="L198" s="43">
        <v>333.11799999999999</v>
      </c>
      <c r="M198" s="43">
        <v>343.65699999999998</v>
      </c>
      <c r="N198" s="43">
        <v>351.35599999999999</v>
      </c>
    </row>
    <row r="199" spans="1:14" x14ac:dyDescent="0.25">
      <c r="A199" s="55" t="s">
        <v>598</v>
      </c>
      <c r="B199" s="92"/>
      <c r="C199" s="16"/>
      <c r="D199" s="57" t="str">
        <f t="shared" ref="D199:N199" si="48">IF(ROUND(D$198-SUM(D$134,D$147,D$192:D$197),3)=0,"OK","ERROR")</f>
        <v>OK</v>
      </c>
      <c r="E199" s="57" t="str">
        <f t="shared" si="48"/>
        <v>OK</v>
      </c>
      <c r="F199" s="57" t="str">
        <f t="shared" si="48"/>
        <v>OK</v>
      </c>
      <c r="G199" s="57" t="str">
        <f t="shared" si="48"/>
        <v>OK</v>
      </c>
      <c r="H199" s="57" t="str">
        <f t="shared" si="48"/>
        <v>OK</v>
      </c>
      <c r="I199" s="57" t="str">
        <f t="shared" si="48"/>
        <v>OK</v>
      </c>
      <c r="J199" s="57" t="str">
        <f t="shared" si="48"/>
        <v>OK</v>
      </c>
      <c r="K199" s="57" t="str">
        <f t="shared" si="48"/>
        <v>OK</v>
      </c>
      <c r="L199" s="57" t="str">
        <f t="shared" si="48"/>
        <v>OK</v>
      </c>
      <c r="M199" s="57" t="str">
        <f t="shared" si="48"/>
        <v>OK</v>
      </c>
      <c r="N199" s="57" t="str">
        <f t="shared" si="48"/>
        <v>OK</v>
      </c>
    </row>
    <row r="200" spans="1:14" x14ac:dyDescent="0.25">
      <c r="A200" s="55" t="s">
        <v>599</v>
      </c>
      <c r="B200" s="92" t="str">
        <f>$B$9</f>
        <v>NAC</v>
      </c>
      <c r="C200" s="16"/>
      <c r="D200" s="56">
        <f t="shared" ref="D200:N200" si="49">D$190-D$198</f>
        <v>68.544000000000011</v>
      </c>
      <c r="E200" s="56">
        <f t="shared" si="49"/>
        <v>47.115999999999985</v>
      </c>
      <c r="F200" s="56">
        <f t="shared" si="49"/>
        <v>60.537999999999982</v>
      </c>
      <c r="G200" s="56">
        <f t="shared" si="49"/>
        <v>45.283999999999992</v>
      </c>
      <c r="H200" s="56">
        <f t="shared" si="49"/>
        <v>59.341000000000008</v>
      </c>
      <c r="I200" s="56">
        <f t="shared" si="49"/>
        <v>65.039999999999964</v>
      </c>
      <c r="J200" s="56">
        <f t="shared" si="49"/>
        <v>61.345000000000027</v>
      </c>
      <c r="K200" s="56">
        <f t="shared" si="49"/>
        <v>56.000999999999976</v>
      </c>
      <c r="L200" s="56">
        <f t="shared" si="49"/>
        <v>54.831000000000017</v>
      </c>
      <c r="M200" s="56">
        <f t="shared" si="49"/>
        <v>58.210000000000036</v>
      </c>
      <c r="N200" s="56">
        <f t="shared" si="49"/>
        <v>64.908000000000015</v>
      </c>
    </row>
    <row r="201" spans="1:14" x14ac:dyDescent="0.25">
      <c r="A201" s="55"/>
      <c r="B201" s="93"/>
      <c r="C201" s="55"/>
      <c r="D201" s="16"/>
      <c r="E201" s="16"/>
      <c r="F201" s="16"/>
      <c r="G201" s="16"/>
      <c r="H201" s="16"/>
      <c r="I201" s="16"/>
      <c r="J201" s="16"/>
      <c r="K201" s="16"/>
      <c r="L201" s="16"/>
      <c r="M201" s="16"/>
      <c r="N201" s="16"/>
    </row>
    <row r="202" spans="1:14" x14ac:dyDescent="0.25">
      <c r="A202" s="9" t="s">
        <v>600</v>
      </c>
      <c r="B202" s="92"/>
      <c r="C202" s="16"/>
      <c r="D202" s="16"/>
      <c r="E202" s="16"/>
      <c r="F202" s="16"/>
      <c r="G202" s="16"/>
      <c r="H202" s="16"/>
      <c r="I202" s="16"/>
      <c r="J202" s="16"/>
      <c r="K202" s="16"/>
      <c r="L202" s="16"/>
      <c r="M202" s="16"/>
      <c r="N202" s="16"/>
    </row>
    <row r="203" spans="1:14" x14ac:dyDescent="0.25">
      <c r="A203" s="11" t="s">
        <v>601</v>
      </c>
      <c r="B203" s="92" t="str">
        <f>$B$10</f>
        <v>UIM</v>
      </c>
      <c r="C203" s="16"/>
      <c r="D203" s="16">
        <v>5.8070000000000004</v>
      </c>
      <c r="E203" s="16">
        <v>6.8959999999999999</v>
      </c>
      <c r="F203" s="16">
        <v>6.8310000000000004</v>
      </c>
      <c r="G203" s="16">
        <v>6.44</v>
      </c>
      <c r="H203" s="16">
        <v>8.7729999999999997</v>
      </c>
      <c r="I203" s="16">
        <v>10.413</v>
      </c>
      <c r="J203" s="17">
        <v>11.276999999999999</v>
      </c>
      <c r="K203" s="17">
        <v>10.643000000000001</v>
      </c>
      <c r="L203" s="17">
        <v>11.305999999999999</v>
      </c>
      <c r="M203" s="17">
        <v>11.878</v>
      </c>
      <c r="N203" s="17">
        <v>12.304</v>
      </c>
    </row>
    <row r="204" spans="1:14" x14ac:dyDescent="0.25">
      <c r="A204" s="11" t="s">
        <v>602</v>
      </c>
      <c r="B204" s="92" t="str">
        <f>$B$10</f>
        <v>UIM</v>
      </c>
      <c r="C204" s="16"/>
      <c r="D204" s="16">
        <v>5.0000000000000001E-3</v>
      </c>
      <c r="E204" s="16">
        <v>7.0000000000000001E-3</v>
      </c>
      <c r="F204" s="16">
        <v>6.0000000000000001E-3</v>
      </c>
      <c r="G204" s="16">
        <v>6.0000000000000001E-3</v>
      </c>
      <c r="H204" s="16">
        <v>8.0000000000000002E-3</v>
      </c>
      <c r="I204" s="16">
        <v>1.0999999999999999E-2</v>
      </c>
      <c r="J204" s="17">
        <v>1.2E-2</v>
      </c>
      <c r="K204" s="17">
        <v>1.2999999999999999E-2</v>
      </c>
      <c r="L204" s="17">
        <v>1.4E-2</v>
      </c>
      <c r="M204" s="17">
        <v>1.4999999999999999E-2</v>
      </c>
      <c r="N204" s="17">
        <v>1.6E-2</v>
      </c>
    </row>
    <row r="205" spans="1:14" x14ac:dyDescent="0.25">
      <c r="A205" s="55" t="s">
        <v>603</v>
      </c>
      <c r="B205" s="92"/>
      <c r="C205" s="16"/>
      <c r="D205" s="57" t="str">
        <f t="shared" ref="D205:N205" si="50">IF(ROUND(D$20-SUM(D$174,D$203:D$204),3)=0,"OK","ERROR")</f>
        <v>OK</v>
      </c>
      <c r="E205" s="57" t="str">
        <f t="shared" si="50"/>
        <v>OK</v>
      </c>
      <c r="F205" s="57" t="str">
        <f t="shared" si="50"/>
        <v>OK</v>
      </c>
      <c r="G205" s="57" t="str">
        <f t="shared" si="50"/>
        <v>OK</v>
      </c>
      <c r="H205" s="57" t="str">
        <f t="shared" si="50"/>
        <v>OK</v>
      </c>
      <c r="I205" s="57" t="str">
        <f t="shared" si="50"/>
        <v>OK</v>
      </c>
      <c r="J205" s="57" t="str">
        <f t="shared" si="50"/>
        <v>OK</v>
      </c>
      <c r="K205" s="57" t="str">
        <f t="shared" si="50"/>
        <v>OK</v>
      </c>
      <c r="L205" s="57" t="str">
        <f t="shared" si="50"/>
        <v>OK</v>
      </c>
      <c r="M205" s="57" t="str">
        <f t="shared" si="50"/>
        <v>OK</v>
      </c>
      <c r="N205" s="57" t="str">
        <f t="shared" si="50"/>
        <v>OK</v>
      </c>
    </row>
    <row r="206" spans="1:14" x14ac:dyDescent="0.25">
      <c r="A206" s="11" t="s">
        <v>604</v>
      </c>
      <c r="B206" s="92" t="str">
        <f>$B$10</f>
        <v>UIM</v>
      </c>
      <c r="C206" s="16"/>
      <c r="D206" s="16">
        <v>6.6790000000000003</v>
      </c>
      <c r="E206" s="16">
        <v>7.6630000000000003</v>
      </c>
      <c r="F206" s="16">
        <v>7.968</v>
      </c>
      <c r="G206" s="16">
        <v>7.3879999999999999</v>
      </c>
      <c r="H206" s="16">
        <v>9.3290000000000006</v>
      </c>
      <c r="I206" s="16">
        <v>11.634</v>
      </c>
      <c r="J206" s="17">
        <v>12.664999999999999</v>
      </c>
      <c r="K206" s="17">
        <v>12.111000000000001</v>
      </c>
      <c r="L206" s="17">
        <v>12.856</v>
      </c>
      <c r="M206" s="17">
        <v>13.465</v>
      </c>
      <c r="N206" s="17">
        <v>13.920999999999999</v>
      </c>
    </row>
    <row r="207" spans="1:14" x14ac:dyDescent="0.25">
      <c r="A207" s="11" t="s">
        <v>605</v>
      </c>
      <c r="B207" s="92" t="str">
        <f t="shared" ref="B207:B217" si="51">$B$10</f>
        <v>UIM</v>
      </c>
      <c r="C207" s="16"/>
      <c r="D207" s="16">
        <v>16.579000000000001</v>
      </c>
      <c r="E207" s="16">
        <v>17.788</v>
      </c>
      <c r="F207" s="16">
        <v>18.856000000000002</v>
      </c>
      <c r="G207" s="16">
        <v>22.004999999999999</v>
      </c>
      <c r="H207" s="16">
        <v>27.765999999999998</v>
      </c>
      <c r="I207" s="16">
        <v>27.89</v>
      </c>
      <c r="J207" s="17">
        <v>28.486999999999998</v>
      </c>
      <c r="K207" s="17">
        <v>28.939</v>
      </c>
      <c r="L207" s="17">
        <v>30.300999999999998</v>
      </c>
      <c r="M207" s="17">
        <v>30.123999999999999</v>
      </c>
      <c r="N207" s="17">
        <v>30.146999999999998</v>
      </c>
    </row>
    <row r="208" spans="1:14" x14ac:dyDescent="0.25">
      <c r="A208" s="11" t="s">
        <v>606</v>
      </c>
      <c r="B208" s="92" t="str">
        <f t="shared" si="51"/>
        <v>UIM</v>
      </c>
      <c r="C208" s="16"/>
      <c r="D208" s="16">
        <v>11.428000000000001</v>
      </c>
      <c r="E208" s="16">
        <v>13.705</v>
      </c>
      <c r="F208" s="16">
        <v>12.840999999999999</v>
      </c>
      <c r="G208" s="16">
        <v>13.805</v>
      </c>
      <c r="H208" s="16">
        <v>14.166</v>
      </c>
      <c r="I208" s="16">
        <v>15.346</v>
      </c>
      <c r="J208" s="17">
        <v>16.146999999999998</v>
      </c>
      <c r="K208" s="17">
        <v>16.46</v>
      </c>
      <c r="L208" s="17">
        <v>16.408999999999999</v>
      </c>
      <c r="M208" s="17">
        <v>16.244</v>
      </c>
      <c r="N208" s="17">
        <v>16.202999999999999</v>
      </c>
    </row>
    <row r="209" spans="1:14" x14ac:dyDescent="0.25">
      <c r="A209" s="11" t="s">
        <v>607</v>
      </c>
      <c r="B209" s="92" t="str">
        <f t="shared" si="51"/>
        <v>UIM</v>
      </c>
      <c r="C209" s="16"/>
      <c r="D209" s="16">
        <v>3.21</v>
      </c>
      <c r="E209" s="16">
        <v>3.8239999999999998</v>
      </c>
      <c r="F209" s="16">
        <v>4.2590000000000003</v>
      </c>
      <c r="G209" s="16">
        <v>4.5030000000000001</v>
      </c>
      <c r="H209" s="16">
        <v>6.1050000000000004</v>
      </c>
      <c r="I209" s="16">
        <v>6.6280000000000001</v>
      </c>
      <c r="J209" s="17">
        <v>6.51</v>
      </c>
      <c r="K209" s="17">
        <v>5.9379999999999997</v>
      </c>
      <c r="L209" s="17">
        <v>5.9710000000000001</v>
      </c>
      <c r="M209" s="17">
        <v>5.1829999999999998</v>
      </c>
      <c r="N209" s="17">
        <v>5.306</v>
      </c>
    </row>
    <row r="210" spans="1:14" x14ac:dyDescent="0.25">
      <c r="A210" s="11" t="s">
        <v>608</v>
      </c>
      <c r="B210" s="92" t="str">
        <f t="shared" si="51"/>
        <v>UIM</v>
      </c>
      <c r="C210" s="16"/>
      <c r="D210" s="16">
        <v>5.4009999999999998</v>
      </c>
      <c r="E210" s="16">
        <v>8.9149999999999991</v>
      </c>
      <c r="F210" s="16">
        <v>5.8360000000000003</v>
      </c>
      <c r="G210" s="16">
        <v>4.8730000000000002</v>
      </c>
      <c r="H210" s="16">
        <v>8.5990000000000002</v>
      </c>
      <c r="I210" s="16">
        <v>10.317</v>
      </c>
      <c r="J210" s="17">
        <v>9.6999999999999993</v>
      </c>
      <c r="K210" s="17">
        <v>10.332000000000001</v>
      </c>
      <c r="L210" s="17">
        <v>10.58</v>
      </c>
      <c r="M210" s="17">
        <v>10.975</v>
      </c>
      <c r="N210" s="17">
        <v>11.539</v>
      </c>
    </row>
    <row r="211" spans="1:14" x14ac:dyDescent="0.25">
      <c r="A211" s="11" t="s">
        <v>609</v>
      </c>
      <c r="B211" s="92" t="str">
        <f t="shared" si="51"/>
        <v>UIM</v>
      </c>
      <c r="C211" s="16"/>
      <c r="D211" s="16">
        <v>6.7160000000000002</v>
      </c>
      <c r="E211" s="16">
        <v>7.5140000000000002</v>
      </c>
      <c r="F211" s="16">
        <v>8.0459999999999994</v>
      </c>
      <c r="G211" s="16">
        <v>8.5389999999999997</v>
      </c>
      <c r="H211" s="16">
        <v>10.163</v>
      </c>
      <c r="I211" s="16">
        <v>10.747999999999999</v>
      </c>
      <c r="J211" s="17">
        <v>10.715999999999999</v>
      </c>
      <c r="K211" s="17">
        <v>10.582000000000001</v>
      </c>
      <c r="L211" s="17">
        <v>10.785</v>
      </c>
      <c r="M211" s="17">
        <v>10.513999999999999</v>
      </c>
      <c r="N211" s="17">
        <v>10.589</v>
      </c>
    </row>
    <row r="212" spans="1:14" x14ac:dyDescent="0.25">
      <c r="A212" s="11" t="s">
        <v>610</v>
      </c>
      <c r="B212" s="92" t="str">
        <f t="shared" si="51"/>
        <v>UIM</v>
      </c>
      <c r="C212" s="16"/>
      <c r="D212" s="16">
        <v>8.64</v>
      </c>
      <c r="E212" s="16">
        <v>8.3070000000000004</v>
      </c>
      <c r="F212" s="16">
        <v>10.321999999999999</v>
      </c>
      <c r="G212" s="16">
        <v>9.5259999999999998</v>
      </c>
      <c r="H212" s="16">
        <v>8.5609999999999999</v>
      </c>
      <c r="I212" s="16">
        <v>12.183</v>
      </c>
      <c r="J212" s="17">
        <v>12.733000000000001</v>
      </c>
      <c r="K212" s="17">
        <v>12.682</v>
      </c>
      <c r="L212" s="17">
        <v>12.77</v>
      </c>
      <c r="M212" s="17">
        <v>13.486000000000001</v>
      </c>
      <c r="N212" s="17">
        <v>13.352</v>
      </c>
    </row>
    <row r="213" spans="1:14" x14ac:dyDescent="0.25">
      <c r="A213" s="11" t="s">
        <v>611</v>
      </c>
      <c r="B213" s="92" t="str">
        <f t="shared" si="51"/>
        <v>UIM</v>
      </c>
      <c r="C213" s="16"/>
      <c r="D213" s="16">
        <v>-3.629</v>
      </c>
      <c r="E213" s="16">
        <v>-3.7549999999999999</v>
      </c>
      <c r="F213" s="16">
        <v>-4.7350000000000003</v>
      </c>
      <c r="G213" s="16">
        <v>-4.2939999999999996</v>
      </c>
      <c r="H213" s="16">
        <v>-4.1829999999999998</v>
      </c>
      <c r="I213" s="16">
        <v>-4.7560000000000002</v>
      </c>
      <c r="J213" s="17">
        <v>-4.673</v>
      </c>
      <c r="K213" s="17">
        <v>-4.4359999999999999</v>
      </c>
      <c r="L213" s="17">
        <v>-4.37</v>
      </c>
      <c r="M213" s="17">
        <v>-4.0789999999999997</v>
      </c>
      <c r="N213" s="17">
        <v>-4.1230000000000002</v>
      </c>
    </row>
    <row r="214" spans="1:14" x14ac:dyDescent="0.25">
      <c r="A214" s="11" t="s">
        <v>612</v>
      </c>
      <c r="B214" s="92" t="str">
        <f t="shared" si="51"/>
        <v>UIM</v>
      </c>
      <c r="C214" s="16"/>
      <c r="D214" s="16">
        <v>33.838000000000001</v>
      </c>
      <c r="E214" s="16">
        <v>34.494</v>
      </c>
      <c r="F214" s="16">
        <v>33.545999999999999</v>
      </c>
      <c r="G214" s="16">
        <v>31.513000000000002</v>
      </c>
      <c r="H214" s="16">
        <v>34.506</v>
      </c>
      <c r="I214" s="16">
        <v>39.212000000000003</v>
      </c>
      <c r="J214" s="17">
        <v>44.709000000000003</v>
      </c>
      <c r="K214" s="17">
        <v>45.356000000000002</v>
      </c>
      <c r="L214" s="17">
        <v>45.789000000000001</v>
      </c>
      <c r="M214" s="17">
        <v>46.503999999999998</v>
      </c>
      <c r="N214" s="17">
        <v>47.848999999999997</v>
      </c>
    </row>
    <row r="215" spans="1:14" x14ac:dyDescent="0.25">
      <c r="A215" s="11" t="s">
        <v>613</v>
      </c>
      <c r="B215" s="92" t="str">
        <f t="shared" si="51"/>
        <v>UIM</v>
      </c>
      <c r="C215" s="16"/>
      <c r="D215" s="16">
        <v>3.3879999999999999</v>
      </c>
      <c r="E215" s="16">
        <v>3.88</v>
      </c>
      <c r="F215" s="16">
        <v>3.3250000000000002</v>
      </c>
      <c r="G215" s="16">
        <v>5.3479999999999999</v>
      </c>
      <c r="H215" s="16">
        <v>3.9380000000000002</v>
      </c>
      <c r="I215" s="16">
        <v>2.9710000000000001</v>
      </c>
      <c r="J215" s="17">
        <v>3.2130000000000001</v>
      </c>
      <c r="K215" s="17">
        <v>2.7749999999999999</v>
      </c>
      <c r="L215" s="17">
        <v>2.8260000000000001</v>
      </c>
      <c r="M215" s="17">
        <v>3.0030000000000001</v>
      </c>
      <c r="N215" s="17">
        <v>2.976</v>
      </c>
    </row>
    <row r="216" spans="1:14" x14ac:dyDescent="0.25">
      <c r="A216" s="11" t="s">
        <v>614</v>
      </c>
      <c r="B216" s="92" t="str">
        <f t="shared" si="51"/>
        <v>UIM</v>
      </c>
      <c r="C216" s="16"/>
      <c r="D216" s="16">
        <v>14.254</v>
      </c>
      <c r="E216" s="16">
        <v>17.135000000000002</v>
      </c>
      <c r="F216" s="16">
        <v>21.521999999999998</v>
      </c>
      <c r="G216" s="16">
        <v>18.613</v>
      </c>
      <c r="H216" s="16">
        <v>19.635000000000002</v>
      </c>
      <c r="I216" s="16">
        <v>16.818999999999999</v>
      </c>
      <c r="J216" s="17">
        <v>16.510000000000002</v>
      </c>
      <c r="K216" s="17">
        <v>16.564</v>
      </c>
      <c r="L216" s="17">
        <v>16.648</v>
      </c>
      <c r="M216" s="17">
        <v>16.707999999999998</v>
      </c>
      <c r="N216" s="17">
        <v>16.702999999999999</v>
      </c>
    </row>
    <row r="217" spans="1:14" x14ac:dyDescent="0.25">
      <c r="A217" s="11" t="s">
        <v>615</v>
      </c>
      <c r="B217" s="92" t="str">
        <f t="shared" si="51"/>
        <v>UIM</v>
      </c>
      <c r="C217" s="16"/>
      <c r="D217" s="16">
        <v>0.27900000000000003</v>
      </c>
      <c r="E217" s="16">
        <v>3.7999999999999999E-2</v>
      </c>
      <c r="F217" s="16">
        <v>3.7999999999999999E-2</v>
      </c>
      <c r="G217" s="16">
        <v>3.4000000000000002E-2</v>
      </c>
      <c r="H217" s="16">
        <v>3.5999999999999997E-2</v>
      </c>
      <c r="I217" s="16">
        <v>3.2000000000000001E-2</v>
      </c>
      <c r="J217" s="17">
        <v>3.2000000000000001E-2</v>
      </c>
      <c r="K217" s="17">
        <v>2.1999999999999999E-2</v>
      </c>
      <c r="L217" s="17">
        <v>2.3E-2</v>
      </c>
      <c r="M217" s="17">
        <v>2.3E-2</v>
      </c>
      <c r="N217" s="17">
        <v>2.3E-2</v>
      </c>
    </row>
    <row r="218" spans="1:14" x14ac:dyDescent="0.25">
      <c r="A218" s="9" t="s">
        <v>616</v>
      </c>
      <c r="B218" s="92"/>
      <c r="C218" s="16"/>
      <c r="D218" s="16"/>
      <c r="E218" s="16"/>
      <c r="F218" s="16"/>
      <c r="G218" s="16"/>
      <c r="H218" s="16"/>
      <c r="I218" s="16"/>
      <c r="J218" s="16"/>
      <c r="K218" s="16"/>
      <c r="L218" s="16"/>
      <c r="M218" s="16"/>
      <c r="N218" s="16"/>
    </row>
    <row r="219" spans="1:14" x14ac:dyDescent="0.25">
      <c r="A219" s="55" t="s">
        <v>617</v>
      </c>
      <c r="B219" s="92"/>
      <c r="C219" s="16"/>
      <c r="D219" s="17"/>
      <c r="E219" s="17"/>
      <c r="F219" s="17"/>
      <c r="G219" s="17"/>
      <c r="H219" s="17"/>
      <c r="I219" s="17"/>
      <c r="J219" s="17"/>
      <c r="K219" s="17"/>
      <c r="L219" s="17"/>
      <c r="M219" s="17"/>
      <c r="N219" s="17"/>
    </row>
    <row r="220" spans="1:14" x14ac:dyDescent="0.25">
      <c r="A220" s="11" t="s">
        <v>618</v>
      </c>
      <c r="B220" s="92" t="str">
        <f t="shared" ref="B220:B225" si="52">$B$10</f>
        <v>UIM</v>
      </c>
      <c r="C220" s="16"/>
      <c r="D220" s="16">
        <v>32.878999999999998</v>
      </c>
      <c r="E220" s="16">
        <v>34.963000000000001</v>
      </c>
      <c r="F220" s="16">
        <v>38.164000000000001</v>
      </c>
      <c r="G220" s="16">
        <v>42.448</v>
      </c>
      <c r="H220" s="16">
        <v>47.386000000000003</v>
      </c>
      <c r="I220" s="16">
        <v>52.283000000000001</v>
      </c>
      <c r="J220" s="17">
        <v>52.734000000000002</v>
      </c>
      <c r="K220" s="17">
        <v>55.243000000000002</v>
      </c>
      <c r="L220" s="17">
        <v>58.265999999999998</v>
      </c>
      <c r="M220" s="17">
        <v>61.514000000000003</v>
      </c>
      <c r="N220" s="17">
        <v>65.031999999999996</v>
      </c>
    </row>
    <row r="221" spans="1:14" x14ac:dyDescent="0.25">
      <c r="A221" s="11" t="s">
        <v>619</v>
      </c>
      <c r="B221" s="92" t="str">
        <f t="shared" si="52"/>
        <v>UIM</v>
      </c>
      <c r="C221" s="16"/>
      <c r="D221" s="16">
        <v>8.3160000000000007</v>
      </c>
      <c r="E221" s="16">
        <v>8.1910000000000007</v>
      </c>
      <c r="F221" s="16">
        <v>10.183999999999999</v>
      </c>
      <c r="G221" s="16">
        <v>12.015000000000001</v>
      </c>
      <c r="H221" s="16">
        <v>11.71</v>
      </c>
      <c r="I221" s="16">
        <v>14.042999999999999</v>
      </c>
      <c r="J221" s="17">
        <v>13.619</v>
      </c>
      <c r="K221" s="17">
        <v>13.744</v>
      </c>
      <c r="L221" s="17">
        <v>13.545</v>
      </c>
      <c r="M221" s="17">
        <v>13.956</v>
      </c>
      <c r="N221" s="17">
        <v>14.414</v>
      </c>
    </row>
    <row r="222" spans="1:14" x14ac:dyDescent="0.25">
      <c r="A222" s="11" t="s">
        <v>620</v>
      </c>
      <c r="B222" s="92" t="str">
        <f t="shared" si="52"/>
        <v>UIM</v>
      </c>
      <c r="C222" s="16"/>
      <c r="D222" s="16">
        <v>15.199</v>
      </c>
      <c r="E222" s="16">
        <v>12.103999999999999</v>
      </c>
      <c r="F222" s="16">
        <v>15.768000000000001</v>
      </c>
      <c r="G222" s="16">
        <v>19.896000000000001</v>
      </c>
      <c r="H222" s="16">
        <v>17.978000000000002</v>
      </c>
      <c r="I222" s="16">
        <v>16.908999999999999</v>
      </c>
      <c r="J222" s="17">
        <v>16.321999999999999</v>
      </c>
      <c r="K222" s="17">
        <v>16.748000000000001</v>
      </c>
      <c r="L222" s="17">
        <v>19.547000000000001</v>
      </c>
      <c r="M222" s="17">
        <v>20.765999999999998</v>
      </c>
      <c r="N222" s="17">
        <v>22.405999999999999</v>
      </c>
    </row>
    <row r="223" spans="1:14" x14ac:dyDescent="0.25">
      <c r="A223" s="11" t="s">
        <v>621</v>
      </c>
      <c r="B223" s="92" t="str">
        <f t="shared" si="52"/>
        <v>UIM</v>
      </c>
      <c r="C223" s="16"/>
      <c r="D223" s="16">
        <v>21.861999999999998</v>
      </c>
      <c r="E223" s="16">
        <v>21.748999999999999</v>
      </c>
      <c r="F223" s="16">
        <v>25.562000000000001</v>
      </c>
      <c r="G223" s="16">
        <v>26.123999999999999</v>
      </c>
      <c r="H223" s="16">
        <v>28.13</v>
      </c>
      <c r="I223" s="16">
        <v>29.277999999999999</v>
      </c>
      <c r="J223" s="17">
        <v>29.81</v>
      </c>
      <c r="K223" s="17">
        <v>30.504999999999999</v>
      </c>
      <c r="L223" s="17">
        <v>32.298999999999999</v>
      </c>
      <c r="M223" s="17">
        <v>34.191000000000003</v>
      </c>
      <c r="N223" s="17">
        <v>35.695</v>
      </c>
    </row>
    <row r="224" spans="1:14" x14ac:dyDescent="0.25">
      <c r="A224" s="11" t="s">
        <v>622</v>
      </c>
      <c r="B224" s="92" t="str">
        <f t="shared" si="52"/>
        <v>UIM</v>
      </c>
      <c r="C224" s="16"/>
      <c r="D224" s="16">
        <v>3.8820000000000001</v>
      </c>
      <c r="E224" s="16">
        <v>3.819</v>
      </c>
      <c r="F224" s="16">
        <v>4.306</v>
      </c>
      <c r="G224" s="16">
        <v>3.823</v>
      </c>
      <c r="H224" s="16">
        <v>2.976</v>
      </c>
      <c r="I224" s="16">
        <v>4.0730000000000004</v>
      </c>
      <c r="J224" s="17">
        <v>4.2720000000000002</v>
      </c>
      <c r="K224" s="17">
        <v>4.5709999999999997</v>
      </c>
      <c r="L224" s="17">
        <v>5.05</v>
      </c>
      <c r="M224" s="17">
        <v>5.6630000000000003</v>
      </c>
      <c r="N224" s="17">
        <v>6.093</v>
      </c>
    </row>
    <row r="225" spans="1:14" x14ac:dyDescent="0.25">
      <c r="A225" s="11" t="s">
        <v>623</v>
      </c>
      <c r="B225" s="92" t="str">
        <f t="shared" si="52"/>
        <v>UIM</v>
      </c>
      <c r="C225" s="16"/>
      <c r="D225" s="16">
        <v>3.585</v>
      </c>
      <c r="E225" s="16">
        <v>3.6949999999999998</v>
      </c>
      <c r="F225" s="16">
        <v>3.3780000000000001</v>
      </c>
      <c r="G225" s="16">
        <v>3.5670000000000002</v>
      </c>
      <c r="H225" s="16">
        <v>3.532</v>
      </c>
      <c r="I225" s="16">
        <v>3.3140000000000001</v>
      </c>
      <c r="J225" s="17">
        <v>3.403</v>
      </c>
      <c r="K225" s="17">
        <v>3.399</v>
      </c>
      <c r="L225" s="17">
        <v>3.39</v>
      </c>
      <c r="M225" s="17">
        <v>3.39</v>
      </c>
      <c r="N225" s="17">
        <v>3.4140000000000001</v>
      </c>
    </row>
    <row r="226" spans="1:14" x14ac:dyDescent="0.25">
      <c r="A226" s="55" t="s">
        <v>624</v>
      </c>
      <c r="B226" s="92"/>
      <c r="C226" s="16"/>
      <c r="D226" s="57" t="str">
        <f t="shared" ref="D226:N226" si="53">IF(ROUND(D$9-SUM(D$220:D$225),3)=0,"OK","ERROR")</f>
        <v>OK</v>
      </c>
      <c r="E226" s="57" t="str">
        <f t="shared" si="53"/>
        <v>OK</v>
      </c>
      <c r="F226" s="57" t="str">
        <f t="shared" si="53"/>
        <v>OK</v>
      </c>
      <c r="G226" s="57" t="str">
        <f t="shared" si="53"/>
        <v>OK</v>
      </c>
      <c r="H226" s="57" t="str">
        <f t="shared" si="53"/>
        <v>OK</v>
      </c>
      <c r="I226" s="57" t="str">
        <f t="shared" si="53"/>
        <v>OK</v>
      </c>
      <c r="J226" s="57" t="str">
        <f t="shared" si="53"/>
        <v>OK</v>
      </c>
      <c r="K226" s="57" t="str">
        <f t="shared" si="53"/>
        <v>OK</v>
      </c>
      <c r="L226" s="57" t="str">
        <f t="shared" si="53"/>
        <v>OK</v>
      </c>
      <c r="M226" s="57" t="str">
        <f t="shared" si="53"/>
        <v>OK</v>
      </c>
      <c r="N226" s="57" t="str">
        <f t="shared" si="53"/>
        <v>OK</v>
      </c>
    </row>
    <row r="227" spans="1:14" x14ac:dyDescent="0.25">
      <c r="A227" s="55" t="s">
        <v>625</v>
      </c>
      <c r="B227" s="92"/>
      <c r="C227" s="16"/>
      <c r="D227" s="16"/>
      <c r="E227" s="16"/>
      <c r="F227" s="16"/>
      <c r="G227" s="16"/>
      <c r="H227" s="16"/>
      <c r="I227" s="16"/>
      <c r="J227" s="16"/>
      <c r="K227" s="16"/>
      <c r="L227" s="16"/>
      <c r="M227" s="16"/>
      <c r="N227" s="16"/>
    </row>
    <row r="228" spans="1:14" x14ac:dyDescent="0.25">
      <c r="A228" s="11" t="s">
        <v>626</v>
      </c>
      <c r="B228" s="92" t="str">
        <f>$B$10</f>
        <v>UIM</v>
      </c>
      <c r="C228" s="16"/>
      <c r="D228" s="16">
        <v>3.0139999999999998</v>
      </c>
      <c r="E228" s="16">
        <v>3.032</v>
      </c>
      <c r="F228" s="16">
        <v>3.27</v>
      </c>
      <c r="G228" s="16">
        <v>3.4609999999999999</v>
      </c>
      <c r="H228" s="16">
        <v>3.855</v>
      </c>
      <c r="I228" s="16">
        <v>4.1449999999999996</v>
      </c>
      <c r="J228" s="17">
        <v>4.2649999999999997</v>
      </c>
      <c r="K228" s="17">
        <v>4.7149999999999999</v>
      </c>
      <c r="L228" s="17">
        <v>5.2039999999999997</v>
      </c>
      <c r="M228" s="17">
        <v>5.7030000000000003</v>
      </c>
      <c r="N228" s="17">
        <v>6.2389999999999999</v>
      </c>
    </row>
    <row r="229" spans="1:14" x14ac:dyDescent="0.25">
      <c r="A229" s="11" t="s">
        <v>627</v>
      </c>
      <c r="B229" s="92" t="str">
        <f t="shared" ref="B229" si="54">$B$10</f>
        <v>UIM</v>
      </c>
      <c r="C229" s="16"/>
      <c r="D229" s="16">
        <v>0.84599999999999997</v>
      </c>
      <c r="E229" s="16">
        <v>1.0429999999999999</v>
      </c>
      <c r="F229" s="16">
        <v>1.6339999999999999</v>
      </c>
      <c r="G229" s="16">
        <v>3.0059999999999998</v>
      </c>
      <c r="H229" s="16">
        <v>1.5820000000000001</v>
      </c>
      <c r="I229" s="16">
        <v>1.69</v>
      </c>
      <c r="J229" s="17">
        <v>2.4350000000000001</v>
      </c>
      <c r="K229" s="17">
        <v>2.2149999999999999</v>
      </c>
      <c r="L229" s="17">
        <v>2.1240000000000001</v>
      </c>
      <c r="M229" s="17">
        <v>2.073</v>
      </c>
      <c r="N229" s="17">
        <v>2.0630000000000002</v>
      </c>
    </row>
    <row r="230" spans="1:14" x14ac:dyDescent="0.25">
      <c r="A230" s="11" t="s">
        <v>628</v>
      </c>
      <c r="B230" s="92" t="str">
        <f>$B$9</f>
        <v>NAC</v>
      </c>
      <c r="C230" s="16"/>
      <c r="D230" s="16">
        <v>2.1680000000000001</v>
      </c>
      <c r="E230" s="16">
        <v>2.194</v>
      </c>
      <c r="F230" s="16">
        <v>2.1339999999999999</v>
      </c>
      <c r="G230" s="16">
        <v>2.427</v>
      </c>
      <c r="H230" s="16">
        <v>2.97</v>
      </c>
      <c r="I230" s="16">
        <v>3.5910000000000002</v>
      </c>
      <c r="J230" s="17">
        <v>3.7559999999999998</v>
      </c>
      <c r="K230" s="17">
        <v>4.0759999999999996</v>
      </c>
      <c r="L230" s="17">
        <v>4.242</v>
      </c>
      <c r="M230" s="17">
        <v>4.3979999999999997</v>
      </c>
      <c r="N230" s="17">
        <v>4.508</v>
      </c>
    </row>
    <row r="231" spans="1:14" x14ac:dyDescent="0.25">
      <c r="A231" s="55" t="s">
        <v>629</v>
      </c>
      <c r="B231" s="92"/>
      <c r="C231" s="16"/>
      <c r="D231" s="57" t="str">
        <f t="shared" ref="D231:N231" si="55">IF(ROUND(D$10-SUM(D$228:D$230),3)=0,"OK","ERROR")</f>
        <v>OK</v>
      </c>
      <c r="E231" s="57" t="str">
        <f t="shared" si="55"/>
        <v>OK</v>
      </c>
      <c r="F231" s="57" t="str">
        <f t="shared" si="55"/>
        <v>OK</v>
      </c>
      <c r="G231" s="57" t="str">
        <f t="shared" si="55"/>
        <v>OK</v>
      </c>
      <c r="H231" s="57" t="str">
        <f t="shared" si="55"/>
        <v>OK</v>
      </c>
      <c r="I231" s="57" t="str">
        <f t="shared" si="55"/>
        <v>OK</v>
      </c>
      <c r="J231" s="57" t="str">
        <f t="shared" si="55"/>
        <v>OK</v>
      </c>
      <c r="K231" s="57" t="str">
        <f t="shared" si="55"/>
        <v>OK</v>
      </c>
      <c r="L231" s="57" t="str">
        <f t="shared" si="55"/>
        <v>OK</v>
      </c>
      <c r="M231" s="57" t="str">
        <f t="shared" si="55"/>
        <v>OK</v>
      </c>
      <c r="N231" s="57" t="str">
        <f t="shared" si="55"/>
        <v>OK</v>
      </c>
    </row>
    <row r="232" spans="1:14" x14ac:dyDescent="0.25">
      <c r="A232" s="55" t="s">
        <v>454</v>
      </c>
      <c r="B232" s="92"/>
      <c r="C232" s="16"/>
      <c r="D232" s="17"/>
      <c r="E232" s="17"/>
      <c r="F232" s="17"/>
      <c r="G232" s="17"/>
      <c r="H232" s="17"/>
      <c r="I232" s="17"/>
      <c r="J232" s="17"/>
      <c r="K232" s="17"/>
      <c r="L232" s="17"/>
      <c r="M232" s="17"/>
      <c r="N232" s="17"/>
    </row>
    <row r="233" spans="1:14" x14ac:dyDescent="0.25">
      <c r="A233" s="11" t="s">
        <v>630</v>
      </c>
      <c r="B233" s="92" t="str">
        <f>$B$10</f>
        <v>UIM</v>
      </c>
      <c r="C233" s="16"/>
      <c r="D233" s="16">
        <v>1.016</v>
      </c>
      <c r="E233" s="16">
        <v>0.94699999999999995</v>
      </c>
      <c r="F233" s="16">
        <v>0.78500000000000003</v>
      </c>
      <c r="G233" s="16">
        <v>0.82699999999999996</v>
      </c>
      <c r="H233" s="16">
        <v>2.097</v>
      </c>
      <c r="I233" s="16">
        <v>3.56</v>
      </c>
      <c r="J233" s="17">
        <v>4.0650000000000004</v>
      </c>
      <c r="K233" s="17">
        <v>4.1219999999999999</v>
      </c>
      <c r="L233" s="17">
        <v>4.16</v>
      </c>
      <c r="M233" s="17">
        <v>4.2519999999999998</v>
      </c>
      <c r="N233" s="17">
        <v>4.5149999999999997</v>
      </c>
    </row>
    <row r="234" spans="1:14" x14ac:dyDescent="0.25">
      <c r="A234" s="11" t="s">
        <v>631</v>
      </c>
      <c r="B234" s="92" t="str">
        <f>$B$10</f>
        <v>UIM</v>
      </c>
      <c r="C234" s="16"/>
      <c r="D234" s="16">
        <v>1.014</v>
      </c>
      <c r="E234" s="16">
        <v>0.95299999999999996</v>
      </c>
      <c r="F234" s="16">
        <v>0.79100000000000004</v>
      </c>
      <c r="G234" s="16">
        <v>0.95699999999999996</v>
      </c>
      <c r="H234" s="16">
        <v>0.67500000000000004</v>
      </c>
      <c r="I234" s="16">
        <v>0.22800000000000001</v>
      </c>
      <c r="J234" s="17">
        <v>0.124</v>
      </c>
      <c r="K234" s="17">
        <v>8.4000000000000005E-2</v>
      </c>
      <c r="L234" s="17">
        <v>7.6999999999999999E-2</v>
      </c>
      <c r="M234" s="17">
        <v>8.8999999999999996E-2</v>
      </c>
      <c r="N234" s="17">
        <v>0.1</v>
      </c>
    </row>
    <row r="235" spans="1:14" x14ac:dyDescent="0.25">
      <c r="A235" s="11" t="s">
        <v>632</v>
      </c>
      <c r="B235" s="92" t="str">
        <f>$B$10</f>
        <v>UIM</v>
      </c>
      <c r="C235" s="16"/>
      <c r="D235" s="16">
        <v>-0.44400000000000001</v>
      </c>
      <c r="E235" s="16">
        <v>-0.45</v>
      </c>
      <c r="F235" s="16">
        <v>-0.34899999999999998</v>
      </c>
      <c r="G235" s="16">
        <v>-0.35</v>
      </c>
      <c r="H235" s="16">
        <v>-0.622</v>
      </c>
      <c r="I235" s="16">
        <v>-1.109</v>
      </c>
      <c r="J235" s="17">
        <v>-1.3979999999999999</v>
      </c>
      <c r="K235" s="17">
        <v>-1.514</v>
      </c>
      <c r="L235" s="17">
        <v>-1.61</v>
      </c>
      <c r="M235" s="17">
        <v>-1.732</v>
      </c>
      <c r="N235" s="17">
        <v>-1.8520000000000001</v>
      </c>
    </row>
    <row r="236" spans="1:14" x14ac:dyDescent="0.25">
      <c r="A236" s="55" t="s">
        <v>633</v>
      </c>
      <c r="B236" s="92"/>
      <c r="C236" s="16"/>
      <c r="D236" s="57" t="str">
        <f t="shared" ref="D236:N236" si="56">IF(ROUND(D$12-SUM(D$166,D$233:D$235),3)=0,"OK","ERROR")</f>
        <v>OK</v>
      </c>
      <c r="E236" s="57" t="str">
        <f t="shared" si="56"/>
        <v>OK</v>
      </c>
      <c r="F236" s="57" t="str">
        <f t="shared" si="56"/>
        <v>OK</v>
      </c>
      <c r="G236" s="57" t="str">
        <f t="shared" si="56"/>
        <v>OK</v>
      </c>
      <c r="H236" s="57" t="str">
        <f t="shared" si="56"/>
        <v>OK</v>
      </c>
      <c r="I236" s="57" t="str">
        <f t="shared" si="56"/>
        <v>OK</v>
      </c>
      <c r="J236" s="57" t="str">
        <f t="shared" si="56"/>
        <v>OK</v>
      </c>
      <c r="K236" s="57" t="str">
        <f t="shared" si="56"/>
        <v>OK</v>
      </c>
      <c r="L236" s="57" t="str">
        <f t="shared" si="56"/>
        <v>OK</v>
      </c>
      <c r="M236" s="57" t="str">
        <f t="shared" si="56"/>
        <v>OK</v>
      </c>
      <c r="N236" s="57" t="str">
        <f t="shared" si="56"/>
        <v>OK</v>
      </c>
    </row>
    <row r="237" spans="1:14" x14ac:dyDescent="0.25">
      <c r="A237" s="55" t="s">
        <v>634</v>
      </c>
      <c r="B237" s="92" t="str">
        <f>$B$9</f>
        <v>NAC</v>
      </c>
      <c r="C237" s="16"/>
      <c r="D237" s="16">
        <v>1.07</v>
      </c>
      <c r="E237" s="16">
        <v>0.90600000000000003</v>
      </c>
      <c r="F237" s="16">
        <v>0.90300000000000002</v>
      </c>
      <c r="G237" s="16">
        <v>1.248</v>
      </c>
      <c r="H237" s="16">
        <v>1.343</v>
      </c>
      <c r="I237" s="16">
        <v>1.43</v>
      </c>
      <c r="J237" s="17">
        <v>1.5029999999999999</v>
      </c>
      <c r="K237" s="17">
        <v>1.3540000000000001</v>
      </c>
      <c r="L237" s="17">
        <v>1.3859999999999999</v>
      </c>
      <c r="M237" s="17">
        <v>1.444</v>
      </c>
      <c r="N237" s="17">
        <v>1.498</v>
      </c>
    </row>
    <row r="238" spans="1:14" x14ac:dyDescent="0.25">
      <c r="A238" s="11" t="s">
        <v>635</v>
      </c>
      <c r="B238" s="92" t="str">
        <f>$B$10</f>
        <v>UIM</v>
      </c>
      <c r="C238" s="16"/>
      <c r="D238" s="16">
        <v>1.4630000000000001</v>
      </c>
      <c r="E238" s="16">
        <v>1.3360000000000001</v>
      </c>
      <c r="F238" s="16">
        <v>1.0940000000000001</v>
      </c>
      <c r="G238" s="16">
        <v>1.391</v>
      </c>
      <c r="H238" s="16">
        <v>2.0880000000000001</v>
      </c>
      <c r="I238" s="16">
        <v>1.708</v>
      </c>
      <c r="J238" s="17">
        <v>1.528</v>
      </c>
      <c r="K238" s="17">
        <v>1.583</v>
      </c>
      <c r="L238" s="17">
        <v>1.6379999999999999</v>
      </c>
      <c r="M238" s="17">
        <v>1.7410000000000001</v>
      </c>
      <c r="N238" s="17">
        <v>1.8879999999999999</v>
      </c>
    </row>
    <row r="239" spans="1:14" x14ac:dyDescent="0.25">
      <c r="A239" s="11" t="s">
        <v>630</v>
      </c>
      <c r="B239" s="92" t="str">
        <f t="shared" ref="B239:B240" si="57">$B$10</f>
        <v>UIM</v>
      </c>
      <c r="C239" s="16"/>
      <c r="D239" s="16">
        <v>0.42399999999999999</v>
      </c>
      <c r="E239" s="16">
        <v>0.39500000000000002</v>
      </c>
      <c r="F239" s="16">
        <v>0.44700000000000001</v>
      </c>
      <c r="G239" s="16">
        <v>0.52200000000000002</v>
      </c>
      <c r="H239" s="16">
        <v>0.60499999999999998</v>
      </c>
      <c r="I239" s="16">
        <v>0.63</v>
      </c>
      <c r="J239" s="17">
        <v>0.67100000000000004</v>
      </c>
      <c r="K239" s="17">
        <v>0.50600000000000001</v>
      </c>
      <c r="L239" s="17">
        <v>0.50700000000000001</v>
      </c>
      <c r="M239" s="17">
        <v>0.51200000000000001</v>
      </c>
      <c r="N239" s="17">
        <v>0.52200000000000002</v>
      </c>
    </row>
    <row r="240" spans="1:14" x14ac:dyDescent="0.25">
      <c r="A240" s="11" t="s">
        <v>632</v>
      </c>
      <c r="B240" s="92" t="str">
        <f t="shared" si="57"/>
        <v>UIM</v>
      </c>
      <c r="C240" s="16"/>
      <c r="D240" s="16">
        <v>-0.81699999999999995</v>
      </c>
      <c r="E240" s="16">
        <v>-0.82499999999999996</v>
      </c>
      <c r="F240" s="16">
        <v>-0.63800000000000001</v>
      </c>
      <c r="G240" s="16">
        <v>-0.66500000000000004</v>
      </c>
      <c r="H240" s="16">
        <v>-1.35</v>
      </c>
      <c r="I240" s="16">
        <v>-0.90800000000000003</v>
      </c>
      <c r="J240" s="17">
        <v>-0.69599999999999995</v>
      </c>
      <c r="K240" s="17">
        <v>-0.73499999999999999</v>
      </c>
      <c r="L240" s="17">
        <v>-0.75900000000000001</v>
      </c>
      <c r="M240" s="17">
        <v>-0.80900000000000005</v>
      </c>
      <c r="N240" s="17">
        <v>-0.91200000000000003</v>
      </c>
    </row>
    <row r="241" spans="1:14" x14ac:dyDescent="0.25">
      <c r="A241" s="55" t="s">
        <v>636</v>
      </c>
      <c r="B241" s="92"/>
      <c r="C241" s="16"/>
      <c r="D241" s="57" t="str">
        <f t="shared" ref="D241:N241" si="58">IF(ROUND(D$237-SUM(D$238:D$240),3)=0,"OK","ERROR")</f>
        <v>OK</v>
      </c>
      <c r="E241" s="57" t="str">
        <f t="shared" si="58"/>
        <v>OK</v>
      </c>
      <c r="F241" s="57" t="str">
        <f t="shared" si="58"/>
        <v>OK</v>
      </c>
      <c r="G241" s="57" t="str">
        <f t="shared" si="58"/>
        <v>OK</v>
      </c>
      <c r="H241" s="57" t="str">
        <f t="shared" si="58"/>
        <v>OK</v>
      </c>
      <c r="I241" s="57" t="str">
        <f t="shared" si="58"/>
        <v>OK</v>
      </c>
      <c r="J241" s="57" t="str">
        <f t="shared" si="58"/>
        <v>OK</v>
      </c>
      <c r="K241" s="57" t="str">
        <f t="shared" si="58"/>
        <v>OK</v>
      </c>
      <c r="L241" s="57" t="str">
        <f t="shared" si="58"/>
        <v>OK</v>
      </c>
      <c r="M241" s="57" t="str">
        <f t="shared" si="58"/>
        <v>OK</v>
      </c>
      <c r="N241" s="57" t="str">
        <f t="shared" si="58"/>
        <v>OK</v>
      </c>
    </row>
    <row r="242" spans="1:14" x14ac:dyDescent="0.25">
      <c r="A242" s="55" t="s">
        <v>457</v>
      </c>
      <c r="B242" s="92"/>
      <c r="C242" s="16"/>
      <c r="D242" s="17"/>
      <c r="E242" s="17"/>
      <c r="F242" s="17"/>
      <c r="G242" s="17"/>
      <c r="H242" s="17"/>
      <c r="I242" s="17"/>
      <c r="J242" s="17"/>
      <c r="K242" s="17"/>
      <c r="L242" s="17"/>
      <c r="M242" s="17"/>
      <c r="N242" s="17"/>
    </row>
    <row r="243" spans="1:14" x14ac:dyDescent="0.25">
      <c r="A243" s="11" t="s">
        <v>637</v>
      </c>
      <c r="B243" s="92" t="str">
        <f t="shared" ref="B243:B252" si="59">$B$10</f>
        <v>UIM</v>
      </c>
      <c r="C243" s="16"/>
      <c r="D243" s="16">
        <v>14.561999999999999</v>
      </c>
      <c r="E243" s="16">
        <v>15.521000000000001</v>
      </c>
      <c r="F243" s="16">
        <v>16.568999999999999</v>
      </c>
      <c r="G243" s="16">
        <v>17.763999999999999</v>
      </c>
      <c r="H243" s="16">
        <v>19.516999999999999</v>
      </c>
      <c r="I243" s="16">
        <v>21.574000000000002</v>
      </c>
      <c r="J243" s="17">
        <v>23.18</v>
      </c>
      <c r="K243" s="17">
        <v>24.690999999999999</v>
      </c>
      <c r="L243" s="17">
        <v>26.116</v>
      </c>
      <c r="M243" s="17">
        <v>27.605</v>
      </c>
      <c r="N243" s="17">
        <v>28.957000000000001</v>
      </c>
    </row>
    <row r="244" spans="1:14" x14ac:dyDescent="0.25">
      <c r="A244" s="11" t="s">
        <v>638</v>
      </c>
      <c r="B244" s="92" t="str">
        <f t="shared" si="59"/>
        <v>UIM</v>
      </c>
      <c r="C244" s="16"/>
      <c r="D244" s="16">
        <v>1.8540000000000001</v>
      </c>
      <c r="E244" s="16">
        <v>2.2850000000000001</v>
      </c>
      <c r="F244" s="16">
        <v>3.2240000000000002</v>
      </c>
      <c r="G244" s="16">
        <v>3.33</v>
      </c>
      <c r="H244" s="16">
        <v>3.4729999999999999</v>
      </c>
      <c r="I244" s="16">
        <v>4.0620000000000003</v>
      </c>
      <c r="J244" s="17">
        <v>4.6440000000000001</v>
      </c>
      <c r="K244" s="17">
        <v>4.8390000000000004</v>
      </c>
      <c r="L244" s="17">
        <v>4.7149999999999999</v>
      </c>
      <c r="M244" s="17">
        <v>4.4969999999999999</v>
      </c>
      <c r="N244" s="17">
        <v>4.42</v>
      </c>
    </row>
    <row r="245" spans="1:14" x14ac:dyDescent="0.25">
      <c r="A245" s="11" t="s">
        <v>639</v>
      </c>
      <c r="B245" s="92" t="str">
        <f t="shared" si="59"/>
        <v>UIM</v>
      </c>
      <c r="C245" s="16"/>
      <c r="D245" s="16">
        <v>1.556</v>
      </c>
      <c r="E245" s="16">
        <v>1.65</v>
      </c>
      <c r="F245" s="16">
        <v>1.8260000000000001</v>
      </c>
      <c r="G245" s="16">
        <v>2.0470000000000002</v>
      </c>
      <c r="H245" s="16">
        <v>2.3109999999999999</v>
      </c>
      <c r="I245" s="16">
        <v>2.5299999999999998</v>
      </c>
      <c r="J245" s="17">
        <v>2.669</v>
      </c>
      <c r="K245" s="17">
        <v>2.782</v>
      </c>
      <c r="L245" s="17">
        <v>2.8809999999999998</v>
      </c>
      <c r="M245" s="17">
        <v>2.9750000000000001</v>
      </c>
      <c r="N245" s="17">
        <v>3.0230000000000001</v>
      </c>
    </row>
    <row r="246" spans="1:14" x14ac:dyDescent="0.25">
      <c r="A246" s="11" t="s">
        <v>640</v>
      </c>
      <c r="B246" s="92" t="str">
        <f t="shared" si="59"/>
        <v>UIM</v>
      </c>
      <c r="C246" s="16"/>
      <c r="D246" s="16">
        <v>1.115</v>
      </c>
      <c r="E246" s="16">
        <v>1.2310000000000001</v>
      </c>
      <c r="F246" s="16">
        <v>1.4550000000000001</v>
      </c>
      <c r="G246" s="16">
        <v>1.704</v>
      </c>
      <c r="H246" s="16">
        <v>1.917</v>
      </c>
      <c r="I246" s="16">
        <v>2.097</v>
      </c>
      <c r="J246" s="17">
        <v>2.2570000000000001</v>
      </c>
      <c r="K246" s="17">
        <v>2.331</v>
      </c>
      <c r="L246" s="17">
        <v>2.3029999999999999</v>
      </c>
      <c r="M246" s="17">
        <v>2.27</v>
      </c>
      <c r="N246" s="17">
        <v>2.169</v>
      </c>
    </row>
    <row r="247" spans="1:14" x14ac:dyDescent="0.25">
      <c r="A247" s="11" t="s">
        <v>641</v>
      </c>
      <c r="B247" s="92" t="str">
        <f t="shared" si="59"/>
        <v>UIM</v>
      </c>
      <c r="C247" s="16"/>
      <c r="D247" s="16">
        <v>2.766</v>
      </c>
      <c r="E247" s="16">
        <v>2.83</v>
      </c>
      <c r="F247" s="16">
        <v>2.6880000000000002</v>
      </c>
      <c r="G247" s="16">
        <v>2.536</v>
      </c>
      <c r="H247" s="16">
        <v>2.6269999999999998</v>
      </c>
      <c r="I247" s="16">
        <v>2.7450000000000001</v>
      </c>
      <c r="J247" s="17">
        <v>2.9990000000000001</v>
      </c>
      <c r="K247" s="17">
        <v>2.97</v>
      </c>
      <c r="L247" s="17">
        <v>3.05</v>
      </c>
      <c r="M247" s="17">
        <v>3.2229999999999999</v>
      </c>
      <c r="N247" s="17">
        <v>3.141</v>
      </c>
    </row>
    <row r="248" spans="1:14" x14ac:dyDescent="0.25">
      <c r="A248" s="11" t="s">
        <v>642</v>
      </c>
      <c r="B248" s="92" t="str">
        <f t="shared" si="59"/>
        <v>UIM</v>
      </c>
      <c r="C248" s="16"/>
      <c r="D248" s="16">
        <v>1.64</v>
      </c>
      <c r="E248" s="16">
        <v>1.923</v>
      </c>
      <c r="F248" s="16">
        <v>2.302</v>
      </c>
      <c r="G248" s="16">
        <v>2.3860000000000001</v>
      </c>
      <c r="H248" s="16">
        <v>2.3490000000000002</v>
      </c>
      <c r="I248" s="16">
        <v>2.411</v>
      </c>
      <c r="J248" s="17">
        <v>2.3039999999999998</v>
      </c>
      <c r="K248" s="17">
        <v>2.35</v>
      </c>
      <c r="L248" s="17">
        <v>2.3180000000000001</v>
      </c>
      <c r="M248" s="17">
        <v>2.3109999999999999</v>
      </c>
      <c r="N248" s="17">
        <v>2.1859999999999999</v>
      </c>
    </row>
    <row r="249" spans="1:14" x14ac:dyDescent="0.25">
      <c r="A249" s="11" t="s">
        <v>643</v>
      </c>
      <c r="B249" s="92" t="str">
        <f t="shared" si="59"/>
        <v>UIM</v>
      </c>
      <c r="C249" s="16"/>
      <c r="D249" s="16">
        <v>2.351</v>
      </c>
      <c r="E249" s="16">
        <v>14.971</v>
      </c>
      <c r="F249" s="16">
        <v>5.0529999999999999</v>
      </c>
      <c r="G249" s="16">
        <v>11.973000000000001</v>
      </c>
      <c r="H249" s="16">
        <v>4.1159999999999997</v>
      </c>
      <c r="I249" s="16">
        <v>3.7759999999999998</v>
      </c>
      <c r="J249" s="17">
        <v>4.0570000000000004</v>
      </c>
      <c r="K249" s="17">
        <v>4.3849999999999998</v>
      </c>
      <c r="L249" s="17">
        <v>4.4329999999999998</v>
      </c>
      <c r="M249" s="17">
        <v>4.5750000000000002</v>
      </c>
      <c r="N249" s="17">
        <v>4.6130000000000004</v>
      </c>
    </row>
    <row r="250" spans="1:14" x14ac:dyDescent="0.25">
      <c r="A250" s="11" t="s">
        <v>644</v>
      </c>
      <c r="B250" s="92" t="str">
        <f t="shared" si="59"/>
        <v>UIM</v>
      </c>
      <c r="C250" s="16"/>
      <c r="D250" s="16">
        <v>0.58299999999999996</v>
      </c>
      <c r="E250" s="16">
        <v>0.56699999999999995</v>
      </c>
      <c r="F250" s="16">
        <v>0.59</v>
      </c>
      <c r="G250" s="16">
        <v>0.55600000000000005</v>
      </c>
      <c r="H250" s="16">
        <v>0.52500000000000002</v>
      </c>
      <c r="I250" s="16">
        <v>0.52600000000000002</v>
      </c>
      <c r="J250" s="17">
        <v>0.57799999999999996</v>
      </c>
      <c r="K250" s="17">
        <v>0.63500000000000001</v>
      </c>
      <c r="L250" s="17">
        <v>0.64</v>
      </c>
      <c r="M250" s="17">
        <v>0.63700000000000001</v>
      </c>
      <c r="N250" s="17">
        <v>0.628</v>
      </c>
    </row>
    <row r="251" spans="1:14" x14ac:dyDescent="0.25">
      <c r="A251" s="11" t="s">
        <v>645</v>
      </c>
      <c r="B251" s="92" t="str">
        <f t="shared" si="59"/>
        <v>UIM</v>
      </c>
      <c r="C251" s="16"/>
      <c r="D251" s="16">
        <v>0.95099999999999996</v>
      </c>
      <c r="E251" s="16">
        <v>0.89300000000000002</v>
      </c>
      <c r="F251" s="16">
        <v>0.91600000000000004</v>
      </c>
      <c r="G251" s="16">
        <v>0.96399999999999997</v>
      </c>
      <c r="H251" s="16">
        <v>0.997</v>
      </c>
      <c r="I251" s="16">
        <v>1.014</v>
      </c>
      <c r="J251" s="17">
        <v>1.06</v>
      </c>
      <c r="K251" s="17">
        <v>0.54500000000000004</v>
      </c>
      <c r="L251" s="17">
        <v>0.56499999999999995</v>
      </c>
      <c r="M251" s="17">
        <v>0.58799999999999997</v>
      </c>
      <c r="N251" s="17">
        <v>0.61299999999999999</v>
      </c>
    </row>
    <row r="252" spans="1:14" x14ac:dyDescent="0.25">
      <c r="A252" s="11" t="s">
        <v>646</v>
      </c>
      <c r="B252" s="92" t="str">
        <f t="shared" si="59"/>
        <v>UIM</v>
      </c>
      <c r="C252" s="16"/>
      <c r="D252" s="16">
        <v>0.70799999999999996</v>
      </c>
      <c r="E252" s="16">
        <v>0.73599999999999999</v>
      </c>
      <c r="F252" s="16">
        <v>0.80400000000000005</v>
      </c>
      <c r="G252" s="16">
        <v>0.82699999999999996</v>
      </c>
      <c r="H252" s="16">
        <v>0.97099999999999997</v>
      </c>
      <c r="I252" s="16">
        <v>1.202</v>
      </c>
      <c r="J252" s="17">
        <v>1.1160000000000001</v>
      </c>
      <c r="K252" s="17">
        <v>0.995</v>
      </c>
      <c r="L252" s="17">
        <v>0.94099999999999995</v>
      </c>
      <c r="M252" s="17">
        <v>0.94099999999999995</v>
      </c>
      <c r="N252" s="17">
        <v>0.94099999999999995</v>
      </c>
    </row>
    <row r="253" spans="1:14" x14ac:dyDescent="0.25">
      <c r="A253" s="55" t="s">
        <v>647</v>
      </c>
      <c r="B253" s="92"/>
      <c r="C253" s="16"/>
      <c r="D253" s="57" t="str">
        <f t="shared" ref="D253:N253" si="60">IF(ROUND(D$15-SUM(D$243:D$252),3)=0,"OK","ERROR")</f>
        <v>OK</v>
      </c>
      <c r="E253" s="57" t="str">
        <f t="shared" si="60"/>
        <v>OK</v>
      </c>
      <c r="F253" s="57" t="str">
        <f t="shared" si="60"/>
        <v>OK</v>
      </c>
      <c r="G253" s="57" t="str">
        <f t="shared" si="60"/>
        <v>OK</v>
      </c>
      <c r="H253" s="57" t="str">
        <f t="shared" si="60"/>
        <v>OK</v>
      </c>
      <c r="I253" s="57" t="str">
        <f t="shared" si="60"/>
        <v>OK</v>
      </c>
      <c r="J253" s="57" t="str">
        <f t="shared" si="60"/>
        <v>OK</v>
      </c>
      <c r="K253" s="57" t="str">
        <f t="shared" si="60"/>
        <v>OK</v>
      </c>
      <c r="L253" s="57" t="str">
        <f t="shared" si="60"/>
        <v>OK</v>
      </c>
      <c r="M253" s="57" t="str">
        <f t="shared" si="60"/>
        <v>OK</v>
      </c>
      <c r="N253" s="57" t="str">
        <f t="shared" si="60"/>
        <v>OK</v>
      </c>
    </row>
    <row r="254" spans="1:14" x14ac:dyDescent="0.25">
      <c r="A254" s="55" t="s">
        <v>458</v>
      </c>
      <c r="B254" s="92"/>
      <c r="C254" s="16"/>
      <c r="D254" s="17"/>
      <c r="E254" s="17"/>
      <c r="F254" s="17"/>
      <c r="G254" s="17"/>
      <c r="H254" s="17"/>
      <c r="I254" s="17"/>
      <c r="J254" s="17"/>
      <c r="K254" s="17"/>
      <c r="L254" s="17"/>
      <c r="M254" s="17"/>
      <c r="N254" s="17"/>
    </row>
    <row r="255" spans="1:14" x14ac:dyDescent="0.25">
      <c r="A255" s="11" t="s">
        <v>630</v>
      </c>
      <c r="B255" s="92" t="str">
        <f>$B$10</f>
        <v>UIM</v>
      </c>
      <c r="C255" s="16"/>
      <c r="D255" s="16">
        <v>15.085000000000001</v>
      </c>
      <c r="E255" s="16">
        <v>16.317</v>
      </c>
      <c r="F255" s="16">
        <v>17.928999999999998</v>
      </c>
      <c r="G255" s="16">
        <v>19.896999999999998</v>
      </c>
      <c r="H255" s="16">
        <v>22.326000000000001</v>
      </c>
      <c r="I255" s="16">
        <v>24.337</v>
      </c>
      <c r="J255" s="17">
        <v>24.657</v>
      </c>
      <c r="K255" s="17">
        <v>25.32</v>
      </c>
      <c r="L255" s="17">
        <v>25.808</v>
      </c>
      <c r="M255" s="17">
        <v>26.111999999999998</v>
      </c>
      <c r="N255" s="17">
        <v>26.395</v>
      </c>
    </row>
    <row r="256" spans="1:14" x14ac:dyDescent="0.25">
      <c r="A256" s="11" t="s">
        <v>631</v>
      </c>
      <c r="B256" s="92" t="str">
        <f>$B$10</f>
        <v>UIM</v>
      </c>
      <c r="C256" s="16"/>
      <c r="D256" s="16">
        <v>3.0960000000000001</v>
      </c>
      <c r="E256" s="16">
        <v>3.0230000000000001</v>
      </c>
      <c r="F256" s="16">
        <v>2.5819999999999999</v>
      </c>
      <c r="G256" s="16">
        <v>2.8610000000000002</v>
      </c>
      <c r="H256" s="16">
        <v>3.33</v>
      </c>
      <c r="I256" s="16">
        <v>3.5459999999999998</v>
      </c>
      <c r="J256" s="17">
        <v>3.6120000000000001</v>
      </c>
      <c r="K256" s="17">
        <v>3.7280000000000002</v>
      </c>
      <c r="L256" s="17">
        <v>3.8580000000000001</v>
      </c>
      <c r="M256" s="17">
        <v>3.9929999999999999</v>
      </c>
      <c r="N256" s="17">
        <v>4.09</v>
      </c>
    </row>
    <row r="257" spans="1:14" x14ac:dyDescent="0.25">
      <c r="A257" s="11" t="s">
        <v>632</v>
      </c>
      <c r="B257" s="92" t="str">
        <f>$B$10</f>
        <v>UIM</v>
      </c>
      <c r="C257" s="16"/>
      <c r="D257" s="16">
        <v>-4.2000000000000003E-2</v>
      </c>
      <c r="E257" s="16">
        <v>-4.4999999999999998E-2</v>
      </c>
      <c r="F257" s="16">
        <v>-5.1999999999999998E-2</v>
      </c>
      <c r="G257" s="16">
        <v>-5.5E-2</v>
      </c>
      <c r="H257" s="16">
        <v>-5.2999999999999999E-2</v>
      </c>
      <c r="I257" s="16">
        <v>-0.06</v>
      </c>
      <c r="J257" s="17">
        <v>-6.6000000000000003E-2</v>
      </c>
      <c r="K257" s="17">
        <v>-6.8000000000000005E-2</v>
      </c>
      <c r="L257" s="17">
        <v>-6.9000000000000006E-2</v>
      </c>
      <c r="M257" s="17">
        <v>-6.8000000000000005E-2</v>
      </c>
      <c r="N257" s="17">
        <v>-7.0000000000000007E-2</v>
      </c>
    </row>
    <row r="258" spans="1:14" x14ac:dyDescent="0.25">
      <c r="A258" s="55" t="s">
        <v>648</v>
      </c>
      <c r="B258" s="92"/>
      <c r="C258" s="16"/>
      <c r="D258" s="57" t="str">
        <f t="shared" ref="D258:N258" si="61">IF(ROUND(D$16-SUM(D$171,D$255:D$257),3)=0,"OK","ERROR")</f>
        <v>OK</v>
      </c>
      <c r="E258" s="57" t="str">
        <f t="shared" si="61"/>
        <v>OK</v>
      </c>
      <c r="F258" s="57" t="str">
        <f t="shared" si="61"/>
        <v>OK</v>
      </c>
      <c r="G258" s="57" t="str">
        <f t="shared" si="61"/>
        <v>OK</v>
      </c>
      <c r="H258" s="57" t="str">
        <f t="shared" si="61"/>
        <v>OK</v>
      </c>
      <c r="I258" s="57" t="str">
        <f t="shared" si="61"/>
        <v>OK</v>
      </c>
      <c r="J258" s="57" t="str">
        <f t="shared" si="61"/>
        <v>OK</v>
      </c>
      <c r="K258" s="57" t="str">
        <f t="shared" si="61"/>
        <v>OK</v>
      </c>
      <c r="L258" s="57" t="str">
        <f t="shared" si="61"/>
        <v>OK</v>
      </c>
      <c r="M258" s="57" t="str">
        <f t="shared" si="61"/>
        <v>OK</v>
      </c>
      <c r="N258" s="57" t="str">
        <f t="shared" si="61"/>
        <v>OK</v>
      </c>
    </row>
    <row r="259" spans="1:14" x14ac:dyDescent="0.25">
      <c r="A259" s="55" t="s">
        <v>459</v>
      </c>
      <c r="B259" s="92"/>
      <c r="C259" s="16"/>
      <c r="D259" s="17"/>
      <c r="E259" s="17"/>
      <c r="F259" s="17"/>
      <c r="G259" s="17"/>
      <c r="H259" s="17"/>
      <c r="I259" s="17"/>
      <c r="J259" s="17"/>
      <c r="K259" s="17"/>
      <c r="L259" s="17"/>
      <c r="M259" s="17"/>
      <c r="N259" s="17"/>
    </row>
    <row r="260" spans="1:14" x14ac:dyDescent="0.25">
      <c r="A260" s="11" t="s">
        <v>635</v>
      </c>
      <c r="B260" s="92" t="str">
        <f>$B$10</f>
        <v>UIM</v>
      </c>
      <c r="C260" s="16"/>
      <c r="D260" s="16">
        <v>1.5009999999999999</v>
      </c>
      <c r="E260" s="16">
        <v>1.675</v>
      </c>
      <c r="F260" s="16">
        <v>1.883</v>
      </c>
      <c r="G260" s="16">
        <v>2.0019999999999998</v>
      </c>
      <c r="H260" s="16">
        <v>2.4</v>
      </c>
      <c r="I260" s="16">
        <v>2.81</v>
      </c>
      <c r="J260" s="17">
        <v>2.7429999999999999</v>
      </c>
      <c r="K260" s="17">
        <v>2.9079999999999999</v>
      </c>
      <c r="L260" s="17">
        <v>2.9940000000000002</v>
      </c>
      <c r="M260" s="17">
        <v>3.069</v>
      </c>
      <c r="N260" s="17">
        <v>3.073</v>
      </c>
    </row>
    <row r="261" spans="1:14" x14ac:dyDescent="0.25">
      <c r="A261" s="11" t="s">
        <v>630</v>
      </c>
      <c r="B261" s="92" t="str">
        <f>$B$10</f>
        <v>UIM</v>
      </c>
      <c r="C261" s="16"/>
      <c r="D261" s="16">
        <v>1.587</v>
      </c>
      <c r="E261" s="16">
        <v>1.776</v>
      </c>
      <c r="F261" s="16">
        <v>1.9530000000000001</v>
      </c>
      <c r="G261" s="16">
        <v>2.2509999999999999</v>
      </c>
      <c r="H261" s="16">
        <v>2.5110000000000001</v>
      </c>
      <c r="I261" s="16">
        <v>2.9</v>
      </c>
      <c r="J261" s="17">
        <v>3.012</v>
      </c>
      <c r="K261" s="17">
        <v>3.129</v>
      </c>
      <c r="L261" s="17">
        <v>3.177</v>
      </c>
      <c r="M261" s="17">
        <v>3.226</v>
      </c>
      <c r="N261" s="17">
        <v>3.274</v>
      </c>
    </row>
    <row r="262" spans="1:14" x14ac:dyDescent="0.25">
      <c r="A262" s="11" t="s">
        <v>631</v>
      </c>
      <c r="B262" s="92" t="str">
        <f>$B$10</f>
        <v>UIM</v>
      </c>
      <c r="C262" s="16"/>
      <c r="D262" s="16">
        <v>1.466</v>
      </c>
      <c r="E262" s="16">
        <v>1.843</v>
      </c>
      <c r="F262" s="16">
        <v>1.73</v>
      </c>
      <c r="G262" s="16">
        <v>1.899</v>
      </c>
      <c r="H262" s="16">
        <v>1.69</v>
      </c>
      <c r="I262" s="16">
        <v>1.911</v>
      </c>
      <c r="J262" s="17">
        <v>2.3050000000000002</v>
      </c>
      <c r="K262" s="17">
        <v>2.387</v>
      </c>
      <c r="L262" s="17">
        <v>2.5459999999999998</v>
      </c>
      <c r="M262" s="17">
        <v>2.7690000000000001</v>
      </c>
      <c r="N262" s="17">
        <v>2.8580000000000001</v>
      </c>
    </row>
    <row r="263" spans="1:14" x14ac:dyDescent="0.25">
      <c r="A263" s="55" t="s">
        <v>649</v>
      </c>
      <c r="B263" s="92"/>
      <c r="C263" s="16"/>
      <c r="D263" s="57" t="str">
        <f t="shared" ref="D263:N263" si="62">IF(ROUND(D$17-SUM(D$260:D$262),3)=0,"OK","ERROR")</f>
        <v>OK</v>
      </c>
      <c r="E263" s="57" t="str">
        <f t="shared" si="62"/>
        <v>OK</v>
      </c>
      <c r="F263" s="57" t="str">
        <f t="shared" si="62"/>
        <v>OK</v>
      </c>
      <c r="G263" s="57" t="str">
        <f t="shared" si="62"/>
        <v>OK</v>
      </c>
      <c r="H263" s="57" t="str">
        <f t="shared" si="62"/>
        <v>OK</v>
      </c>
      <c r="I263" s="57" t="str">
        <f t="shared" si="62"/>
        <v>OK</v>
      </c>
      <c r="J263" s="57" t="str">
        <f t="shared" si="62"/>
        <v>OK</v>
      </c>
      <c r="K263" s="57" t="str">
        <f t="shared" si="62"/>
        <v>OK</v>
      </c>
      <c r="L263" s="57" t="str">
        <f t="shared" si="62"/>
        <v>OK</v>
      </c>
      <c r="M263" s="57" t="str">
        <f t="shared" si="62"/>
        <v>OK</v>
      </c>
      <c r="N263" s="57" t="str">
        <f t="shared" si="62"/>
        <v>OK</v>
      </c>
    </row>
    <row r="264" spans="1:14" x14ac:dyDescent="0.25">
      <c r="A264" s="55" t="s">
        <v>525</v>
      </c>
      <c r="B264" s="92"/>
      <c r="C264" s="16"/>
      <c r="D264" s="59"/>
      <c r="E264" s="59"/>
      <c r="F264" s="59"/>
      <c r="G264" s="59"/>
      <c r="H264" s="59"/>
      <c r="I264" s="59"/>
      <c r="J264" s="59"/>
      <c r="K264" s="59"/>
      <c r="L264" s="59"/>
      <c r="M264" s="59"/>
      <c r="N264" s="59"/>
    </row>
    <row r="265" spans="1:14" x14ac:dyDescent="0.25">
      <c r="A265" s="11" t="s">
        <v>635</v>
      </c>
      <c r="B265" s="92" t="str">
        <f>$B$10</f>
        <v>UIM</v>
      </c>
      <c r="C265" s="16"/>
      <c r="D265" s="16">
        <v>0.29399999999999998</v>
      </c>
      <c r="E265" s="16">
        <v>0.57399999999999995</v>
      </c>
      <c r="F265" s="16">
        <v>0.37</v>
      </c>
      <c r="G265" s="16">
        <v>0.316</v>
      </c>
      <c r="H265" s="16">
        <v>0.29399999999999998</v>
      </c>
      <c r="I265" s="16">
        <v>0.33</v>
      </c>
      <c r="J265" s="17">
        <v>0.33600000000000002</v>
      </c>
      <c r="K265" s="17">
        <v>0.34399999999999997</v>
      </c>
      <c r="L265" s="17">
        <v>0.34300000000000003</v>
      </c>
      <c r="M265" s="17">
        <v>0.34200000000000003</v>
      </c>
      <c r="N265" s="17">
        <v>0.34200000000000003</v>
      </c>
    </row>
    <row r="266" spans="1:14" x14ac:dyDescent="0.25">
      <c r="A266" s="11" t="s">
        <v>630</v>
      </c>
      <c r="B266" s="92" t="str">
        <f>$B$9</f>
        <v>NAC</v>
      </c>
      <c r="C266" s="16"/>
      <c r="D266" s="16">
        <v>0.31900000000000001</v>
      </c>
      <c r="E266" s="16">
        <v>0.34</v>
      </c>
      <c r="F266" s="16">
        <v>0.34399999999999997</v>
      </c>
      <c r="G266" s="16">
        <v>0.39900000000000002</v>
      </c>
      <c r="H266" s="16">
        <v>0.40100000000000002</v>
      </c>
      <c r="I266" s="16">
        <v>0.55400000000000005</v>
      </c>
      <c r="J266" s="17">
        <v>0.317</v>
      </c>
      <c r="K266" s="17">
        <v>0.35099999999999998</v>
      </c>
      <c r="L266" s="17">
        <v>0.33800000000000002</v>
      </c>
      <c r="M266" s="17">
        <v>0.34100000000000003</v>
      </c>
      <c r="N266" s="17">
        <v>0.34399999999999997</v>
      </c>
    </row>
    <row r="267" spans="1:14" x14ac:dyDescent="0.25">
      <c r="A267" s="11" t="s">
        <v>631</v>
      </c>
      <c r="B267" s="92" t="str">
        <f>$B$9</f>
        <v>NAC</v>
      </c>
      <c r="C267" s="16"/>
      <c r="D267" s="16">
        <v>0.32100000000000001</v>
      </c>
      <c r="E267" s="16">
        <v>1.4610000000000001</v>
      </c>
      <c r="F267" s="16">
        <v>0.48399999999999999</v>
      </c>
      <c r="G267" s="16">
        <v>-0.93900000000000006</v>
      </c>
      <c r="H267" s="16">
        <v>0.36699999999999999</v>
      </c>
      <c r="I267" s="16">
        <v>0.157</v>
      </c>
      <c r="J267" s="17">
        <v>0.191</v>
      </c>
      <c r="K267" s="17">
        <v>0.16200000000000001</v>
      </c>
      <c r="L267" s="17">
        <v>0.14899999999999999</v>
      </c>
      <c r="M267" s="17">
        <v>0.129</v>
      </c>
      <c r="N267" s="17">
        <v>0.124</v>
      </c>
    </row>
    <row r="268" spans="1:14" x14ac:dyDescent="0.25">
      <c r="A268" s="55" t="s">
        <v>1083</v>
      </c>
      <c r="B268" s="92"/>
      <c r="C268" s="16"/>
      <c r="D268" s="56">
        <f t="shared" ref="D268:L268" si="63">SUM(D$265:D$267)</f>
        <v>0.93399999999999994</v>
      </c>
      <c r="E268" s="56">
        <f t="shared" si="63"/>
        <v>2.375</v>
      </c>
      <c r="F268" s="56">
        <f t="shared" si="63"/>
        <v>1.198</v>
      </c>
      <c r="G268" s="56">
        <f t="shared" si="63"/>
        <v>-0.22399999999999998</v>
      </c>
      <c r="H268" s="56">
        <f t="shared" si="63"/>
        <v>1.0620000000000001</v>
      </c>
      <c r="I268" s="56">
        <f t="shared" si="63"/>
        <v>1.0410000000000001</v>
      </c>
      <c r="J268" s="56">
        <f t="shared" si="63"/>
        <v>0.84400000000000008</v>
      </c>
      <c r="K268" s="56">
        <f t="shared" si="63"/>
        <v>0.85699999999999998</v>
      </c>
      <c r="L268" s="56">
        <f t="shared" si="63"/>
        <v>0.83000000000000007</v>
      </c>
      <c r="M268" s="56">
        <f>SUM(M$265:M$267)</f>
        <v>0.81200000000000006</v>
      </c>
      <c r="N268" s="56">
        <f>SUM(N$265:N$267)</f>
        <v>0.80999999999999994</v>
      </c>
    </row>
    <row r="269" spans="1:14" x14ac:dyDescent="0.25">
      <c r="A269" s="55" t="s">
        <v>650</v>
      </c>
      <c r="B269" s="92"/>
      <c r="C269" s="16"/>
      <c r="D269" s="16"/>
      <c r="E269" s="16"/>
      <c r="F269" s="16"/>
      <c r="G269" s="16"/>
      <c r="H269" s="16"/>
      <c r="I269" s="16"/>
      <c r="J269" s="16"/>
      <c r="K269" s="16"/>
      <c r="L269" s="16"/>
      <c r="M269" s="16"/>
      <c r="N269" s="16"/>
    </row>
    <row r="270" spans="1:14" x14ac:dyDescent="0.25">
      <c r="A270" s="11" t="s">
        <v>635</v>
      </c>
      <c r="B270" s="92" t="str">
        <f>$B$10</f>
        <v>UIM</v>
      </c>
      <c r="C270" s="16"/>
      <c r="D270" s="16">
        <v>44.959000000000003</v>
      </c>
      <c r="E270" s="16">
        <v>51.832999999999998</v>
      </c>
      <c r="F270" s="16">
        <v>58.084000000000003</v>
      </c>
      <c r="G270" s="16">
        <v>65.543000000000006</v>
      </c>
      <c r="H270" s="16">
        <v>68.150000000000006</v>
      </c>
      <c r="I270" s="16">
        <v>72.72</v>
      </c>
      <c r="J270" s="17">
        <v>75.578000000000003</v>
      </c>
      <c r="K270" s="17">
        <v>77.138000000000005</v>
      </c>
      <c r="L270" s="17">
        <v>75.927000000000007</v>
      </c>
      <c r="M270" s="17">
        <v>74.025000000000006</v>
      </c>
      <c r="N270" s="17">
        <v>74.593999999999994</v>
      </c>
    </row>
    <row r="271" spans="1:14" x14ac:dyDescent="0.25">
      <c r="A271" s="11" t="s">
        <v>630</v>
      </c>
      <c r="B271" s="92" t="str">
        <f>$B$10</f>
        <v>UIM</v>
      </c>
      <c r="C271" s="16"/>
      <c r="D271" s="16">
        <v>22.132999999999999</v>
      </c>
      <c r="E271" s="16">
        <v>25.504999999999999</v>
      </c>
      <c r="F271" s="16">
        <v>25.257000000000001</v>
      </c>
      <c r="G271" s="16">
        <v>27.652000000000001</v>
      </c>
      <c r="H271" s="16">
        <v>33.918999999999997</v>
      </c>
      <c r="I271" s="16">
        <v>34.594999999999999</v>
      </c>
      <c r="J271" s="17">
        <v>35.579000000000001</v>
      </c>
      <c r="K271" s="17">
        <v>34.938000000000002</v>
      </c>
      <c r="L271" s="17">
        <v>36.030999999999999</v>
      </c>
      <c r="M271" s="17">
        <v>34.314</v>
      </c>
      <c r="N271" s="17">
        <v>34.192999999999998</v>
      </c>
    </row>
    <row r="272" spans="1:14" x14ac:dyDescent="0.25">
      <c r="A272" s="11" t="s">
        <v>631</v>
      </c>
      <c r="B272" s="92" t="str">
        <f>$B$10</f>
        <v>UIM</v>
      </c>
      <c r="C272" s="16"/>
      <c r="D272" s="16">
        <v>9.4740000000000002</v>
      </c>
      <c r="E272" s="16">
        <v>12.164999999999999</v>
      </c>
      <c r="F272" s="16">
        <v>11.702999999999999</v>
      </c>
      <c r="G272" s="16">
        <v>9.8040000000000003</v>
      </c>
      <c r="H272" s="16">
        <v>12.132</v>
      </c>
      <c r="I272" s="16">
        <v>16.550999999999998</v>
      </c>
      <c r="J272" s="17">
        <v>16.504000000000001</v>
      </c>
      <c r="K272" s="17">
        <v>16.885999999999999</v>
      </c>
      <c r="L272" s="17">
        <v>16.931999999999999</v>
      </c>
      <c r="M272" s="17">
        <v>17.684000000000001</v>
      </c>
      <c r="N272" s="17">
        <v>17.927</v>
      </c>
    </row>
    <row r="273" spans="1:14" x14ac:dyDescent="0.25">
      <c r="A273" s="11" t="s">
        <v>632</v>
      </c>
      <c r="B273" s="92" t="str">
        <f>$B$10</f>
        <v>UIM</v>
      </c>
      <c r="C273" s="16"/>
      <c r="D273" s="16">
        <v>-33.872999999999998</v>
      </c>
      <c r="E273" s="16">
        <v>-36.92</v>
      </c>
      <c r="F273" s="16">
        <v>-41.241999999999997</v>
      </c>
      <c r="G273" s="16">
        <v>-44.725999999999999</v>
      </c>
      <c r="H273" s="16">
        <v>-50.067</v>
      </c>
      <c r="I273" s="16">
        <v>-53.246000000000002</v>
      </c>
      <c r="J273" s="17">
        <v>-54.987000000000002</v>
      </c>
      <c r="K273" s="17">
        <v>-56.061</v>
      </c>
      <c r="L273" s="17">
        <v>-57.274999999999999</v>
      </c>
      <c r="M273" s="17">
        <v>-56.704999999999998</v>
      </c>
      <c r="N273" s="17">
        <v>-57.371000000000002</v>
      </c>
    </row>
    <row r="274" spans="1:14" x14ac:dyDescent="0.25">
      <c r="A274" s="55" t="s">
        <v>651</v>
      </c>
      <c r="B274" s="92"/>
      <c r="C274" s="16"/>
      <c r="D274" s="57" t="str">
        <f t="shared" ref="D274:N274" si="64">IF(ROUND(D$18-SUM(D$270:D$273),3)=0,"OK","ERROR")</f>
        <v>OK</v>
      </c>
      <c r="E274" s="57" t="str">
        <f t="shared" si="64"/>
        <v>OK</v>
      </c>
      <c r="F274" s="57" t="str">
        <f t="shared" si="64"/>
        <v>OK</v>
      </c>
      <c r="G274" s="57" t="str">
        <f t="shared" si="64"/>
        <v>OK</v>
      </c>
      <c r="H274" s="57" t="str">
        <f t="shared" si="64"/>
        <v>OK</v>
      </c>
      <c r="I274" s="57" t="str">
        <f t="shared" si="64"/>
        <v>OK</v>
      </c>
      <c r="J274" s="57" t="str">
        <f t="shared" si="64"/>
        <v>OK</v>
      </c>
      <c r="K274" s="57" t="str">
        <f t="shared" si="64"/>
        <v>OK</v>
      </c>
      <c r="L274" s="57" t="str">
        <f t="shared" si="64"/>
        <v>OK</v>
      </c>
      <c r="M274" s="57" t="str">
        <f t="shared" si="64"/>
        <v>OK</v>
      </c>
      <c r="N274" s="57" t="str">
        <f t="shared" si="64"/>
        <v>OK</v>
      </c>
    </row>
    <row r="275" spans="1:14" x14ac:dyDescent="0.25">
      <c r="A275" s="55" t="s">
        <v>652</v>
      </c>
      <c r="B275" s="92"/>
      <c r="C275" s="16"/>
      <c r="D275" s="17"/>
      <c r="E275" s="17"/>
      <c r="F275" s="17"/>
      <c r="G275" s="17"/>
      <c r="H275" s="17"/>
      <c r="I275" s="17"/>
      <c r="J275" s="17"/>
      <c r="K275" s="17"/>
      <c r="L275" s="17"/>
      <c r="M275" s="17"/>
      <c r="N275" s="17"/>
    </row>
    <row r="276" spans="1:14" x14ac:dyDescent="0.25">
      <c r="A276" s="11" t="s">
        <v>630</v>
      </c>
      <c r="B276" s="92" t="str">
        <f>$B$10</f>
        <v>UIM</v>
      </c>
      <c r="C276" s="16"/>
      <c r="D276" s="16">
        <v>0.11700000000000001</v>
      </c>
      <c r="E276" s="16">
        <v>0.16400000000000001</v>
      </c>
      <c r="F276" s="16">
        <v>0.218</v>
      </c>
      <c r="G276" s="16">
        <v>0.30099999999999999</v>
      </c>
      <c r="H276" s="16">
        <v>0.872</v>
      </c>
      <c r="I276" s="16">
        <v>1.9690000000000001</v>
      </c>
      <c r="J276" s="17">
        <v>2.3170000000000002</v>
      </c>
      <c r="K276" s="17">
        <v>2.4119999999999999</v>
      </c>
      <c r="L276" s="17">
        <v>2.4159999999999999</v>
      </c>
      <c r="M276" s="17">
        <v>2.431</v>
      </c>
      <c r="N276" s="17">
        <v>2.6080000000000001</v>
      </c>
    </row>
    <row r="277" spans="1:14" x14ac:dyDescent="0.25">
      <c r="A277" s="11" t="s">
        <v>631</v>
      </c>
      <c r="B277" s="92" t="str">
        <f>$B$10</f>
        <v>UIM</v>
      </c>
      <c r="C277" s="16"/>
      <c r="D277" s="16">
        <v>1.0449999999999999</v>
      </c>
      <c r="E277" s="16">
        <v>0.90100000000000002</v>
      </c>
      <c r="F277" s="16">
        <v>0.59199999999999997</v>
      </c>
      <c r="G277" s="16">
        <v>0.66</v>
      </c>
      <c r="H277" s="16">
        <v>0.68200000000000005</v>
      </c>
      <c r="I277" s="16">
        <v>0.57999999999999996</v>
      </c>
      <c r="J277" s="17">
        <v>0.59499999999999997</v>
      </c>
      <c r="K277" s="17">
        <v>0.68700000000000006</v>
      </c>
      <c r="L277" s="17">
        <v>0.78</v>
      </c>
      <c r="M277" s="17">
        <v>0.89900000000000002</v>
      </c>
      <c r="N277" s="17">
        <v>0.99299999999999999</v>
      </c>
    </row>
    <row r="278" spans="1:14" x14ac:dyDescent="0.25">
      <c r="A278" s="11" t="s">
        <v>632</v>
      </c>
      <c r="B278" s="92" t="str">
        <f>$B$10</f>
        <v>UIM</v>
      </c>
      <c r="C278" s="16"/>
      <c r="D278" s="16">
        <v>-0.55400000000000005</v>
      </c>
      <c r="E278" s="16">
        <v>-0.53900000000000003</v>
      </c>
      <c r="F278" s="16">
        <v>-0.45600000000000002</v>
      </c>
      <c r="G278" s="16">
        <v>-0.496</v>
      </c>
      <c r="H278" s="16">
        <v>-0.67500000000000004</v>
      </c>
      <c r="I278" s="16">
        <v>-1.1179999999999999</v>
      </c>
      <c r="J278" s="17">
        <v>-1.4390000000000001</v>
      </c>
      <c r="K278" s="17">
        <v>-1.5389999999999999</v>
      </c>
      <c r="L278" s="17">
        <v>-1.633</v>
      </c>
      <c r="M278" s="17">
        <v>-1.7569999999999999</v>
      </c>
      <c r="N278" s="17">
        <v>-1.8759999999999999</v>
      </c>
    </row>
    <row r="279" spans="1:14" x14ac:dyDescent="0.25">
      <c r="A279" s="55" t="s">
        <v>653</v>
      </c>
      <c r="B279" s="92"/>
      <c r="C279" s="16"/>
      <c r="D279" s="57" t="str">
        <f t="shared" ref="D279:N279" si="65">IF(ROUND(D$19-SUM(D$173,D$276:D$278),3)=0,"OK","ERROR")</f>
        <v>OK</v>
      </c>
      <c r="E279" s="57" t="str">
        <f t="shared" si="65"/>
        <v>OK</v>
      </c>
      <c r="F279" s="57" t="str">
        <f t="shared" si="65"/>
        <v>OK</v>
      </c>
      <c r="G279" s="57" t="str">
        <f t="shared" si="65"/>
        <v>OK</v>
      </c>
      <c r="H279" s="57" t="str">
        <f t="shared" si="65"/>
        <v>OK</v>
      </c>
      <c r="I279" s="57" t="str">
        <f t="shared" si="65"/>
        <v>OK</v>
      </c>
      <c r="J279" s="57" t="str">
        <f t="shared" si="65"/>
        <v>OK</v>
      </c>
      <c r="K279" s="57" t="str">
        <f t="shared" si="65"/>
        <v>OK</v>
      </c>
      <c r="L279" s="57" t="str">
        <f t="shared" si="65"/>
        <v>OK</v>
      </c>
      <c r="M279" s="57" t="str">
        <f t="shared" si="65"/>
        <v>OK</v>
      </c>
      <c r="N279" s="57" t="str">
        <f t="shared" si="65"/>
        <v>OK</v>
      </c>
    </row>
    <row r="280" spans="1:14" x14ac:dyDescent="0.25">
      <c r="A280" s="55" t="s">
        <v>462</v>
      </c>
      <c r="B280" s="92"/>
      <c r="C280" s="16"/>
      <c r="D280" s="59"/>
      <c r="E280" s="59"/>
      <c r="F280" s="59"/>
      <c r="G280" s="59"/>
      <c r="H280" s="59"/>
      <c r="I280" s="59"/>
      <c r="J280" s="59"/>
      <c r="K280" s="59"/>
      <c r="L280" s="59"/>
      <c r="M280" s="59"/>
      <c r="N280" s="59"/>
    </row>
    <row r="281" spans="1:14" x14ac:dyDescent="0.25">
      <c r="A281" s="11" t="s">
        <v>654</v>
      </c>
      <c r="B281" s="92" t="str">
        <f>$B$10</f>
        <v>UIM</v>
      </c>
      <c r="C281" s="16"/>
      <c r="D281" s="16">
        <v>5.3620000000000001</v>
      </c>
      <c r="E281" s="16">
        <v>6.2460000000000004</v>
      </c>
      <c r="F281" s="16">
        <v>6.5389999999999997</v>
      </c>
      <c r="G281" s="16">
        <v>5.8330000000000002</v>
      </c>
      <c r="H281" s="16">
        <v>7.6189999999999998</v>
      </c>
      <c r="I281" s="16">
        <v>9.7720000000000002</v>
      </c>
      <c r="J281" s="17">
        <v>10.670999999999999</v>
      </c>
      <c r="K281" s="17">
        <v>9.9830000000000005</v>
      </c>
      <c r="L281" s="17">
        <v>10.589</v>
      </c>
      <c r="M281" s="17">
        <v>11.101000000000001</v>
      </c>
      <c r="N281" s="17">
        <v>11.462999999999999</v>
      </c>
    </row>
    <row r="282" spans="1:14" x14ac:dyDescent="0.25">
      <c r="A282" s="11" t="s">
        <v>655</v>
      </c>
      <c r="B282" s="92" t="str">
        <f>$B$10</f>
        <v>UIM</v>
      </c>
      <c r="C282" s="16"/>
      <c r="D282" s="16">
        <v>0.47599999999999998</v>
      </c>
      <c r="E282" s="16">
        <v>0.61399999999999999</v>
      </c>
      <c r="F282" s="16">
        <v>0.16700000000000001</v>
      </c>
      <c r="G282" s="16">
        <v>0.496</v>
      </c>
      <c r="H282" s="16">
        <v>1.1339999999999999</v>
      </c>
      <c r="I282" s="16">
        <v>0.57799999999999996</v>
      </c>
      <c r="J282" s="17">
        <v>0.50800000000000001</v>
      </c>
      <c r="K282" s="17">
        <v>0.58299999999999996</v>
      </c>
      <c r="L282" s="17">
        <v>0.63300000000000001</v>
      </c>
      <c r="M282" s="17">
        <v>0.68300000000000005</v>
      </c>
      <c r="N282" s="17">
        <v>0.74199999999999999</v>
      </c>
    </row>
    <row r="283" spans="1:14" x14ac:dyDescent="0.25">
      <c r="A283" s="11" t="s">
        <v>656</v>
      </c>
      <c r="B283" s="92" t="str">
        <f>$B$10</f>
        <v>UIM</v>
      </c>
      <c r="C283" s="16"/>
      <c r="D283" s="16">
        <v>-2.5999999999999999E-2</v>
      </c>
      <c r="E283" s="16">
        <v>4.2999999999999997E-2</v>
      </c>
      <c r="F283" s="16">
        <v>0.13200000000000001</v>
      </c>
      <c r="G283" s="16">
        <v>0.11799999999999999</v>
      </c>
      <c r="H283" s="16">
        <v>3.1E-2</v>
      </c>
      <c r="I283" s="16">
        <v>7.5999999999999998E-2</v>
      </c>
      <c r="J283" s="17">
        <v>0.113</v>
      </c>
      <c r="K283" s="17">
        <v>9.2999999999999999E-2</v>
      </c>
      <c r="L283" s="17">
        <v>0.10100000000000001</v>
      </c>
      <c r="M283" s="17">
        <v>0.111</v>
      </c>
      <c r="N283" s="17">
        <v>0.11799999999999999</v>
      </c>
    </row>
    <row r="284" spans="1:14" x14ac:dyDescent="0.25">
      <c r="A284" s="55" t="s">
        <v>657</v>
      </c>
      <c r="B284" s="92"/>
      <c r="C284" s="16"/>
      <c r="D284" s="57" t="str">
        <f t="shared" ref="D284:N284" si="66">IF(ROUND(D$20-SUM(D$281:D$283),3)=0,"OK","ERROR")</f>
        <v>OK</v>
      </c>
      <c r="E284" s="57" t="str">
        <f t="shared" si="66"/>
        <v>OK</v>
      </c>
      <c r="F284" s="57" t="str">
        <f t="shared" si="66"/>
        <v>OK</v>
      </c>
      <c r="G284" s="57" t="str">
        <f t="shared" si="66"/>
        <v>OK</v>
      </c>
      <c r="H284" s="57" t="str">
        <f t="shared" si="66"/>
        <v>OK</v>
      </c>
      <c r="I284" s="57" t="str">
        <f t="shared" si="66"/>
        <v>OK</v>
      </c>
      <c r="J284" s="57" t="str">
        <f t="shared" si="66"/>
        <v>OK</v>
      </c>
      <c r="K284" s="57" t="str">
        <f t="shared" si="66"/>
        <v>OK</v>
      </c>
      <c r="L284" s="57" t="str">
        <f t="shared" si="66"/>
        <v>OK</v>
      </c>
      <c r="M284" s="57" t="str">
        <f t="shared" si="66"/>
        <v>OK</v>
      </c>
      <c r="N284" s="57" t="str">
        <f t="shared" si="66"/>
        <v>OK</v>
      </c>
    </row>
    <row r="285" spans="1:14" x14ac:dyDescent="0.25">
      <c r="A285" s="55" t="s">
        <v>463</v>
      </c>
      <c r="B285" s="92"/>
      <c r="C285" s="16"/>
      <c r="D285" s="17"/>
      <c r="E285" s="17"/>
      <c r="F285" s="17"/>
      <c r="G285" s="17"/>
      <c r="H285" s="17"/>
      <c r="I285" s="17"/>
      <c r="J285" s="17"/>
      <c r="K285" s="17"/>
      <c r="L285" s="17"/>
      <c r="M285" s="17"/>
      <c r="N285" s="17"/>
    </row>
    <row r="286" spans="1:14" x14ac:dyDescent="0.25">
      <c r="A286" s="11" t="s">
        <v>658</v>
      </c>
      <c r="B286" s="92" t="str">
        <f>$B$10</f>
        <v>UIM</v>
      </c>
      <c r="C286" s="16"/>
      <c r="D286" s="16">
        <v>0</v>
      </c>
      <c r="E286" s="16">
        <v>0</v>
      </c>
      <c r="F286" s="16">
        <v>0</v>
      </c>
      <c r="G286" s="16">
        <v>0</v>
      </c>
      <c r="H286" s="16">
        <v>0</v>
      </c>
      <c r="I286" s="16">
        <v>0</v>
      </c>
      <c r="J286" s="17">
        <v>0</v>
      </c>
      <c r="K286" s="17">
        <v>1.72</v>
      </c>
      <c r="L286" s="17">
        <v>1.6930000000000001</v>
      </c>
      <c r="M286" s="17">
        <v>1.9570000000000001</v>
      </c>
      <c r="N286" s="17">
        <v>2.101</v>
      </c>
    </row>
    <row r="287" spans="1:14" x14ac:dyDescent="0.25">
      <c r="A287" s="11" t="s">
        <v>659</v>
      </c>
      <c r="B287" s="92" t="str">
        <f t="shared" ref="B287:B290" si="67">$B$10</f>
        <v>UIM</v>
      </c>
      <c r="C287" s="16"/>
      <c r="D287" s="16">
        <v>0</v>
      </c>
      <c r="E287" s="16">
        <v>0</v>
      </c>
      <c r="F287" s="16">
        <v>0</v>
      </c>
      <c r="G287" s="16">
        <v>0</v>
      </c>
      <c r="H287" s="16">
        <v>0</v>
      </c>
      <c r="I287" s="16">
        <v>0</v>
      </c>
      <c r="J287" s="17">
        <v>0</v>
      </c>
      <c r="K287" s="17">
        <v>0</v>
      </c>
      <c r="L287" s="17">
        <v>0</v>
      </c>
      <c r="M287" s="17">
        <v>0</v>
      </c>
      <c r="N287" s="17">
        <v>0</v>
      </c>
    </row>
    <row r="288" spans="1:14" x14ac:dyDescent="0.25">
      <c r="A288" s="11" t="s">
        <v>660</v>
      </c>
      <c r="B288" s="92" t="str">
        <f t="shared" si="67"/>
        <v>UIM</v>
      </c>
      <c r="C288" s="16"/>
      <c r="D288" s="16">
        <v>0</v>
      </c>
      <c r="E288" s="16">
        <v>0</v>
      </c>
      <c r="F288" s="16">
        <v>0</v>
      </c>
      <c r="G288" s="16">
        <v>0</v>
      </c>
      <c r="H288" s="16">
        <v>0</v>
      </c>
      <c r="I288" s="16">
        <v>0</v>
      </c>
      <c r="J288" s="17">
        <v>0</v>
      </c>
      <c r="K288" s="17">
        <v>0</v>
      </c>
      <c r="L288" s="17">
        <v>1.026</v>
      </c>
      <c r="M288" s="17">
        <v>1.012</v>
      </c>
      <c r="N288" s="17">
        <v>1.002</v>
      </c>
    </row>
    <row r="289" spans="1:14" x14ac:dyDescent="0.25">
      <c r="A289" s="11" t="s">
        <v>661</v>
      </c>
      <c r="B289" s="92" t="str">
        <f t="shared" si="67"/>
        <v>UIM</v>
      </c>
      <c r="C289" s="16"/>
      <c r="D289" s="16">
        <v>0</v>
      </c>
      <c r="E289" s="16">
        <v>0</v>
      </c>
      <c r="F289" s="16">
        <v>0</v>
      </c>
      <c r="G289" s="16">
        <v>0</v>
      </c>
      <c r="H289" s="16">
        <v>0</v>
      </c>
      <c r="I289" s="16">
        <v>0</v>
      </c>
      <c r="J289" s="17">
        <v>0</v>
      </c>
      <c r="K289" s="17">
        <v>0</v>
      </c>
      <c r="L289" s="17">
        <v>0</v>
      </c>
      <c r="M289" s="17">
        <v>2.4</v>
      </c>
      <c r="N289" s="17">
        <v>2.4</v>
      </c>
    </row>
    <row r="290" spans="1:14" x14ac:dyDescent="0.25">
      <c r="A290" s="11" t="s">
        <v>662</v>
      </c>
      <c r="B290" s="92" t="str">
        <f t="shared" si="67"/>
        <v>UIM</v>
      </c>
      <c r="C290" s="16"/>
      <c r="D290" s="16">
        <v>0</v>
      </c>
      <c r="E290" s="16">
        <v>0</v>
      </c>
      <c r="F290" s="16">
        <v>0</v>
      </c>
      <c r="G290" s="16">
        <v>0</v>
      </c>
      <c r="H290" s="16">
        <v>0</v>
      </c>
      <c r="I290" s="16">
        <v>0</v>
      </c>
      <c r="J290" s="17">
        <v>0</v>
      </c>
      <c r="K290" s="17">
        <v>0</v>
      </c>
      <c r="L290" s="17">
        <v>0</v>
      </c>
      <c r="M290" s="17">
        <v>0</v>
      </c>
      <c r="N290" s="17">
        <v>2.4</v>
      </c>
    </row>
    <row r="291" spans="1:14" x14ac:dyDescent="0.25">
      <c r="A291" s="55" t="s">
        <v>663</v>
      </c>
      <c r="B291" s="92"/>
      <c r="C291" s="16"/>
      <c r="D291" s="57" t="str">
        <f t="shared" ref="D291:N291" si="68">IF(ROUND(D$21-SUM(D$286:D$290),3)=0,"OK","ERROR")</f>
        <v>OK</v>
      </c>
      <c r="E291" s="57" t="str">
        <f t="shared" si="68"/>
        <v>OK</v>
      </c>
      <c r="F291" s="57" t="str">
        <f t="shared" si="68"/>
        <v>OK</v>
      </c>
      <c r="G291" s="57" t="str">
        <f t="shared" si="68"/>
        <v>OK</v>
      </c>
      <c r="H291" s="57" t="str">
        <f t="shared" si="68"/>
        <v>OK</v>
      </c>
      <c r="I291" s="57" t="str">
        <f t="shared" si="68"/>
        <v>OK</v>
      </c>
      <c r="J291" s="57" t="str">
        <f t="shared" si="68"/>
        <v>OK</v>
      </c>
      <c r="K291" s="57" t="str">
        <f t="shared" si="68"/>
        <v>OK</v>
      </c>
      <c r="L291" s="57" t="str">
        <f t="shared" si="68"/>
        <v>OK</v>
      </c>
      <c r="M291" s="57" t="str">
        <f t="shared" si="68"/>
        <v>OK</v>
      </c>
      <c r="N291" s="57" t="str">
        <f t="shared" si="68"/>
        <v>OK</v>
      </c>
    </row>
    <row r="292" spans="1:14" x14ac:dyDescent="0.25">
      <c r="A292" s="55" t="s">
        <v>664</v>
      </c>
      <c r="B292" s="92"/>
      <c r="C292" s="16"/>
      <c r="D292" s="17"/>
      <c r="E292" s="17"/>
      <c r="F292" s="17"/>
      <c r="G292" s="17"/>
      <c r="H292" s="17"/>
      <c r="I292" s="17"/>
      <c r="J292" s="17"/>
      <c r="K292" s="17"/>
      <c r="L292" s="17"/>
      <c r="M292" s="17"/>
      <c r="N292" s="17"/>
    </row>
    <row r="293" spans="1:14" x14ac:dyDescent="0.25">
      <c r="A293" s="11" t="s">
        <v>665</v>
      </c>
      <c r="B293" s="92" t="str">
        <f>$B$10</f>
        <v>UIM</v>
      </c>
      <c r="C293" s="16"/>
      <c r="D293" s="16">
        <v>0</v>
      </c>
      <c r="E293" s="16">
        <v>0</v>
      </c>
      <c r="F293" s="16">
        <v>0</v>
      </c>
      <c r="G293" s="16">
        <v>0</v>
      </c>
      <c r="H293" s="16">
        <v>0</v>
      </c>
      <c r="I293" s="16">
        <v>0</v>
      </c>
      <c r="J293" s="17">
        <v>0</v>
      </c>
      <c r="K293" s="17">
        <v>2.56</v>
      </c>
      <c r="L293" s="17">
        <v>2.4780000000000002</v>
      </c>
      <c r="M293" s="17">
        <v>1.5880000000000001</v>
      </c>
      <c r="N293" s="17">
        <v>1.2010000000000001</v>
      </c>
    </row>
    <row r="294" spans="1:14" x14ac:dyDescent="0.25">
      <c r="A294" s="11" t="s">
        <v>1084</v>
      </c>
      <c r="B294" s="92"/>
      <c r="C294" s="16"/>
      <c r="D294" s="16">
        <v>0</v>
      </c>
      <c r="E294" s="16">
        <v>0</v>
      </c>
      <c r="F294" s="16">
        <v>0</v>
      </c>
      <c r="G294" s="16">
        <v>0</v>
      </c>
      <c r="H294" s="16">
        <v>0</v>
      </c>
      <c r="I294" s="16">
        <v>0</v>
      </c>
      <c r="J294" s="17">
        <v>0</v>
      </c>
      <c r="K294" s="17">
        <v>0</v>
      </c>
      <c r="L294" s="17">
        <v>0</v>
      </c>
      <c r="M294" s="17">
        <v>0</v>
      </c>
      <c r="N294" s="17">
        <v>0</v>
      </c>
    </row>
    <row r="295" spans="1:14" x14ac:dyDescent="0.25">
      <c r="A295" s="11" t="s">
        <v>1085</v>
      </c>
      <c r="B295" s="92"/>
      <c r="C295" s="16"/>
      <c r="D295" s="16">
        <v>0</v>
      </c>
      <c r="E295" s="16">
        <v>0</v>
      </c>
      <c r="F295" s="16">
        <v>0</v>
      </c>
      <c r="G295" s="16">
        <v>0</v>
      </c>
      <c r="H295" s="16">
        <v>0</v>
      </c>
      <c r="I295" s="16">
        <v>0</v>
      </c>
      <c r="J295" s="17">
        <v>0</v>
      </c>
      <c r="K295" s="17">
        <v>0</v>
      </c>
      <c r="L295" s="17">
        <v>0.66400000000000003</v>
      </c>
      <c r="M295" s="17">
        <v>0.66400000000000003</v>
      </c>
      <c r="N295" s="17">
        <v>0.38</v>
      </c>
    </row>
    <row r="296" spans="1:14" x14ac:dyDescent="0.25">
      <c r="A296" s="11" t="s">
        <v>1086</v>
      </c>
      <c r="B296" s="92"/>
      <c r="C296" s="16"/>
      <c r="D296" s="16">
        <v>0</v>
      </c>
      <c r="E296" s="16">
        <v>0</v>
      </c>
      <c r="F296" s="16">
        <v>0</v>
      </c>
      <c r="G296" s="16">
        <v>0</v>
      </c>
      <c r="H296" s="16">
        <v>0</v>
      </c>
      <c r="I296" s="16">
        <v>0</v>
      </c>
      <c r="J296" s="17">
        <v>0</v>
      </c>
      <c r="K296" s="17">
        <v>0</v>
      </c>
      <c r="L296" s="17">
        <v>0</v>
      </c>
      <c r="M296" s="17">
        <v>1.2250000000000001</v>
      </c>
      <c r="N296" s="17">
        <v>1.2250000000000001</v>
      </c>
    </row>
    <row r="297" spans="1:14" x14ac:dyDescent="0.25">
      <c r="A297" s="11" t="s">
        <v>1087</v>
      </c>
      <c r="B297" s="92"/>
      <c r="C297" s="16"/>
      <c r="D297" s="16">
        <v>0</v>
      </c>
      <c r="E297" s="16">
        <v>0</v>
      </c>
      <c r="F297" s="16">
        <v>0</v>
      </c>
      <c r="G297" s="16">
        <v>0</v>
      </c>
      <c r="H297" s="16">
        <v>0</v>
      </c>
      <c r="I297" s="16">
        <v>0</v>
      </c>
      <c r="J297" s="17">
        <v>0</v>
      </c>
      <c r="K297" s="17">
        <v>0</v>
      </c>
      <c r="L297" s="17">
        <v>0</v>
      </c>
      <c r="M297" s="17">
        <v>0</v>
      </c>
      <c r="N297" s="17">
        <v>1.2250000000000001</v>
      </c>
    </row>
    <row r="298" spans="1:14" x14ac:dyDescent="0.25">
      <c r="A298" s="55" t="s">
        <v>666</v>
      </c>
      <c r="B298" s="92"/>
      <c r="C298" s="16"/>
      <c r="D298" s="57" t="str">
        <f>IF(ROUND(D$131-SUM($C$293:D$297),3)=0,"OK","ERROR")</f>
        <v>OK</v>
      </c>
      <c r="E298" s="57" t="str">
        <f>IF(ROUND(E$131-SUM($C$293:E$297),3)=0,"OK","ERROR")</f>
        <v>OK</v>
      </c>
      <c r="F298" s="57" t="str">
        <f>IF(ROUND(F$131-SUM($C$293:F$297),3)=0,"OK","ERROR")</f>
        <v>OK</v>
      </c>
      <c r="G298" s="57" t="str">
        <f>IF(ROUND(G$131-SUM($C$293:G$297),3)=0,"OK","ERROR")</f>
        <v>OK</v>
      </c>
      <c r="H298" s="57" t="str">
        <f>IF(ROUND(H$131-SUM($C$293:H$297),3)=0,"OK","ERROR")</f>
        <v>OK</v>
      </c>
      <c r="I298" s="57" t="str">
        <f>IF(ROUND(I$131-SUM($C$293:I$297),3)=0,"OK","ERROR")</f>
        <v>OK</v>
      </c>
      <c r="J298" s="57" t="str">
        <f>IF(ROUND(J$131-SUM($C$293:J$297),3)=0,"OK","ERROR")</f>
        <v>OK</v>
      </c>
      <c r="K298" s="57" t="str">
        <f>IF(ROUND(K$131-SUM($C$293:K$297),3)=0,"OK","ERROR")</f>
        <v>OK</v>
      </c>
      <c r="L298" s="57" t="str">
        <f>IF(ROUND(L$131-SUM($C$293:L$297),3)=0,"OK","ERROR")</f>
        <v>OK</v>
      </c>
      <c r="M298" s="57" t="str">
        <f>IF(ROUND(M$131-SUM($C$293:M$297),3)=0,"OK","ERROR")</f>
        <v>OK</v>
      </c>
      <c r="N298" s="57" t="str">
        <f>IF(ROUND(N$131-SUM($C$293:N$297),3)=0,"OK","ERROR")</f>
        <v>OK</v>
      </c>
    </row>
    <row r="299" spans="1:14" x14ac:dyDescent="0.25">
      <c r="A299" s="55" t="s">
        <v>667</v>
      </c>
      <c r="B299" s="92"/>
      <c r="C299" s="16"/>
      <c r="D299" s="17"/>
      <c r="E299" s="17"/>
      <c r="F299" s="17"/>
      <c r="G299" s="17"/>
      <c r="H299" s="17"/>
      <c r="I299" s="17"/>
      <c r="J299" s="17"/>
      <c r="K299" s="17"/>
      <c r="L299" s="17"/>
      <c r="M299" s="17"/>
      <c r="N299" s="17"/>
    </row>
    <row r="300" spans="1:14" x14ac:dyDescent="0.25">
      <c r="A300" s="11" t="s">
        <v>635</v>
      </c>
      <c r="B300" s="92" t="str">
        <f t="shared" ref="B300" si="69">$B$10</f>
        <v>UIM</v>
      </c>
      <c r="C300" s="16"/>
      <c r="D300" s="16">
        <v>3.472</v>
      </c>
      <c r="E300" s="16">
        <v>-2.7559999999999998</v>
      </c>
      <c r="F300" s="16">
        <v>9.0109999999999992</v>
      </c>
      <c r="G300" s="16">
        <v>-6.5270000000000001</v>
      </c>
      <c r="H300" s="16">
        <v>6.766</v>
      </c>
      <c r="I300" s="16">
        <v>9.1890000000000001</v>
      </c>
      <c r="J300" s="17">
        <v>8.0839999999999996</v>
      </c>
      <c r="K300" s="17">
        <v>5.1609999999999996</v>
      </c>
      <c r="L300" s="17">
        <v>5.4370000000000003</v>
      </c>
      <c r="M300" s="17">
        <v>5.7480000000000002</v>
      </c>
      <c r="N300" s="17">
        <v>6.0830000000000002</v>
      </c>
    </row>
    <row r="301" spans="1:14" x14ac:dyDescent="0.25">
      <c r="A301" s="11" t="s">
        <v>630</v>
      </c>
      <c r="B301" s="92" t="str">
        <f>$B$10</f>
        <v>UIM</v>
      </c>
      <c r="C301" s="16"/>
      <c r="D301" s="16">
        <v>3.5529999999999999</v>
      </c>
      <c r="E301" s="16">
        <v>1.8129999999999999</v>
      </c>
      <c r="F301" s="16">
        <v>3.972</v>
      </c>
      <c r="G301" s="16">
        <v>-5.3049999999999997</v>
      </c>
      <c r="H301" s="16">
        <v>1.837</v>
      </c>
      <c r="I301" s="16">
        <v>2.0579999999999998</v>
      </c>
      <c r="J301" s="17">
        <v>1.7989999999999999</v>
      </c>
      <c r="K301" s="17">
        <v>0.504</v>
      </c>
      <c r="L301" s="17">
        <v>0.56699999999999995</v>
      </c>
      <c r="M301" s="17">
        <v>0.72799999999999998</v>
      </c>
      <c r="N301" s="17">
        <v>0.85599999999999998</v>
      </c>
    </row>
    <row r="302" spans="1:14" x14ac:dyDescent="0.25">
      <c r="A302" s="11" t="s">
        <v>668</v>
      </c>
      <c r="B302" s="92" t="str">
        <f>$B$10</f>
        <v>UIM</v>
      </c>
      <c r="C302" s="16"/>
      <c r="D302" s="16">
        <v>0.1</v>
      </c>
      <c r="E302" s="16">
        <v>-5.0000000000000001E-3</v>
      </c>
      <c r="F302" s="16">
        <v>0.29599999999999999</v>
      </c>
      <c r="G302" s="16">
        <v>0.26700000000000002</v>
      </c>
      <c r="H302" s="16">
        <v>-0.30099999999999999</v>
      </c>
      <c r="I302" s="16">
        <v>0.49399999999999999</v>
      </c>
      <c r="J302" s="17">
        <v>4.4999999999999998E-2</v>
      </c>
      <c r="K302" s="17">
        <v>6.7000000000000004E-2</v>
      </c>
      <c r="L302" s="17">
        <v>6.4000000000000001E-2</v>
      </c>
      <c r="M302" s="17">
        <v>5.7000000000000002E-2</v>
      </c>
      <c r="N302" s="17">
        <v>3.7999999999999999E-2</v>
      </c>
    </row>
    <row r="303" spans="1:14" x14ac:dyDescent="0.25">
      <c r="A303" s="11" t="s">
        <v>632</v>
      </c>
      <c r="B303" s="92" t="str">
        <f>$B$9</f>
        <v>NAC</v>
      </c>
      <c r="C303" s="16"/>
      <c r="D303" s="16">
        <v>-2.681</v>
      </c>
      <c r="E303" s="16">
        <v>-0.40200000000000002</v>
      </c>
      <c r="F303" s="16">
        <v>0.875</v>
      </c>
      <c r="G303" s="16">
        <v>1.8779999999999999</v>
      </c>
      <c r="H303" s="16">
        <v>-0.59099999999999997</v>
      </c>
      <c r="I303" s="16">
        <v>-0.33100000000000002</v>
      </c>
      <c r="J303" s="17">
        <v>-0.64100000000000001</v>
      </c>
      <c r="K303" s="17">
        <v>-0.04</v>
      </c>
      <c r="L303" s="17">
        <v>-5.1000000000000004E-2</v>
      </c>
      <c r="M303" s="17">
        <v>-5.9000000000000004E-2</v>
      </c>
      <c r="N303" s="17">
        <v>-6.3E-2</v>
      </c>
    </row>
    <row r="304" spans="1:14" x14ac:dyDescent="0.25">
      <c r="A304" s="55" t="s">
        <v>669</v>
      </c>
      <c r="B304" s="92"/>
      <c r="C304" s="16"/>
      <c r="D304" s="57" t="str">
        <f t="shared" ref="D304:N304" si="70">IF(ROUND(D$24-SUM(D$300:D$303),3)=0,"OK","ERROR")</f>
        <v>OK</v>
      </c>
      <c r="E304" s="57" t="str">
        <f t="shared" si="70"/>
        <v>OK</v>
      </c>
      <c r="F304" s="57" t="str">
        <f t="shared" si="70"/>
        <v>OK</v>
      </c>
      <c r="G304" s="57" t="str">
        <f t="shared" si="70"/>
        <v>OK</v>
      </c>
      <c r="H304" s="57" t="str">
        <f t="shared" si="70"/>
        <v>OK</v>
      </c>
      <c r="I304" s="57" t="str">
        <f t="shared" si="70"/>
        <v>OK</v>
      </c>
      <c r="J304" s="57" t="str">
        <f t="shared" si="70"/>
        <v>OK</v>
      </c>
      <c r="K304" s="57" t="str">
        <f t="shared" si="70"/>
        <v>OK</v>
      </c>
      <c r="L304" s="57" t="str">
        <f t="shared" si="70"/>
        <v>OK</v>
      </c>
      <c r="M304" s="57" t="str">
        <f t="shared" si="70"/>
        <v>OK</v>
      </c>
      <c r="N304" s="57" t="str">
        <f t="shared" si="70"/>
        <v>OK</v>
      </c>
    </row>
    <row r="305" spans="1:14" x14ac:dyDescent="0.25">
      <c r="A305" s="55" t="s">
        <v>670</v>
      </c>
      <c r="B305" s="92"/>
      <c r="C305" s="16"/>
      <c r="D305" s="59"/>
      <c r="E305" s="59"/>
      <c r="F305" s="59"/>
      <c r="G305" s="59"/>
      <c r="H305" s="59"/>
      <c r="I305" s="59"/>
      <c r="J305" s="59"/>
      <c r="K305" s="59"/>
      <c r="L305" s="59"/>
      <c r="M305" s="59"/>
      <c r="N305" s="59"/>
    </row>
    <row r="306" spans="1:14" x14ac:dyDescent="0.25">
      <c r="A306" s="11" t="s">
        <v>635</v>
      </c>
      <c r="B306" s="92" t="str">
        <f t="shared" ref="B306" si="71">$B$10</f>
        <v>UIM</v>
      </c>
      <c r="C306" s="16"/>
      <c r="D306" s="16">
        <v>-0.28399999999999997</v>
      </c>
      <c r="E306" s="16">
        <v>-1.1759999999999999</v>
      </c>
      <c r="F306" s="16">
        <v>-1.4790000000000001</v>
      </c>
      <c r="G306" s="16">
        <v>-4.6920000000000002</v>
      </c>
      <c r="H306" s="16">
        <v>5.798</v>
      </c>
      <c r="I306" s="16">
        <v>-1.2949999999999999</v>
      </c>
      <c r="J306" s="17">
        <v>-0.84699999999999998</v>
      </c>
      <c r="K306" s="17">
        <v>0</v>
      </c>
      <c r="L306" s="17">
        <v>0</v>
      </c>
      <c r="M306" s="17">
        <v>0</v>
      </c>
      <c r="N306" s="17">
        <v>0</v>
      </c>
    </row>
    <row r="307" spans="1:14" x14ac:dyDescent="0.25">
      <c r="A307" s="11" t="s">
        <v>630</v>
      </c>
      <c r="B307" s="92" t="str">
        <f>$B$10</f>
        <v>UIM</v>
      </c>
      <c r="C307" s="16"/>
      <c r="D307" s="16">
        <v>-11.445</v>
      </c>
      <c r="E307" s="16">
        <v>-6.133</v>
      </c>
      <c r="F307" s="16">
        <v>8.3219999999999992</v>
      </c>
      <c r="G307" s="16">
        <v>6.6340000000000003</v>
      </c>
      <c r="H307" s="16">
        <v>1.163</v>
      </c>
      <c r="I307" s="16">
        <v>-5.4729999999999999</v>
      </c>
      <c r="J307" s="17">
        <v>0.64</v>
      </c>
      <c r="K307" s="17">
        <v>-8.9999999999999993E-3</v>
      </c>
      <c r="L307" s="17">
        <v>-8.9999999999999993E-3</v>
      </c>
      <c r="M307" s="17">
        <v>-0.01</v>
      </c>
      <c r="N307" s="17">
        <v>-0.01</v>
      </c>
    </row>
    <row r="308" spans="1:14" x14ac:dyDescent="0.25">
      <c r="A308" s="11" t="s">
        <v>668</v>
      </c>
      <c r="B308" s="92" t="str">
        <f>$B$10</f>
        <v>UIM</v>
      </c>
      <c r="C308" s="16"/>
      <c r="D308" s="16">
        <v>0.154</v>
      </c>
      <c r="E308" s="16">
        <v>-6.4000000000000001E-2</v>
      </c>
      <c r="F308" s="16">
        <v>-6.4000000000000001E-2</v>
      </c>
      <c r="G308" s="16">
        <v>0.59199999999999997</v>
      </c>
      <c r="H308" s="16">
        <v>0.16300000000000001</v>
      </c>
      <c r="I308" s="16">
        <v>-2.9000000000000001E-2</v>
      </c>
      <c r="J308" s="17">
        <v>3.1E-2</v>
      </c>
      <c r="K308" s="17">
        <v>3.3000000000000002E-2</v>
      </c>
      <c r="L308" s="17">
        <v>0</v>
      </c>
      <c r="M308" s="17">
        <v>0</v>
      </c>
      <c r="N308" s="17">
        <v>0</v>
      </c>
    </row>
    <row r="309" spans="1:14" x14ac:dyDescent="0.25">
      <c r="A309" s="11" t="s">
        <v>632</v>
      </c>
      <c r="B309" s="92" t="str">
        <f>$B$9</f>
        <v>NAC</v>
      </c>
      <c r="C309" s="16"/>
      <c r="D309" s="16">
        <v>0</v>
      </c>
      <c r="E309" s="16">
        <v>1E-3</v>
      </c>
      <c r="F309" s="16">
        <v>0.09</v>
      </c>
      <c r="G309" s="16">
        <v>0.43099999999999999</v>
      </c>
      <c r="H309" s="16">
        <v>-0.17699999999999999</v>
      </c>
      <c r="I309" s="16">
        <v>5.3999999999999999E-2</v>
      </c>
      <c r="J309" s="17">
        <v>-0.03</v>
      </c>
      <c r="K309" s="17">
        <v>-2.4E-2</v>
      </c>
      <c r="L309" s="17">
        <v>8.9999999999999993E-3</v>
      </c>
      <c r="M309" s="17">
        <v>0.01</v>
      </c>
      <c r="N309" s="17">
        <v>0.01</v>
      </c>
    </row>
    <row r="310" spans="1:14" x14ac:dyDescent="0.25">
      <c r="A310" s="55" t="s">
        <v>671</v>
      </c>
      <c r="B310" s="92"/>
      <c r="C310" s="16"/>
      <c r="D310" s="57" t="str">
        <f t="shared" ref="D310:N310" si="72">IF(ROUND(D$25-SUM(D$306:D$309),3)=0,"OK","ERROR")</f>
        <v>OK</v>
      </c>
      <c r="E310" s="57" t="str">
        <f t="shared" si="72"/>
        <v>OK</v>
      </c>
      <c r="F310" s="57" t="str">
        <f t="shared" si="72"/>
        <v>OK</v>
      </c>
      <c r="G310" s="57" t="str">
        <f t="shared" si="72"/>
        <v>OK</v>
      </c>
      <c r="H310" s="57" t="str">
        <f t="shared" si="72"/>
        <v>OK</v>
      </c>
      <c r="I310" s="57" t="str">
        <f t="shared" si="72"/>
        <v>OK</v>
      </c>
      <c r="J310" s="57" t="str">
        <f t="shared" si="72"/>
        <v>OK</v>
      </c>
      <c r="K310" s="57" t="str">
        <f t="shared" si="72"/>
        <v>OK</v>
      </c>
      <c r="L310" s="57" t="str">
        <f t="shared" si="72"/>
        <v>OK</v>
      </c>
      <c r="M310" s="57" t="str">
        <f t="shared" si="72"/>
        <v>OK</v>
      </c>
      <c r="N310" s="57" t="str">
        <f t="shared" si="72"/>
        <v>OK</v>
      </c>
    </row>
    <row r="311" spans="1:14" x14ac:dyDescent="0.25">
      <c r="A311" s="55" t="s">
        <v>672</v>
      </c>
      <c r="B311" s="92"/>
      <c r="C311" s="16"/>
      <c r="D311" s="59"/>
      <c r="E311" s="59"/>
      <c r="F311" s="59"/>
      <c r="G311" s="59"/>
      <c r="H311" s="59"/>
      <c r="I311" s="59"/>
      <c r="J311" s="59"/>
      <c r="K311" s="59"/>
      <c r="L311" s="59"/>
      <c r="M311" s="59"/>
      <c r="N311" s="59"/>
    </row>
    <row r="312" spans="1:14" x14ac:dyDescent="0.25">
      <c r="A312" s="11" t="s">
        <v>635</v>
      </c>
      <c r="B312" s="92" t="str">
        <f>$B$9</f>
        <v>NAC</v>
      </c>
      <c r="C312" s="16"/>
      <c r="D312" s="16">
        <v>9.7070000000000007</v>
      </c>
      <c r="E312" s="16">
        <v>-20.882999999999999</v>
      </c>
      <c r="F312" s="16">
        <v>4.7039999999999997</v>
      </c>
      <c r="G312" s="16">
        <v>-19.532</v>
      </c>
      <c r="H312" s="16">
        <v>8.2929999999999993</v>
      </c>
      <c r="I312" s="16">
        <v>2.1059999999999999</v>
      </c>
      <c r="J312" s="17">
        <v>-0.77400000000000002</v>
      </c>
      <c r="K312" s="17">
        <v>-5.4480000000000004</v>
      </c>
      <c r="L312" s="17">
        <v>-1.2689999999999999</v>
      </c>
      <c r="M312" s="17">
        <v>3.302</v>
      </c>
      <c r="N312" s="17">
        <v>6.6429999999999998</v>
      </c>
    </row>
    <row r="313" spans="1:14" x14ac:dyDescent="0.25">
      <c r="A313" s="11" t="s">
        <v>630</v>
      </c>
      <c r="B313" s="92" t="str">
        <f>$B$9</f>
        <v>NAC</v>
      </c>
      <c r="C313" s="16"/>
      <c r="D313" s="16">
        <v>-9.1809999999999992</v>
      </c>
      <c r="E313" s="16">
        <v>-7.1959999999999997</v>
      </c>
      <c r="F313" s="16">
        <v>9.7899999999999991</v>
      </c>
      <c r="G313" s="16">
        <v>-0.72299999999999998</v>
      </c>
      <c r="H313" s="16">
        <v>-1.6559999999999999</v>
      </c>
      <c r="I313" s="16">
        <v>-9.3490000000000002</v>
      </c>
      <c r="J313" s="17">
        <v>-3.8769999999999998</v>
      </c>
      <c r="K313" s="17">
        <v>-3.8919999999999999</v>
      </c>
      <c r="L313" s="17">
        <v>-3.9540000000000002</v>
      </c>
      <c r="M313" s="17">
        <v>-2.794</v>
      </c>
      <c r="N313" s="17">
        <v>-1.766</v>
      </c>
    </row>
    <row r="314" spans="1:14" x14ac:dyDescent="0.25">
      <c r="A314" s="11" t="s">
        <v>668</v>
      </c>
      <c r="B314" s="92" t="str">
        <f>$B$9</f>
        <v>NAC</v>
      </c>
      <c r="C314" s="16"/>
      <c r="D314" s="16">
        <v>3.363</v>
      </c>
      <c r="E314" s="16">
        <v>-0.34100000000000003</v>
      </c>
      <c r="F314" s="16">
        <v>0.254</v>
      </c>
      <c r="G314" s="16">
        <v>1.748</v>
      </c>
      <c r="H314" s="16">
        <v>1.276</v>
      </c>
      <c r="I314" s="16">
        <v>-0.128</v>
      </c>
      <c r="J314" s="17">
        <v>0.86199999999999999</v>
      </c>
      <c r="K314" s="17">
        <v>0.39900000000000002</v>
      </c>
      <c r="L314" s="17">
        <v>0.432</v>
      </c>
      <c r="M314" s="17">
        <v>0.36099999999999999</v>
      </c>
      <c r="N314" s="17">
        <v>0.219</v>
      </c>
    </row>
    <row r="315" spans="1:14" x14ac:dyDescent="0.25">
      <c r="A315" s="11" t="s">
        <v>632</v>
      </c>
      <c r="B315" s="92" t="str">
        <f>$B$9</f>
        <v>NAC</v>
      </c>
      <c r="C315" s="16"/>
      <c r="D315" s="16">
        <v>-3.5</v>
      </c>
      <c r="E315" s="16">
        <v>-1.62</v>
      </c>
      <c r="F315" s="16">
        <v>1.411</v>
      </c>
      <c r="G315" s="16">
        <v>1.575</v>
      </c>
      <c r="H315" s="16">
        <v>-2.5920000000000001</v>
      </c>
      <c r="I315" s="16">
        <v>-0.99399999999999999</v>
      </c>
      <c r="J315" s="17">
        <v>-1.704</v>
      </c>
      <c r="K315" s="17">
        <v>-0.94299999999999995</v>
      </c>
      <c r="L315" s="17">
        <v>-0.874</v>
      </c>
      <c r="M315" s="17">
        <v>-0.90800000000000003</v>
      </c>
      <c r="N315" s="17">
        <v>-1.0249999999999999</v>
      </c>
    </row>
    <row r="316" spans="1:14" x14ac:dyDescent="0.25">
      <c r="A316" s="55" t="s">
        <v>673</v>
      </c>
      <c r="B316" s="92"/>
      <c r="C316" s="16"/>
      <c r="D316" s="57" t="str">
        <f t="shared" ref="D316:N316" si="73">IF(ROUND(D$29-SUM(D$312:D$315),3)=0,"OK","ERROR")</f>
        <v>OK</v>
      </c>
      <c r="E316" s="57" t="str">
        <f t="shared" si="73"/>
        <v>OK</v>
      </c>
      <c r="F316" s="57" t="str">
        <f t="shared" si="73"/>
        <v>OK</v>
      </c>
      <c r="G316" s="57" t="str">
        <f t="shared" si="73"/>
        <v>OK</v>
      </c>
      <c r="H316" s="57" t="str">
        <f t="shared" si="73"/>
        <v>OK</v>
      </c>
      <c r="I316" s="57" t="str">
        <f t="shared" si="73"/>
        <v>OK</v>
      </c>
      <c r="J316" s="57" t="str">
        <f t="shared" si="73"/>
        <v>OK</v>
      </c>
      <c r="K316" s="57" t="str">
        <f t="shared" si="73"/>
        <v>OK</v>
      </c>
      <c r="L316" s="57" t="str">
        <f t="shared" si="73"/>
        <v>OK</v>
      </c>
      <c r="M316" s="57" t="str">
        <f t="shared" si="73"/>
        <v>OK</v>
      </c>
      <c r="N316" s="57" t="str">
        <f t="shared" si="73"/>
        <v>OK</v>
      </c>
    </row>
    <row r="317" spans="1:14" x14ac:dyDescent="0.25">
      <c r="A317" s="55" t="s">
        <v>674</v>
      </c>
      <c r="B317" s="92"/>
      <c r="C317" s="16"/>
      <c r="D317" s="17"/>
      <c r="E317" s="17"/>
      <c r="F317" s="17"/>
      <c r="G317" s="17"/>
      <c r="H317" s="17"/>
      <c r="I317" s="17"/>
      <c r="J317" s="17"/>
      <c r="K317" s="17"/>
      <c r="L317" s="17"/>
      <c r="M317" s="17"/>
      <c r="N317" s="17"/>
    </row>
    <row r="318" spans="1:14" x14ac:dyDescent="0.25">
      <c r="A318" s="11" t="s">
        <v>675</v>
      </c>
      <c r="B318" s="92" t="str">
        <f>$B$10</f>
        <v>UIM</v>
      </c>
      <c r="C318" s="16"/>
      <c r="D318" s="16">
        <v>13.763999999999999</v>
      </c>
      <c r="E318" s="16">
        <v>14.29</v>
      </c>
      <c r="F318" s="16">
        <v>15.641999999999999</v>
      </c>
      <c r="G318" s="16">
        <v>20.076000000000001</v>
      </c>
      <c r="H318" s="16">
        <v>20.298999999999999</v>
      </c>
      <c r="I318" s="16">
        <v>22.413</v>
      </c>
      <c r="J318" s="17">
        <v>19.824999999999999</v>
      </c>
      <c r="K318" s="17">
        <v>20.443000000000001</v>
      </c>
      <c r="L318" s="17">
        <v>19.733000000000001</v>
      </c>
      <c r="M318" s="17">
        <v>20.024999999999999</v>
      </c>
      <c r="N318" s="17">
        <v>20.614999999999998</v>
      </c>
    </row>
    <row r="319" spans="1:14" x14ac:dyDescent="0.25">
      <c r="A319" s="11" t="s">
        <v>676</v>
      </c>
      <c r="B319" s="92" t="str">
        <f>$B$9</f>
        <v>NAC</v>
      </c>
      <c r="C319" s="16"/>
      <c r="D319" s="16">
        <v>9.5630000000000006</v>
      </c>
      <c r="E319" s="16">
        <v>10.452999999999999</v>
      </c>
      <c r="F319" s="16">
        <v>11.186999999999999</v>
      </c>
      <c r="G319" s="16">
        <v>15.058999999999999</v>
      </c>
      <c r="H319" s="16">
        <v>13.249000000000001</v>
      </c>
      <c r="I319" s="16">
        <v>14.819000000000001</v>
      </c>
      <c r="J319" s="17">
        <v>16.548999999999999</v>
      </c>
      <c r="K319" s="17">
        <v>16.564</v>
      </c>
      <c r="L319" s="17">
        <v>17.286999999999999</v>
      </c>
      <c r="M319" s="17">
        <v>18.210999999999999</v>
      </c>
      <c r="N319" s="17">
        <v>19.166</v>
      </c>
    </row>
    <row r="320" spans="1:14" x14ac:dyDescent="0.25">
      <c r="A320" s="55" t="s">
        <v>677</v>
      </c>
      <c r="B320" s="92"/>
      <c r="C320" s="16"/>
      <c r="D320" s="57" t="str">
        <f t="shared" ref="D320:N320" si="74">IF(ROUND(D$121-SUM(D$318:D$319),3)=0,"OK","ERROR")</f>
        <v>OK</v>
      </c>
      <c r="E320" s="57" t="str">
        <f t="shared" si="74"/>
        <v>OK</v>
      </c>
      <c r="F320" s="57" t="str">
        <f t="shared" si="74"/>
        <v>OK</v>
      </c>
      <c r="G320" s="57" t="str">
        <f t="shared" si="74"/>
        <v>OK</v>
      </c>
      <c r="H320" s="57" t="str">
        <f t="shared" si="74"/>
        <v>OK</v>
      </c>
      <c r="I320" s="57" t="str">
        <f t="shared" si="74"/>
        <v>OK</v>
      </c>
      <c r="J320" s="57" t="str">
        <f t="shared" si="74"/>
        <v>OK</v>
      </c>
      <c r="K320" s="57" t="str">
        <f t="shared" si="74"/>
        <v>OK</v>
      </c>
      <c r="L320" s="57" t="str">
        <f t="shared" si="74"/>
        <v>OK</v>
      </c>
      <c r="M320" s="57" t="str">
        <f t="shared" si="74"/>
        <v>OK</v>
      </c>
      <c r="N320" s="57" t="str">
        <f t="shared" si="74"/>
        <v>OK</v>
      </c>
    </row>
    <row r="321" spans="1:14" x14ac:dyDescent="0.25">
      <c r="A321" s="55" t="s">
        <v>678</v>
      </c>
      <c r="B321" s="92"/>
      <c r="C321" s="16"/>
      <c r="D321" s="59"/>
      <c r="E321" s="59"/>
      <c r="F321" s="59"/>
      <c r="G321" s="59"/>
      <c r="H321" s="59"/>
      <c r="I321" s="59"/>
      <c r="J321" s="59"/>
      <c r="K321" s="59"/>
      <c r="L321" s="59"/>
      <c r="M321" s="59"/>
      <c r="N321" s="59"/>
    </row>
    <row r="322" spans="1:14" x14ac:dyDescent="0.25">
      <c r="A322" s="11" t="s">
        <v>369</v>
      </c>
      <c r="B322" s="92" t="str">
        <f>$B$9</f>
        <v>NAC</v>
      </c>
      <c r="C322" s="16"/>
      <c r="D322" s="16">
        <v>10.731</v>
      </c>
      <c r="E322" s="16">
        <v>10.395</v>
      </c>
      <c r="F322" s="16">
        <v>10.840999999999999</v>
      </c>
      <c r="G322" s="16">
        <v>9.2089999999999996</v>
      </c>
      <c r="H322" s="16">
        <v>9.3729999999999993</v>
      </c>
      <c r="I322" s="16">
        <v>9.5960000000000001</v>
      </c>
      <c r="J322" s="17">
        <v>10.012</v>
      </c>
      <c r="K322" s="17">
        <v>10.026</v>
      </c>
      <c r="L322" s="17">
        <v>9.9529999999999994</v>
      </c>
      <c r="M322" s="17">
        <v>9.8219999999999992</v>
      </c>
      <c r="N322" s="17">
        <v>9.6329999999999991</v>
      </c>
    </row>
    <row r="323" spans="1:14" x14ac:dyDescent="0.25">
      <c r="A323" s="11" t="s">
        <v>679</v>
      </c>
      <c r="B323" s="92" t="str">
        <f>$B$10</f>
        <v>UIM</v>
      </c>
      <c r="C323" s="16"/>
      <c r="D323" s="16">
        <v>20.411000000000001</v>
      </c>
      <c r="E323" s="16">
        <v>22.189</v>
      </c>
      <c r="F323" s="16">
        <v>25.206</v>
      </c>
      <c r="G323" s="16">
        <v>27.786000000000001</v>
      </c>
      <c r="H323" s="16">
        <v>29.785</v>
      </c>
      <c r="I323" s="16">
        <v>32.487000000000002</v>
      </c>
      <c r="J323" s="17">
        <v>35.345999999999997</v>
      </c>
      <c r="K323" s="17">
        <v>38.869999999999997</v>
      </c>
      <c r="L323" s="17">
        <v>42.386000000000003</v>
      </c>
      <c r="M323" s="17">
        <v>46.438000000000002</v>
      </c>
      <c r="N323" s="17">
        <v>50.116999999999997</v>
      </c>
    </row>
    <row r="324" spans="1:14" x14ac:dyDescent="0.25">
      <c r="A324" s="55" t="s">
        <v>369</v>
      </c>
      <c r="B324" s="92"/>
      <c r="C324" s="16"/>
      <c r="D324" s="17"/>
      <c r="E324" s="17"/>
      <c r="F324" s="17"/>
      <c r="G324" s="17"/>
      <c r="H324" s="17"/>
      <c r="I324" s="17"/>
      <c r="J324" s="17"/>
      <c r="K324" s="17"/>
      <c r="L324" s="17"/>
      <c r="M324" s="17"/>
      <c r="N324" s="17"/>
    </row>
    <row r="325" spans="1:14" x14ac:dyDescent="0.25">
      <c r="A325" s="11" t="s">
        <v>394</v>
      </c>
      <c r="B325" s="92" t="str">
        <f t="shared" ref="B325:B331" si="75">$B$10</f>
        <v>UIM</v>
      </c>
      <c r="C325" s="16"/>
      <c r="D325" s="16">
        <v>1.361</v>
      </c>
      <c r="E325" s="16">
        <v>1.413</v>
      </c>
      <c r="F325" s="16">
        <v>1.43</v>
      </c>
      <c r="G325" s="16">
        <v>1.2949999999999999</v>
      </c>
      <c r="H325" s="16">
        <v>1.2709999999999999</v>
      </c>
      <c r="I325" s="16">
        <v>1.3480000000000001</v>
      </c>
      <c r="J325" s="17">
        <v>1.6339999999999999</v>
      </c>
      <c r="K325" s="17">
        <v>1.877</v>
      </c>
      <c r="L325" s="17">
        <v>1.855</v>
      </c>
      <c r="M325" s="17">
        <v>1.8620000000000001</v>
      </c>
      <c r="N325" s="17">
        <v>1.907</v>
      </c>
    </row>
    <row r="326" spans="1:14" x14ac:dyDescent="0.25">
      <c r="A326" s="11" t="s">
        <v>395</v>
      </c>
      <c r="B326" s="92" t="str">
        <f t="shared" si="75"/>
        <v>UIM</v>
      </c>
      <c r="C326" s="16"/>
      <c r="D326" s="16">
        <v>3.5999999999999997E-2</v>
      </c>
      <c r="E326" s="16">
        <v>3.5999999999999997E-2</v>
      </c>
      <c r="F326" s="16">
        <v>3.7999999999999999E-2</v>
      </c>
      <c r="G326" s="16">
        <v>3.7999999999999999E-2</v>
      </c>
      <c r="H326" s="16">
        <v>0.03</v>
      </c>
      <c r="I326" s="16">
        <v>2.8000000000000001E-2</v>
      </c>
      <c r="J326" s="17">
        <v>2.5999999999999999E-2</v>
      </c>
      <c r="K326" s="17">
        <v>2.5000000000000001E-2</v>
      </c>
      <c r="L326" s="17">
        <v>2.4E-2</v>
      </c>
      <c r="M326" s="17">
        <v>2.5000000000000001E-2</v>
      </c>
      <c r="N326" s="17">
        <v>2.5999999999999999E-2</v>
      </c>
    </row>
    <row r="327" spans="1:14" x14ac:dyDescent="0.25">
      <c r="A327" s="11" t="s">
        <v>680</v>
      </c>
      <c r="B327" s="92" t="str">
        <f t="shared" si="75"/>
        <v>UIM</v>
      </c>
      <c r="C327" s="16"/>
      <c r="D327" s="16">
        <v>0.56299999999999994</v>
      </c>
      <c r="E327" s="16">
        <v>0.50600000000000001</v>
      </c>
      <c r="F327" s="16">
        <v>0.46899999999999997</v>
      </c>
      <c r="G327" s="16">
        <v>0.48899999999999999</v>
      </c>
      <c r="H327" s="16">
        <v>0.55100000000000005</v>
      </c>
      <c r="I327" s="16">
        <v>0.54400000000000004</v>
      </c>
      <c r="J327" s="17">
        <v>0.56000000000000005</v>
      </c>
      <c r="K327" s="17">
        <v>0.63600000000000001</v>
      </c>
      <c r="L327" s="17">
        <v>0.628</v>
      </c>
      <c r="M327" s="17">
        <v>0.627</v>
      </c>
      <c r="N327" s="17">
        <v>0.65300000000000002</v>
      </c>
    </row>
    <row r="328" spans="1:14" x14ac:dyDescent="0.25">
      <c r="A328" s="11" t="s">
        <v>681</v>
      </c>
      <c r="B328" s="92" t="str">
        <f t="shared" si="75"/>
        <v>UIM</v>
      </c>
      <c r="C328" s="16"/>
      <c r="D328" s="16">
        <v>1.371</v>
      </c>
      <c r="E328" s="16">
        <v>1.4770000000000001</v>
      </c>
      <c r="F328" s="16">
        <v>1.4950000000000001</v>
      </c>
      <c r="G328" s="16">
        <v>1.605</v>
      </c>
      <c r="H328" s="16">
        <v>1.6339999999999999</v>
      </c>
      <c r="I328" s="16">
        <v>1.5980000000000001</v>
      </c>
      <c r="J328" s="17">
        <v>1.5669999999999999</v>
      </c>
      <c r="K328" s="17">
        <v>1.631</v>
      </c>
      <c r="L328" s="17">
        <v>1.6890000000000001</v>
      </c>
      <c r="M328" s="17">
        <v>1.736</v>
      </c>
      <c r="N328" s="17">
        <v>1.7869999999999999</v>
      </c>
    </row>
    <row r="329" spans="1:14" x14ac:dyDescent="0.25">
      <c r="A329" s="11" t="s">
        <v>396</v>
      </c>
      <c r="B329" s="92" t="str">
        <f t="shared" si="75"/>
        <v>UIM</v>
      </c>
      <c r="C329" s="16"/>
      <c r="D329" s="16">
        <v>0.39400000000000002</v>
      </c>
      <c r="E329" s="16">
        <v>0.33100000000000002</v>
      </c>
      <c r="F329" s="16">
        <v>0.23499999999999999</v>
      </c>
      <c r="G329" s="16">
        <v>0.28000000000000003</v>
      </c>
      <c r="H329" s="16">
        <v>0.57699999999999996</v>
      </c>
      <c r="I329" s="16">
        <v>0.63400000000000001</v>
      </c>
      <c r="J329" s="17">
        <v>0.502</v>
      </c>
      <c r="K329" s="17">
        <v>0.41299999999999998</v>
      </c>
      <c r="L329" s="17">
        <v>0.42899999999999999</v>
      </c>
      <c r="M329" s="17">
        <v>0.46100000000000002</v>
      </c>
      <c r="N329" s="17">
        <v>0.48599999999999999</v>
      </c>
    </row>
    <row r="330" spans="1:14" x14ac:dyDescent="0.25">
      <c r="A330" s="11" t="s">
        <v>1088</v>
      </c>
      <c r="B330" s="92" t="str">
        <f t="shared" si="75"/>
        <v>UIM</v>
      </c>
      <c r="C330" s="16"/>
      <c r="D330" s="16">
        <v>0</v>
      </c>
      <c r="E330" s="16">
        <v>0</v>
      </c>
      <c r="F330" s="16">
        <v>0</v>
      </c>
      <c r="G330" s="16">
        <v>0</v>
      </c>
      <c r="H330" s="16">
        <v>0</v>
      </c>
      <c r="I330" s="16">
        <v>0</v>
      </c>
      <c r="J330" s="17">
        <v>0</v>
      </c>
      <c r="K330" s="17">
        <v>3.4000000000000002E-2</v>
      </c>
      <c r="L330" s="17">
        <v>6.4000000000000001E-2</v>
      </c>
      <c r="M330" s="17">
        <v>0.11600000000000001</v>
      </c>
      <c r="N330" s="17">
        <v>0.16800000000000001</v>
      </c>
    </row>
    <row r="331" spans="1:14" x14ac:dyDescent="0.25">
      <c r="A331" s="11" t="s">
        <v>682</v>
      </c>
      <c r="B331" s="92" t="str">
        <f t="shared" si="75"/>
        <v>UIM</v>
      </c>
      <c r="C331" s="16"/>
      <c r="D331" s="16">
        <v>0.94499999999999995</v>
      </c>
      <c r="E331" s="16">
        <v>-0.13300000000000001</v>
      </c>
      <c r="F331" s="16">
        <v>0.70699999999999996</v>
      </c>
      <c r="G331" s="16">
        <v>-1.151</v>
      </c>
      <c r="H331" s="16">
        <v>0.47099999999999997</v>
      </c>
      <c r="I331" s="16">
        <v>0.35499999999999998</v>
      </c>
      <c r="J331" s="17">
        <v>0.38100000000000001</v>
      </c>
      <c r="K331" s="17">
        <v>0</v>
      </c>
      <c r="L331" s="17">
        <v>0</v>
      </c>
      <c r="M331" s="17">
        <v>0</v>
      </c>
      <c r="N331" s="17">
        <v>0</v>
      </c>
    </row>
    <row r="332" spans="1:14" x14ac:dyDescent="0.25">
      <c r="A332" s="11" t="s">
        <v>683</v>
      </c>
      <c r="B332" s="92" t="str">
        <f>$B$9</f>
        <v>NAC</v>
      </c>
      <c r="C332" s="47">
        <v>9.9290000000000003</v>
      </c>
      <c r="D332" s="56">
        <f>SUM(C$332,D$325,D$326,-D$327,-D$328,D$329,-D$330,D$331)</f>
        <v>10.731</v>
      </c>
      <c r="E332" s="56">
        <f t="shared" ref="E332:N332" si="76">SUM(D$332,E$325,E$326,-E$327,-E$328,E$329,-E$330,E$331)</f>
        <v>10.395</v>
      </c>
      <c r="F332" s="56">
        <f t="shared" si="76"/>
        <v>10.841000000000001</v>
      </c>
      <c r="G332" s="56">
        <f t="shared" si="76"/>
        <v>9.2089999999999996</v>
      </c>
      <c r="H332" s="56">
        <f t="shared" si="76"/>
        <v>9.3729999999999993</v>
      </c>
      <c r="I332" s="56">
        <f t="shared" si="76"/>
        <v>9.5960000000000001</v>
      </c>
      <c r="J332" s="56">
        <f t="shared" si="76"/>
        <v>10.012</v>
      </c>
      <c r="K332" s="56">
        <f t="shared" si="76"/>
        <v>10.026000000000002</v>
      </c>
      <c r="L332" s="56">
        <f t="shared" si="76"/>
        <v>9.9530000000000012</v>
      </c>
      <c r="M332" s="56">
        <f t="shared" si="76"/>
        <v>9.822000000000001</v>
      </c>
      <c r="N332" s="56">
        <f t="shared" si="76"/>
        <v>9.6330000000000027</v>
      </c>
    </row>
    <row r="333" spans="1:14" x14ac:dyDescent="0.25">
      <c r="A333" s="55" t="s">
        <v>684</v>
      </c>
      <c r="B333" s="92"/>
      <c r="C333" s="16"/>
      <c r="D333" s="57" t="str">
        <f t="shared" ref="D333:N333" si="77">IF(ROUND(D$322-D$332,3)=0,"OK","ERROR")</f>
        <v>OK</v>
      </c>
      <c r="E333" s="57" t="str">
        <f t="shared" si="77"/>
        <v>OK</v>
      </c>
      <c r="F333" s="57" t="str">
        <f t="shared" si="77"/>
        <v>OK</v>
      </c>
      <c r="G333" s="57" t="str">
        <f t="shared" si="77"/>
        <v>OK</v>
      </c>
      <c r="H333" s="57" t="str">
        <f t="shared" si="77"/>
        <v>OK</v>
      </c>
      <c r="I333" s="57" t="str">
        <f t="shared" si="77"/>
        <v>OK</v>
      </c>
      <c r="J333" s="57" t="str">
        <f t="shared" si="77"/>
        <v>OK</v>
      </c>
      <c r="K333" s="57" t="str">
        <f t="shared" si="77"/>
        <v>OK</v>
      </c>
      <c r="L333" s="57" t="str">
        <f t="shared" si="77"/>
        <v>OK</v>
      </c>
      <c r="M333" s="57" t="str">
        <f t="shared" si="77"/>
        <v>OK</v>
      </c>
      <c r="N333" s="57" t="str">
        <f t="shared" si="77"/>
        <v>OK</v>
      </c>
    </row>
    <row r="334" spans="1:14" x14ac:dyDescent="0.25">
      <c r="A334" s="55" t="s">
        <v>685</v>
      </c>
      <c r="B334" s="92"/>
      <c r="C334" s="16"/>
      <c r="D334" s="17"/>
      <c r="E334" s="17"/>
      <c r="F334" s="17"/>
      <c r="G334" s="17"/>
      <c r="H334" s="17"/>
      <c r="I334" s="17"/>
      <c r="J334" s="17"/>
      <c r="K334" s="17"/>
      <c r="L334" s="17"/>
      <c r="M334" s="17"/>
      <c r="N334" s="17"/>
    </row>
    <row r="335" spans="1:14" x14ac:dyDescent="0.25">
      <c r="A335" s="11" t="s">
        <v>630</v>
      </c>
      <c r="B335" s="92" t="str">
        <f>$B$10</f>
        <v>UIM</v>
      </c>
      <c r="C335" s="16"/>
      <c r="D335" s="16">
        <v>93.730999999999995</v>
      </c>
      <c r="E335" s="16">
        <v>101.509</v>
      </c>
      <c r="F335" s="16">
        <v>119.682</v>
      </c>
      <c r="G335" s="16">
        <v>145.18600000000001</v>
      </c>
      <c r="H335" s="16">
        <v>151.042</v>
      </c>
      <c r="I335" s="16">
        <v>158.06800000000001</v>
      </c>
      <c r="J335" s="17">
        <v>163.08799999999999</v>
      </c>
      <c r="K335" s="17">
        <v>168.536</v>
      </c>
      <c r="L335" s="17">
        <v>171.81800000000001</v>
      </c>
      <c r="M335" s="17">
        <v>175.417</v>
      </c>
      <c r="N335" s="17">
        <v>178.50800000000001</v>
      </c>
    </row>
    <row r="336" spans="1:14" x14ac:dyDescent="0.25">
      <c r="A336" s="11" t="s">
        <v>668</v>
      </c>
      <c r="B336" s="92" t="str">
        <f>$B$10</f>
        <v>UIM</v>
      </c>
      <c r="C336" s="16"/>
      <c r="D336" s="16">
        <v>40.21</v>
      </c>
      <c r="E336" s="16">
        <v>39.828000000000003</v>
      </c>
      <c r="F336" s="16">
        <v>41.613999999999997</v>
      </c>
      <c r="G336" s="16">
        <v>47.475999999999999</v>
      </c>
      <c r="H336" s="16">
        <v>53.314</v>
      </c>
      <c r="I336" s="16">
        <v>57.723999999999997</v>
      </c>
      <c r="J336" s="17">
        <v>59.405999999999999</v>
      </c>
      <c r="K336" s="17">
        <v>63.405999999999999</v>
      </c>
      <c r="L336" s="17">
        <v>65.626999999999995</v>
      </c>
      <c r="M336" s="17">
        <v>67.17</v>
      </c>
      <c r="N336" s="17">
        <v>67.893000000000001</v>
      </c>
    </row>
    <row r="337" spans="1:14" x14ac:dyDescent="0.25">
      <c r="A337" s="11" t="s">
        <v>632</v>
      </c>
      <c r="B337" s="92" t="str">
        <f>$B$10</f>
        <v>UIM</v>
      </c>
      <c r="C337" s="16"/>
      <c r="D337" s="16">
        <v>0</v>
      </c>
      <c r="E337" s="16">
        <v>-2E-3</v>
      </c>
      <c r="F337" s="16">
        <v>0</v>
      </c>
      <c r="G337" s="16">
        <v>1E-3</v>
      </c>
      <c r="H337" s="16">
        <v>0</v>
      </c>
      <c r="I337" s="16">
        <v>1E-3</v>
      </c>
      <c r="J337" s="17">
        <v>0</v>
      </c>
      <c r="K337" s="17">
        <v>0</v>
      </c>
      <c r="L337" s="17">
        <v>0</v>
      </c>
      <c r="M337" s="17">
        <v>0</v>
      </c>
      <c r="N337" s="17">
        <v>0</v>
      </c>
    </row>
    <row r="338" spans="1:14" x14ac:dyDescent="0.25">
      <c r="A338" s="55" t="s">
        <v>686</v>
      </c>
      <c r="B338" s="92"/>
      <c r="C338" s="16"/>
      <c r="D338" s="57" t="str">
        <f t="shared" ref="D338:N338" si="78">IF(ROUND(D$128-SUM(D$186,D$335:D$337),3)=0,"OK","ERROR")</f>
        <v>OK</v>
      </c>
      <c r="E338" s="57" t="str">
        <f t="shared" si="78"/>
        <v>OK</v>
      </c>
      <c r="F338" s="57" t="str">
        <f t="shared" si="78"/>
        <v>OK</v>
      </c>
      <c r="G338" s="57" t="str">
        <f t="shared" si="78"/>
        <v>OK</v>
      </c>
      <c r="H338" s="57" t="str">
        <f t="shared" si="78"/>
        <v>OK</v>
      </c>
      <c r="I338" s="57" t="str">
        <f t="shared" si="78"/>
        <v>OK</v>
      </c>
      <c r="J338" s="57" t="str">
        <f t="shared" si="78"/>
        <v>OK</v>
      </c>
      <c r="K338" s="57" t="str">
        <f t="shared" si="78"/>
        <v>OK</v>
      </c>
      <c r="L338" s="57" t="str">
        <f t="shared" si="78"/>
        <v>OK</v>
      </c>
      <c r="M338" s="57" t="str">
        <f t="shared" si="78"/>
        <v>OK</v>
      </c>
      <c r="N338" s="57" t="str">
        <f t="shared" si="78"/>
        <v>OK</v>
      </c>
    </row>
    <row r="339" spans="1:14" x14ac:dyDescent="0.25">
      <c r="A339" s="55" t="s">
        <v>687</v>
      </c>
      <c r="B339" s="92"/>
      <c r="C339" s="16"/>
      <c r="D339" s="17"/>
      <c r="E339" s="17"/>
      <c r="F339" s="17"/>
      <c r="G339" s="17"/>
      <c r="H339" s="17"/>
      <c r="I339" s="17"/>
      <c r="J339" s="17"/>
      <c r="K339" s="17"/>
      <c r="L339" s="17"/>
      <c r="M339" s="17"/>
      <c r="N339" s="17"/>
    </row>
    <row r="340" spans="1:14" x14ac:dyDescent="0.25">
      <c r="A340" s="11" t="s">
        <v>688</v>
      </c>
      <c r="B340" s="92" t="str">
        <f>$B$9</f>
        <v>NAC</v>
      </c>
      <c r="C340" s="16"/>
      <c r="D340" s="16">
        <v>9.4619999999999997</v>
      </c>
      <c r="E340" s="16">
        <v>9.5679999999999996</v>
      </c>
      <c r="F340" s="16">
        <v>10.762</v>
      </c>
      <c r="G340" s="16">
        <v>12.88</v>
      </c>
      <c r="H340" s="16">
        <v>14.881</v>
      </c>
      <c r="I340" s="16">
        <v>17.866</v>
      </c>
      <c r="J340" s="17">
        <v>16.532</v>
      </c>
      <c r="K340" s="17">
        <v>19.635999999999999</v>
      </c>
      <c r="L340" s="17">
        <v>15.753</v>
      </c>
      <c r="M340" s="17">
        <v>14.602</v>
      </c>
      <c r="N340" s="17">
        <v>13.066000000000001</v>
      </c>
    </row>
    <row r="341" spans="1:14" x14ac:dyDescent="0.25">
      <c r="A341" s="11" t="s">
        <v>689</v>
      </c>
      <c r="B341" s="92" t="str">
        <f t="shared" ref="B341:B350" si="79">$B$9</f>
        <v>NAC</v>
      </c>
      <c r="C341" s="16"/>
      <c r="D341" s="16">
        <v>-1.157</v>
      </c>
      <c r="E341" s="16">
        <v>-1.202</v>
      </c>
      <c r="F341" s="16">
        <v>-1.101</v>
      </c>
      <c r="G341" s="16">
        <v>-2.0110000000000001</v>
      </c>
      <c r="H341" s="16">
        <v>-1.474</v>
      </c>
      <c r="I341" s="16">
        <v>-1.397</v>
      </c>
      <c r="J341" s="17">
        <v>-0.85499999999999998</v>
      </c>
      <c r="K341" s="17">
        <v>-0.748</v>
      </c>
      <c r="L341" s="17">
        <v>-1.298</v>
      </c>
      <c r="M341" s="17">
        <v>-1.032</v>
      </c>
      <c r="N341" s="17">
        <v>-1.1040000000000001</v>
      </c>
    </row>
    <row r="342" spans="1:14" x14ac:dyDescent="0.25">
      <c r="A342" s="11" t="s">
        <v>690</v>
      </c>
      <c r="B342" s="92" t="str">
        <f t="shared" si="79"/>
        <v>NAC</v>
      </c>
      <c r="C342" s="16"/>
      <c r="D342" s="16">
        <v>9.6240000000000006</v>
      </c>
      <c r="E342" s="16">
        <v>2.4769999999999999</v>
      </c>
      <c r="F342" s="16">
        <v>16.131</v>
      </c>
      <c r="G342" s="16">
        <v>26.271000000000001</v>
      </c>
      <c r="H342" s="16">
        <v>5.335</v>
      </c>
      <c r="I342" s="16">
        <v>2.7919999999999998</v>
      </c>
      <c r="J342" s="17">
        <v>0.217</v>
      </c>
      <c r="K342" s="17">
        <v>0</v>
      </c>
      <c r="L342" s="17">
        <v>0</v>
      </c>
      <c r="M342" s="17">
        <v>0</v>
      </c>
      <c r="N342" s="17">
        <v>0</v>
      </c>
    </row>
    <row r="343" spans="1:14" x14ac:dyDescent="0.25">
      <c r="A343" s="11" t="s">
        <v>691</v>
      </c>
      <c r="B343" s="92" t="str">
        <f t="shared" si="79"/>
        <v>NAC</v>
      </c>
      <c r="C343" s="16"/>
      <c r="D343" s="16">
        <v>-0.14000000000000001</v>
      </c>
      <c r="E343" s="16">
        <v>2.0379999999999998</v>
      </c>
      <c r="F343" s="16">
        <v>-0.247</v>
      </c>
      <c r="G343" s="16">
        <v>-0.30299999999999999</v>
      </c>
      <c r="H343" s="16">
        <v>0.96399999999999997</v>
      </c>
      <c r="I343" s="16">
        <v>-0.40699999999999997</v>
      </c>
      <c r="J343" s="17">
        <v>0</v>
      </c>
      <c r="K343" s="17">
        <v>-1.7000000000000001E-2</v>
      </c>
      <c r="L343" s="17">
        <v>-1.9E-2</v>
      </c>
      <c r="M343" s="17">
        <v>-9.2999999999999999E-2</v>
      </c>
      <c r="N343" s="17">
        <v>-1E-3</v>
      </c>
    </row>
    <row r="344" spans="1:14" x14ac:dyDescent="0.25">
      <c r="A344" s="55" t="s">
        <v>692</v>
      </c>
      <c r="B344" s="92" t="str">
        <f t="shared" si="79"/>
        <v>NAC</v>
      </c>
      <c r="C344" s="47">
        <v>175.01900000000001</v>
      </c>
      <c r="D344" s="56">
        <f>SUM(C$344,D$340:D$343)</f>
        <v>192.80799999999999</v>
      </c>
      <c r="E344" s="56">
        <f t="shared" ref="E344:N344" si="80">SUM(D$344,E$340:E$343)</f>
        <v>205.68900000000002</v>
      </c>
      <c r="F344" s="56">
        <f t="shared" si="80"/>
        <v>231.23400000000001</v>
      </c>
      <c r="G344" s="56">
        <f t="shared" si="80"/>
        <v>268.07100000000003</v>
      </c>
      <c r="H344" s="56">
        <f t="shared" si="80"/>
        <v>287.77699999999999</v>
      </c>
      <c r="I344" s="56">
        <f t="shared" si="80"/>
        <v>306.63099999999997</v>
      </c>
      <c r="J344" s="56">
        <f t="shared" si="80"/>
        <v>322.52499999999992</v>
      </c>
      <c r="K344" s="56">
        <f t="shared" si="80"/>
        <v>341.39599999999996</v>
      </c>
      <c r="L344" s="56">
        <f t="shared" si="80"/>
        <v>355.83199999999994</v>
      </c>
      <c r="M344" s="56">
        <f t="shared" si="80"/>
        <v>369.30899999999991</v>
      </c>
      <c r="N344" s="56">
        <f t="shared" si="80"/>
        <v>381.26999999999992</v>
      </c>
    </row>
    <row r="345" spans="1:14" x14ac:dyDescent="0.25">
      <c r="A345" s="11" t="s">
        <v>693</v>
      </c>
      <c r="B345" s="92" t="str">
        <f t="shared" si="79"/>
        <v>NAC</v>
      </c>
      <c r="C345" s="16"/>
      <c r="D345" s="16">
        <v>-0.78900000000000003</v>
      </c>
      <c r="E345" s="16">
        <v>-0.68600000000000005</v>
      </c>
      <c r="F345" s="16">
        <v>-0.63600000000000001</v>
      </c>
      <c r="G345" s="16">
        <v>-0.94899999999999995</v>
      </c>
      <c r="H345" s="16">
        <v>-1.0069999999999999</v>
      </c>
      <c r="I345" s="16">
        <v>-0.70899999999999996</v>
      </c>
      <c r="J345" s="17">
        <v>-0.45900000000000002</v>
      </c>
      <c r="K345" s="17">
        <v>-0.14299999999999999</v>
      </c>
      <c r="L345" s="17">
        <v>-0.156</v>
      </c>
      <c r="M345" s="17">
        <v>-0.16600000000000001</v>
      </c>
      <c r="N345" s="17">
        <v>-0.17599999999999999</v>
      </c>
    </row>
    <row r="346" spans="1:14" x14ac:dyDescent="0.25">
      <c r="A346" s="11" t="s">
        <v>694</v>
      </c>
      <c r="B346" s="92" t="str">
        <f t="shared" si="79"/>
        <v>NAC</v>
      </c>
      <c r="C346" s="16"/>
      <c r="D346" s="16">
        <v>-2.452</v>
      </c>
      <c r="E346" s="16">
        <v>-2.0859999999999999</v>
      </c>
      <c r="F346" s="16">
        <v>-5.9790000000000001</v>
      </c>
      <c r="G346" s="16">
        <v>-3.3769999999999998</v>
      </c>
      <c r="H346" s="16">
        <v>-5.54</v>
      </c>
      <c r="I346" s="16">
        <v>-4.7750000000000004</v>
      </c>
      <c r="J346" s="17">
        <v>-7.4999999999999997E-2</v>
      </c>
      <c r="K346" s="17">
        <v>0</v>
      </c>
      <c r="L346" s="17">
        <v>0</v>
      </c>
      <c r="M346" s="17">
        <v>0</v>
      </c>
      <c r="N346" s="17">
        <v>0</v>
      </c>
    </row>
    <row r="347" spans="1:14" x14ac:dyDescent="0.25">
      <c r="A347" s="11" t="s">
        <v>695</v>
      </c>
      <c r="B347" s="92" t="str">
        <f t="shared" si="79"/>
        <v>NAC</v>
      </c>
      <c r="C347" s="16"/>
      <c r="D347" s="16">
        <v>-2.516</v>
      </c>
      <c r="E347" s="16">
        <v>1.1930000000000001</v>
      </c>
      <c r="F347" s="16">
        <v>-5.8000000000000003E-2</v>
      </c>
      <c r="G347" s="16">
        <v>-0.85099999999999998</v>
      </c>
      <c r="H347" s="16">
        <v>0.22</v>
      </c>
      <c r="I347" s="16">
        <v>8.2000000000000003E-2</v>
      </c>
      <c r="J347" s="17">
        <v>0</v>
      </c>
      <c r="K347" s="17">
        <v>0</v>
      </c>
      <c r="L347" s="17">
        <v>0</v>
      </c>
      <c r="M347" s="17">
        <v>0</v>
      </c>
      <c r="N347" s="17">
        <v>0</v>
      </c>
    </row>
    <row r="348" spans="1:14" x14ac:dyDescent="0.25">
      <c r="A348" s="11" t="s">
        <v>696</v>
      </c>
      <c r="B348" s="92" t="str">
        <f>$B$10</f>
        <v>UIM</v>
      </c>
      <c r="C348" s="16"/>
      <c r="D348" s="16">
        <v>4.5540000000000003</v>
      </c>
      <c r="E348" s="16">
        <v>5.2939999999999996</v>
      </c>
      <c r="F348" s="16">
        <v>5.5659999999999998</v>
      </c>
      <c r="G348" s="16">
        <v>6.1520000000000001</v>
      </c>
      <c r="H348" s="16">
        <v>6.601</v>
      </c>
      <c r="I348" s="16">
        <v>7.6210000000000004</v>
      </c>
      <c r="J348" s="17">
        <v>8.06</v>
      </c>
      <c r="K348" s="17">
        <v>8.4239999999999995</v>
      </c>
      <c r="L348" s="17">
        <v>8.7170000000000005</v>
      </c>
      <c r="M348" s="17">
        <v>9.0640000000000001</v>
      </c>
      <c r="N348" s="17">
        <v>9.2050000000000001</v>
      </c>
    </row>
    <row r="349" spans="1:14" x14ac:dyDescent="0.25">
      <c r="A349" s="11" t="s">
        <v>691</v>
      </c>
      <c r="B349" s="92" t="str">
        <f t="shared" si="79"/>
        <v>NAC</v>
      </c>
      <c r="C349" s="16"/>
      <c r="D349" s="16">
        <v>0.03</v>
      </c>
      <c r="E349" s="16">
        <v>0.28299999999999997</v>
      </c>
      <c r="F349" s="16">
        <v>-6.2E-2</v>
      </c>
      <c r="G349" s="16">
        <v>-0.104</v>
      </c>
      <c r="H349" s="16">
        <v>1.224</v>
      </c>
      <c r="I349" s="16">
        <v>0.23499999999999999</v>
      </c>
      <c r="J349" s="17">
        <v>-3.7999999999999999E-2</v>
      </c>
      <c r="K349" s="17">
        <v>-4.0000000000000001E-3</v>
      </c>
      <c r="L349" s="17">
        <v>-1E-3</v>
      </c>
      <c r="M349" s="17">
        <v>1E-3</v>
      </c>
      <c r="N349" s="17">
        <v>0</v>
      </c>
    </row>
    <row r="350" spans="1:14" x14ac:dyDescent="0.25">
      <c r="A350" s="55" t="s">
        <v>697</v>
      </c>
      <c r="B350" s="92" t="str">
        <f t="shared" si="79"/>
        <v>NAC</v>
      </c>
      <c r="C350" s="47">
        <v>16.361999999999998</v>
      </c>
      <c r="D350" s="56">
        <f>SUM(C$350,D$345:D$349)</f>
        <v>15.188999999999998</v>
      </c>
      <c r="E350" s="56">
        <f t="shared" ref="E350:N350" si="81">SUM(D$350,E$345:E$349)</f>
        <v>19.186999999999998</v>
      </c>
      <c r="F350" s="56">
        <f t="shared" si="81"/>
        <v>18.017999999999997</v>
      </c>
      <c r="G350" s="56">
        <f t="shared" si="81"/>
        <v>18.888999999999999</v>
      </c>
      <c r="H350" s="56">
        <f t="shared" si="81"/>
        <v>20.387</v>
      </c>
      <c r="I350" s="56">
        <f t="shared" si="81"/>
        <v>22.841000000000001</v>
      </c>
      <c r="J350" s="56">
        <f t="shared" si="81"/>
        <v>30.329000000000004</v>
      </c>
      <c r="K350" s="56">
        <f t="shared" si="81"/>
        <v>38.606000000000002</v>
      </c>
      <c r="L350" s="56">
        <f t="shared" si="81"/>
        <v>47.166000000000004</v>
      </c>
      <c r="M350" s="56">
        <f t="shared" si="81"/>
        <v>56.065000000000005</v>
      </c>
      <c r="N350" s="56">
        <f t="shared" si="81"/>
        <v>65.094000000000008</v>
      </c>
    </row>
    <row r="351" spans="1:14" x14ac:dyDescent="0.25">
      <c r="A351" s="55" t="s">
        <v>698</v>
      </c>
      <c r="B351" s="92"/>
      <c r="C351" s="16"/>
      <c r="D351" s="57" t="str">
        <f>IF(ROUND(D$128-(D$344-D$350)-0.006,3)=0,"OK","ERROR")</f>
        <v>OK</v>
      </c>
      <c r="E351" s="57" t="str">
        <f t="shared" ref="E351:N351" si="82">IF(ROUND(E$128-(E$344-E$350),3)=0,"OK","ERROR")</f>
        <v>OK</v>
      </c>
      <c r="F351" s="57" t="str">
        <f t="shared" si="82"/>
        <v>OK</v>
      </c>
      <c r="G351" s="57" t="str">
        <f t="shared" si="82"/>
        <v>OK</v>
      </c>
      <c r="H351" s="57" t="str">
        <f t="shared" si="82"/>
        <v>OK</v>
      </c>
      <c r="I351" s="57" t="str">
        <f t="shared" si="82"/>
        <v>OK</v>
      </c>
      <c r="J351" s="57" t="str">
        <f t="shared" si="82"/>
        <v>OK</v>
      </c>
      <c r="K351" s="57" t="str">
        <f t="shared" si="82"/>
        <v>OK</v>
      </c>
      <c r="L351" s="57" t="str">
        <f t="shared" si="82"/>
        <v>OK</v>
      </c>
      <c r="M351" s="57" t="str">
        <f t="shared" si="82"/>
        <v>OK</v>
      </c>
      <c r="N351" s="57" t="str">
        <f t="shared" si="82"/>
        <v>OK</v>
      </c>
    </row>
    <row r="352" spans="1:14" x14ac:dyDescent="0.25">
      <c r="A352" s="55" t="s">
        <v>551</v>
      </c>
      <c r="B352" s="92"/>
      <c r="C352" s="16"/>
      <c r="D352" s="17"/>
      <c r="E352" s="17"/>
      <c r="F352" s="17"/>
      <c r="G352" s="17"/>
      <c r="H352" s="17"/>
      <c r="I352" s="17"/>
      <c r="J352" s="17"/>
      <c r="K352" s="17"/>
      <c r="L352" s="17"/>
      <c r="M352" s="17"/>
      <c r="N352" s="17"/>
    </row>
    <row r="353" spans="1:14" x14ac:dyDescent="0.25">
      <c r="A353" s="11" t="s">
        <v>630</v>
      </c>
      <c r="B353" s="92" t="str">
        <f>$B$10</f>
        <v>UIM</v>
      </c>
      <c r="C353" s="16"/>
      <c r="D353" s="16">
        <v>0.69299999999999995</v>
      </c>
      <c r="E353" s="16">
        <v>0.81599999999999995</v>
      </c>
      <c r="F353" s="16">
        <v>0.83299999999999996</v>
      </c>
      <c r="G353" s="16">
        <v>0.72799999999999998</v>
      </c>
      <c r="H353" s="16">
        <v>0.98099999999999998</v>
      </c>
      <c r="I353" s="16">
        <v>1.008</v>
      </c>
      <c r="J353" s="17">
        <v>0.98899999999999999</v>
      </c>
      <c r="K353" s="17">
        <v>1.0009999999999999</v>
      </c>
      <c r="L353" s="17">
        <v>0.98899999999999999</v>
      </c>
      <c r="M353" s="17">
        <v>0.98199999999999998</v>
      </c>
      <c r="N353" s="17">
        <v>0.98699999999999999</v>
      </c>
    </row>
    <row r="354" spans="1:14" x14ac:dyDescent="0.25">
      <c r="A354" s="11" t="s">
        <v>668</v>
      </c>
      <c r="B354" s="92" t="str">
        <f>$B$10</f>
        <v>UIM</v>
      </c>
      <c r="C354" s="16"/>
      <c r="D354" s="16">
        <v>1.5569999999999999</v>
      </c>
      <c r="E354" s="16">
        <v>1.526</v>
      </c>
      <c r="F354" s="16">
        <v>1.3640000000000001</v>
      </c>
      <c r="G354" s="16">
        <v>1.772</v>
      </c>
      <c r="H354" s="16">
        <v>1.593</v>
      </c>
      <c r="I354" s="16">
        <v>1.7649999999999999</v>
      </c>
      <c r="J354" s="17">
        <v>1.7549999999999999</v>
      </c>
      <c r="K354" s="17">
        <v>1.708</v>
      </c>
      <c r="L354" s="17">
        <v>1.746</v>
      </c>
      <c r="M354" s="17">
        <v>1.6759999999999999</v>
      </c>
      <c r="N354" s="17">
        <v>1.6739999999999999</v>
      </c>
    </row>
    <row r="355" spans="1:14" x14ac:dyDescent="0.25">
      <c r="A355" s="11" t="s">
        <v>632</v>
      </c>
      <c r="B355" s="92" t="str">
        <f>$B$10</f>
        <v>UIM</v>
      </c>
      <c r="C355" s="16"/>
      <c r="D355" s="16">
        <v>-0.02</v>
      </c>
      <c r="E355" s="16">
        <v>-0.02</v>
      </c>
      <c r="F355" s="16">
        <v>-0.23300000000000004</v>
      </c>
      <c r="G355" s="16">
        <v>-0.26800000000000002</v>
      </c>
      <c r="H355" s="16">
        <v>-0.249</v>
      </c>
      <c r="I355" s="16">
        <v>-0.26600000000000001</v>
      </c>
      <c r="J355" s="17">
        <v>-0.27400000000000002</v>
      </c>
      <c r="K355" s="17">
        <v>-0.28199999999999997</v>
      </c>
      <c r="L355" s="17">
        <v>-0.33900000000000002</v>
      </c>
      <c r="M355" s="17">
        <v>-0.27700000000000002</v>
      </c>
      <c r="N355" s="17">
        <v>-0.26100000000000001</v>
      </c>
    </row>
    <row r="356" spans="1:14" x14ac:dyDescent="0.25">
      <c r="A356" s="55" t="s">
        <v>699</v>
      </c>
      <c r="B356" s="92"/>
      <c r="C356" s="16"/>
      <c r="D356" s="57" t="str">
        <f t="shared" ref="D356:N356" si="83">IF(ROUND(D$130-SUM(D$188,D$353:D$355),3)=0,"OK","ERROR")</f>
        <v>OK</v>
      </c>
      <c r="E356" s="57" t="str">
        <f t="shared" si="83"/>
        <v>OK</v>
      </c>
      <c r="F356" s="57" t="str">
        <f t="shared" si="83"/>
        <v>OK</v>
      </c>
      <c r="G356" s="57" t="str">
        <f t="shared" si="83"/>
        <v>OK</v>
      </c>
      <c r="H356" s="57" t="str">
        <f t="shared" si="83"/>
        <v>OK</v>
      </c>
      <c r="I356" s="57" t="str">
        <f t="shared" si="83"/>
        <v>OK</v>
      </c>
      <c r="J356" s="57" t="str">
        <f t="shared" si="83"/>
        <v>OK</v>
      </c>
      <c r="K356" s="57" t="str">
        <f t="shared" si="83"/>
        <v>OK</v>
      </c>
      <c r="L356" s="57" t="str">
        <f t="shared" si="83"/>
        <v>OK</v>
      </c>
      <c r="M356" s="57" t="str">
        <f t="shared" si="83"/>
        <v>OK</v>
      </c>
      <c r="N356" s="57" t="str">
        <f t="shared" si="83"/>
        <v>OK</v>
      </c>
    </row>
    <row r="357" spans="1:14" x14ac:dyDescent="0.25">
      <c r="A357" s="55" t="s">
        <v>700</v>
      </c>
      <c r="B357" s="92"/>
      <c r="C357" s="16"/>
      <c r="D357" s="16"/>
      <c r="E357" s="16"/>
      <c r="F357" s="16"/>
      <c r="G357" s="16"/>
      <c r="H357" s="16"/>
      <c r="I357" s="16"/>
      <c r="J357" s="16"/>
      <c r="K357" s="16"/>
      <c r="L357" s="16"/>
      <c r="M357" s="16"/>
      <c r="N357" s="16"/>
    </row>
    <row r="358" spans="1:14" x14ac:dyDescent="0.25">
      <c r="A358" s="11" t="s">
        <v>701</v>
      </c>
      <c r="B358" s="92" t="str">
        <f t="shared" ref="B358:B363" si="84">$B$10</f>
        <v>UIM</v>
      </c>
      <c r="C358" s="16"/>
      <c r="D358" s="16">
        <v>0.98199999999999998</v>
      </c>
      <c r="E358" s="16">
        <v>0.80300000000000005</v>
      </c>
      <c r="F358" s="16">
        <v>0.74199999999999999</v>
      </c>
      <c r="G358" s="16">
        <v>1.077</v>
      </c>
      <c r="H358" s="16">
        <v>1.32</v>
      </c>
      <c r="I358" s="16">
        <v>1.659</v>
      </c>
      <c r="J358" s="17">
        <v>1.7050000000000001</v>
      </c>
      <c r="K358" s="17">
        <v>1.7729999999999999</v>
      </c>
      <c r="L358" s="17">
        <v>1.869</v>
      </c>
      <c r="M358" s="17">
        <v>1.9930000000000001</v>
      </c>
      <c r="N358" s="17">
        <v>2.1160000000000001</v>
      </c>
    </row>
    <row r="359" spans="1:14" x14ac:dyDescent="0.25">
      <c r="A359" s="11" t="s">
        <v>702</v>
      </c>
      <c r="B359" s="92" t="str">
        <f t="shared" si="84"/>
        <v>UIM</v>
      </c>
      <c r="C359" s="16"/>
      <c r="D359" s="16">
        <v>0.504</v>
      </c>
      <c r="E359" s="16">
        <v>0.44800000000000001</v>
      </c>
      <c r="F359" s="16">
        <v>2.1560000000000001</v>
      </c>
      <c r="G359" s="16">
        <v>3.5000000000000003E-2</v>
      </c>
      <c r="H359" s="16">
        <v>0.127</v>
      </c>
      <c r="I359" s="16">
        <v>1.29</v>
      </c>
      <c r="J359" s="17">
        <v>1.389</v>
      </c>
      <c r="K359" s="17">
        <v>1.518</v>
      </c>
      <c r="L359" s="17">
        <v>1.6120000000000001</v>
      </c>
      <c r="M359" s="17">
        <v>1.7110000000000001</v>
      </c>
      <c r="N359" s="17">
        <v>1.8169999999999999</v>
      </c>
    </row>
    <row r="360" spans="1:14" x14ac:dyDescent="0.25">
      <c r="A360" s="11" t="s">
        <v>703</v>
      </c>
      <c r="B360" s="92" t="str">
        <f t="shared" si="84"/>
        <v>UIM</v>
      </c>
      <c r="C360" s="16"/>
      <c r="D360" s="16">
        <v>0.13</v>
      </c>
      <c r="E360" s="16">
        <v>0.15</v>
      </c>
      <c r="F360" s="16">
        <v>0.125</v>
      </c>
      <c r="G360" s="16">
        <v>-0.51700000000000002</v>
      </c>
      <c r="H360" s="16">
        <v>1.054</v>
      </c>
      <c r="I360" s="16">
        <v>0.189</v>
      </c>
      <c r="J360" s="17">
        <v>0.253</v>
      </c>
      <c r="K360" s="17">
        <v>0.314</v>
      </c>
      <c r="L360" s="17">
        <v>0.33600000000000002</v>
      </c>
      <c r="M360" s="17">
        <v>0.36</v>
      </c>
      <c r="N360" s="17">
        <v>0.38700000000000001</v>
      </c>
    </row>
    <row r="361" spans="1:14" x14ac:dyDescent="0.25">
      <c r="A361" s="11" t="s">
        <v>704</v>
      </c>
      <c r="B361" s="92" t="str">
        <f t="shared" si="84"/>
        <v>UIM</v>
      </c>
      <c r="C361" s="16"/>
      <c r="D361" s="16">
        <v>1.9550000000000001</v>
      </c>
      <c r="E361" s="16">
        <v>1.7000000000000001E-2</v>
      </c>
      <c r="F361" s="16">
        <v>12.786</v>
      </c>
      <c r="G361" s="16">
        <v>-5.133</v>
      </c>
      <c r="H361" s="16">
        <v>5.766</v>
      </c>
      <c r="I361" s="16">
        <v>8.3520000000000003</v>
      </c>
      <c r="J361" s="17">
        <v>6.6360000000000001</v>
      </c>
      <c r="K361" s="17">
        <v>4.9329999999999998</v>
      </c>
      <c r="L361" s="17">
        <v>5.2549999999999999</v>
      </c>
      <c r="M361" s="17">
        <v>5.57</v>
      </c>
      <c r="N361" s="17">
        <v>5.9210000000000003</v>
      </c>
    </row>
    <row r="362" spans="1:14" x14ac:dyDescent="0.25">
      <c r="A362" s="11" t="s">
        <v>705</v>
      </c>
      <c r="B362" s="92" t="str">
        <f t="shared" si="84"/>
        <v>UIM</v>
      </c>
      <c r="C362" s="16"/>
      <c r="D362" s="16">
        <v>1</v>
      </c>
      <c r="E362" s="16">
        <v>1.46</v>
      </c>
      <c r="F362" s="16">
        <v>2.12</v>
      </c>
      <c r="G362" s="16">
        <v>2.42</v>
      </c>
      <c r="H362" s="16">
        <v>2.5579999999999998</v>
      </c>
      <c r="I362" s="16">
        <v>1.6140000000000001</v>
      </c>
      <c r="J362" s="17">
        <v>0.879</v>
      </c>
      <c r="K362" s="17">
        <v>0</v>
      </c>
      <c r="L362" s="17">
        <v>4.0000000000000001E-3</v>
      </c>
      <c r="M362" s="17">
        <v>-3.2000000000000001E-2</v>
      </c>
      <c r="N362" s="17">
        <v>6.3E-2</v>
      </c>
    </row>
    <row r="363" spans="1:14" x14ac:dyDescent="0.25">
      <c r="A363" s="11" t="s">
        <v>391</v>
      </c>
      <c r="B363" s="92" t="str">
        <f t="shared" si="84"/>
        <v>UIM</v>
      </c>
      <c r="C363" s="16"/>
      <c r="D363" s="16">
        <v>8.8999999999999996E-2</v>
      </c>
      <c r="E363" s="16">
        <v>-0.13</v>
      </c>
      <c r="F363" s="16">
        <v>1E-3</v>
      </c>
      <c r="G363" s="16">
        <v>-1E-3</v>
      </c>
      <c r="H363" s="16">
        <v>0</v>
      </c>
      <c r="I363" s="16">
        <v>0</v>
      </c>
      <c r="J363" s="17">
        <v>0</v>
      </c>
      <c r="K363" s="17">
        <v>0</v>
      </c>
      <c r="L363" s="17">
        <v>0</v>
      </c>
      <c r="M363" s="17">
        <v>0</v>
      </c>
      <c r="N363" s="17">
        <v>0</v>
      </c>
    </row>
    <row r="364" spans="1:14" x14ac:dyDescent="0.25">
      <c r="A364" s="55" t="s">
        <v>706</v>
      </c>
      <c r="B364" s="92" t="str">
        <f>$B$9</f>
        <v>NAC</v>
      </c>
      <c r="C364" s="47">
        <v>39.052999999999997</v>
      </c>
      <c r="D364" s="56">
        <f>SUM(C$364,D$358,-D$359,-D$360,D$361,D$362,D$363)</f>
        <v>42.444999999999993</v>
      </c>
      <c r="E364" s="56">
        <f t="shared" ref="E364:N364" si="85">SUM(D$364,E$358,-E$359,-E$360,E$361,E$362,E$363)</f>
        <v>43.996999999999993</v>
      </c>
      <c r="F364" s="56">
        <f t="shared" si="85"/>
        <v>57.364999999999988</v>
      </c>
      <c r="G364" s="56">
        <f t="shared" si="85"/>
        <v>56.209999999999994</v>
      </c>
      <c r="H364" s="56">
        <f t="shared" si="85"/>
        <v>64.672999999999988</v>
      </c>
      <c r="I364" s="56">
        <f t="shared" si="85"/>
        <v>74.819000000000003</v>
      </c>
      <c r="J364" s="56">
        <f t="shared" si="85"/>
        <v>82.397000000000006</v>
      </c>
      <c r="K364" s="56">
        <f t="shared" si="85"/>
        <v>87.271000000000015</v>
      </c>
      <c r="L364" s="56">
        <f t="shared" si="85"/>
        <v>92.451000000000022</v>
      </c>
      <c r="M364" s="56">
        <f t="shared" si="85"/>
        <v>97.911000000000016</v>
      </c>
      <c r="N364" s="56">
        <f t="shared" si="85"/>
        <v>103.80700000000003</v>
      </c>
    </row>
    <row r="365" spans="1:14" x14ac:dyDescent="0.25">
      <c r="A365" s="11" t="s">
        <v>707</v>
      </c>
      <c r="B365" s="92" t="str">
        <f>$B$10</f>
        <v>UIM</v>
      </c>
      <c r="C365" s="16"/>
      <c r="D365" s="16">
        <v>44.307000000000002</v>
      </c>
      <c r="E365" s="16">
        <v>48.220999999999997</v>
      </c>
      <c r="F365" s="16">
        <v>62.311999999999998</v>
      </c>
      <c r="G365" s="16">
        <v>65.411000000000001</v>
      </c>
      <c r="H365" s="16">
        <v>68.233999999999995</v>
      </c>
      <c r="I365" s="16">
        <v>79.058000000000007</v>
      </c>
      <c r="J365" s="17">
        <v>90.405000000000001</v>
      </c>
      <c r="K365" s="17">
        <v>94.126000000000005</v>
      </c>
      <c r="L365" s="17">
        <v>100.392</v>
      </c>
      <c r="M365" s="17">
        <v>105.19</v>
      </c>
      <c r="N365" s="17">
        <v>110.79600000000001</v>
      </c>
    </row>
    <row r="366" spans="1:14" x14ac:dyDescent="0.25">
      <c r="A366" s="11" t="s">
        <v>708</v>
      </c>
      <c r="B366" s="92" t="str">
        <f>$B$10</f>
        <v>UIM</v>
      </c>
      <c r="C366" s="16"/>
      <c r="D366" s="16">
        <v>-1.9910000000000001</v>
      </c>
      <c r="E366" s="16">
        <v>-4.226</v>
      </c>
      <c r="F366" s="16">
        <v>-4.9489999999999998</v>
      </c>
      <c r="G366" s="16">
        <v>-9.1020000000000003</v>
      </c>
      <c r="H366" s="16">
        <v>-3.5009999999999999</v>
      </c>
      <c r="I366" s="16">
        <v>-4.2350000000000003</v>
      </c>
      <c r="J366" s="17">
        <v>-7.984</v>
      </c>
      <c r="K366" s="17">
        <v>-6.8</v>
      </c>
      <c r="L366" s="17">
        <v>-7.8959999999999999</v>
      </c>
      <c r="M366" s="17">
        <v>-7.2270000000000003</v>
      </c>
      <c r="N366" s="17">
        <v>-6.9290000000000003</v>
      </c>
    </row>
    <row r="367" spans="1:14" x14ac:dyDescent="0.25">
      <c r="A367" s="11" t="s">
        <v>709</v>
      </c>
      <c r="B367" s="92" t="str">
        <f>$B$10</f>
        <v>UIM</v>
      </c>
      <c r="C367" s="16"/>
      <c r="D367" s="16">
        <v>0</v>
      </c>
      <c r="E367" s="16">
        <v>2E-3</v>
      </c>
      <c r="F367" s="16">
        <v>2E-3</v>
      </c>
      <c r="G367" s="16">
        <v>-9.9000000000000005E-2</v>
      </c>
      <c r="H367" s="16">
        <v>-0.06</v>
      </c>
      <c r="I367" s="16">
        <v>-4.0000000000000001E-3</v>
      </c>
      <c r="J367" s="17">
        <v>-2.4E-2</v>
      </c>
      <c r="K367" s="17">
        <v>-5.5E-2</v>
      </c>
      <c r="L367" s="17">
        <v>-4.4999999999999998E-2</v>
      </c>
      <c r="M367" s="17">
        <v>-5.1999999999999998E-2</v>
      </c>
      <c r="N367" s="17">
        <v>-0.06</v>
      </c>
    </row>
    <row r="368" spans="1:14" x14ac:dyDescent="0.25">
      <c r="A368" s="55" t="s">
        <v>710</v>
      </c>
      <c r="B368" s="92"/>
      <c r="C368" s="16"/>
      <c r="D368" s="57" t="str">
        <f>IF(ROUND(D$364-SUM(D$365:D$367)-0.129,3)=0,"OK","ERROR")</f>
        <v>OK</v>
      </c>
      <c r="E368" s="57" t="str">
        <f t="shared" ref="E368:N368" si="86">IF(ROUND(E$364-SUM(E$365:E$367),3)=0,"OK","ERROR")</f>
        <v>OK</v>
      </c>
      <c r="F368" s="57" t="str">
        <f t="shared" si="86"/>
        <v>OK</v>
      </c>
      <c r="G368" s="57" t="str">
        <f t="shared" si="86"/>
        <v>OK</v>
      </c>
      <c r="H368" s="57" t="str">
        <f t="shared" si="86"/>
        <v>OK</v>
      </c>
      <c r="I368" s="57" t="str">
        <f t="shared" si="86"/>
        <v>OK</v>
      </c>
      <c r="J368" s="57" t="str">
        <f t="shared" si="86"/>
        <v>OK</v>
      </c>
      <c r="K368" s="57" t="str">
        <f t="shared" si="86"/>
        <v>OK</v>
      </c>
      <c r="L368" s="57" t="str">
        <f t="shared" si="86"/>
        <v>OK</v>
      </c>
      <c r="M368" s="57" t="str">
        <f t="shared" si="86"/>
        <v>OK</v>
      </c>
      <c r="N368" s="57" t="str">
        <f t="shared" si="86"/>
        <v>OK</v>
      </c>
    </row>
    <row r="369" spans="1:14" x14ac:dyDescent="0.25">
      <c r="A369" s="55" t="s">
        <v>556</v>
      </c>
      <c r="B369" s="92"/>
      <c r="C369" s="16"/>
      <c r="D369" s="17"/>
      <c r="E369" s="17"/>
      <c r="F369" s="17"/>
      <c r="G369" s="17"/>
      <c r="H369" s="17"/>
      <c r="I369" s="17"/>
      <c r="J369" s="17"/>
      <c r="K369" s="17"/>
      <c r="L369" s="17"/>
      <c r="M369" s="17"/>
      <c r="N369" s="17"/>
    </row>
    <row r="370" spans="1:14" x14ac:dyDescent="0.25">
      <c r="A370" s="11" t="s">
        <v>711</v>
      </c>
      <c r="B370" s="92" t="str">
        <f>$B$9</f>
        <v>NAC</v>
      </c>
      <c r="C370" s="16"/>
      <c r="D370" s="16">
        <v>10.449</v>
      </c>
      <c r="E370" s="16">
        <v>11.928000000000001</v>
      </c>
      <c r="F370" s="16">
        <v>12.179</v>
      </c>
      <c r="G370" s="16">
        <v>15.933</v>
      </c>
      <c r="H370" s="16">
        <v>12.52</v>
      </c>
      <c r="I370" s="16">
        <v>13.212999999999999</v>
      </c>
      <c r="J370" s="17">
        <v>19.210999999999999</v>
      </c>
      <c r="K370" s="17">
        <v>19.561</v>
      </c>
      <c r="L370" s="17">
        <v>21.123999999999999</v>
      </c>
      <c r="M370" s="17">
        <v>20.895</v>
      </c>
      <c r="N370" s="17">
        <v>21.260999999999999</v>
      </c>
    </row>
    <row r="371" spans="1:14" x14ac:dyDescent="0.25">
      <c r="A371" s="11" t="s">
        <v>712</v>
      </c>
      <c r="B371" s="92" t="str">
        <f>$B$10</f>
        <v>UIM</v>
      </c>
      <c r="C371" s="16"/>
      <c r="D371" s="16">
        <v>6.2930000000000001</v>
      </c>
      <c r="E371" s="16">
        <v>5.0430000000000001</v>
      </c>
      <c r="F371" s="16">
        <v>5.3979999999999997</v>
      </c>
      <c r="G371" s="16">
        <v>5.4870000000000001</v>
      </c>
      <c r="H371" s="16">
        <v>6.2060000000000004</v>
      </c>
      <c r="I371" s="16">
        <v>6.65</v>
      </c>
      <c r="J371" s="17">
        <v>7.2039999999999997</v>
      </c>
      <c r="K371" s="17">
        <v>7.3639999999999999</v>
      </c>
      <c r="L371" s="17">
        <v>6.9560000000000004</v>
      </c>
      <c r="M371" s="17">
        <v>7.1340000000000003</v>
      </c>
      <c r="N371" s="17">
        <v>7.3280000000000003</v>
      </c>
    </row>
    <row r="372" spans="1:14" x14ac:dyDescent="0.25">
      <c r="A372" s="55" t="s">
        <v>713</v>
      </c>
      <c r="B372" s="92"/>
      <c r="C372" s="16"/>
      <c r="D372" s="57" t="str">
        <f t="shared" ref="D372:N372" si="87">IF(ROUND(D$135-SUM(D$370:D$371),3)=0,"OK","ERROR")</f>
        <v>OK</v>
      </c>
      <c r="E372" s="57" t="str">
        <f t="shared" si="87"/>
        <v>OK</v>
      </c>
      <c r="F372" s="57" t="str">
        <f t="shared" si="87"/>
        <v>OK</v>
      </c>
      <c r="G372" s="57" t="str">
        <f t="shared" si="87"/>
        <v>OK</v>
      </c>
      <c r="H372" s="57" t="str">
        <f t="shared" si="87"/>
        <v>OK</v>
      </c>
      <c r="I372" s="57" t="str">
        <f t="shared" si="87"/>
        <v>OK</v>
      </c>
      <c r="J372" s="57" t="str">
        <f t="shared" si="87"/>
        <v>OK</v>
      </c>
      <c r="K372" s="57" t="str">
        <f t="shared" si="87"/>
        <v>OK</v>
      </c>
      <c r="L372" s="57" t="str">
        <f t="shared" si="87"/>
        <v>OK</v>
      </c>
      <c r="M372" s="57" t="str">
        <f t="shared" si="87"/>
        <v>OK</v>
      </c>
      <c r="N372" s="57" t="str">
        <f t="shared" si="87"/>
        <v>OK</v>
      </c>
    </row>
    <row r="373" spans="1:14" x14ac:dyDescent="0.25">
      <c r="A373" s="55" t="s">
        <v>714</v>
      </c>
      <c r="B373" s="92"/>
      <c r="C373" s="16"/>
      <c r="D373" s="16"/>
      <c r="E373" s="16"/>
      <c r="F373" s="16"/>
      <c r="G373" s="16"/>
      <c r="H373" s="16"/>
      <c r="I373" s="16"/>
      <c r="J373" s="16"/>
      <c r="K373" s="16"/>
      <c r="L373" s="16"/>
      <c r="M373" s="16"/>
      <c r="N373" s="16"/>
    </row>
    <row r="374" spans="1:14" x14ac:dyDescent="0.25">
      <c r="A374" s="11" t="s">
        <v>715</v>
      </c>
      <c r="B374" s="92" t="str">
        <f>$B$10</f>
        <v>UIM</v>
      </c>
      <c r="C374" s="16"/>
      <c r="D374" s="16">
        <v>0</v>
      </c>
      <c r="E374" s="16">
        <v>0</v>
      </c>
      <c r="F374" s="16">
        <v>0.33600000000000002</v>
      </c>
      <c r="G374" s="16">
        <v>2.0960000000000001</v>
      </c>
      <c r="H374" s="16">
        <v>0.83199999999999996</v>
      </c>
      <c r="I374" s="16">
        <v>0.21</v>
      </c>
      <c r="J374" s="17">
        <v>0.27900000000000003</v>
      </c>
      <c r="K374" s="17">
        <v>0.33</v>
      </c>
      <c r="L374" s="17">
        <v>0.28299999999999997</v>
      </c>
      <c r="M374" s="17">
        <v>0.23</v>
      </c>
      <c r="N374" s="17">
        <v>0.17699999999999999</v>
      </c>
    </row>
    <row r="375" spans="1:14" x14ac:dyDescent="0.25">
      <c r="A375" s="11" t="s">
        <v>716</v>
      </c>
      <c r="B375" s="92" t="str">
        <f>$B$9</f>
        <v>NAC</v>
      </c>
      <c r="C375" s="16"/>
      <c r="D375" s="16">
        <v>0.42499999999999999</v>
      </c>
      <c r="E375" s="16">
        <v>0.82699999999999996</v>
      </c>
      <c r="F375" s="16">
        <v>1.5149999999999999</v>
      </c>
      <c r="G375" s="16">
        <v>3.0059999999999998</v>
      </c>
      <c r="H375" s="16">
        <v>1.583</v>
      </c>
      <c r="I375" s="16">
        <v>1.69</v>
      </c>
      <c r="J375" s="17">
        <v>2.4350000000000001</v>
      </c>
      <c r="K375" s="17">
        <v>2.2149999999999999</v>
      </c>
      <c r="L375" s="17">
        <v>2.1240000000000001</v>
      </c>
      <c r="M375" s="17">
        <v>2.073</v>
      </c>
      <c r="N375" s="17">
        <v>2.0630000000000002</v>
      </c>
    </row>
    <row r="376" spans="1:14" x14ac:dyDescent="0.25">
      <c r="A376" s="11" t="s">
        <v>717</v>
      </c>
      <c r="B376" s="92" t="str">
        <f>$B$10</f>
        <v>UIM</v>
      </c>
      <c r="C376" s="16"/>
      <c r="D376" s="16">
        <v>0.54300000000000004</v>
      </c>
      <c r="E376" s="16">
        <v>0.65</v>
      </c>
      <c r="F376" s="16">
        <v>1.853</v>
      </c>
      <c r="G376" s="16">
        <v>1.4890000000000001</v>
      </c>
      <c r="H376" s="16">
        <v>1.103</v>
      </c>
      <c r="I376" s="16">
        <v>0.83399999999999996</v>
      </c>
      <c r="J376" s="17">
        <v>1.194</v>
      </c>
      <c r="K376" s="17">
        <v>1.1739999999999999</v>
      </c>
      <c r="L376" s="17">
        <v>1.3680000000000001</v>
      </c>
      <c r="M376" s="17">
        <v>1.4219999999999999</v>
      </c>
      <c r="N376" s="17">
        <v>1.448</v>
      </c>
    </row>
    <row r="377" spans="1:14" x14ac:dyDescent="0.25">
      <c r="A377" s="11" t="s">
        <v>718</v>
      </c>
      <c r="B377" s="92" t="str">
        <f>$B$9</f>
        <v>NAC</v>
      </c>
      <c r="C377" s="16"/>
      <c r="D377" s="16">
        <v>-0.22500000000000001</v>
      </c>
      <c r="E377" s="16">
        <v>-1.097</v>
      </c>
      <c r="F377" s="16">
        <v>-1.4890000000000001</v>
      </c>
      <c r="G377" s="16">
        <v>-4.9169999999999998</v>
      </c>
      <c r="H377" s="16">
        <v>5.62</v>
      </c>
      <c r="I377" s="16">
        <v>-1.17</v>
      </c>
      <c r="J377" s="17">
        <v>-0.92800000000000005</v>
      </c>
      <c r="K377" s="17">
        <v>0</v>
      </c>
      <c r="L377" s="17">
        <v>0</v>
      </c>
      <c r="M377" s="17">
        <v>0</v>
      </c>
      <c r="N377" s="17">
        <v>0</v>
      </c>
    </row>
    <row r="378" spans="1:14" x14ac:dyDescent="0.25">
      <c r="A378" s="11" t="s">
        <v>719</v>
      </c>
      <c r="B378" s="92" t="str">
        <f>$B$9</f>
        <v>NAC</v>
      </c>
      <c r="C378" s="16"/>
      <c r="D378" s="16">
        <v>0</v>
      </c>
      <c r="E378" s="16">
        <v>0</v>
      </c>
      <c r="F378" s="16">
        <v>-0.14299999999999999</v>
      </c>
      <c r="G378" s="16">
        <v>-1.2E-2</v>
      </c>
      <c r="H378" s="16">
        <v>8.5000000000000006E-2</v>
      </c>
      <c r="I378" s="16">
        <v>-2.3E-2</v>
      </c>
      <c r="J378" s="17">
        <v>-3.5999999999999997E-2</v>
      </c>
      <c r="K378" s="17">
        <v>-0.104</v>
      </c>
      <c r="L378" s="17">
        <v>-0.13</v>
      </c>
      <c r="M378" s="17">
        <v>8.0000000000000002E-3</v>
      </c>
      <c r="N378" s="17">
        <v>-3.4000000000000002E-2</v>
      </c>
    </row>
    <row r="379" spans="1:14" x14ac:dyDescent="0.25">
      <c r="A379" s="55" t="s">
        <v>720</v>
      </c>
      <c r="B379" s="92"/>
      <c r="C379" s="16"/>
      <c r="D379" s="57" t="str">
        <f t="shared" ref="D379:N379" si="88">IF(ROUND(D$138-SUM(C$138,D$374,-D$375,D$376,-D$377,D$378),3)=0,"OK","ERROR")</f>
        <v>OK</v>
      </c>
      <c r="E379" s="57" t="str">
        <f t="shared" si="88"/>
        <v>OK</v>
      </c>
      <c r="F379" s="57" t="str">
        <f t="shared" si="88"/>
        <v>OK</v>
      </c>
      <c r="G379" s="57" t="str">
        <f t="shared" si="88"/>
        <v>OK</v>
      </c>
      <c r="H379" s="57" t="str">
        <f t="shared" si="88"/>
        <v>OK</v>
      </c>
      <c r="I379" s="57" t="str">
        <f t="shared" si="88"/>
        <v>OK</v>
      </c>
      <c r="J379" s="57" t="str">
        <f t="shared" si="88"/>
        <v>OK</v>
      </c>
      <c r="K379" s="57" t="str">
        <f t="shared" si="88"/>
        <v>OK</v>
      </c>
      <c r="L379" s="57" t="str">
        <f t="shared" si="88"/>
        <v>OK</v>
      </c>
      <c r="M379" s="57" t="str">
        <f t="shared" si="88"/>
        <v>OK</v>
      </c>
      <c r="N379" s="57" t="str">
        <f t="shared" si="88"/>
        <v>OK</v>
      </c>
    </row>
    <row r="380" spans="1:14" x14ac:dyDescent="0.25">
      <c r="A380" s="55" t="s">
        <v>560</v>
      </c>
      <c r="B380" s="92"/>
      <c r="C380" s="16"/>
      <c r="D380" s="17"/>
      <c r="E380" s="17"/>
      <c r="F380" s="17"/>
      <c r="G380" s="17"/>
      <c r="H380" s="17"/>
      <c r="I380" s="17"/>
      <c r="J380" s="17"/>
      <c r="K380" s="17"/>
      <c r="L380" s="17"/>
      <c r="M380" s="17"/>
      <c r="N380" s="17"/>
    </row>
    <row r="381" spans="1:14" x14ac:dyDescent="0.25">
      <c r="A381" s="11" t="s">
        <v>654</v>
      </c>
      <c r="B381" s="92" t="str">
        <f>$B$10</f>
        <v>UIM</v>
      </c>
      <c r="C381" s="16"/>
      <c r="D381" s="16">
        <v>56.610999999999997</v>
      </c>
      <c r="E381" s="16">
        <v>64.945999999999998</v>
      </c>
      <c r="F381" s="16">
        <v>59.133000000000003</v>
      </c>
      <c r="G381" s="16">
        <v>54.115000000000002</v>
      </c>
      <c r="H381" s="16">
        <v>55.664000000000001</v>
      </c>
      <c r="I381" s="16">
        <v>65.049000000000007</v>
      </c>
      <c r="J381" s="17">
        <v>68.626999999999995</v>
      </c>
      <c r="K381" s="17">
        <v>71.796999999999997</v>
      </c>
      <c r="L381" s="17">
        <v>75.256</v>
      </c>
      <c r="M381" s="17">
        <v>79.001999999999995</v>
      </c>
      <c r="N381" s="17">
        <v>82.98</v>
      </c>
    </row>
    <row r="382" spans="1:14" x14ac:dyDescent="0.25">
      <c r="A382" s="11" t="s">
        <v>655</v>
      </c>
      <c r="B382" s="92" t="str">
        <f>$B$10</f>
        <v>UIM</v>
      </c>
      <c r="C382" s="16"/>
      <c r="D382" s="16">
        <v>1.3420000000000001</v>
      </c>
      <c r="E382" s="16">
        <v>1.528</v>
      </c>
      <c r="F382" s="16">
        <v>0.80300000000000005</v>
      </c>
      <c r="G382" s="16">
        <v>0.86299999999999999</v>
      </c>
      <c r="H382" s="16">
        <v>1.617</v>
      </c>
      <c r="I382" s="16">
        <v>1.3009999999999999</v>
      </c>
      <c r="J382" s="17">
        <v>1.095</v>
      </c>
      <c r="K382" s="17">
        <v>0.99199999999999999</v>
      </c>
      <c r="L382" s="17">
        <v>0.877</v>
      </c>
      <c r="M382" s="17">
        <v>0.82399999999999995</v>
      </c>
      <c r="N382" s="17">
        <v>0.69299999999999995</v>
      </c>
    </row>
    <row r="383" spans="1:14" x14ac:dyDescent="0.25">
      <c r="A383" s="11" t="s">
        <v>721</v>
      </c>
      <c r="B383" s="92" t="str">
        <f>$B$10</f>
        <v>UIM</v>
      </c>
      <c r="C383" s="16"/>
      <c r="D383" s="16">
        <v>0.26300000000000001</v>
      </c>
      <c r="E383" s="16">
        <v>0.216</v>
      </c>
      <c r="F383" s="16">
        <v>0.4</v>
      </c>
      <c r="G383" s="16">
        <v>0.32300000000000001</v>
      </c>
      <c r="H383" s="16">
        <v>0.23</v>
      </c>
      <c r="I383" s="16">
        <v>0.22500000000000001</v>
      </c>
      <c r="J383" s="17">
        <v>0.20599999999999999</v>
      </c>
      <c r="K383" s="17">
        <v>0.17499999999999999</v>
      </c>
      <c r="L383" s="17">
        <v>0.155</v>
      </c>
      <c r="M383" s="17">
        <v>0.153</v>
      </c>
      <c r="N383" s="17">
        <v>0.156</v>
      </c>
    </row>
    <row r="384" spans="1:14" x14ac:dyDescent="0.25">
      <c r="A384" s="55" t="s">
        <v>722</v>
      </c>
      <c r="B384" s="92"/>
      <c r="C384" s="16"/>
      <c r="D384" s="57" t="str">
        <f t="shared" ref="D384:N384" si="89">IF(ROUND(D$139-SUM(D$381:D$383),3)=0,"OK","ERROR")</f>
        <v>OK</v>
      </c>
      <c r="E384" s="57" t="str">
        <f t="shared" si="89"/>
        <v>OK</v>
      </c>
      <c r="F384" s="57" t="str">
        <f t="shared" si="89"/>
        <v>OK</v>
      </c>
      <c r="G384" s="57" t="str">
        <f t="shared" si="89"/>
        <v>OK</v>
      </c>
      <c r="H384" s="57" t="str">
        <f t="shared" si="89"/>
        <v>OK</v>
      </c>
      <c r="I384" s="57" t="str">
        <f t="shared" si="89"/>
        <v>OK</v>
      </c>
      <c r="J384" s="57" t="str">
        <f t="shared" si="89"/>
        <v>OK</v>
      </c>
      <c r="K384" s="57" t="str">
        <f t="shared" si="89"/>
        <v>OK</v>
      </c>
      <c r="L384" s="57" t="str">
        <f t="shared" si="89"/>
        <v>OK</v>
      </c>
      <c r="M384" s="57" t="str">
        <f t="shared" si="89"/>
        <v>OK</v>
      </c>
      <c r="N384" s="57" t="str">
        <f t="shared" si="89"/>
        <v>OK</v>
      </c>
    </row>
    <row r="385" spans="1:14" x14ac:dyDescent="0.25">
      <c r="A385" s="2"/>
      <c r="B385" s="92"/>
      <c r="C385" s="16"/>
      <c r="D385" s="17"/>
      <c r="E385" s="17"/>
      <c r="F385" s="17"/>
      <c r="G385" s="17"/>
      <c r="H385" s="17"/>
      <c r="I385" s="17"/>
      <c r="J385" s="17"/>
      <c r="K385" s="17"/>
      <c r="L385" s="17"/>
      <c r="M385" s="17"/>
      <c r="N385" s="17"/>
    </row>
    <row r="386" spans="1:14" x14ac:dyDescent="0.25">
      <c r="A386" s="55" t="s">
        <v>723</v>
      </c>
      <c r="B386" s="92"/>
      <c r="C386" s="16"/>
      <c r="D386" s="17"/>
      <c r="E386" s="17"/>
      <c r="F386" s="17"/>
      <c r="G386" s="17"/>
      <c r="H386" s="17"/>
      <c r="I386" s="17"/>
      <c r="J386" s="17"/>
      <c r="K386" s="17"/>
      <c r="L386" s="17"/>
      <c r="M386" s="17"/>
      <c r="N386" s="17"/>
    </row>
    <row r="387" spans="1:14" x14ac:dyDescent="0.25">
      <c r="A387" s="11" t="s">
        <v>724</v>
      </c>
      <c r="B387" s="92" t="str">
        <f t="shared" ref="B387:B393" si="90">$B$10</f>
        <v>UIM</v>
      </c>
      <c r="C387" s="16"/>
      <c r="D387" s="16">
        <v>83.715999999999994</v>
      </c>
      <c r="E387" s="16">
        <v>84.31</v>
      </c>
      <c r="F387" s="16">
        <v>96.551000000000002</v>
      </c>
      <c r="G387" s="16">
        <v>105.48699999999999</v>
      </c>
      <c r="H387" s="16">
        <v>111.292</v>
      </c>
      <c r="I387" s="16">
        <v>116.73699999999999</v>
      </c>
      <c r="J387" s="17">
        <v>123.553</v>
      </c>
      <c r="K387" s="17">
        <v>125.956</v>
      </c>
      <c r="L387" s="17">
        <v>133.53399999999999</v>
      </c>
      <c r="M387" s="17">
        <v>140.86500000000001</v>
      </c>
      <c r="N387" s="17">
        <v>148.369</v>
      </c>
    </row>
    <row r="388" spans="1:14" x14ac:dyDescent="0.25">
      <c r="A388" s="11" t="s">
        <v>498</v>
      </c>
      <c r="B388" s="92" t="str">
        <f t="shared" si="90"/>
        <v>UIM</v>
      </c>
      <c r="C388" s="16"/>
      <c r="D388" s="16">
        <v>1.359</v>
      </c>
      <c r="E388" s="16">
        <v>1.226</v>
      </c>
      <c r="F388" s="16">
        <v>2.2869999999999999</v>
      </c>
      <c r="G388" s="16">
        <v>3.3639999999999999</v>
      </c>
      <c r="H388" s="16">
        <v>2.492</v>
      </c>
      <c r="I388" s="16">
        <v>1.79</v>
      </c>
      <c r="J388" s="17">
        <v>1.9770000000000001</v>
      </c>
      <c r="K388" s="17">
        <v>2.2309999999999999</v>
      </c>
      <c r="L388" s="17">
        <v>2.371</v>
      </c>
      <c r="M388" s="17">
        <v>2.367</v>
      </c>
      <c r="N388" s="17">
        <v>2.35</v>
      </c>
    </row>
    <row r="389" spans="1:14" x14ac:dyDescent="0.25">
      <c r="A389" s="11" t="s">
        <v>499</v>
      </c>
      <c r="B389" s="92" t="str">
        <f t="shared" si="90"/>
        <v>UIM</v>
      </c>
      <c r="C389" s="16"/>
      <c r="D389" s="16">
        <v>0.71199999999999997</v>
      </c>
      <c r="E389" s="16">
        <v>0.42799999999999999</v>
      </c>
      <c r="F389" s="16">
        <v>0.249</v>
      </c>
      <c r="G389" s="16">
        <v>0.39300000000000002</v>
      </c>
      <c r="H389" s="16">
        <v>0.98199999999999998</v>
      </c>
      <c r="I389" s="16">
        <v>1.8779999999999999</v>
      </c>
      <c r="J389" s="17">
        <v>2.7080000000000002</v>
      </c>
      <c r="K389" s="17">
        <v>2.2959999999999998</v>
      </c>
      <c r="L389" s="17">
        <v>1.3180000000000001</v>
      </c>
      <c r="M389" s="17">
        <v>1.2809999999999999</v>
      </c>
      <c r="N389" s="17">
        <v>1.3220000000000001</v>
      </c>
    </row>
    <row r="390" spans="1:14" x14ac:dyDescent="0.25">
      <c r="A390" s="11" t="s">
        <v>725</v>
      </c>
      <c r="B390" s="92" t="str">
        <f t="shared" si="90"/>
        <v>UIM</v>
      </c>
      <c r="C390" s="16"/>
      <c r="D390" s="16">
        <v>3.2</v>
      </c>
      <c r="E390" s="16">
        <v>3.2429999999999999</v>
      </c>
      <c r="F390" s="16">
        <v>2.98</v>
      </c>
      <c r="G390" s="16">
        <v>2.883</v>
      </c>
      <c r="H390" s="16">
        <v>3.9540000000000002</v>
      </c>
      <c r="I390" s="16">
        <v>3.7789999999999999</v>
      </c>
      <c r="J390" s="17">
        <v>3.89</v>
      </c>
      <c r="K390" s="17">
        <v>4.1050000000000004</v>
      </c>
      <c r="L390" s="17">
        <v>4.0579999999999998</v>
      </c>
      <c r="M390" s="17">
        <v>4.1710000000000003</v>
      </c>
      <c r="N390" s="17">
        <v>4.2569999999999997</v>
      </c>
    </row>
    <row r="391" spans="1:14" x14ac:dyDescent="0.25">
      <c r="A391" s="11" t="s">
        <v>726</v>
      </c>
      <c r="B391" s="92" t="str">
        <f t="shared" si="90"/>
        <v>UIM</v>
      </c>
      <c r="C391" s="16"/>
      <c r="D391" s="16">
        <v>28.91</v>
      </c>
      <c r="E391" s="16">
        <v>43.915999999999997</v>
      </c>
      <c r="F391" s="16">
        <v>36.573999999999998</v>
      </c>
      <c r="G391" s="16">
        <v>45.44</v>
      </c>
      <c r="H391" s="16">
        <v>40.417000000000002</v>
      </c>
      <c r="I391" s="16">
        <v>43.494999999999997</v>
      </c>
      <c r="J391" s="17">
        <v>47.723999999999997</v>
      </c>
      <c r="K391" s="17">
        <v>49.08</v>
      </c>
      <c r="L391" s="17">
        <v>50.116</v>
      </c>
      <c r="M391" s="17">
        <v>51.552</v>
      </c>
      <c r="N391" s="17">
        <v>53.042000000000002</v>
      </c>
    </row>
    <row r="392" spans="1:14" x14ac:dyDescent="0.25">
      <c r="A392" s="11" t="s">
        <v>727</v>
      </c>
      <c r="B392" s="92" t="str">
        <f t="shared" si="90"/>
        <v>UIM</v>
      </c>
      <c r="C392" s="16"/>
      <c r="D392" s="16">
        <v>50.591000000000001</v>
      </c>
      <c r="E392" s="16">
        <v>56.582999999999998</v>
      </c>
      <c r="F392" s="16">
        <v>63.893999999999998</v>
      </c>
      <c r="G392" s="16">
        <v>71.98</v>
      </c>
      <c r="H392" s="16">
        <v>76.433999999999997</v>
      </c>
      <c r="I392" s="16">
        <v>79.747</v>
      </c>
      <c r="J392" s="17">
        <v>84.227999999999994</v>
      </c>
      <c r="K392" s="17">
        <v>83.905000000000001</v>
      </c>
      <c r="L392" s="17">
        <v>84.182000000000002</v>
      </c>
      <c r="M392" s="17">
        <v>82.603999999999999</v>
      </c>
      <c r="N392" s="17">
        <v>82.471999999999994</v>
      </c>
    </row>
    <row r="393" spans="1:14" x14ac:dyDescent="0.25">
      <c r="A393" s="11" t="s">
        <v>728</v>
      </c>
      <c r="B393" s="92" t="str">
        <f t="shared" si="90"/>
        <v>UIM</v>
      </c>
      <c r="C393" s="16"/>
      <c r="D393" s="16">
        <v>3.45</v>
      </c>
      <c r="E393" s="16">
        <v>3.016</v>
      </c>
      <c r="F393" s="16">
        <v>2.6419999999999999</v>
      </c>
      <c r="G393" s="16">
        <v>2.8410000000000002</v>
      </c>
      <c r="H393" s="16">
        <v>5.3049999999999997</v>
      </c>
      <c r="I393" s="16">
        <v>7.0439999999999996</v>
      </c>
      <c r="J393" s="17">
        <v>6.9340000000000002</v>
      </c>
      <c r="K393" s="17">
        <v>7.6150000000000002</v>
      </c>
      <c r="L393" s="17">
        <v>8.6690000000000005</v>
      </c>
      <c r="M393" s="17">
        <v>9.2949999999999999</v>
      </c>
      <c r="N393" s="17">
        <v>10.396000000000001</v>
      </c>
    </row>
    <row r="394" spans="1:14" x14ac:dyDescent="0.25">
      <c r="A394" s="55" t="s">
        <v>729</v>
      </c>
      <c r="B394" s="92" t="str">
        <f>$B$9</f>
        <v>NAC</v>
      </c>
      <c r="C394" s="16"/>
      <c r="D394" s="56">
        <f t="shared" ref="D394:N394" si="91">SUM(D$387:D$390)-SUM(D$21:D$22,D$391:D$393)</f>
        <v>6.0359999999999872</v>
      </c>
      <c r="E394" s="56">
        <f t="shared" si="91"/>
        <v>-14.308000000000007</v>
      </c>
      <c r="F394" s="56">
        <f t="shared" si="91"/>
        <v>-1.0429999999999779</v>
      </c>
      <c r="G394" s="56">
        <f t="shared" si="91"/>
        <v>-8.1340000000000003</v>
      </c>
      <c r="H394" s="56">
        <f t="shared" si="91"/>
        <v>-3.436000000000007</v>
      </c>
      <c r="I394" s="56">
        <f t="shared" si="91"/>
        <v>-6.1020000000000039</v>
      </c>
      <c r="J394" s="56">
        <f t="shared" si="91"/>
        <v>-4.0579999999999927</v>
      </c>
      <c r="K394" s="56">
        <f t="shared" si="91"/>
        <v>-6.8320000000000221</v>
      </c>
      <c r="L394" s="56">
        <f t="shared" si="91"/>
        <v>-3.8050000000000068</v>
      </c>
      <c r="M394" s="56">
        <f t="shared" si="91"/>
        <v>0.46399999999999864</v>
      </c>
      <c r="N394" s="56">
        <f t="shared" si="91"/>
        <v>3.0849999999999795</v>
      </c>
    </row>
    <row r="395" spans="1:14" x14ac:dyDescent="0.25">
      <c r="A395" s="11" t="s">
        <v>730</v>
      </c>
      <c r="B395" s="92" t="str">
        <f>$B$10</f>
        <v>UIM</v>
      </c>
      <c r="C395" s="16"/>
      <c r="D395" s="16">
        <v>-3.0019999999999998</v>
      </c>
      <c r="E395" s="16">
        <v>-2.9550000000000001</v>
      </c>
      <c r="F395" s="16">
        <v>-3.137</v>
      </c>
      <c r="G395" s="16">
        <v>-3.4740000000000002</v>
      </c>
      <c r="H395" s="16">
        <v>-4.4349999999999996</v>
      </c>
      <c r="I395" s="16">
        <v>-4.7009999999999996</v>
      </c>
      <c r="J395" s="17">
        <v>-4.242</v>
      </c>
      <c r="K395" s="17">
        <v>-4.3230000000000004</v>
      </c>
      <c r="L395" s="17">
        <v>-3.5950000000000002</v>
      </c>
      <c r="M395" s="17">
        <v>-2.7170000000000001</v>
      </c>
      <c r="N395" s="17">
        <v>-2.4750000000000001</v>
      </c>
    </row>
    <row r="396" spans="1:14" x14ac:dyDescent="0.25">
      <c r="A396" s="11" t="s">
        <v>731</v>
      </c>
      <c r="B396" s="92" t="str">
        <f>$B$10</f>
        <v>UIM</v>
      </c>
      <c r="C396" s="16"/>
      <c r="D396" s="16">
        <v>-8.5999999999999993E-2</v>
      </c>
      <c r="E396" s="16">
        <v>-1.798</v>
      </c>
      <c r="F396" s="16">
        <v>-3.8679999999999999</v>
      </c>
      <c r="G396" s="16">
        <v>-9.1920000000000002</v>
      </c>
      <c r="H396" s="16">
        <v>-9.1590000000000007</v>
      </c>
      <c r="I396" s="16">
        <v>-2.5329999999999999</v>
      </c>
      <c r="J396" s="17">
        <v>5.3380000000000001</v>
      </c>
      <c r="K396" s="17">
        <v>4.7889999999999997</v>
      </c>
      <c r="L396" s="17">
        <v>-2.992</v>
      </c>
      <c r="M396" s="17">
        <v>-1.8180000000000001</v>
      </c>
      <c r="N396" s="17">
        <v>-1.944</v>
      </c>
    </row>
    <row r="397" spans="1:14" x14ac:dyDescent="0.25">
      <c r="A397" s="11" t="s">
        <v>732</v>
      </c>
      <c r="B397" s="92" t="str">
        <f>$B$10</f>
        <v>UIM</v>
      </c>
      <c r="C397" s="16"/>
      <c r="D397" s="16">
        <v>-2.6579999999999999</v>
      </c>
      <c r="E397" s="16">
        <v>-3.1709999999999998</v>
      </c>
      <c r="F397" s="16">
        <v>-3.5990000000000002</v>
      </c>
      <c r="G397" s="16">
        <v>-3.823</v>
      </c>
      <c r="H397" s="16">
        <v>-6.06</v>
      </c>
      <c r="I397" s="16">
        <v>-4.3520000000000003</v>
      </c>
      <c r="J397" s="17">
        <v>-7.649</v>
      </c>
      <c r="K397" s="17">
        <v>-6.5069999999999997</v>
      </c>
      <c r="L397" s="17">
        <v>-4.774</v>
      </c>
      <c r="M397" s="17">
        <v>-3.9990000000000001</v>
      </c>
      <c r="N397" s="17">
        <v>-2.8170000000000002</v>
      </c>
    </row>
    <row r="398" spans="1:14" x14ac:dyDescent="0.25">
      <c r="A398" s="55" t="s">
        <v>733</v>
      </c>
      <c r="B398" s="92" t="str">
        <f>$B$9</f>
        <v>NAC</v>
      </c>
      <c r="C398" s="16"/>
      <c r="D398" s="56">
        <f t="shared" ref="D398:N398" si="92">SUM(D$395:D$397)-SUM(D$362,D$131-C$131,D$132-C$132)</f>
        <v>-6.7459999999999996</v>
      </c>
      <c r="E398" s="56">
        <f t="shared" si="92"/>
        <v>-9.3840000000000003</v>
      </c>
      <c r="F398" s="56">
        <f t="shared" si="92"/>
        <v>-12.724</v>
      </c>
      <c r="G398" s="56">
        <f t="shared" si="92"/>
        <v>-18.908999999999999</v>
      </c>
      <c r="H398" s="56">
        <f t="shared" si="92"/>
        <v>-22.212</v>
      </c>
      <c r="I398" s="56">
        <f t="shared" si="92"/>
        <v>-13.200000000000001</v>
      </c>
      <c r="J398" s="56">
        <f t="shared" si="92"/>
        <v>-5.9320000000000004</v>
      </c>
      <c r="K398" s="56">
        <f t="shared" si="92"/>
        <v>-7.7010000000000005</v>
      </c>
      <c r="L398" s="56">
        <f t="shared" si="92"/>
        <v>-14.407</v>
      </c>
      <c r="M398" s="56">
        <f t="shared" si="92"/>
        <v>-11.879000000000001</v>
      </c>
      <c r="N398" s="56">
        <f t="shared" si="92"/>
        <v>-11.23</v>
      </c>
    </row>
    <row r="399" spans="1:14" x14ac:dyDescent="0.25">
      <c r="A399" s="55" t="s">
        <v>734</v>
      </c>
      <c r="B399" s="92" t="str">
        <f>$B$9</f>
        <v>NAC</v>
      </c>
      <c r="C399" s="16"/>
      <c r="D399" s="47">
        <v>-0.71</v>
      </c>
      <c r="E399" s="47">
        <v>-23.692</v>
      </c>
      <c r="F399" s="47">
        <v>-13.766999999999999</v>
      </c>
      <c r="G399" s="47">
        <v>-27.042999999999999</v>
      </c>
      <c r="H399" s="47">
        <v>-25.648</v>
      </c>
      <c r="I399" s="47">
        <v>-19.302</v>
      </c>
      <c r="J399" s="43">
        <v>-9.99</v>
      </c>
      <c r="K399" s="43">
        <v>-14.532999999999999</v>
      </c>
      <c r="L399" s="43">
        <v>-18.212</v>
      </c>
      <c r="M399" s="43">
        <v>-11.414999999999999</v>
      </c>
      <c r="N399" s="43">
        <v>-8.1449999999999996</v>
      </c>
    </row>
    <row r="400" spans="1:14" x14ac:dyDescent="0.25">
      <c r="A400" s="55" t="s">
        <v>735</v>
      </c>
      <c r="B400" s="92"/>
      <c r="C400" s="16"/>
      <c r="D400" s="57" t="str">
        <f t="shared" ref="D400:N400" si="93">IF(ROUND(D$399-SUM(D$394,D$398),3)=0,"OK","ERROR")</f>
        <v>OK</v>
      </c>
      <c r="E400" s="57" t="str">
        <f t="shared" si="93"/>
        <v>OK</v>
      </c>
      <c r="F400" s="57" t="str">
        <f t="shared" si="93"/>
        <v>OK</v>
      </c>
      <c r="G400" s="57" t="str">
        <f t="shared" si="93"/>
        <v>OK</v>
      </c>
      <c r="H400" s="57" t="str">
        <f t="shared" si="93"/>
        <v>OK</v>
      </c>
      <c r="I400" s="57" t="str">
        <f t="shared" si="93"/>
        <v>OK</v>
      </c>
      <c r="J400" s="57" t="str">
        <f t="shared" si="93"/>
        <v>OK</v>
      </c>
      <c r="K400" s="57" t="str">
        <f t="shared" si="93"/>
        <v>OK</v>
      </c>
      <c r="L400" s="57" t="str">
        <f t="shared" si="93"/>
        <v>OK</v>
      </c>
      <c r="M400" s="57" t="str">
        <f t="shared" si="93"/>
        <v>OK</v>
      </c>
      <c r="N400" s="57" t="str">
        <f t="shared" si="93"/>
        <v>OK</v>
      </c>
    </row>
    <row r="401" spans="1:14" x14ac:dyDescent="0.25">
      <c r="A401" s="55" t="s">
        <v>736</v>
      </c>
      <c r="B401" s="92" t="str">
        <f>$B$10</f>
        <v>UIM</v>
      </c>
      <c r="C401" s="16"/>
      <c r="D401" s="47">
        <v>-4.9580000000000002</v>
      </c>
      <c r="E401" s="47">
        <v>33.061999999999998</v>
      </c>
      <c r="F401" s="47">
        <v>3.8090000000000002</v>
      </c>
      <c r="G401" s="47">
        <v>28.693999999999999</v>
      </c>
      <c r="H401" s="47">
        <v>22.715</v>
      </c>
      <c r="I401" s="47">
        <v>25.202999999999999</v>
      </c>
      <c r="J401" s="43">
        <v>22.451000000000001</v>
      </c>
      <c r="K401" s="43">
        <v>20.768000000000001</v>
      </c>
      <c r="L401" s="43">
        <v>15.787000000000001</v>
      </c>
      <c r="M401" s="43">
        <v>10.113</v>
      </c>
      <c r="N401" s="43">
        <v>6.9329999999999998</v>
      </c>
    </row>
    <row r="402" spans="1:14" x14ac:dyDescent="0.25">
      <c r="A402" s="11" t="s">
        <v>737</v>
      </c>
      <c r="B402" s="92" t="str">
        <f>$B$10</f>
        <v>UIM</v>
      </c>
      <c r="C402" s="16"/>
      <c r="D402" s="16">
        <v>5.1630000000000003</v>
      </c>
      <c r="E402" s="16">
        <v>-14.911</v>
      </c>
      <c r="F402" s="16">
        <v>6.0419999999999998</v>
      </c>
      <c r="G402" s="16">
        <v>-2.8000000000000001E-2</v>
      </c>
      <c r="H402" s="16">
        <v>2.7749999999999999</v>
      </c>
      <c r="I402" s="16">
        <v>-8.4169999999999998</v>
      </c>
      <c r="J402" s="17">
        <v>-5.7210000000000001</v>
      </c>
      <c r="K402" s="17">
        <v>-6.3159999999999998</v>
      </c>
      <c r="L402" s="17">
        <v>2.339</v>
      </c>
      <c r="M402" s="17">
        <v>1.2090000000000001</v>
      </c>
      <c r="N402" s="17">
        <v>1.113</v>
      </c>
    </row>
    <row r="403" spans="1:14" x14ac:dyDescent="0.25">
      <c r="A403" s="11" t="s">
        <v>738</v>
      </c>
      <c r="B403" s="92" t="str">
        <f>$B$10</f>
        <v>UIM</v>
      </c>
      <c r="C403" s="16"/>
      <c r="D403" s="16">
        <v>6.8000000000000005E-2</v>
      </c>
      <c r="E403" s="16">
        <v>4.3319999999999999</v>
      </c>
      <c r="F403" s="16">
        <v>3.6819999999999999</v>
      </c>
      <c r="G403" s="16">
        <v>-2.4279999999999999</v>
      </c>
      <c r="H403" s="16">
        <v>0.217</v>
      </c>
      <c r="I403" s="16">
        <v>2.54</v>
      </c>
      <c r="J403" s="17">
        <v>-6.8289999999999997</v>
      </c>
      <c r="K403" s="17">
        <v>-0.01</v>
      </c>
      <c r="L403" s="17">
        <v>-6.0000000000000001E-3</v>
      </c>
      <c r="M403" s="17">
        <v>1E-3</v>
      </c>
      <c r="N403" s="17">
        <v>6.0000000000000001E-3</v>
      </c>
    </row>
    <row r="404" spans="1:14" x14ac:dyDescent="0.25">
      <c r="A404" s="55" t="s">
        <v>739</v>
      </c>
      <c r="B404" s="92" t="str">
        <f>$B$9</f>
        <v>NAC</v>
      </c>
      <c r="C404" s="16"/>
      <c r="D404" s="56">
        <f t="shared" ref="D404:N404" si="94">SUM(D$92,D$402:D$403)</f>
        <v>5.6680000000000001</v>
      </c>
      <c r="E404" s="56">
        <f t="shared" si="94"/>
        <v>-9.370000000000001</v>
      </c>
      <c r="F404" s="56">
        <f t="shared" si="94"/>
        <v>9.9580000000000002</v>
      </c>
      <c r="G404" s="56">
        <f t="shared" si="94"/>
        <v>-1.6509999999999998</v>
      </c>
      <c r="H404" s="56">
        <f t="shared" si="94"/>
        <v>2.9329999999999998</v>
      </c>
      <c r="I404" s="56">
        <f t="shared" si="94"/>
        <v>-5.9009999999999989</v>
      </c>
      <c r="J404" s="56">
        <f t="shared" si="94"/>
        <v>-12.460999999999999</v>
      </c>
      <c r="K404" s="56">
        <f t="shared" si="94"/>
        <v>-6.2349999999999994</v>
      </c>
      <c r="L404" s="56">
        <f t="shared" si="94"/>
        <v>2.4250000000000003</v>
      </c>
      <c r="M404" s="56">
        <f t="shared" si="94"/>
        <v>1.302</v>
      </c>
      <c r="N404" s="56">
        <f t="shared" si="94"/>
        <v>1.212</v>
      </c>
    </row>
    <row r="405" spans="1:14" x14ac:dyDescent="0.25">
      <c r="A405" s="55" t="s">
        <v>740</v>
      </c>
      <c r="B405" s="16"/>
      <c r="C405" s="16"/>
      <c r="D405" s="56">
        <f t="shared" ref="D405:N405" si="95">SUM(D$401,D$404)</f>
        <v>0.71</v>
      </c>
      <c r="E405" s="56">
        <f t="shared" si="95"/>
        <v>23.691999999999997</v>
      </c>
      <c r="F405" s="56">
        <f t="shared" si="95"/>
        <v>13.766999999999999</v>
      </c>
      <c r="G405" s="56">
        <f t="shared" si="95"/>
        <v>27.042999999999999</v>
      </c>
      <c r="H405" s="56">
        <f t="shared" si="95"/>
        <v>25.648</v>
      </c>
      <c r="I405" s="56">
        <f t="shared" si="95"/>
        <v>19.302</v>
      </c>
      <c r="J405" s="56">
        <f t="shared" si="95"/>
        <v>9.990000000000002</v>
      </c>
      <c r="K405" s="56">
        <f t="shared" si="95"/>
        <v>14.533000000000001</v>
      </c>
      <c r="L405" s="56">
        <f t="shared" si="95"/>
        <v>18.212</v>
      </c>
      <c r="M405" s="56">
        <f t="shared" si="95"/>
        <v>11.414999999999999</v>
      </c>
      <c r="N405" s="56">
        <f t="shared" si="95"/>
        <v>8.1449999999999996</v>
      </c>
    </row>
    <row r="407" spans="1:14" x14ac:dyDescent="0.25">
      <c r="A407" s="55" t="s">
        <v>890</v>
      </c>
    </row>
    <row r="408" spans="1:14" x14ac:dyDescent="0.25">
      <c r="A408" s="11" t="s">
        <v>1110</v>
      </c>
      <c r="B408" s="92" t="str">
        <f>$B$10</f>
        <v>UIM</v>
      </c>
      <c r="D408" s="16">
        <v>1.8959999999999999</v>
      </c>
      <c r="E408" s="16">
        <v>2.0070000000000001</v>
      </c>
      <c r="F408" s="16">
        <v>2.1320000000000001</v>
      </c>
      <c r="G408" s="16">
        <v>2.2469999999999999</v>
      </c>
      <c r="H408" s="16">
        <v>2.355</v>
      </c>
      <c r="I408" s="16">
        <v>2.71</v>
      </c>
      <c r="J408" s="17">
        <v>2.9649999999999999</v>
      </c>
      <c r="K408" s="17">
        <v>3.0649999999999999</v>
      </c>
      <c r="L408" s="17">
        <v>3.0990000000000002</v>
      </c>
      <c r="M408" s="17">
        <v>3.1419999999999999</v>
      </c>
      <c r="N408" s="17">
        <v>3.1850000000000001</v>
      </c>
    </row>
    <row r="409" spans="1:14" x14ac:dyDescent="0.25">
      <c r="A409" s="11" t="s">
        <v>1111</v>
      </c>
      <c r="B409" s="92" t="str">
        <f>$B$10</f>
        <v>UIM</v>
      </c>
      <c r="D409" s="16">
        <v>3.835</v>
      </c>
      <c r="E409" s="16">
        <v>4.0129999999999999</v>
      </c>
      <c r="F409" s="16">
        <v>4.6470000000000002</v>
      </c>
      <c r="G409" s="16">
        <v>4.7329999999999997</v>
      </c>
      <c r="H409" s="16">
        <v>4.7789999999999999</v>
      </c>
      <c r="I409" s="16">
        <v>5.39</v>
      </c>
      <c r="J409" s="17">
        <f>4.788+0.759</f>
        <v>5.5470000000000006</v>
      </c>
      <c r="K409" s="17">
        <f>4.964+0.75</f>
        <v>5.7140000000000004</v>
      </c>
      <c r="L409" s="17">
        <f>4.964+0.692</f>
        <v>5.6560000000000006</v>
      </c>
      <c r="M409" s="17">
        <f>4.899+0.626</f>
        <v>5.5250000000000004</v>
      </c>
      <c r="N409" s="17">
        <f>4.824+0.625</f>
        <v>5.4489999999999998</v>
      </c>
    </row>
    <row r="410" spans="1:14" x14ac:dyDescent="0.25">
      <c r="A410" s="11" t="s">
        <v>1112</v>
      </c>
      <c r="B410" s="92" t="str">
        <f>$B$10</f>
        <v>UIM</v>
      </c>
      <c r="D410" s="16">
        <v>2.988</v>
      </c>
      <c r="E410" s="16">
        <v>3.0950000000000002</v>
      </c>
      <c r="F410" s="16">
        <v>3.5830000000000002</v>
      </c>
      <c r="G410" s="16">
        <v>3.7450000000000001</v>
      </c>
      <c r="H410" s="16">
        <v>3.8370000000000002</v>
      </c>
      <c r="I410" s="16">
        <v>4.351</v>
      </c>
      <c r="J410" s="17">
        <f>3.776+0.758</f>
        <v>4.5339999999999998</v>
      </c>
      <c r="K410" s="17">
        <f>3.993+0.75</f>
        <v>4.7430000000000003</v>
      </c>
      <c r="L410" s="17">
        <f>4.01+0.691</f>
        <v>4.7009999999999996</v>
      </c>
      <c r="M410" s="17">
        <f>3.986+0.626</f>
        <v>4.6120000000000001</v>
      </c>
      <c r="N410" s="17">
        <f>3.958+0.625</f>
        <v>4.5830000000000002</v>
      </c>
    </row>
    <row r="411" spans="1:14" x14ac:dyDescent="0.25">
      <c r="A411" s="11" t="s">
        <v>1113</v>
      </c>
      <c r="B411" s="92" t="str">
        <f>$B$10</f>
        <v>UIM</v>
      </c>
      <c r="D411" s="16">
        <f>3.177+0.352-0.563</f>
        <v>2.9660000000000002</v>
      </c>
      <c r="E411" s="16">
        <v>4.548</v>
      </c>
      <c r="F411" s="16">
        <f>2.717+0.212-0.469</f>
        <v>2.4600000000000004</v>
      </c>
      <c r="G411" s="16">
        <f>3.96+0.288-0.489</f>
        <v>3.7590000000000003</v>
      </c>
      <c r="H411" s="16">
        <f>3.864+0.274-0.551</f>
        <v>3.5869999999999997</v>
      </c>
      <c r="I411" s="16">
        <f>3.885+0.603-0.544</f>
        <v>3.9439999999999995</v>
      </c>
      <c r="J411" s="17">
        <f>3.249+0.662+0.612-0.56</f>
        <v>3.9629999999999996</v>
      </c>
      <c r="K411" s="17">
        <f>3.232+0.584+0.691-0.636</f>
        <v>3.8710000000000004</v>
      </c>
      <c r="L411" s="17">
        <f>3.174+0.576+0.728-0.628</f>
        <v>3.8499999999999996</v>
      </c>
      <c r="M411" s="17">
        <f>3.132+0.573+0.79-0.627</f>
        <v>3.8680000000000003</v>
      </c>
      <c r="N411" s="17">
        <f>3.136+0.574+0.876-0.653</f>
        <v>3.9330000000000003</v>
      </c>
    </row>
    <row r="412" spans="1:14" x14ac:dyDescent="0.25">
      <c r="A412" s="11" t="s">
        <v>1118</v>
      </c>
      <c r="B412" s="92" t="str">
        <f>$B$9</f>
        <v>NAC</v>
      </c>
      <c r="D412" s="16">
        <v>0.58299999999999996</v>
      </c>
      <c r="E412" s="16">
        <v>0.56699999999999995</v>
      </c>
      <c r="F412" s="16">
        <v>0.59</v>
      </c>
      <c r="G412" s="16">
        <v>0.55600000000000005</v>
      </c>
      <c r="H412" s="16">
        <v>0.52500000000000002</v>
      </c>
      <c r="I412" s="16">
        <v>0.52600000000000002</v>
      </c>
      <c r="J412" s="17">
        <v>0.57799999999999996</v>
      </c>
      <c r="K412" s="17">
        <v>0.63500000000000001</v>
      </c>
      <c r="L412" s="17">
        <v>0.64</v>
      </c>
      <c r="M412" s="17">
        <v>0.63700000000000001</v>
      </c>
      <c r="N412" s="17">
        <v>0.628</v>
      </c>
    </row>
    <row r="413" spans="1:14" x14ac:dyDescent="0.25">
      <c r="A413" s="11" t="s">
        <v>1119</v>
      </c>
      <c r="B413" s="92" t="str">
        <f>$B$9</f>
        <v>NAC</v>
      </c>
      <c r="D413" s="16">
        <f>0.563-0.352*0</f>
        <v>0.56299999999999994</v>
      </c>
      <c r="E413" s="16">
        <v>0.50600000000000001</v>
      </c>
      <c r="F413" s="16">
        <f>0.469-0.212*0</f>
        <v>0.46899999999999997</v>
      </c>
      <c r="G413" s="16">
        <f>0.489+0.288*0</f>
        <v>0.48899999999999999</v>
      </c>
      <c r="H413" s="16">
        <f>0.551+0.274*0</f>
        <v>0.55100000000000005</v>
      </c>
      <c r="I413" s="16">
        <f>0.544-0.603*0</f>
        <v>0.54400000000000004</v>
      </c>
      <c r="J413" s="17">
        <v>0.56000000000000005</v>
      </c>
      <c r="K413" s="17">
        <v>0.63600000000000001</v>
      </c>
      <c r="L413" s="17">
        <v>0.628</v>
      </c>
      <c r="M413" s="17">
        <v>0.627</v>
      </c>
      <c r="N413" s="17">
        <v>0.65300000000000002</v>
      </c>
    </row>
    <row r="414" spans="1:14" x14ac:dyDescent="0.25">
      <c r="A414" s="11" t="s">
        <v>1120</v>
      </c>
      <c r="B414" s="92" t="str">
        <f>$B$10</f>
        <v>UIM</v>
      </c>
      <c r="D414" s="16">
        <v>1.462</v>
      </c>
      <c r="E414" s="16">
        <v>1.5860000000000001</v>
      </c>
      <c r="F414" s="16">
        <v>2.1579999999999999</v>
      </c>
      <c r="G414" s="16">
        <v>2.4940000000000002</v>
      </c>
      <c r="H414" s="16">
        <v>2.7690000000000001</v>
      </c>
      <c r="I414" s="16">
        <v>2.758</v>
      </c>
      <c r="J414" s="17">
        <f>2.561+0.054+0.16</f>
        <v>2.7749999999999999</v>
      </c>
      <c r="K414" s="17">
        <f>2.539+0.026+0.225</f>
        <v>2.79</v>
      </c>
      <c r="L414" s="17">
        <f>2.583+0.026+0.197</f>
        <v>2.806</v>
      </c>
      <c r="M414" s="17">
        <f>2.583+0.026+0.159</f>
        <v>2.7679999999999998</v>
      </c>
      <c r="N414" s="17">
        <f>2.602+0.026+0.138</f>
        <v>2.7659999999999996</v>
      </c>
    </row>
    <row r="415" spans="1:14" x14ac:dyDescent="0.25">
      <c r="A415" s="55" t="s">
        <v>1121</v>
      </c>
      <c r="D415" s="57" t="str">
        <f>IF(ROUND(D$59-SUM(D$408:D$414),3)=0,"OK","ERROR")</f>
        <v>OK</v>
      </c>
      <c r="E415" s="57" t="str">
        <f t="shared" ref="E415:N415" si="96">IF(ROUND(E$59-SUM(E$408:E$414),3)=0,"OK","ERROR")</f>
        <v>OK</v>
      </c>
      <c r="F415" s="57" t="str">
        <f t="shared" si="96"/>
        <v>OK</v>
      </c>
      <c r="G415" s="57" t="str">
        <f t="shared" si="96"/>
        <v>OK</v>
      </c>
      <c r="H415" s="57" t="str">
        <f t="shared" si="96"/>
        <v>OK</v>
      </c>
      <c r="I415" s="57" t="str">
        <f t="shared" si="96"/>
        <v>OK</v>
      </c>
      <c r="J415" s="57" t="str">
        <f t="shared" si="96"/>
        <v>OK</v>
      </c>
      <c r="K415" s="57" t="str">
        <f t="shared" si="96"/>
        <v>OK</v>
      </c>
      <c r="L415" s="57" t="str">
        <f t="shared" si="96"/>
        <v>OK</v>
      </c>
      <c r="M415" s="57" t="str">
        <f t="shared" si="96"/>
        <v>OK</v>
      </c>
      <c r="N415" s="57" t="str">
        <f t="shared" si="96"/>
        <v>OK</v>
      </c>
    </row>
  </sheetData>
  <phoneticPr fontId="37"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0B7F-D4A5-4462-AE92-5E9877D8EC4E}">
  <dimension ref="A1:C55"/>
  <sheetViews>
    <sheetView zoomScaleNormal="100" workbookViewId="0"/>
  </sheetViews>
  <sheetFormatPr defaultRowHeight="15" x14ac:dyDescent="0.25"/>
  <cols>
    <col min="1" max="1" width="115.7109375" customWidth="1"/>
    <col min="2" max="2" width="5.7109375" customWidth="1"/>
    <col min="3" max="3" width="12.7109375" customWidth="1"/>
  </cols>
  <sheetData>
    <row r="1" spans="1:3" x14ac:dyDescent="0.25">
      <c r="A1" s="9" t="s">
        <v>114</v>
      </c>
      <c r="B1" s="9"/>
    </row>
    <row r="2" spans="1:3" x14ac:dyDescent="0.25">
      <c r="A2" s="10" t="s">
        <v>1331</v>
      </c>
      <c r="B2" s="10"/>
    </row>
    <row r="3" spans="1:3" x14ac:dyDescent="0.25">
      <c r="A3" s="10" t="s">
        <v>115</v>
      </c>
      <c r="B3" s="11"/>
    </row>
    <row r="4" spans="1:3" x14ac:dyDescent="0.25">
      <c r="A4" s="10" t="s">
        <v>1332</v>
      </c>
      <c r="B4" s="9"/>
    </row>
    <row r="5" spans="1:3" x14ac:dyDescent="0.25">
      <c r="A5" s="10" t="s">
        <v>741</v>
      </c>
      <c r="B5" s="11"/>
    </row>
    <row r="6" spans="1:3" x14ac:dyDescent="0.25">
      <c r="A6" s="10"/>
      <c r="B6" s="11"/>
    </row>
    <row r="7" spans="1:3" x14ac:dyDescent="0.25">
      <c r="A7" s="9" t="s">
        <v>116</v>
      </c>
      <c r="B7" s="11"/>
      <c r="C7" s="9" t="s">
        <v>1330</v>
      </c>
    </row>
    <row r="8" spans="1:3" x14ac:dyDescent="0.25">
      <c r="A8" s="9" t="s">
        <v>117</v>
      </c>
      <c r="B8" s="11"/>
      <c r="C8" s="22">
        <v>2030</v>
      </c>
    </row>
    <row r="9" spans="1:3" x14ac:dyDescent="0.25">
      <c r="A9" s="9" t="s">
        <v>742</v>
      </c>
      <c r="B9" s="11"/>
      <c r="C9" s="22">
        <v>0</v>
      </c>
    </row>
    <row r="10" spans="1:3" x14ac:dyDescent="0.25">
      <c r="A10" s="9"/>
      <c r="B10" s="9"/>
      <c r="C10" s="16"/>
    </row>
    <row r="11" spans="1:3" x14ac:dyDescent="0.25">
      <c r="A11" s="9" t="s">
        <v>118</v>
      </c>
      <c r="B11" s="30" t="s">
        <v>124</v>
      </c>
    </row>
    <row r="12" spans="1:3" x14ac:dyDescent="0.25">
      <c r="A12" s="11" t="s">
        <v>58</v>
      </c>
      <c r="B12" s="9"/>
      <c r="C12" s="18">
        <v>4.2500000000000003E-2</v>
      </c>
    </row>
    <row r="13" spans="1:3" x14ac:dyDescent="0.25">
      <c r="A13" s="11" t="s">
        <v>119</v>
      </c>
      <c r="B13" s="9"/>
      <c r="C13" s="20">
        <v>33.6</v>
      </c>
    </row>
    <row r="14" spans="1:3" x14ac:dyDescent="0.25">
      <c r="A14" s="11" t="s">
        <v>120</v>
      </c>
      <c r="B14" s="9"/>
      <c r="C14" s="18">
        <v>8.9999999999999993E-3</v>
      </c>
    </row>
    <row r="15" spans="1:3" x14ac:dyDescent="0.25">
      <c r="A15" s="11" t="s">
        <v>121</v>
      </c>
      <c r="B15" s="9"/>
      <c r="C15" s="18">
        <v>0.02</v>
      </c>
    </row>
    <row r="16" spans="1:3" x14ac:dyDescent="0.25">
      <c r="A16" s="11" t="s">
        <v>122</v>
      </c>
      <c r="B16" s="9"/>
      <c r="C16" s="18">
        <v>4.2999999999999997E-2</v>
      </c>
    </row>
    <row r="17" spans="1:3" x14ac:dyDescent="0.25">
      <c r="A17" s="12" t="s">
        <v>123</v>
      </c>
      <c r="B17" s="30" t="s">
        <v>125</v>
      </c>
    </row>
    <row r="18" spans="1:3" x14ac:dyDescent="0.25">
      <c r="A18" s="11" t="s">
        <v>126</v>
      </c>
      <c r="B18" s="9"/>
      <c r="C18" s="18">
        <v>6.9999999999999999E-4</v>
      </c>
    </row>
    <row r="19" spans="1:3" x14ac:dyDescent="0.25">
      <c r="A19" s="11" t="s">
        <v>127</v>
      </c>
      <c r="B19" s="9"/>
      <c r="C19" s="20">
        <v>0.06</v>
      </c>
    </row>
    <row r="20" spans="1:3" x14ac:dyDescent="0.25">
      <c r="A20" s="11" t="s">
        <v>128</v>
      </c>
      <c r="B20" s="9"/>
      <c r="C20" s="18">
        <v>2.9999999999999997E-4</v>
      </c>
    </row>
    <row r="21" spans="1:3" x14ac:dyDescent="0.25">
      <c r="A21" s="11" t="s">
        <v>129</v>
      </c>
      <c r="B21" s="12"/>
      <c r="C21" s="18">
        <v>5.0000000000000001E-4</v>
      </c>
    </row>
    <row r="22" spans="1:3" x14ac:dyDescent="0.25">
      <c r="A22" s="11" t="s">
        <v>130</v>
      </c>
      <c r="B22" s="9"/>
      <c r="C22" s="18">
        <v>5.0000000000000001E-4</v>
      </c>
    </row>
    <row r="23" spans="1:3" x14ac:dyDescent="0.25">
      <c r="A23" s="11" t="s">
        <v>743</v>
      </c>
      <c r="B23" s="9"/>
      <c r="C23" s="22">
        <v>5</v>
      </c>
    </row>
    <row r="24" spans="1:3" x14ac:dyDescent="0.25">
      <c r="A24" s="11"/>
      <c r="B24" s="9"/>
      <c r="C24" s="22"/>
    </row>
    <row r="25" spans="1:3" x14ac:dyDescent="0.25">
      <c r="A25" s="9" t="s">
        <v>744</v>
      </c>
      <c r="B25" s="30" t="s">
        <v>1096</v>
      </c>
    </row>
    <row r="26" spans="1:3" x14ac:dyDescent="0.25">
      <c r="A26" s="9"/>
      <c r="B26" s="30" t="s">
        <v>1097</v>
      </c>
    </row>
    <row r="27" spans="1:3" x14ac:dyDescent="0.25">
      <c r="A27" s="11" t="s">
        <v>1101</v>
      </c>
      <c r="B27" s="12"/>
      <c r="C27" s="22">
        <v>10</v>
      </c>
    </row>
    <row r="28" spans="1:3" x14ac:dyDescent="0.25">
      <c r="A28" s="11" t="s">
        <v>745</v>
      </c>
      <c r="B28" s="12"/>
      <c r="C28" s="20">
        <v>1.35</v>
      </c>
    </row>
    <row r="29" spans="1:3" x14ac:dyDescent="0.25">
      <c r="A29" s="11"/>
      <c r="B29" s="30" t="s">
        <v>1098</v>
      </c>
    </row>
    <row r="30" spans="1:3" x14ac:dyDescent="0.25">
      <c r="A30" s="11"/>
      <c r="B30" s="30" t="s">
        <v>1099</v>
      </c>
    </row>
    <row r="31" spans="1:3" x14ac:dyDescent="0.25">
      <c r="A31" s="11" t="s">
        <v>771</v>
      </c>
      <c r="B31" s="12"/>
      <c r="C31" s="22">
        <v>10</v>
      </c>
    </row>
    <row r="32" spans="1:3" x14ac:dyDescent="0.25">
      <c r="A32" s="11" t="s">
        <v>772</v>
      </c>
      <c r="B32" s="12"/>
      <c r="C32" s="18">
        <v>5.0000000000000001E-4</v>
      </c>
    </row>
    <row r="33" spans="1:3" x14ac:dyDescent="0.25">
      <c r="A33" s="11"/>
      <c r="B33" s="30" t="s">
        <v>1100</v>
      </c>
      <c r="C33" s="18"/>
    </row>
    <row r="34" spans="1:3" x14ac:dyDescent="0.25">
      <c r="A34" s="11" t="s">
        <v>1102</v>
      </c>
      <c r="B34" s="30"/>
      <c r="C34" s="22">
        <v>0</v>
      </c>
    </row>
    <row r="35" spans="1:3" x14ac:dyDescent="0.25">
      <c r="A35" s="11" t="s">
        <v>131</v>
      </c>
      <c r="B35" s="9"/>
      <c r="C35" s="31">
        <v>0.66</v>
      </c>
    </row>
    <row r="36" spans="1:3" x14ac:dyDescent="0.25">
      <c r="A36" s="11" t="s">
        <v>132</v>
      </c>
      <c r="B36" s="9"/>
      <c r="C36" s="31">
        <v>0.72499999999999998</v>
      </c>
    </row>
    <row r="37" spans="1:3" x14ac:dyDescent="0.25">
      <c r="A37" s="11" t="s">
        <v>1333</v>
      </c>
      <c r="B37" s="9"/>
      <c r="C37" s="22">
        <v>10</v>
      </c>
    </row>
    <row r="38" spans="1:3" x14ac:dyDescent="0.25">
      <c r="A38" s="11" t="s">
        <v>1334</v>
      </c>
      <c r="C38" s="60" t="s">
        <v>1116</v>
      </c>
    </row>
    <row r="39" spans="1:3" x14ac:dyDescent="0.25">
      <c r="A39" s="11" t="s">
        <v>1335</v>
      </c>
      <c r="C39" s="22">
        <v>10</v>
      </c>
    </row>
    <row r="40" spans="1:3" x14ac:dyDescent="0.25">
      <c r="A40" s="11" t="s">
        <v>1122</v>
      </c>
      <c r="C40" s="18">
        <v>5.0000000000000001E-4</v>
      </c>
    </row>
    <row r="41" spans="1:3" x14ac:dyDescent="0.25">
      <c r="A41" s="11" t="s">
        <v>1336</v>
      </c>
      <c r="C41" s="18">
        <v>5.0000000000000001E-3</v>
      </c>
    </row>
    <row r="42" spans="1:3" x14ac:dyDescent="0.25">
      <c r="A42" s="11" t="s">
        <v>1337</v>
      </c>
      <c r="C42" s="18">
        <v>5.0000000000000001E-3</v>
      </c>
    </row>
    <row r="43" spans="1:3" x14ac:dyDescent="0.25">
      <c r="A43" s="11" t="s">
        <v>1338</v>
      </c>
      <c r="C43" s="18">
        <v>2E-3</v>
      </c>
    </row>
    <row r="44" spans="1:3" x14ac:dyDescent="0.25">
      <c r="A44" s="11" t="s">
        <v>1339</v>
      </c>
      <c r="C44" s="22">
        <v>8</v>
      </c>
    </row>
    <row r="45" spans="1:3" x14ac:dyDescent="0.25">
      <c r="A45" s="11" t="s">
        <v>1345</v>
      </c>
      <c r="C45" s="22">
        <v>5</v>
      </c>
    </row>
    <row r="46" spans="1:3" x14ac:dyDescent="0.25">
      <c r="A46" s="11"/>
      <c r="C46" s="60"/>
    </row>
    <row r="47" spans="1:3" x14ac:dyDescent="0.25">
      <c r="A47" s="12" t="s">
        <v>802</v>
      </c>
      <c r="B47" s="30" t="s">
        <v>811</v>
      </c>
    </row>
    <row r="48" spans="1:3" x14ac:dyDescent="0.25">
      <c r="A48" s="12" t="s">
        <v>809</v>
      </c>
      <c r="B48" s="30" t="s">
        <v>810</v>
      </c>
    </row>
    <row r="49" spans="1:3" x14ac:dyDescent="0.25">
      <c r="A49" s="11" t="s">
        <v>803</v>
      </c>
      <c r="C49" s="76">
        <v>0.44</v>
      </c>
    </row>
    <row r="50" spans="1:3" x14ac:dyDescent="0.25">
      <c r="A50" s="11" t="s">
        <v>804</v>
      </c>
      <c r="C50" s="76">
        <v>0.55000000000000004</v>
      </c>
    </row>
    <row r="51" spans="1:3" x14ac:dyDescent="0.25">
      <c r="A51" s="11" t="s">
        <v>805</v>
      </c>
      <c r="C51" s="76">
        <v>0.05</v>
      </c>
    </row>
    <row r="52" spans="1:3" x14ac:dyDescent="0.25">
      <c r="A52" s="11" t="s">
        <v>806</v>
      </c>
      <c r="C52" s="76">
        <v>0.32</v>
      </c>
    </row>
    <row r="53" spans="1:3" x14ac:dyDescent="0.25">
      <c r="A53" s="11" t="s">
        <v>807</v>
      </c>
      <c r="C53" s="76">
        <v>0.53</v>
      </c>
    </row>
    <row r="54" spans="1:3" x14ac:dyDescent="0.25">
      <c r="A54" s="11" t="s">
        <v>812</v>
      </c>
      <c r="C54" s="76">
        <v>0.1</v>
      </c>
    </row>
    <row r="55" spans="1:3" x14ac:dyDescent="0.25">
      <c r="A55" s="11" t="s">
        <v>808</v>
      </c>
      <c r="C55" s="76">
        <v>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766F-43B5-4B19-9556-13DF4C5415BC}">
  <dimension ref="A1:AX515"/>
  <sheetViews>
    <sheetView zoomScaleNormal="100"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85.7109375" customWidth="1"/>
    <col min="2" max="2" width="25.7109375" customWidth="1"/>
    <col min="3" max="3" width="7.7109375" customWidth="1"/>
    <col min="4" max="50" width="10.7109375" customWidth="1"/>
  </cols>
  <sheetData>
    <row r="1" spans="1:50" x14ac:dyDescent="0.25">
      <c r="A1" s="9" t="s">
        <v>133</v>
      </c>
      <c r="B1" s="13" t="s">
        <v>1330</v>
      </c>
      <c r="C1" s="13">
        <f>MATCH($B$1,Assumptions!$C$7:$H$7,0)</f>
        <v>1</v>
      </c>
      <c r="D1" s="10" t="s">
        <v>134</v>
      </c>
      <c r="E1" s="11"/>
      <c r="F1" s="11"/>
      <c r="G1" s="11"/>
      <c r="H1" s="11"/>
      <c r="I1" s="11"/>
      <c r="J1" s="11"/>
      <c r="K1" s="11"/>
      <c r="L1" s="11"/>
      <c r="M1" s="11"/>
      <c r="N1" s="11"/>
      <c r="O1" s="11"/>
      <c r="P1" s="11"/>
    </row>
    <row r="2" spans="1:50" x14ac:dyDescent="0.25">
      <c r="A2" s="10" t="s">
        <v>135</v>
      </c>
      <c r="B2" s="13"/>
      <c r="C2" s="13"/>
      <c r="D2" s="10"/>
      <c r="E2" s="11"/>
      <c r="F2" s="11"/>
      <c r="G2" s="11"/>
      <c r="H2" s="11"/>
      <c r="I2" s="11"/>
      <c r="J2" s="11"/>
      <c r="K2" s="11"/>
      <c r="L2" s="11"/>
      <c r="M2" s="11"/>
      <c r="N2" s="11"/>
      <c r="O2" s="11"/>
      <c r="P2" s="11"/>
    </row>
    <row r="3" spans="1:50" x14ac:dyDescent="0.25">
      <c r="A3" s="9"/>
      <c r="B3" s="10"/>
      <c r="C3" s="13"/>
      <c r="D3" s="32" t="s">
        <v>136</v>
      </c>
      <c r="E3" s="32" t="s">
        <v>136</v>
      </c>
      <c r="F3" s="32" t="s">
        <v>136</v>
      </c>
      <c r="G3" s="32" t="s">
        <v>136</v>
      </c>
      <c r="H3" s="32" t="s">
        <v>136</v>
      </c>
      <c r="I3" s="32" t="s">
        <v>136</v>
      </c>
      <c r="J3" s="15" t="s">
        <v>1258</v>
      </c>
      <c r="K3" s="11"/>
      <c r="L3" s="11"/>
      <c r="M3" s="11"/>
      <c r="N3" s="9"/>
      <c r="O3" s="9" t="s">
        <v>1360</v>
      </c>
      <c r="P3" s="11"/>
    </row>
    <row r="4" spans="1:50" x14ac:dyDescent="0.25">
      <c r="A4" s="9"/>
      <c r="B4" s="10"/>
      <c r="C4" s="13"/>
      <c r="D4" s="32" t="s">
        <v>137</v>
      </c>
      <c r="E4" s="32" t="s">
        <v>137</v>
      </c>
      <c r="F4" s="32" t="s">
        <v>137</v>
      </c>
      <c r="G4" s="32" t="s">
        <v>137</v>
      </c>
      <c r="H4" s="32" t="s">
        <v>137</v>
      </c>
      <c r="I4" s="32" t="s">
        <v>137</v>
      </c>
      <c r="J4" s="33" t="s">
        <v>138</v>
      </c>
      <c r="K4" s="11"/>
      <c r="L4" s="11"/>
      <c r="M4" s="11"/>
      <c r="N4" s="11"/>
      <c r="O4" s="11" t="s">
        <v>139</v>
      </c>
      <c r="P4" s="11"/>
    </row>
    <row r="5" spans="1:50" x14ac:dyDescent="0.25">
      <c r="A5" s="9" t="s">
        <v>747</v>
      </c>
      <c r="B5" s="9"/>
      <c r="C5" s="13"/>
      <c r="D5" s="34" t="s">
        <v>31</v>
      </c>
      <c r="E5" s="34" t="s">
        <v>32</v>
      </c>
      <c r="F5" s="34" t="s">
        <v>33</v>
      </c>
      <c r="G5" s="34" t="s">
        <v>34</v>
      </c>
      <c r="H5" s="34" t="s">
        <v>35</v>
      </c>
      <c r="I5" s="34" t="s">
        <v>36</v>
      </c>
      <c r="J5" s="14" t="s">
        <v>37</v>
      </c>
      <c r="K5" s="14" t="s">
        <v>38</v>
      </c>
      <c r="L5" s="14" t="s">
        <v>39</v>
      </c>
      <c r="M5" s="14" t="s">
        <v>40</v>
      </c>
      <c r="N5" s="14" t="s">
        <v>41</v>
      </c>
      <c r="O5" s="13" t="s">
        <v>42</v>
      </c>
      <c r="P5" s="13" t="s">
        <v>43</v>
      </c>
      <c r="Q5" s="13" t="s">
        <v>44</v>
      </c>
      <c r="R5" s="13" t="s">
        <v>45</v>
      </c>
      <c r="S5" s="13" t="s">
        <v>46</v>
      </c>
      <c r="T5" s="13" t="s">
        <v>47</v>
      </c>
      <c r="U5" s="13" t="s">
        <v>48</v>
      </c>
      <c r="V5" s="13" t="s">
        <v>49</v>
      </c>
      <c r="W5" s="13" t="s">
        <v>50</v>
      </c>
      <c r="X5" s="13" t="s">
        <v>51</v>
      </c>
      <c r="Y5" s="13" t="s">
        <v>1278</v>
      </c>
      <c r="Z5" s="13" t="s">
        <v>1280</v>
      </c>
      <c r="AA5" s="13" t="s">
        <v>1281</v>
      </c>
      <c r="AB5" s="13" t="s">
        <v>1282</v>
      </c>
      <c r="AC5" s="13" t="s">
        <v>1283</v>
      </c>
      <c r="AD5" s="13" t="s">
        <v>1284</v>
      </c>
      <c r="AE5" s="13" t="s">
        <v>1285</v>
      </c>
      <c r="AF5" s="13" t="s">
        <v>1286</v>
      </c>
      <c r="AG5" s="13" t="s">
        <v>1287</v>
      </c>
      <c r="AH5" s="13" t="s">
        <v>1288</v>
      </c>
      <c r="AI5" s="13" t="s">
        <v>1279</v>
      </c>
      <c r="AJ5" s="13" t="s">
        <v>1289</v>
      </c>
      <c r="AK5" s="13" t="s">
        <v>1290</v>
      </c>
      <c r="AL5" s="13" t="s">
        <v>1291</v>
      </c>
      <c r="AM5" s="13" t="s">
        <v>1292</v>
      </c>
      <c r="AN5" s="13" t="s">
        <v>1293</v>
      </c>
      <c r="AO5" s="13" t="s">
        <v>1294</v>
      </c>
      <c r="AP5" s="13" t="s">
        <v>1295</v>
      </c>
      <c r="AQ5" s="13" t="s">
        <v>1296</v>
      </c>
      <c r="AR5" s="13" t="s">
        <v>1297</v>
      </c>
      <c r="AS5" s="13" t="s">
        <v>1298</v>
      </c>
      <c r="AT5" s="13" t="s">
        <v>1299</v>
      </c>
      <c r="AU5" s="13" t="s">
        <v>1300</v>
      </c>
      <c r="AV5" s="13" t="s">
        <v>1301</v>
      </c>
      <c r="AW5" s="13" t="s">
        <v>1302</v>
      </c>
      <c r="AX5" s="13" t="s">
        <v>1303</v>
      </c>
    </row>
    <row r="6" spans="1:50" x14ac:dyDescent="0.25">
      <c r="A6" s="11"/>
      <c r="B6" s="11"/>
      <c r="C6" s="13"/>
      <c r="D6" s="32">
        <v>2019</v>
      </c>
      <c r="E6" s="32">
        <v>2020</v>
      </c>
      <c r="F6" s="32">
        <v>2021</v>
      </c>
      <c r="G6" s="32">
        <v>2022</v>
      </c>
      <c r="H6" s="32">
        <v>2023</v>
      </c>
      <c r="I6" s="32">
        <v>2024</v>
      </c>
      <c r="J6" s="15">
        <v>2025</v>
      </c>
      <c r="K6" s="15">
        <v>2026</v>
      </c>
      <c r="L6" s="15">
        <v>2027</v>
      </c>
      <c r="M6" s="15">
        <v>2028</v>
      </c>
      <c r="N6" s="15">
        <v>2029</v>
      </c>
      <c r="O6" s="9">
        <v>2030</v>
      </c>
      <c r="P6" s="9">
        <v>2031</v>
      </c>
      <c r="Q6" s="9">
        <v>2032</v>
      </c>
      <c r="R6" s="9">
        <v>2033</v>
      </c>
      <c r="S6" s="9">
        <v>2034</v>
      </c>
      <c r="T6" s="9">
        <v>2035</v>
      </c>
      <c r="U6" s="9">
        <v>2036</v>
      </c>
      <c r="V6" s="9">
        <v>2037</v>
      </c>
      <c r="W6" s="9">
        <v>2038</v>
      </c>
      <c r="X6" s="9">
        <v>2039</v>
      </c>
      <c r="Y6" s="9">
        <v>2040</v>
      </c>
      <c r="Z6" s="9">
        <v>2041</v>
      </c>
      <c r="AA6" s="9">
        <v>2042</v>
      </c>
      <c r="AB6" s="9">
        <v>2043</v>
      </c>
      <c r="AC6" s="9">
        <v>2044</v>
      </c>
      <c r="AD6" s="9">
        <v>2045</v>
      </c>
      <c r="AE6" s="9">
        <v>2046</v>
      </c>
      <c r="AF6" s="9">
        <v>2047</v>
      </c>
      <c r="AG6" s="9">
        <v>2048</v>
      </c>
      <c r="AH6" s="9">
        <v>2049</v>
      </c>
      <c r="AI6" s="9">
        <v>2050</v>
      </c>
      <c r="AJ6" s="9">
        <v>2051</v>
      </c>
      <c r="AK6" s="9">
        <v>2052</v>
      </c>
      <c r="AL6" s="9">
        <v>2053</v>
      </c>
      <c r="AM6" s="9">
        <v>2054</v>
      </c>
      <c r="AN6" s="9">
        <v>2055</v>
      </c>
      <c r="AO6" s="9">
        <v>2056</v>
      </c>
      <c r="AP6" s="9">
        <v>2057</v>
      </c>
      <c r="AQ6" s="9">
        <v>2058</v>
      </c>
      <c r="AR6" s="9">
        <v>2059</v>
      </c>
      <c r="AS6" s="9">
        <v>2060</v>
      </c>
      <c r="AT6" s="9">
        <v>2061</v>
      </c>
      <c r="AU6" s="9">
        <v>2062</v>
      </c>
      <c r="AV6" s="9">
        <v>2063</v>
      </c>
      <c r="AW6" s="9">
        <v>2064</v>
      </c>
      <c r="AX6" s="9">
        <v>2065</v>
      </c>
    </row>
    <row r="7" spans="1:50" x14ac:dyDescent="0.25">
      <c r="A7" s="11"/>
      <c r="B7" s="11"/>
      <c r="C7" s="13"/>
      <c r="D7" s="42">
        <f ca="1">OFFSET(D$1,Display!$C$1-1,0)</f>
        <v>57.736000000000004</v>
      </c>
      <c r="E7" s="42">
        <f ca="1">OFFSET(E$1,Display!$C$1-1,0)</f>
        <v>83.375</v>
      </c>
      <c r="F7" s="42">
        <f ca="1">OFFSET(F$1,Display!$C$1-1,0)</f>
        <v>102.08000000000001</v>
      </c>
      <c r="G7" s="42">
        <f ca="1">OFFSET(G$1,Display!$C$1-1,0)</f>
        <v>128.87299999999996</v>
      </c>
      <c r="H7" s="42">
        <f ca="1">OFFSET(H$1,Display!$C$1-1,0)</f>
        <v>155.27300000000002</v>
      </c>
      <c r="I7" s="42">
        <f ca="1">OFFSET(I$1,Display!$C$1-1,0)</f>
        <v>175.46399999999997</v>
      </c>
      <c r="J7" s="43">
        <f ca="1">OFFSET(J$1,Display!$C$1-1,0)</f>
        <v>185.64400000000003</v>
      </c>
      <c r="K7" s="43">
        <f ca="1">OFFSET(K$1,Display!$C$1-1,0)</f>
        <v>200.18799999999996</v>
      </c>
      <c r="L7" s="43">
        <f ca="1">OFFSET(L$1,Display!$C$1-1,0)</f>
        <v>218.43800000000002</v>
      </c>
      <c r="M7" s="43">
        <f ca="1">OFFSET(M$1,Display!$C$1-1,0)</f>
        <v>230.24799999999993</v>
      </c>
      <c r="N7" s="43">
        <f ca="1">OFFSET(N$1,Display!$C$1-1,0)</f>
        <v>238.51499999999993</v>
      </c>
      <c r="O7" s="47">
        <f ca="1">OFFSET(O$1,Display!$C$1-1,0)</f>
        <v>251.88299524359803</v>
      </c>
      <c r="P7" s="47">
        <f ca="1">OFFSET(P$1,Display!$C$1-1,0)</f>
        <v>267.31021775684542</v>
      </c>
      <c r="Q7" s="47">
        <f ca="1">OFFSET(Q$1,Display!$C$1-1,0)</f>
        <v>285.55447409239616</v>
      </c>
      <c r="R7" s="47">
        <f ca="1">OFFSET(R$1,Display!$C$1-1,0)</f>
        <v>306.94146365646213</v>
      </c>
      <c r="S7" s="47">
        <f ca="1">OFFSET(S$1,Display!$C$1-1,0)</f>
        <v>331.83259502127572</v>
      </c>
      <c r="T7" s="47">
        <f ca="1">OFFSET(T$1,Display!$C$1-1,0)</f>
        <v>360.07483243047761</v>
      </c>
      <c r="U7" s="47">
        <f ca="1">OFFSET(U$1,Display!$C$1-1,0)</f>
        <v>389.42089788767811</v>
      </c>
      <c r="V7" s="47">
        <f ca="1">OFFSET(V$1,Display!$C$1-1,0)</f>
        <v>421.12168274710626</v>
      </c>
      <c r="W7" s="47">
        <f ca="1">OFFSET(W$1,Display!$C$1-1,0)</f>
        <v>456.06365282067935</v>
      </c>
      <c r="X7" s="47">
        <f ca="1">OFFSET(X$1,Display!$C$1-1,0)</f>
        <v>494.60137941941923</v>
      </c>
      <c r="Y7" s="47">
        <f ca="1">OFFSET(Y$1,Display!$C$1-1,0)</f>
        <v>536.55232712055999</v>
      </c>
      <c r="Z7" s="47">
        <f ca="1">OFFSET(Z$1,Display!$C$1-1,0)</f>
        <v>582.20573589722699</v>
      </c>
      <c r="AA7" s="47">
        <f ca="1">OFFSET(AA$1,Display!$C$1-1,0)</f>
        <v>631.88517653475446</v>
      </c>
      <c r="AB7" s="47">
        <f ca="1">OFFSET(AB$1,Display!$C$1-1,0)</f>
        <v>685.84562909074862</v>
      </c>
      <c r="AC7" s="47">
        <f ca="1">OFFSET(AC$1,Display!$C$1-1,0)</f>
        <v>744.37455424315135</v>
      </c>
      <c r="AD7" s="47">
        <f ca="1">OFFSET(AD$1,Display!$C$1-1,0)</f>
        <v>807.80866598467424</v>
      </c>
      <c r="AE7" s="47">
        <f ca="1">OFFSET(AE$1,Display!$C$1-1,0)</f>
        <v>876.48293026244221</v>
      </c>
      <c r="AF7" s="47">
        <f ca="1">OFFSET(AF$1,Display!$C$1-1,0)</f>
        <v>950.76322887168374</v>
      </c>
      <c r="AG7" s="47">
        <f ca="1">OFFSET(AG$1,Display!$C$1-1,0)</f>
        <v>1031.0594333624558</v>
      </c>
      <c r="AH7" s="47">
        <f ca="1">OFFSET(AH$1,Display!$C$1-1,0)</f>
        <v>1117.7697246162172</v>
      </c>
      <c r="AI7" s="47">
        <f ca="1">OFFSET(AI$1,Display!$C$1-1,0)</f>
        <v>1211.3415857471559</v>
      </c>
      <c r="AJ7" s="47">
        <f ca="1">OFFSET(AJ$1,Display!$C$1-1,0)</f>
        <v>1312.2639692909329</v>
      </c>
      <c r="AK7" s="47">
        <f ca="1">OFFSET(AK$1,Display!$C$1-1,0)</f>
        <v>1421.040855549651</v>
      </c>
      <c r="AL7" s="47">
        <f ca="1">OFFSET(AL$1,Display!$C$1-1,0)</f>
        <v>1538.2493702639842</v>
      </c>
      <c r="AM7" s="47">
        <f ca="1">OFFSET(AM$1,Display!$C$1-1,0)</f>
        <v>1664.4996623835814</v>
      </c>
      <c r="AN7" s="47">
        <f ca="1">OFFSET(AN$1,Display!$C$1-1,0)</f>
        <v>1800.4600872782735</v>
      </c>
      <c r="AO7" s="47">
        <f ca="1">OFFSET(AO$1,Display!$C$1-1,0)</f>
        <v>1946.8980583473917</v>
      </c>
      <c r="AP7" s="47">
        <f ca="1">OFFSET(AP$1,Display!$C$1-1,0)</f>
        <v>2104.5797685183343</v>
      </c>
      <c r="AQ7" s="47">
        <f ca="1">OFFSET(AQ$1,Display!$C$1-1,0)</f>
        <v>2274.1986758419353</v>
      </c>
      <c r="AR7" s="47">
        <f ca="1">OFFSET(AR$1,Display!$C$1-1,0)</f>
        <v>2456.5585515096209</v>
      </c>
      <c r="AS7" s="47">
        <f ca="1">OFFSET(AS$1,Display!$C$1-1,0)</f>
        <v>2652.511988865921</v>
      </c>
      <c r="AT7" s="47">
        <f ca="1">OFFSET(AT$1,Display!$C$1-1,0)</f>
        <v>2862.9560075293502</v>
      </c>
      <c r="AU7" s="47">
        <f ca="1">OFFSET(AU$1,Display!$C$1-1,0)</f>
        <v>3088.8158752347899</v>
      </c>
      <c r="AV7" s="47">
        <f ca="1">OFFSET(AV$1,Display!$C$1-1,0)</f>
        <v>3331.159605152633</v>
      </c>
      <c r="AW7" s="47">
        <f ca="1">OFFSET(AW$1,Display!$C$1-1,0)</f>
        <v>3591.0220011510119</v>
      </c>
      <c r="AX7" s="47">
        <f ca="1">OFFSET(AX$1,Display!$C$1-1,0)</f>
        <v>3869.513969445059</v>
      </c>
    </row>
    <row r="8" spans="1:50" x14ac:dyDescent="0.25">
      <c r="A8" s="62" t="s">
        <v>762</v>
      </c>
      <c r="B8" s="11"/>
      <c r="C8" s="13"/>
      <c r="D8" s="89">
        <f t="shared" ref="D8:AX8" ca="1" si="0">D$7/D$13</f>
        <v>0.18593806358530429</v>
      </c>
      <c r="E8" s="89">
        <f t="shared" ca="1" si="0"/>
        <v>0.26249012218580681</v>
      </c>
      <c r="F8" s="89">
        <f t="shared" ca="1" si="0"/>
        <v>0.29726872708529301</v>
      </c>
      <c r="G8" s="89">
        <f t="shared" ca="1" si="0"/>
        <v>0.35238545756816753</v>
      </c>
      <c r="H8" s="89">
        <f t="shared" ca="1" si="0"/>
        <v>0.38668698807362528</v>
      </c>
      <c r="I8" s="89">
        <f t="shared" ca="1" si="0"/>
        <v>0.41715364388928766</v>
      </c>
      <c r="J8" s="90">
        <f t="shared" ca="1" si="0"/>
        <v>0.42662266631123208</v>
      </c>
      <c r="K8" s="90">
        <f t="shared" ca="1" si="0"/>
        <v>0.4385625153352728</v>
      </c>
      <c r="L8" s="90">
        <f t="shared" ca="1" si="0"/>
        <v>0.45720325679720375</v>
      </c>
      <c r="M8" s="90">
        <f t="shared" ca="1" si="0"/>
        <v>0.45969979994649257</v>
      </c>
      <c r="N8" s="90">
        <f t="shared" ca="1" si="0"/>
        <v>0.45507534505325087</v>
      </c>
      <c r="O8" s="91">
        <f t="shared" ca="1" si="0"/>
        <v>0.45994639863852177</v>
      </c>
      <c r="P8" s="91">
        <f t="shared" ca="1" si="0"/>
        <v>0.46745755798944227</v>
      </c>
      <c r="Q8" s="91">
        <f t="shared" ca="1" si="0"/>
        <v>0.47902018331619955</v>
      </c>
      <c r="R8" s="91">
        <f t="shared" ca="1" si="0"/>
        <v>0.4947445158822168</v>
      </c>
      <c r="S8" s="91">
        <f t="shared" ca="1" si="0"/>
        <v>0.51410059238652617</v>
      </c>
      <c r="T8" s="91">
        <f t="shared" ca="1" si="0"/>
        <v>0.53639633556887667</v>
      </c>
      <c r="U8" s="91">
        <f t="shared" ca="1" si="0"/>
        <v>0.55792886503026196</v>
      </c>
      <c r="V8" s="91">
        <f t="shared" ca="1" si="0"/>
        <v>0.58042324639763099</v>
      </c>
      <c r="W8" s="91">
        <f t="shared" ca="1" si="0"/>
        <v>0.60498660534783344</v>
      </c>
      <c r="X8" s="91">
        <f t="shared" ca="1" si="0"/>
        <v>0.6317415971925221</v>
      </c>
      <c r="Y8" s="91">
        <f t="shared" ca="1" si="0"/>
        <v>0.66002794014467914</v>
      </c>
      <c r="Z8" s="91">
        <f t="shared" ca="1" si="0"/>
        <v>0.6899272731695878</v>
      </c>
      <c r="AA8" s="91">
        <f t="shared" ca="1" si="0"/>
        <v>0.72143805681006379</v>
      </c>
      <c r="AB8" s="91">
        <f t="shared" ca="1" si="0"/>
        <v>0.75458835983563832</v>
      </c>
      <c r="AC8" s="91">
        <f t="shared" ca="1" si="0"/>
        <v>0.78940304126756211</v>
      </c>
      <c r="AD8" s="91">
        <f t="shared" ca="1" si="0"/>
        <v>0.82592221057046877</v>
      </c>
      <c r="AE8" s="91">
        <f t="shared" ca="1" si="0"/>
        <v>0.86419370432243414</v>
      </c>
      <c r="AF8" s="91">
        <f t="shared" ca="1" si="0"/>
        <v>0.90426369443103516</v>
      </c>
      <c r="AG8" s="91">
        <f t="shared" ca="1" si="0"/>
        <v>0.94620476617891713</v>
      </c>
      <c r="AH8" s="91">
        <f t="shared" ca="1" si="0"/>
        <v>0.99007771457467497</v>
      </c>
      <c r="AI8" s="91">
        <f t="shared" ca="1" si="0"/>
        <v>1.0359208253345482</v>
      </c>
      <c r="AJ8" s="91">
        <f t="shared" ca="1" si="0"/>
        <v>1.0837763071072111</v>
      </c>
      <c r="AK8" s="91">
        <f t="shared" ca="1" si="0"/>
        <v>1.133767813603473</v>
      </c>
      <c r="AL8" s="91">
        <f t="shared" ca="1" si="0"/>
        <v>1.18595341758323</v>
      </c>
      <c r="AM8" s="91">
        <f t="shared" ca="1" si="0"/>
        <v>1.2403839608169442</v>
      </c>
      <c r="AN8" s="91">
        <f t="shared" ca="1" si="0"/>
        <v>1.2971358707590877</v>
      </c>
      <c r="AO8" s="91">
        <f t="shared" ca="1" si="0"/>
        <v>1.3563550650685863</v>
      </c>
      <c r="AP8" s="91">
        <f t="shared" ca="1" si="0"/>
        <v>1.4180317962623477</v>
      </c>
      <c r="AQ8" s="91">
        <f t="shared" ca="1" si="0"/>
        <v>1.4821684127458343</v>
      </c>
      <c r="AR8" s="91">
        <f t="shared" ca="1" si="0"/>
        <v>1.548734016220364</v>
      </c>
      <c r="AS8" s="91">
        <f t="shared" ca="1" si="0"/>
        <v>1.6177874586949708</v>
      </c>
      <c r="AT8" s="91">
        <f t="shared" ca="1" si="0"/>
        <v>1.6892589308825097</v>
      </c>
      <c r="AU8" s="91">
        <f t="shared" ca="1" si="0"/>
        <v>1.7632532755945136</v>
      </c>
      <c r="AV8" s="91">
        <f t="shared" ca="1" si="0"/>
        <v>1.8397419005984332</v>
      </c>
      <c r="AW8" s="91">
        <f t="shared" ca="1" si="0"/>
        <v>1.9187530189258943</v>
      </c>
      <c r="AX8" s="91">
        <f t="shared" ca="1" si="0"/>
        <v>2.00040671149348</v>
      </c>
    </row>
    <row r="9" spans="1:50" ht="16.5" x14ac:dyDescent="0.25">
      <c r="A9" s="41" t="s">
        <v>746</v>
      </c>
      <c r="B9" s="9"/>
      <c r="C9" s="13"/>
      <c r="N9" s="47"/>
    </row>
    <row r="10" spans="1:50" x14ac:dyDescent="0.25">
      <c r="A10" s="12" t="s">
        <v>140</v>
      </c>
      <c r="B10" s="9"/>
      <c r="C10" s="13"/>
    </row>
    <row r="11" spans="1:50" x14ac:dyDescent="0.25">
      <c r="A11" s="9" t="s">
        <v>141</v>
      </c>
      <c r="B11" s="9"/>
      <c r="C11" s="13"/>
      <c r="D11" s="35">
        <f>'Economic Forecasts'!Q$6</f>
        <v>254.887</v>
      </c>
      <c r="E11" s="35">
        <f>'Economic Forecasts'!R$6</f>
        <v>252.81299999999999</v>
      </c>
      <c r="F11" s="35">
        <f>'Economic Forecasts'!S$6</f>
        <v>268.59800000000001</v>
      </c>
      <c r="G11" s="35">
        <f>'Economic Forecasts'!T$6</f>
        <v>270.51100000000002</v>
      </c>
      <c r="H11" s="35">
        <f>'Economic Forecasts'!U$6</f>
        <v>281.255</v>
      </c>
      <c r="I11" s="35">
        <f>'Economic Forecasts'!V$6</f>
        <v>283.03100000000001</v>
      </c>
      <c r="J11" s="17">
        <f>'Economic Forecasts'!W$6</f>
        <v>280.76</v>
      </c>
      <c r="K11" s="17">
        <f>'Economic Forecasts'!X$6</f>
        <v>288.976</v>
      </c>
      <c r="L11" s="17">
        <f>'Economic Forecasts'!Y$6</f>
        <v>297.50799999999998</v>
      </c>
      <c r="M11" s="17">
        <f>'Economic Forecasts'!Z$6</f>
        <v>306.02300000000002</v>
      </c>
      <c r="N11" s="17">
        <f>'Economic Forecasts'!AA$6</f>
        <v>313.94099999999997</v>
      </c>
      <c r="O11" s="16">
        <f t="shared" ref="O11:X11" ca="1" si="1">N$11*O$16*(1-O$23)*O$24/(N$16*(1-N$23)*N$24)*(1+O$25)</f>
        <v>321.59338154045065</v>
      </c>
      <c r="P11" s="16">
        <f t="shared" ca="1" si="1"/>
        <v>329.22187039095121</v>
      </c>
      <c r="Q11" s="16">
        <f t="shared" ca="1" si="1"/>
        <v>336.47305313665947</v>
      </c>
      <c r="R11" s="16">
        <f t="shared" ca="1" si="1"/>
        <v>343.31243294782342</v>
      </c>
      <c r="S11" s="16">
        <f t="shared" ca="1" si="1"/>
        <v>350.17547625116447</v>
      </c>
      <c r="T11" s="16">
        <f t="shared" ca="1" si="1"/>
        <v>357.04387078191581</v>
      </c>
      <c r="U11" s="16">
        <f t="shared" ca="1" si="1"/>
        <v>363.96101584836674</v>
      </c>
      <c r="V11" s="16">
        <f t="shared" ca="1" si="1"/>
        <v>370.91729050902114</v>
      </c>
      <c r="W11" s="16">
        <f t="shared" ca="1" si="1"/>
        <v>377.82770818454651</v>
      </c>
      <c r="X11" s="16">
        <f t="shared" ca="1" si="1"/>
        <v>384.70672595472018</v>
      </c>
      <c r="Y11" s="16">
        <f t="shared" ref="Y11" ca="1" si="2">X$11*Y$16*(1-Y$23)*Y$24/(X$16*(1-X$23)*X$24)*(1+Y$25)</f>
        <v>391.61878959961183</v>
      </c>
      <c r="Z11" s="16">
        <f t="shared" ref="Z11" ca="1" si="3">Y$11*Z$16*(1-Z$23)*Z$24/(Y$16*(1-Y$23)*Y$24)*(1+Z$25)</f>
        <v>398.55361550542551</v>
      </c>
      <c r="AA11" s="16">
        <f t="shared" ref="AA11" ca="1" si="4">Z$11*AA$16*(1-AA$23)*AA$24/(Z$16*(1-Z$23)*Z$24)*(1+AA$25)</f>
        <v>405.5575903008355</v>
      </c>
      <c r="AB11" s="16">
        <f t="shared" ref="AB11" ca="1" si="5">AA$11*AB$16*(1-AB$23)*AB$24/(AA$16*(1-AA$23)*AA$24)*(1+AB$25)</f>
        <v>412.6002784364598</v>
      </c>
      <c r="AC11" s="16">
        <f t="shared" ref="AC11" ca="1" si="6">AB$11*AC$16*(1-AC$23)*AC$24/(AB$16*(1-AB$23)*AB$24)*(1+AC$25)</f>
        <v>419.66794165816481</v>
      </c>
      <c r="AD11" s="16">
        <f t="shared" ref="AD11" ca="1" si="7">AC$11*AD$16*(1-AD$23)*AD$24/(AC$16*(1-AC$23)*AC$24)*(1+AD$25)</f>
        <v>426.75858075621056</v>
      </c>
      <c r="AE11" s="16">
        <f t="shared" ref="AE11" ca="1" si="8">AD$11*AE$16*(1-AE$23)*AE$24/(AD$16*(1-AD$23)*AD$24)*(1+AE$25)</f>
        <v>433.85548477260551</v>
      </c>
      <c r="AF11" s="16">
        <f t="shared" ref="AF11" ca="1" si="9">AE$11*AF$16*(1-AF$23)*AF$24/(AE$16*(1-AE$23)*AE$24)*(1+AF$25)</f>
        <v>440.950498913243</v>
      </c>
      <c r="AG11" s="16">
        <f t="shared" ref="AG11" ca="1" si="10">AF$11*AG$16*(1-AG$23)*AG$24/(AF$16*(1-AF$23)*AF$24)*(1+AG$25)</f>
        <v>448.03397974685174</v>
      </c>
      <c r="AH11" s="16">
        <f t="shared" ref="AH11" ca="1" si="11">AG$11*AH$16*(1-AH$23)*AH$24/(AG$16*(1-AG$23)*AG$24)*(1+AH$25)</f>
        <v>455.08788021425789</v>
      </c>
      <c r="AI11" s="16">
        <f t="shared" ref="AI11" ca="1" si="12">AH$11*AI$16*(1-AI$23)*AI$24/(AH$16*(1-AH$23)*AH$24)*(1+AI$25)</f>
        <v>462.11716865494657</v>
      </c>
      <c r="AJ11" s="16">
        <f t="shared" ref="AJ11" ca="1" si="13">AI$11*AJ$16*(1-AJ$23)*AJ$24/(AI$16*(1-AI$23)*AI$24)*(1+AJ$25)</f>
        <v>469.13023215736047</v>
      </c>
      <c r="AK11" s="16">
        <f t="shared" ref="AK11" ca="1" si="14">AJ$11*AK$16*(1-AK$23)*AK$24/(AJ$16*(1-AJ$23)*AJ$24)*(1+AK$25)</f>
        <v>476.09556706299816</v>
      </c>
      <c r="AL11" s="16">
        <f t="shared" ref="AL11" ca="1" si="15">AK$11*AL$16*(1-AL$23)*AL$24/(AK$16*(1-AK$23)*AK$24)*(1+AL$25)</f>
        <v>483.02614699351852</v>
      </c>
      <c r="AM11" s="16">
        <f t="shared" ref="AM11" ca="1" si="16">AL$11*AM$16*(1-AM$23)*AM$24/(AL$16*(1-AL$23)*AL$24)*(1+AM$25)</f>
        <v>489.93551616687728</v>
      </c>
      <c r="AN11" s="16">
        <f t="shared" ref="AN11" ca="1" si="17">AM$11*AN$16*(1-AN$23)*AN$24/(AM$16*(1-AM$23)*AM$24)*(1+AN$25)</f>
        <v>496.83160041452834</v>
      </c>
      <c r="AO11" s="16">
        <f t="shared" ref="AO11" ca="1" si="18">AN$11*AO$16*(1-AO$23)*AO$24/(AN$16*(1-AN$23)*AN$24)*(1+AO$25)</f>
        <v>503.71029664402869</v>
      </c>
      <c r="AP11" s="16">
        <f t="shared" ref="AP11" ca="1" si="19">AO$11*AP$16*(1-AP$23)*AP$24/(AO$16*(1-AO$23)*AO$24)*(1+AP$25)</f>
        <v>510.61111053097011</v>
      </c>
      <c r="AQ11" s="16">
        <f t="shared" ref="AQ11" ca="1" si="20">AP$11*AQ$16*(1-AQ$23)*AQ$24/(AP$16*(1-AP$23)*AP$24)*(1+AQ$25)</f>
        <v>517.53713272151026</v>
      </c>
      <c r="AR11" s="16">
        <f t="shared" ref="AR11" ca="1" si="21">AQ$11*AR$16*(1-AR$23)*AR$24/(AQ$16*(1-AQ$23)*AQ$24)*(1+AR$25)</f>
        <v>524.51846009574888</v>
      </c>
      <c r="AS11" s="16">
        <f t="shared" ref="AS11" ca="1" si="22">AR$11*AS$16*(1-AS$23)*AS$24/(AR$16*(1-AR$23)*AR$24)*(1+AS$25)</f>
        <v>531.55256017163549</v>
      </c>
      <c r="AT11" s="16">
        <f t="shared" ref="AT11" ca="1" si="23">AS$11*AT$16*(1-AT$23)*AT$24/(AS$16*(1-AS$23)*AS$24)*(1+AT$25)</f>
        <v>538.67721031406563</v>
      </c>
      <c r="AU11" s="16">
        <f t="shared" ref="AU11" ca="1" si="24">AT$11*AU$16*(1-AU$23)*AU$24/(AT$16*(1-AT$23)*AT$24)*(1+AU$25)</f>
        <v>545.86757924948802</v>
      </c>
      <c r="AV11" s="16">
        <f t="shared" ref="AV11" ca="1" si="25">AU$11*AV$16*(1-AV$23)*AV$24/(AU$16*(1-AU$23)*AU$24)*(1+AV$25)</f>
        <v>553.15691979930625</v>
      </c>
      <c r="AW11" s="16">
        <f t="shared" ref="AW11" ca="1" si="26">AV$11*AW$16*(1-AW$23)*AW$24/(AV$16*(1-AV$23)*AV$24)*(1+AW$25)</f>
        <v>560.54260290226125</v>
      </c>
      <c r="AX11" s="16">
        <f t="shared" ref="AX11" ca="1" si="27">AW$11*AX$16*(1-AX$23)*AX$24/(AW$16*(1-AW$23)*AW$24)*(1+AX$25)</f>
        <v>567.99901187666126</v>
      </c>
    </row>
    <row r="12" spans="1:50" x14ac:dyDescent="0.25">
      <c r="A12" s="10" t="s">
        <v>142</v>
      </c>
      <c r="B12" s="9"/>
      <c r="C12" s="13"/>
      <c r="D12" s="35"/>
      <c r="E12" s="36">
        <f>E$11/D$11-1</f>
        <v>-8.1369391141957736E-3</v>
      </c>
      <c r="F12" s="36">
        <f t="shared" ref="F12:X12" si="28">F$11/E$11-1</f>
        <v>6.2437453770177953E-2</v>
      </c>
      <c r="G12" s="36">
        <f t="shared" si="28"/>
        <v>7.1221677004296158E-3</v>
      </c>
      <c r="H12" s="36">
        <f t="shared" si="28"/>
        <v>3.9717423690718512E-2</v>
      </c>
      <c r="I12" s="36">
        <f t="shared" si="28"/>
        <v>6.3145544079217242E-3</v>
      </c>
      <c r="J12" s="19">
        <f t="shared" si="28"/>
        <v>-8.0238560440376583E-3</v>
      </c>
      <c r="K12" s="19">
        <f t="shared" si="28"/>
        <v>2.9263427838723599E-2</v>
      </c>
      <c r="L12" s="19">
        <f t="shared" si="28"/>
        <v>2.9524943247882129E-2</v>
      </c>
      <c r="M12" s="19">
        <f t="shared" si="28"/>
        <v>2.8621079097032931E-2</v>
      </c>
      <c r="N12" s="19">
        <f t="shared" si="28"/>
        <v>2.5873872225290029E-2</v>
      </c>
      <c r="O12" s="18">
        <f t="shared" ca="1" si="28"/>
        <v>2.4375221906188349E-2</v>
      </c>
      <c r="P12" s="18">
        <f t="shared" ca="1" si="28"/>
        <v>2.3720913701518631E-2</v>
      </c>
      <c r="Q12" s="18">
        <f t="shared" ca="1" si="28"/>
        <v>2.2025215812963683E-2</v>
      </c>
      <c r="R12" s="18">
        <f t="shared" ca="1" si="28"/>
        <v>2.0326679201814413E-2</v>
      </c>
      <c r="S12" s="18">
        <f t="shared" ca="1" si="28"/>
        <v>1.9990663444408696E-2</v>
      </c>
      <c r="T12" s="18">
        <f t="shared" ca="1" si="28"/>
        <v>1.9614150608950665E-2</v>
      </c>
      <c r="U12" s="18">
        <f t="shared" ca="1" si="28"/>
        <v>1.9373375745962429E-2</v>
      </c>
      <c r="V12" s="18">
        <f t="shared" ca="1" si="28"/>
        <v>1.9112691628359713E-2</v>
      </c>
      <c r="W12" s="18">
        <f t="shared" ca="1" si="28"/>
        <v>1.8630616184114768E-2</v>
      </c>
      <c r="X12" s="18">
        <f t="shared" ca="1" si="28"/>
        <v>1.8206758321742011E-2</v>
      </c>
      <c r="Y12" s="18">
        <f t="shared" ref="Y12" ca="1" si="29">Y$11/X$11-1</f>
        <v>1.7967098515728086E-2</v>
      </c>
      <c r="Z12" s="18">
        <f t="shared" ref="Z12" ca="1" si="30">Z$11/Y$11-1</f>
        <v>1.7708103109413509E-2</v>
      </c>
      <c r="AA12" s="18">
        <f t="shared" ref="AA12" ca="1" si="31">AA$11/Z$11-1</f>
        <v>1.757348201829223E-2</v>
      </c>
      <c r="AB12" s="18">
        <f t="shared" ref="AB12" ca="1" si="32">AB$11/AA$11-1</f>
        <v>1.7365445263643364E-2</v>
      </c>
      <c r="AC12" s="18">
        <f t="shared" ref="AC12" ca="1" si="33">AC$11/AB$11-1</f>
        <v>1.7129564838123112E-2</v>
      </c>
      <c r="AD12" s="18">
        <f t="shared" ref="AD12" ca="1" si="34">AD$11/AC$11-1</f>
        <v>1.689583214297885E-2</v>
      </c>
      <c r="AE12" s="18">
        <f t="shared" ref="AE12" ca="1" si="35">AE$11/AD$11-1</f>
        <v>1.6629786339197539E-2</v>
      </c>
      <c r="AF12" s="18">
        <f t="shared" ref="AF12" ca="1" si="36">AF$11/AE$11-1</f>
        <v>1.6353404277823502E-2</v>
      </c>
      <c r="AG12" s="18">
        <f t="shared" ref="AG12" ca="1" si="37">AG$11/AF$11-1</f>
        <v>1.6064117970308489E-2</v>
      </c>
      <c r="AH12" s="18">
        <f t="shared" ref="AH12" ca="1" si="38">AH$11/AG$11-1</f>
        <v>1.5744119388872546E-2</v>
      </c>
      <c r="AI12" s="18">
        <f t="shared" ref="AI12" ca="1" si="39">AI$11/AH$11-1</f>
        <v>1.5446002291643612E-2</v>
      </c>
      <c r="AJ12" s="18">
        <f t="shared" ref="AJ12" ca="1" si="40">AJ$11/AI$11-1</f>
        <v>1.5175942332604331E-2</v>
      </c>
      <c r="AK12" s="18">
        <f t="shared" ref="AK12" ca="1" si="41">AK$11/AJ$11-1</f>
        <v>1.4847337536970651E-2</v>
      </c>
      <c r="AL12" s="18">
        <f t="shared" ref="AL12" ca="1" si="42">AL$11/AK$11-1</f>
        <v>1.4557119221408898E-2</v>
      </c>
      <c r="AM12" s="18">
        <f t="shared" ref="AM12" ca="1" si="43">AM$11/AL$11-1</f>
        <v>1.4304337801099409E-2</v>
      </c>
      <c r="AN12" s="18">
        <f t="shared" ref="AN12" ca="1" si="44">AN$11/AM$11-1</f>
        <v>1.4075493651907856E-2</v>
      </c>
      <c r="AO12" s="18">
        <f t="shared" ref="AO12" ca="1" si="45">AO$11/AN$11-1</f>
        <v>1.3845126243502204E-2</v>
      </c>
      <c r="AP12" s="18">
        <f t="shared" ref="AP12" ca="1" si="46">AP$11/AO$11-1</f>
        <v>1.3699965898887001E-2</v>
      </c>
      <c r="AQ12" s="18">
        <f t="shared" ref="AQ12" ca="1" si="47">AQ$11/AP$11-1</f>
        <v>1.3564182305664918E-2</v>
      </c>
      <c r="AR12" s="18">
        <f t="shared" ref="AR12" ca="1" si="48">AR$11/AQ$11-1</f>
        <v>1.3489519751996859E-2</v>
      </c>
      <c r="AS12" s="18">
        <f t="shared" ref="AS12" ca="1" si="49">AS$11/AR$11-1</f>
        <v>1.3410586301581429E-2</v>
      </c>
      <c r="AT12" s="18">
        <f t="shared" ref="AT12" ca="1" si="50">AT$11/AS$11-1</f>
        <v>1.340347253737173E-2</v>
      </c>
      <c r="AU12" s="18">
        <f t="shared" ref="AU12" ca="1" si="51">AU$11/AT$11-1</f>
        <v>1.3348195909810512E-2</v>
      </c>
      <c r="AV12" s="18">
        <f t="shared" ref="AV12" ca="1" si="52">AV$11/AU$11-1</f>
        <v>1.3353679219858305E-2</v>
      </c>
      <c r="AW12" s="18">
        <f t="shared" ref="AW12" ca="1" si="53">AW$11/AV$11-1</f>
        <v>1.3351876906167348E-2</v>
      </c>
      <c r="AX12" s="18">
        <f t="shared" ref="AX12" ca="1" si="54">AX$11/AW$11-1</f>
        <v>1.330212714572232E-2</v>
      </c>
    </row>
    <row r="13" spans="1:50" x14ac:dyDescent="0.25">
      <c r="A13" s="9" t="s">
        <v>143</v>
      </c>
      <c r="B13" s="9"/>
      <c r="C13" s="13"/>
      <c r="D13" s="42">
        <f>'Economic Forecasts'!Q$7</f>
        <v>310.512</v>
      </c>
      <c r="E13" s="42">
        <f>'Economic Forecasts'!R$7</f>
        <v>317.63099999999997</v>
      </c>
      <c r="F13" s="42">
        <f>'Economic Forecasts'!S$7</f>
        <v>343.39299999999997</v>
      </c>
      <c r="G13" s="42">
        <f>'Economic Forecasts'!T$7</f>
        <v>365.71600000000001</v>
      </c>
      <c r="H13" s="42">
        <f>'Economic Forecasts'!U$7</f>
        <v>401.54700000000003</v>
      </c>
      <c r="I13" s="42">
        <f>'Economic Forecasts'!V$7</f>
        <v>420.62200000000001</v>
      </c>
      <c r="J13" s="43">
        <f>'Economic Forecasts'!W$7</f>
        <v>435.14800000000002</v>
      </c>
      <c r="K13" s="43">
        <f>'Economic Forecasts'!X$7</f>
        <v>456.464</v>
      </c>
      <c r="L13" s="43">
        <f>'Economic Forecasts'!Y$7</f>
        <v>477.77</v>
      </c>
      <c r="M13" s="43">
        <f>'Economic Forecasts'!Z$7</f>
        <v>500.86599999999999</v>
      </c>
      <c r="N13" s="43">
        <f>'Economic Forecasts'!AA$7</f>
        <v>524.12199999999996</v>
      </c>
      <c r="O13" s="47">
        <f t="shared" ref="O13:X13" ca="1" si="55">N$13*O$11/N$11*(1+O$29)</f>
        <v>547.63554185703356</v>
      </c>
      <c r="P13" s="47">
        <f t="shared" ca="1" si="55"/>
        <v>571.83847643101478</v>
      </c>
      <c r="Q13" s="47">
        <f t="shared" ca="1" si="55"/>
        <v>596.12200913025549</v>
      </c>
      <c r="R13" s="47">
        <f t="shared" ca="1" si="55"/>
        <v>620.4039737744871</v>
      </c>
      <c r="S13" s="47">
        <f t="shared" ca="1" si="55"/>
        <v>645.46238603006236</v>
      </c>
      <c r="T13" s="47">
        <f t="shared" ca="1" si="55"/>
        <v>671.28503413171006</v>
      </c>
      <c r="U13" s="47">
        <f t="shared" ca="1" si="55"/>
        <v>697.97589315719665</v>
      </c>
      <c r="V13" s="47">
        <f t="shared" ca="1" si="55"/>
        <v>725.54241299048203</v>
      </c>
      <c r="W13" s="47">
        <f t="shared" ca="1" si="55"/>
        <v>753.84090951644828</v>
      </c>
      <c r="X13" s="47">
        <f t="shared" ca="1" si="55"/>
        <v>782.91722694443752</v>
      </c>
      <c r="Y13" s="47">
        <f t="shared" ref="Y13" ca="1" si="56">X$13*Y$11/X$11*(1+Y$29)</f>
        <v>812.92365744842095</v>
      </c>
      <c r="Z13" s="47">
        <f t="shared" ref="Z13" ca="1" si="57">Y$13*Z$11/Y$11*(1+Z$29)</f>
        <v>843.86537326249129</v>
      </c>
      <c r="AA13" s="47">
        <f t="shared" ref="AA13" ca="1" si="58">Z$13*AA$11/Z$11*(1+AA$29)</f>
        <v>875.8689267498869</v>
      </c>
      <c r="AB13" s="47">
        <f t="shared" ref="AB13" ca="1" si="59">AA$13*AB$11/AA$11*(1+AB$29)</f>
        <v>908.90035626859787</v>
      </c>
      <c r="AC13" s="47">
        <f t="shared" ref="AC13" ca="1" si="60">AB$13*AC$11/AB$11*(1+AC$29)</f>
        <v>942.95881232974796</v>
      </c>
      <c r="AD13" s="47">
        <f t="shared" ref="AD13" ca="1" si="61">AC$13*AD$11/AC$11*(1+AD$29)</f>
        <v>978.06870386342632</v>
      </c>
      <c r="AE13" s="47">
        <f t="shared" ref="AE13" ca="1" si="62">AD$13*AE$11/AD$11*(1+AE$29)</f>
        <v>1014.2204529824055</v>
      </c>
      <c r="AF13" s="47">
        <f t="shared" ref="AF13" ca="1" si="63">AE$13*AF$11/AE$11*(1+AF$29)</f>
        <v>1051.4225382784014</v>
      </c>
      <c r="AG13" s="47">
        <f t="shared" ref="AG13" ca="1" si="64">AF$13*AG$11/AF$11*(1+AG$29)</f>
        <v>1089.6789682493456</v>
      </c>
      <c r="AH13" s="47">
        <f t="shared" ref="AH13" ca="1" si="65">AG$13*AH$11/AG$11*(1+AH$29)</f>
        <v>1128.9717041014271</v>
      </c>
      <c r="AI13" s="47">
        <f t="shared" ref="AI13" ca="1" si="66">AH$13*AI$11/AH$11*(1+AI$29)</f>
        <v>1169.3379997027823</v>
      </c>
      <c r="AJ13" s="47">
        <f t="shared" ref="AJ13" ca="1" si="67">AI$13*AJ$11/AI$11*(1+AJ$29)</f>
        <v>1210.8254818686667</v>
      </c>
      <c r="AK13" s="47">
        <f t="shared" ref="AK13" ca="1" si="68">AJ$13*AK$11/AJ$11*(1+AK$29)</f>
        <v>1253.3790768262625</v>
      </c>
      <c r="AL13" s="47">
        <f t="shared" ref="AL13" ca="1" si="69">AK$13*AL$11/AK$11*(1+AL$29)</f>
        <v>1297.0571587867869</v>
      </c>
      <c r="AM13" s="47">
        <f t="shared" ref="AM13" ca="1" si="70">AL$13*AM$11/AL$11*(1+AM$29)</f>
        <v>1341.9229165840754</v>
      </c>
      <c r="AN13" s="47">
        <f t="shared" ref="AN13" ca="1" si="71">AM$13*AN$11/AM$11*(1+AN$29)</f>
        <v>1388.0273669593603</v>
      </c>
      <c r="AO13" s="47">
        <f t="shared" ref="AO13" ca="1" si="72">AN$13*AO$11/AN$11*(1+AO$29)</f>
        <v>1435.3896767060355</v>
      </c>
      <c r="AP13" s="47">
        <f t="shared" ref="AP13" ca="1" si="73">AO$13*AP$11/AO$11*(1+AP$29)</f>
        <v>1484.1555556550929</v>
      </c>
      <c r="AQ13" s="47">
        <f t="shared" ref="AQ13" ca="1" si="74">AP$13*AQ$11/AP$11*(1+AQ$29)</f>
        <v>1534.3726504256033</v>
      </c>
      <c r="AR13" s="47">
        <f t="shared" ref="AR13" ca="1" si="75">AQ$13*AR$11/AQ$11*(1+AR$29)</f>
        <v>1586.1720126124521</v>
      </c>
      <c r="AS13" s="47">
        <f t="shared" ref="AS13" ca="1" si="76">AR$13*AS$11/AR$11*(1+AS$29)</f>
        <v>1639.5923794622793</v>
      </c>
      <c r="AT13" s="47">
        <f t="shared" ref="AT13" ca="1" si="77">AS$13*AT$11/AS$11*(1+AT$29)</f>
        <v>1694.7999831107436</v>
      </c>
      <c r="AU13" s="47">
        <f t="shared" ref="AU13" ca="1" si="78">AT$13*AU$11/AT$11*(1+AU$29)</f>
        <v>1751.7709554195146</v>
      </c>
      <c r="AV13" s="47">
        <f t="shared" ref="AV13" ca="1" si="79">AU$13*AV$11/AU$11*(1+AV$29)</f>
        <v>1810.6668136813485</v>
      </c>
      <c r="AW13" s="47">
        <f t="shared" ref="AW13" ca="1" si="80">AV$13*AW$11/AV$11*(1+AW$29)</f>
        <v>1871.5394663776181</v>
      </c>
      <c r="AX13" s="47">
        <f t="shared" ref="AX13" ca="1" si="81">AW$13*AX$11/AW$11*(1+AX$29)</f>
        <v>1934.3636207639624</v>
      </c>
    </row>
    <row r="14" spans="1:50" x14ac:dyDescent="0.25">
      <c r="A14" s="10" t="str">
        <f>$A$12</f>
        <v>Annual percentage growth</v>
      </c>
      <c r="B14" s="9"/>
      <c r="C14" s="13"/>
      <c r="D14" s="36"/>
      <c r="E14" s="36">
        <f>E$13/D$13-1</f>
        <v>2.2926650177770735E-2</v>
      </c>
      <c r="F14" s="36">
        <f t="shared" ref="F14:X14" si="82">F$13/E$13-1</f>
        <v>8.1106692986515849E-2</v>
      </c>
      <c r="G14" s="36">
        <f t="shared" si="82"/>
        <v>6.5007149242995776E-2</v>
      </c>
      <c r="H14" s="36">
        <f t="shared" si="82"/>
        <v>9.7974931367509344E-2</v>
      </c>
      <c r="I14" s="36">
        <f t="shared" si="82"/>
        <v>4.7503779134198565E-2</v>
      </c>
      <c r="J14" s="19">
        <f t="shared" si="82"/>
        <v>3.4534570231704587E-2</v>
      </c>
      <c r="K14" s="19">
        <f t="shared" si="82"/>
        <v>4.898563247446841E-2</v>
      </c>
      <c r="L14" s="19">
        <f t="shared" si="82"/>
        <v>4.6676189140874236E-2</v>
      </c>
      <c r="M14" s="19">
        <f t="shared" si="82"/>
        <v>4.8341252066894214E-2</v>
      </c>
      <c r="N14" s="19">
        <f t="shared" si="82"/>
        <v>4.6431580502569458E-2</v>
      </c>
      <c r="O14" s="18">
        <f t="shared" ca="1" si="82"/>
        <v>4.4862726344312209E-2</v>
      </c>
      <c r="P14" s="18">
        <f t="shared" ca="1" si="82"/>
        <v>4.4195331975549035E-2</v>
      </c>
      <c r="Q14" s="18">
        <f t="shared" ca="1" si="82"/>
        <v>4.2465720129222895E-2</v>
      </c>
      <c r="R14" s="18">
        <f t="shared" ca="1" si="82"/>
        <v>4.0733212785850847E-2</v>
      </c>
      <c r="S14" s="18">
        <f t="shared" ca="1" si="82"/>
        <v>4.0390476713296763E-2</v>
      </c>
      <c r="T14" s="18">
        <f t="shared" ca="1" si="82"/>
        <v>4.0006433621129656E-2</v>
      </c>
      <c r="U14" s="18">
        <f t="shared" ca="1" si="82"/>
        <v>3.9760843260881806E-2</v>
      </c>
      <c r="V14" s="18">
        <f t="shared" ca="1" si="82"/>
        <v>3.9494945460927022E-2</v>
      </c>
      <c r="W14" s="18">
        <f t="shared" ca="1" si="82"/>
        <v>3.9003228507797028E-2</v>
      </c>
      <c r="X14" s="18">
        <f t="shared" ca="1" si="82"/>
        <v>3.8570893488176772E-2</v>
      </c>
      <c r="Y14" s="18">
        <f t="shared" ref="Y14" ca="1" si="83">Y$13/X$13-1</f>
        <v>3.8326440486042612E-2</v>
      </c>
      <c r="Z14" s="18">
        <f t="shared" ref="Z14" ca="1" si="84">Z$13/Y$13-1</f>
        <v>3.806226517160205E-2</v>
      </c>
      <c r="AA14" s="18">
        <f t="shared" ref="AA14" ca="1" si="85">AA$13/Z$13-1</f>
        <v>3.7924951658658168E-2</v>
      </c>
      <c r="AB14" s="18">
        <f t="shared" ref="AB14" ca="1" si="86">AB$13/AA$13-1</f>
        <v>3.7712754168916174E-2</v>
      </c>
      <c r="AC14" s="18">
        <f t="shared" ref="AC14" ca="1" si="87">AC$13/AB$13-1</f>
        <v>3.7472156134885637E-2</v>
      </c>
      <c r="AD14" s="18">
        <f t="shared" ref="AD14" ca="1" si="88">AD$13/AC$13-1</f>
        <v>3.7233748785838294E-2</v>
      </c>
      <c r="AE14" s="18">
        <f t="shared" ref="AE14" ca="1" si="89">AE$13/AD$13-1</f>
        <v>3.6962382065981458E-2</v>
      </c>
      <c r="AF14" s="18">
        <f t="shared" ref="AF14" ca="1" si="90">AF$13/AE$13-1</f>
        <v>3.6680472363380012E-2</v>
      </c>
      <c r="AG14" s="18">
        <f t="shared" ref="AG14" ca="1" si="91">AG$13/AF$13-1</f>
        <v>3.6385400329714601E-2</v>
      </c>
      <c r="AH14" s="18">
        <f t="shared" ref="AH14" ca="1" si="92">AH$13/AG$13-1</f>
        <v>3.6059001776650224E-2</v>
      </c>
      <c r="AI14" s="18">
        <f t="shared" ref="AI14" ca="1" si="93">AI$13/AH$13-1</f>
        <v>3.575492233747668E-2</v>
      </c>
      <c r="AJ14" s="18">
        <f t="shared" ref="AJ14" ca="1" si="94">AJ$13/AI$13-1</f>
        <v>3.5479461179256599E-2</v>
      </c>
      <c r="AK14" s="18">
        <f t="shared" ref="AK14" ca="1" si="95">AK$13/AJ$13-1</f>
        <v>3.5144284287709882E-2</v>
      </c>
      <c r="AL14" s="18">
        <f t="shared" ref="AL14" ca="1" si="96">AL$13/AK$13-1</f>
        <v>3.4848261605837205E-2</v>
      </c>
      <c r="AM14" s="18">
        <f t="shared" ref="AM14" ca="1" si="97">AM$13/AL$13-1</f>
        <v>3.4590424557121358E-2</v>
      </c>
      <c r="AN14" s="18">
        <f t="shared" ref="AN14" ca="1" si="98">AN$13/AM$13-1</f>
        <v>3.4357003524945862E-2</v>
      </c>
      <c r="AO14" s="18">
        <f t="shared" ref="AO14" ca="1" si="99">AO$13/AN$13-1</f>
        <v>3.4122028768372115E-2</v>
      </c>
      <c r="AP14" s="18">
        <f t="shared" ref="AP14" ca="1" si="100">AP$13/AO$13-1</f>
        <v>3.3973965216864688E-2</v>
      </c>
      <c r="AQ14" s="18">
        <f t="shared" ref="AQ14" ca="1" si="101">AQ$13/AP$13-1</f>
        <v>3.383546595177811E-2</v>
      </c>
      <c r="AR14" s="18">
        <f t="shared" ref="AR14" ca="1" si="102">AR$13/AQ$13-1</f>
        <v>3.3759310147036814E-2</v>
      </c>
      <c r="AS14" s="18">
        <f t="shared" ref="AS14" ca="1" si="103">AS$13/AR$13-1</f>
        <v>3.3678798027612977E-2</v>
      </c>
      <c r="AT14" s="18">
        <f t="shared" ref="AT14" ca="1" si="104">AT$13/AS$13-1</f>
        <v>3.3671541988119058E-2</v>
      </c>
      <c r="AU14" s="18">
        <f t="shared" ref="AU14" ca="1" si="105">AU$13/AT$13-1</f>
        <v>3.361515982800678E-2</v>
      </c>
      <c r="AV14" s="18">
        <f t="shared" ref="AV14" ca="1" si="106">AV$13/AU$13-1</f>
        <v>3.3620752804255361E-2</v>
      </c>
      <c r="AW14" s="18">
        <f t="shared" ref="AW14" ca="1" si="107">AW$13/AV$13-1</f>
        <v>3.361891444429066E-2</v>
      </c>
      <c r="AX14" s="18">
        <f t="shared" ref="AX14" ca="1" si="108">AX$13/AW$13-1</f>
        <v>3.356816968863674E-2</v>
      </c>
    </row>
    <row r="15" spans="1:50" x14ac:dyDescent="0.25">
      <c r="A15" s="12" t="s">
        <v>144</v>
      </c>
      <c r="B15" s="9"/>
      <c r="C15" s="13"/>
      <c r="D15" s="35"/>
    </row>
    <row r="16" spans="1:50" x14ac:dyDescent="0.25">
      <c r="A16" s="9" t="s">
        <v>145</v>
      </c>
      <c r="B16" s="9"/>
      <c r="C16" s="13"/>
      <c r="D16" s="35">
        <f>'Economic Forecasts'!Q$8</f>
        <v>2.7963</v>
      </c>
      <c r="E16" s="35">
        <f>'Economic Forecasts'!R$8</f>
        <v>2.8405</v>
      </c>
      <c r="F16" s="35">
        <f>'Economic Forecasts'!S$8</f>
        <v>2.875</v>
      </c>
      <c r="G16" s="35">
        <f>'Economic Forecasts'!T$8</f>
        <v>2.9104999999999999</v>
      </c>
      <c r="H16" s="35">
        <f>'Economic Forecasts'!U$8</f>
        <v>2.9918</v>
      </c>
      <c r="I16" s="35">
        <f>'Economic Forecasts'!V$8</f>
        <v>3.0680000000000001</v>
      </c>
      <c r="J16" s="17">
        <f>'Economic Forecasts'!W$8</f>
        <v>3.0784000000000002</v>
      </c>
      <c r="K16" s="17">
        <f>'Economic Forecasts'!X$8</f>
        <v>3.1261000000000001</v>
      </c>
      <c r="L16" s="17">
        <f>'Economic Forecasts'!Y$8</f>
        <v>3.1818</v>
      </c>
      <c r="M16" s="17">
        <f>'Economic Forecasts'!Z$8</f>
        <v>3.2342</v>
      </c>
      <c r="N16" s="17">
        <f>'Economic Forecasts'!AA$8</f>
        <v>3.2824</v>
      </c>
      <c r="O16" s="16">
        <f>N$16*'Labour Force Treasury'!H$4/'Labour Force Treasury'!G$4</f>
        <v>3.3240155687061055</v>
      </c>
      <c r="P16" s="16">
        <f>O$16*'Labour Force Treasury'!I$4/'Labour Force Treasury'!H$4</f>
        <v>3.3643725851303166</v>
      </c>
      <c r="Q16" s="16">
        <f>P$16*'Labour Force Treasury'!J$4/'Labour Force Treasury'!I$4</f>
        <v>3.4037464781168918</v>
      </c>
      <c r="R16" s="16">
        <f>Q$16*'Labour Force Treasury'!K$4/'Labour Force Treasury'!J$4</f>
        <v>3.441955739208999</v>
      </c>
      <c r="S16" s="16">
        <f>R$16*'Labour Force Treasury'!L$4/'Labour Force Treasury'!K$4</f>
        <v>3.4794476887830292</v>
      </c>
      <c r="T16" s="16">
        <f>S$16*'Labour Force Treasury'!M$4/'Labour Force Treasury'!L$4</f>
        <v>3.5160496529105894</v>
      </c>
      <c r="U16" s="16">
        <f>T$16*'Labour Force Treasury'!N$4/'Labour Force Treasury'!M$4</f>
        <v>3.55219762534974</v>
      </c>
      <c r="V16" s="16">
        <f>U$16*'Labour Force Treasury'!O$4/'Labour Force Treasury'!N$4</f>
        <v>3.5877994877760577</v>
      </c>
      <c r="W16" s="16">
        <f>V$16*'Labour Force Treasury'!P$4/'Labour Force Treasury'!O$4</f>
        <v>3.6220440069161328</v>
      </c>
      <c r="X16" s="16">
        <f>W$16*'Labour Force Treasury'!Q$4/'Labour Force Treasury'!P$4</f>
        <v>3.6550938422009605</v>
      </c>
      <c r="Y16" s="16">
        <f>X$16*'Labour Force Treasury'!R$4/'Labour Force Treasury'!Q$4</f>
        <v>3.6875770796313341</v>
      </c>
      <c r="Z16" s="16">
        <f>Y$16*'Labour Force Treasury'!S$4/'Labour Force Treasury'!R$4</f>
        <v>3.7194024527069933</v>
      </c>
      <c r="AA16" s="16">
        <f>Z$16*'Labour Force Treasury'!T$4/'Labour Force Treasury'!S$4</f>
        <v>3.7510062485911124</v>
      </c>
      <c r="AB16" s="16">
        <f>AA$16*'Labour Force Treasury'!U$4/'Labour Force Treasury'!T$4</f>
        <v>3.782105195524883</v>
      </c>
      <c r="AC16" s="16">
        <f>AB$16*'Labour Force Treasury'!V$4/'Labour Force Treasury'!U$4</f>
        <v>3.8125778113936861</v>
      </c>
      <c r="AD16" s="16">
        <f>AC$16*'Labour Force Treasury'!W$4/'Labour Force Treasury'!V$4</f>
        <v>3.8424127711863627</v>
      </c>
      <c r="AE16" s="16">
        <f>AD$16*'Labour Force Treasury'!X$4/'Labour Force Treasury'!W$4</f>
        <v>3.8714680620398374</v>
      </c>
      <c r="AF16" s="16">
        <f>AE$16*'Labour Force Treasury'!Y$4/'Labour Force Treasury'!X$4</f>
        <v>3.8996826009980743</v>
      </c>
      <c r="AG16" s="16">
        <f>AF$16*'Labour Force Treasury'!Z$4/'Labour Force Treasury'!Y$4</f>
        <v>3.9269847000468463</v>
      </c>
      <c r="AH16" s="16">
        <f>AG$16*'Labour Force Treasury'!AA$4/'Labour Force Treasury'!Z$4</f>
        <v>3.953232523293023</v>
      </c>
      <c r="AI16" s="16">
        <f>AH$16*'Labour Force Treasury'!AB$4/'Labour Force Treasury'!AA$4</f>
        <v>3.9784877719595717</v>
      </c>
      <c r="AJ16" s="16">
        <f>AI$16*'Labour Force Treasury'!AC$4/'Labour Force Treasury'!AB$4</f>
        <v>4.0028395173020836</v>
      </c>
      <c r="AK16" s="16">
        <f>AJ$16*'Labour Force Treasury'!AD$4/'Labour Force Treasury'!AC$4</f>
        <v>4.0260366964537093</v>
      </c>
      <c r="AL16" s="16">
        <f>AK$16*'Labour Force Treasury'!AE$4/'Labour Force Treasury'!AD$4</f>
        <v>4.048210299934345</v>
      </c>
      <c r="AM16" s="16">
        <f>AL$16*'Labour Force Treasury'!AF$4/'Labour Force Treasury'!AE$4</f>
        <v>4.0694918409856253</v>
      </c>
      <c r="AN16" s="16">
        <f>AM$16*'Labour Force Treasury'!AG$4/'Labour Force Treasury'!AF$4</f>
        <v>4.0899622869771157</v>
      </c>
      <c r="AO16" s="16">
        <f>AN$16*'Labour Force Treasury'!AH$4/'Labour Force Treasury'!AG$4</f>
        <v>4.109601913945963</v>
      </c>
      <c r="AP16" s="16">
        <f>AO$16*'Labour Force Treasury'!AI$4/'Labour Force Treasury'!AH$4</f>
        <v>4.1287446184588941</v>
      </c>
      <c r="AQ16" s="16">
        <f>AP$16*'Labour Force Treasury'!AJ$4/'Labour Force Treasury'!AI$4</f>
        <v>4.1474208752796864</v>
      </c>
      <c r="AR16" s="16">
        <f>AQ$16*'Labour Force Treasury'!AK$4/'Labour Force Treasury'!AJ$4</f>
        <v>4.165874718628956</v>
      </c>
      <c r="AS16" s="16">
        <f>AR$16*'Labour Force Treasury'!AL$4/'Labour Force Treasury'!AK$4</f>
        <v>4.1840847780621466</v>
      </c>
      <c r="AT16" s="16">
        <f>AS$16*'Labour Force Treasury'!AM$4/'Labour Force Treasury'!AL$4</f>
        <v>4.2023449390276886</v>
      </c>
      <c r="AU16" s="16">
        <f>AT$16*'Labour Force Treasury'!AN$4/'Labour Force Treasury'!AM$4</f>
        <v>4.2204545714117261</v>
      </c>
      <c r="AV16" s="16">
        <f>AU$16*'Labour Force Treasury'!AO$4/'Labour Force Treasury'!AN$4</f>
        <v>4.238665181288745</v>
      </c>
      <c r="AW16" s="16">
        <f>AV$16*'Labour Force Treasury'!AP$4/'Labour Force Treasury'!AO$4</f>
        <v>4.2569467958729152</v>
      </c>
      <c r="AX16" s="16">
        <f>AW$16*'Labour Force Treasury'!AQ$4/'Labour Force Treasury'!AP$4</f>
        <v>4.2750973671002903</v>
      </c>
    </row>
    <row r="17" spans="1:50" x14ac:dyDescent="0.25">
      <c r="A17" s="10" t="str">
        <f>$A$12</f>
        <v>Annual percentage growth</v>
      </c>
      <c r="B17" s="9"/>
      <c r="C17" s="13"/>
      <c r="D17" s="38"/>
      <c r="E17" s="36">
        <f>E$16/D$16-1</f>
        <v>1.5806601580660162E-2</v>
      </c>
      <c r="F17" s="36">
        <f t="shared" ref="F17:X17" si="109">F$16/E$16-1</f>
        <v>1.2145748987854255E-2</v>
      </c>
      <c r="G17" s="36">
        <f t="shared" si="109"/>
        <v>1.2347826086956504E-2</v>
      </c>
      <c r="H17" s="36">
        <f t="shared" si="109"/>
        <v>2.7933344786119196E-2</v>
      </c>
      <c r="I17" s="36">
        <f t="shared" si="109"/>
        <v>2.546961695300487E-2</v>
      </c>
      <c r="J17" s="19">
        <f t="shared" si="109"/>
        <v>3.3898305084747449E-3</v>
      </c>
      <c r="K17" s="19">
        <f t="shared" si="109"/>
        <v>1.5495062370062263E-2</v>
      </c>
      <c r="L17" s="19">
        <f t="shared" si="109"/>
        <v>1.7817728159687851E-2</v>
      </c>
      <c r="M17" s="19">
        <f t="shared" si="109"/>
        <v>1.6468665535231741E-2</v>
      </c>
      <c r="N17" s="19">
        <f t="shared" si="109"/>
        <v>1.4903221816832568E-2</v>
      </c>
      <c r="O17" s="18">
        <f t="shared" si="109"/>
        <v>1.2678396510512169E-2</v>
      </c>
      <c r="P17" s="18">
        <f t="shared" si="109"/>
        <v>1.2141043141961072E-2</v>
      </c>
      <c r="Q17" s="18">
        <f t="shared" si="109"/>
        <v>1.1703190413748565E-2</v>
      </c>
      <c r="R17" s="18">
        <f t="shared" si="109"/>
        <v>1.122564836651585E-2</v>
      </c>
      <c r="S17" s="18">
        <f t="shared" si="109"/>
        <v>1.0892629776420693E-2</v>
      </c>
      <c r="T17" s="18">
        <f t="shared" si="109"/>
        <v>1.0519475330971861E-2</v>
      </c>
      <c r="U17" s="18">
        <f t="shared" si="109"/>
        <v>1.0280848112946162E-2</v>
      </c>
      <c r="V17" s="18">
        <f t="shared" si="109"/>
        <v>1.0022489225331999E-2</v>
      </c>
      <c r="W17" s="18">
        <f t="shared" si="109"/>
        <v>9.5447137602726606E-3</v>
      </c>
      <c r="X17" s="18">
        <f t="shared" si="109"/>
        <v>9.1246365924104733E-3</v>
      </c>
      <c r="Y17" s="18">
        <f t="shared" ref="Y17" si="110">Y$16/X$16-1</f>
        <v>8.8871144853597261E-3</v>
      </c>
      <c r="Z17" s="18">
        <f t="shared" ref="Z17" si="111">Z$16/Y$16-1</f>
        <v>8.6304292461978349E-3</v>
      </c>
      <c r="AA17" s="18">
        <f t="shared" ref="AA17" si="112">AA$16/Z$16-1</f>
        <v>8.4970089378517688E-3</v>
      </c>
      <c r="AB17" s="18">
        <f t="shared" ref="AB17" si="113">AB$16/AA$16-1</f>
        <v>8.2908278133237978E-3</v>
      </c>
      <c r="AC17" s="18">
        <f t="shared" ref="AC17" si="114">AC$16/AB$16-1</f>
        <v>8.0570513757416418E-3</v>
      </c>
      <c r="AD17" s="18">
        <f t="shared" ref="AD17" si="115">AD$16/AC$16-1</f>
        <v>7.8254035113765053E-3</v>
      </c>
      <c r="AE17" s="18">
        <f t="shared" ref="AE17" si="116">AE$16/AD$16-1</f>
        <v>7.5617307623365715E-3</v>
      </c>
      <c r="AF17" s="18">
        <f t="shared" ref="AF17" si="117">AF$16/AE$16-1</f>
        <v>7.2878139522531971E-3</v>
      </c>
      <c r="AG17" s="18">
        <f t="shared" ref="AG17" si="118">AG$16/AF$16-1</f>
        <v>7.0011079983238744E-3</v>
      </c>
      <c r="AH17" s="18">
        <f t="shared" ref="AH17" si="119">AH$16/AG$16-1</f>
        <v>6.6839637154336717E-3</v>
      </c>
      <c r="AI17" s="18">
        <f t="shared" ref="AI17" si="120">AI$16/AH$16-1</f>
        <v>6.3885057399839518E-3</v>
      </c>
      <c r="AJ17" s="18">
        <f t="shared" ref="AJ17" si="121">AJ$16/AI$16-1</f>
        <v>6.1208546408368925E-3</v>
      </c>
      <c r="AK17" s="18">
        <f t="shared" ref="AK17" si="122">AK$16/AJ$16-1</f>
        <v>5.7951809087917194E-3</v>
      </c>
      <c r="AL17" s="18">
        <f t="shared" ref="AL17" si="123">AL$16/AK$16-1</f>
        <v>5.5075512600684107E-3</v>
      </c>
      <c r="AM17" s="18">
        <f t="shared" ref="AM17" si="124">AM$16/AL$16-1</f>
        <v>5.2570245798804205E-3</v>
      </c>
      <c r="AN17" s="18">
        <f t="shared" ref="AN17" si="125">AN$16/AM$16-1</f>
        <v>5.0302216569950708E-3</v>
      </c>
      <c r="AO17" s="18">
        <f t="shared" ref="AO17" si="126">AO$16/AN$16-1</f>
        <v>4.8019090619446647E-3</v>
      </c>
      <c r="AP17" s="18">
        <f t="shared" ref="AP17" si="127">AP$16/AO$16-1</f>
        <v>4.6580435073213522E-3</v>
      </c>
      <c r="AQ17" s="18">
        <f t="shared" ref="AQ17" si="128">AQ$16/AP$16-1</f>
        <v>4.523471066070206E-3</v>
      </c>
      <c r="AR17" s="18">
        <f t="shared" ref="AR17" si="129">AR$16/AQ$16-1</f>
        <v>4.4494744816621079E-3</v>
      </c>
      <c r="AS17" s="18">
        <f t="shared" ref="AS17" si="130">AS$16/AR$16-1</f>
        <v>4.3712450957200666E-3</v>
      </c>
      <c r="AT17" s="18">
        <f t="shared" ref="AT17" si="131">AT$16/AS$16-1</f>
        <v>4.3641947843129358E-3</v>
      </c>
      <c r="AU17" s="18">
        <f t="shared" ref="AU17" si="132">AU$16/AT$16-1</f>
        <v>4.3094112089303582E-3</v>
      </c>
      <c r="AV17" s="18">
        <f t="shared" ref="AV17" si="133">AV$16/AU$16-1</f>
        <v>4.3148456093742293E-3</v>
      </c>
      <c r="AW17" s="18">
        <f t="shared" ref="AW17" si="134">AW$16/AV$16-1</f>
        <v>4.3130593718212484E-3</v>
      </c>
      <c r="AX17" s="18">
        <f t="shared" ref="AX17" si="135">AX$16/AW$16-1</f>
        <v>4.2637533654337201E-3</v>
      </c>
    </row>
    <row r="18" spans="1:50" x14ac:dyDescent="0.25">
      <c r="A18" s="9" t="s">
        <v>146</v>
      </c>
      <c r="B18" s="9"/>
      <c r="C18" s="13"/>
      <c r="D18" s="35">
        <f>'Economic Forecasts'!Q$9</f>
        <v>3.9466000000000001</v>
      </c>
      <c r="E18" s="35">
        <f>'Economic Forecasts'!R$9</f>
        <v>4.0335999999999999</v>
      </c>
      <c r="F18" s="35">
        <f>'Economic Forecasts'!S$9</f>
        <v>4.0891999999999999</v>
      </c>
      <c r="G18" s="35">
        <f>'Economic Forecasts'!T$9</f>
        <v>4.1008000000000004</v>
      </c>
      <c r="H18" s="35">
        <f>'Economic Forecasts'!U$9</f>
        <v>4.1555</v>
      </c>
      <c r="I18" s="35">
        <f>'Economic Forecasts'!V$9</f>
        <v>4.2751000000000001</v>
      </c>
      <c r="J18" s="17">
        <f>'Economic Forecasts'!W$9</f>
        <v>4.3324999999999996</v>
      </c>
      <c r="K18" s="17">
        <f>'Economic Forecasts'!X$9</f>
        <v>4.3881999999999994</v>
      </c>
      <c r="L18" s="17">
        <f>'Economic Forecasts'!Y$9</f>
        <v>4.4468000000000005</v>
      </c>
      <c r="M18" s="17">
        <f>'Economic Forecasts'!Z$9</f>
        <v>4.5060000000000002</v>
      </c>
      <c r="N18" s="17">
        <f>'Economic Forecasts'!AA$9</f>
        <v>4.5653000000000006</v>
      </c>
      <c r="O18" s="16">
        <f>N$18*'Population Treasury'!Z$6/'Population Treasury'!Y$6</f>
        <v>4.626718723417973</v>
      </c>
      <c r="P18" s="16">
        <f>O$18*'Population Treasury'!AA$6/'Population Treasury'!Z$6</f>
        <v>4.6862419574687548</v>
      </c>
      <c r="Q18" s="16">
        <f>P$18*'Population Treasury'!AB$6/'Population Treasury'!AA$6</f>
        <v>4.7447248000257867</v>
      </c>
      <c r="R18" s="16">
        <f>Q$18*'Population Treasury'!AC$6/'Population Treasury'!AB$6</f>
        <v>4.8012248000257864</v>
      </c>
      <c r="S18" s="16">
        <f>R$18*'Population Treasury'!AD$6/'Population Treasury'!AC$6</f>
        <v>4.8573948000257863</v>
      </c>
      <c r="T18" s="16">
        <f>S$18*'Population Treasury'!AE$6/'Population Treasury'!AD$6</f>
        <v>4.9116448000257851</v>
      </c>
      <c r="U18" s="16">
        <f>T$18*'Population Treasury'!AF$6/'Population Treasury'!AE$6</f>
        <v>4.9661048000257866</v>
      </c>
      <c r="V18" s="16">
        <f>U$18*'Population Treasury'!AG$6/'Population Treasury'!AF$6</f>
        <v>5.0194148000257863</v>
      </c>
      <c r="W18" s="16">
        <f>V$18*'Population Treasury'!AH$6/'Population Treasury'!AG$6</f>
        <v>5.0678548000257866</v>
      </c>
      <c r="X18" s="16">
        <f>W$18*'Population Treasury'!AI$6/'Population Treasury'!AH$6</f>
        <v>5.1154948000257869</v>
      </c>
      <c r="Y18" s="16">
        <f>X$18*'Population Treasury'!AJ$6/'Population Treasury'!AI$6</f>
        <v>5.1636748000257873</v>
      </c>
      <c r="Z18" s="16">
        <f>Y$18*'Population Treasury'!AK$6/'Population Treasury'!AJ$6</f>
        <v>5.2111848000257872</v>
      </c>
      <c r="AA18" s="16">
        <f>Z$18*'Population Treasury'!AL$6/'Population Treasury'!AK$6</f>
        <v>5.2581848000257869</v>
      </c>
      <c r="AB18" s="16">
        <f>AA$18*'Population Treasury'!AM$6/'Population Treasury'!AL$6</f>
        <v>5.3044748000257869</v>
      </c>
      <c r="AC18" s="16">
        <f>AB$18*'Population Treasury'!AN$6/'Population Treasury'!AM$6</f>
        <v>5.3501548000257868</v>
      </c>
      <c r="AD18" s="16">
        <f>AC$18*'Population Treasury'!AO$6/'Population Treasury'!AN$6</f>
        <v>5.395224800025785</v>
      </c>
      <c r="AE18" s="16">
        <f>AD$18*'Population Treasury'!AP$6/'Population Treasury'!AO$6</f>
        <v>5.4397648000257854</v>
      </c>
      <c r="AF18" s="16">
        <f>AE$18*'Population Treasury'!AQ$6/'Population Treasury'!AP$6</f>
        <v>5.4837348000257853</v>
      </c>
      <c r="AG18" s="16">
        <f>AF$18*'Population Treasury'!AR$6/'Population Treasury'!AQ$6</f>
        <v>5.5273248000257871</v>
      </c>
      <c r="AH18" s="16">
        <f>AG$18*'Population Treasury'!AS$6/'Population Treasury'!AR$6</f>
        <v>5.5704148000257874</v>
      </c>
      <c r="AI18" s="16">
        <f>AH$18*'Population Treasury'!AT$6/'Population Treasury'!AS$6</f>
        <v>5.6133748000257873</v>
      </c>
      <c r="AJ18" s="16">
        <f>AI$18*'Population Treasury'!AU$6/'Population Treasury'!AT$6</f>
        <v>5.6560948000257874</v>
      </c>
      <c r="AK18" s="16">
        <f>AJ$18*'Population Treasury'!AV$6/'Population Treasury'!AU$6</f>
        <v>5.6988248000257871</v>
      </c>
      <c r="AL18" s="16">
        <f>AK$18*'Population Treasury'!AW$6/'Population Treasury'!AV$6</f>
        <v>5.7415848000257874</v>
      </c>
      <c r="AM18" s="16">
        <f>AL$18*'Population Treasury'!AX$6/'Population Treasury'!AW$6</f>
        <v>5.7844048000257873</v>
      </c>
      <c r="AN18" s="16">
        <f>AM$18*'Population Treasury'!AY$6/'Population Treasury'!AX$6</f>
        <v>5.8274348000257872</v>
      </c>
      <c r="AO18" s="16">
        <f>AN$18*'Population Treasury'!AZ$6/'Population Treasury'!AY$6</f>
        <v>5.8705348000257871</v>
      </c>
      <c r="AP18" s="16">
        <f>AO$18*'Population Treasury'!BA$6/'Population Treasury'!AZ$6</f>
        <v>5.9139448000257859</v>
      </c>
      <c r="AQ18" s="16">
        <f>AP$18*'Population Treasury'!BB$6/'Population Treasury'!BA$6</f>
        <v>5.9573548000257865</v>
      </c>
      <c r="AR18" s="16">
        <f>AQ$18*'Population Treasury'!BC$6/'Population Treasury'!BB$6</f>
        <v>6.0010848000257866</v>
      </c>
      <c r="AS18" s="16">
        <f>AR$18*'Population Treasury'!BD$6/'Population Treasury'!BC$6</f>
        <v>6.0447248000257865</v>
      </c>
      <c r="AT18" s="16">
        <f>AS$18*'Population Treasury'!BE$6/'Population Treasury'!BD$6</f>
        <v>6.0882748000257845</v>
      </c>
      <c r="AU18" s="16">
        <f>AT$18*'Population Treasury'!BF$6/'Population Treasury'!BE$6</f>
        <v>6.131924800025784</v>
      </c>
      <c r="AV18" s="16">
        <f>AU$18*'Population Treasury'!BG$6/'Population Treasury'!BF$6</f>
        <v>6.1753248000257841</v>
      </c>
      <c r="AW18" s="16">
        <f>AV$18*'Population Treasury'!BH$6/'Population Treasury'!BG$6</f>
        <v>6.2186248000257844</v>
      </c>
      <c r="AX18" s="16">
        <f>AW$18*'Population Treasury'!BI$6/'Population Treasury'!BH$6</f>
        <v>6.2615748000257847</v>
      </c>
    </row>
    <row r="19" spans="1:50" x14ac:dyDescent="0.25">
      <c r="A19" s="10" t="str">
        <f>$A$12</f>
        <v>Annual percentage growth</v>
      </c>
      <c r="B19" s="9"/>
      <c r="C19" s="13"/>
      <c r="D19" s="36"/>
      <c r="E19" s="36">
        <f>E$18/D$18-1</f>
        <v>2.2044291288704221E-2</v>
      </c>
      <c r="F19" s="36">
        <f t="shared" ref="F19:X19" si="136">F$18/E$18-1</f>
        <v>1.3784212614042168E-2</v>
      </c>
      <c r="G19" s="36">
        <f t="shared" si="136"/>
        <v>2.8367406827742858E-3</v>
      </c>
      <c r="H19" s="36">
        <f t="shared" si="136"/>
        <v>1.333886071010526E-2</v>
      </c>
      <c r="I19" s="36">
        <f t="shared" si="136"/>
        <v>2.8781133437612905E-2</v>
      </c>
      <c r="J19" s="19">
        <f t="shared" si="136"/>
        <v>1.3426586512595984E-2</v>
      </c>
      <c r="K19" s="19">
        <f t="shared" si="136"/>
        <v>1.2856318522792787E-2</v>
      </c>
      <c r="L19" s="19">
        <f t="shared" si="136"/>
        <v>1.3353994804248037E-2</v>
      </c>
      <c r="M19" s="19">
        <f t="shared" si="136"/>
        <v>1.3312944139606042E-2</v>
      </c>
      <c r="N19" s="19">
        <f t="shared" si="136"/>
        <v>1.3160230803373363E-2</v>
      </c>
      <c r="O19" s="18">
        <f t="shared" si="136"/>
        <v>1.3453381687506205E-2</v>
      </c>
      <c r="P19" s="18">
        <f t="shared" si="136"/>
        <v>1.2865107565218414E-2</v>
      </c>
      <c r="Q19" s="18">
        <f t="shared" si="136"/>
        <v>1.2479689074488487E-2</v>
      </c>
      <c r="R19" s="18">
        <f t="shared" si="136"/>
        <v>1.1907961447983784E-2</v>
      </c>
      <c r="S19" s="18">
        <f t="shared" si="136"/>
        <v>1.1699098113401751E-2</v>
      </c>
      <c r="T19" s="18">
        <f t="shared" si="136"/>
        <v>1.1168538328346411E-2</v>
      </c>
      <c r="U19" s="18">
        <f t="shared" si="136"/>
        <v>1.1087935349012978E-2</v>
      </c>
      <c r="V19" s="18">
        <f t="shared" si="136"/>
        <v>1.0734771444960822E-2</v>
      </c>
      <c r="W19" s="18">
        <f t="shared" si="136"/>
        <v>9.6505273881233311E-3</v>
      </c>
      <c r="X19" s="18">
        <f t="shared" si="136"/>
        <v>9.400427178726245E-3</v>
      </c>
      <c r="Y19" s="18">
        <f t="shared" ref="Y19" si="137">Y$18/X$18-1</f>
        <v>9.4184437446320768E-3</v>
      </c>
      <c r="Z19" s="18">
        <f t="shared" ref="Z19" si="138">Z$18/Y$18-1</f>
        <v>9.200811793911301E-3</v>
      </c>
      <c r="AA19" s="18">
        <f t="shared" ref="AA19" si="139">AA$18/Z$18-1</f>
        <v>9.0190622293355727E-3</v>
      </c>
      <c r="AB19" s="18">
        <f t="shared" ref="AB19" si="140">AB$18/AA$18-1</f>
        <v>8.8034182442147113E-3</v>
      </c>
      <c r="AC19" s="18">
        <f t="shared" ref="AC19" si="141">AC$18/AB$18-1</f>
        <v>8.6115971367755062E-3</v>
      </c>
      <c r="AD19" s="18">
        <f t="shared" ref="AD19" si="142">AD$18/AC$18-1</f>
        <v>8.4240553188816847E-3</v>
      </c>
      <c r="AE19" s="18">
        <f t="shared" ref="AE19" si="143">AE$18/AD$18-1</f>
        <v>8.2554484105625825E-3</v>
      </c>
      <c r="AF19" s="18">
        <f t="shared" ref="AF19" si="144">AF$18/AE$18-1</f>
        <v>8.0830700621083995E-3</v>
      </c>
      <c r="AG19" s="18">
        <f t="shared" ref="AG19" si="145">AG$18/AF$18-1</f>
        <v>7.9489620832497998E-3</v>
      </c>
      <c r="AH19" s="18">
        <f t="shared" ref="AH19" si="146">AH$18/AG$18-1</f>
        <v>7.7958147130776645E-3</v>
      </c>
      <c r="AI19" s="18">
        <f t="shared" ref="AI19" si="147">AI$18/AH$18-1</f>
        <v>7.7121725297371047E-3</v>
      </c>
      <c r="AJ19" s="18">
        <f t="shared" ref="AJ19" si="148">AJ$18/AI$18-1</f>
        <v>7.6103950870702874E-3</v>
      </c>
      <c r="AK19" s="18">
        <f t="shared" ref="AK19" si="149">AK$18/AJ$18-1</f>
        <v>7.5546824285557257E-3</v>
      </c>
      <c r="AL19" s="18">
        <f t="shared" ref="AL19" si="150">AL$18/AK$18-1</f>
        <v>7.5033013823844197E-3</v>
      </c>
      <c r="AM19" s="18">
        <f t="shared" ref="AM19" si="151">AM$18/AL$18-1</f>
        <v>7.4578712135031644E-3</v>
      </c>
      <c r="AN19" s="18">
        <f t="shared" ref="AN19" si="152">AN$18/AM$18-1</f>
        <v>7.4389676185540043E-3</v>
      </c>
      <c r="AO19" s="18">
        <f t="shared" ref="AO19" si="153">AO$18/AN$18-1</f>
        <v>7.3960501453931293E-3</v>
      </c>
      <c r="AP19" s="18">
        <f t="shared" ref="AP19" si="154">AP$18/AO$18-1</f>
        <v>7.3945562846859936E-3</v>
      </c>
      <c r="AQ19" s="18">
        <f t="shared" ref="AQ19" si="155">AQ$18/AP$18-1</f>
        <v>7.3402781845057774E-3</v>
      </c>
      <c r="AR19" s="18">
        <f t="shared" ref="AR19" si="156">AR$18/AQ$18-1</f>
        <v>7.3405062259865872E-3</v>
      </c>
      <c r="AS19" s="18">
        <f t="shared" ref="AS19" si="157">AS$18/AR$18-1</f>
        <v>7.2720185523478253E-3</v>
      </c>
      <c r="AT19" s="18">
        <f t="shared" ref="AT19" si="158">AT$18/AS$18-1</f>
        <v>7.2046290676148761E-3</v>
      </c>
      <c r="AU19" s="18">
        <f t="shared" ref="AU19" si="159">AU$18/AT$18-1</f>
        <v>7.1695186951505896E-3</v>
      </c>
      <c r="AV19" s="18">
        <f t="shared" ref="AV19" si="160">AV$18/AU$18-1</f>
        <v>7.0777123685237253E-3</v>
      </c>
      <c r="AW19" s="18">
        <f t="shared" ref="AW19" si="161">AW$18/AV$18-1</f>
        <v>7.0117769351694115E-3</v>
      </c>
      <c r="AX19" s="18">
        <f t="shared" ref="AX19" si="162">AX$18/AW$18-1</f>
        <v>6.9066717129842026E-3</v>
      </c>
    </row>
    <row r="20" spans="1:50" x14ac:dyDescent="0.25">
      <c r="A20" s="9" t="s">
        <v>147</v>
      </c>
      <c r="B20" s="9"/>
      <c r="C20" s="13"/>
      <c r="D20" s="36">
        <f>D$16/D$18</f>
        <v>0.70853392793797187</v>
      </c>
      <c r="E20" s="36">
        <f t="shared" ref="E20:AX20" si="163">E$16/E$18</f>
        <v>0.70420963903213019</v>
      </c>
      <c r="F20" s="36">
        <f t="shared" si="163"/>
        <v>0.70307150542893482</v>
      </c>
      <c r="G20" s="36">
        <f t="shared" si="163"/>
        <v>0.70973956301209506</v>
      </c>
      <c r="H20" s="36">
        <f t="shared" si="163"/>
        <v>0.71996149681145472</v>
      </c>
      <c r="I20" s="36">
        <f t="shared" si="163"/>
        <v>0.71764403171855629</v>
      </c>
      <c r="J20" s="19">
        <f t="shared" si="163"/>
        <v>0.71053664166185815</v>
      </c>
      <c r="K20" s="19">
        <f t="shared" si="163"/>
        <v>0.71238776719383812</v>
      </c>
      <c r="L20" s="19">
        <f t="shared" si="163"/>
        <v>0.71552577134118911</v>
      </c>
      <c r="M20" s="19">
        <f t="shared" si="163"/>
        <v>0.71775410563692854</v>
      </c>
      <c r="N20" s="19">
        <f t="shared" si="163"/>
        <v>0.71898889448667114</v>
      </c>
      <c r="O20" s="18">
        <f t="shared" si="163"/>
        <v>0.71843908554062696</v>
      </c>
      <c r="P20" s="18">
        <f t="shared" si="163"/>
        <v>0.71792549673375428</v>
      </c>
      <c r="Q20" s="18">
        <f t="shared" si="163"/>
        <v>0.71737489982525293</v>
      </c>
      <c r="R20" s="18">
        <f t="shared" si="163"/>
        <v>0.71689118559716536</v>
      </c>
      <c r="S20" s="18">
        <f t="shared" si="163"/>
        <v>0.71631972117328369</v>
      </c>
      <c r="T20" s="18">
        <f t="shared" si="163"/>
        <v>0.71585991985660913</v>
      </c>
      <c r="U20" s="18">
        <f t="shared" si="163"/>
        <v>0.71528849438120901</v>
      </c>
      <c r="V20" s="18">
        <f t="shared" si="163"/>
        <v>0.71478441824684946</v>
      </c>
      <c r="W20" s="18">
        <f t="shared" si="163"/>
        <v>0.71470950724509763</v>
      </c>
      <c r="X20" s="18">
        <f t="shared" si="163"/>
        <v>0.71451423275467607</v>
      </c>
      <c r="Y20" s="18">
        <f t="shared" si="163"/>
        <v>0.71413813271372517</v>
      </c>
      <c r="Z20" s="18">
        <f t="shared" si="163"/>
        <v>0.71373451440228874</v>
      </c>
      <c r="AA20" s="18">
        <f t="shared" si="163"/>
        <v>0.71336523748132952</v>
      </c>
      <c r="AB20" s="18">
        <f t="shared" si="163"/>
        <v>0.71300276428997211</v>
      </c>
      <c r="AC20" s="18">
        <f t="shared" si="163"/>
        <v>0.71261074751992415</v>
      </c>
      <c r="AD20" s="18">
        <f t="shared" si="163"/>
        <v>0.71218770553694055</v>
      </c>
      <c r="AE20" s="18">
        <f t="shared" si="163"/>
        <v>0.71169769362482105</v>
      </c>
      <c r="AF20" s="18">
        <f t="shared" si="163"/>
        <v>0.71113624987476376</v>
      </c>
      <c r="AG20" s="18">
        <f t="shared" si="163"/>
        <v>0.71046751224544025</v>
      </c>
      <c r="AH20" s="18">
        <f t="shared" si="163"/>
        <v>0.70968368877569443</v>
      </c>
      <c r="AI20" s="18">
        <f t="shared" si="163"/>
        <v>0.70875149329798803</v>
      </c>
      <c r="AJ20" s="18">
        <f t="shared" si="163"/>
        <v>0.70770375300000876</v>
      </c>
      <c r="AK20" s="18">
        <f t="shared" si="163"/>
        <v>0.70646788377061387</v>
      </c>
      <c r="AL20" s="18">
        <f t="shared" si="163"/>
        <v>0.70506845077271407</v>
      </c>
      <c r="AM20" s="18">
        <f t="shared" si="163"/>
        <v>0.70352819031051961</v>
      </c>
      <c r="AN20" s="18">
        <f t="shared" si="163"/>
        <v>0.70184608276681482</v>
      </c>
      <c r="AO20" s="18">
        <f t="shared" si="163"/>
        <v>0.70003876204394722</v>
      </c>
      <c r="AP20" s="18">
        <f t="shared" si="163"/>
        <v>0.69813715854109626</v>
      </c>
      <c r="AQ20" s="18">
        <f t="shared" si="163"/>
        <v>0.6961849704270987</v>
      </c>
      <c r="AR20" s="18">
        <f t="shared" si="163"/>
        <v>0.69418694410234882</v>
      </c>
      <c r="AS20" s="18">
        <f t="shared" si="163"/>
        <v>0.69218780283335601</v>
      </c>
      <c r="AT20" s="18">
        <f t="shared" si="163"/>
        <v>0.69023575266508852</v>
      </c>
      <c r="AU20" s="18">
        <f t="shared" si="163"/>
        <v>0.68827565716298078</v>
      </c>
      <c r="AV20" s="18">
        <f t="shared" si="163"/>
        <v>0.68638740771514517</v>
      </c>
      <c r="AW20" s="18">
        <f t="shared" si="163"/>
        <v>0.68454793990067786</v>
      </c>
      <c r="AX20" s="18">
        <f t="shared" si="163"/>
        <v>0.6827511454598747</v>
      </c>
    </row>
    <row r="21" spans="1:50" x14ac:dyDescent="0.25">
      <c r="A21" s="9" t="s">
        <v>57</v>
      </c>
      <c r="B21" s="9"/>
      <c r="C21" s="13"/>
      <c r="D21" s="35">
        <f>'Economic Forecasts'!Q$10</f>
        <v>4.9516999999999998</v>
      </c>
      <c r="E21" s="35">
        <f>'Economic Forecasts'!R$10</f>
        <v>5.0551000000000004</v>
      </c>
      <c r="F21" s="35">
        <f>'Economic Forecasts'!S$10</f>
        <v>5.1053999999999995</v>
      </c>
      <c r="G21" s="35">
        <f>'Economic Forecasts'!T$10</f>
        <v>5.1158999999999999</v>
      </c>
      <c r="H21" s="35">
        <f>'Economic Forecasts'!U$10</f>
        <v>5.1861000000000006</v>
      </c>
      <c r="I21" s="35">
        <f>'Economic Forecasts'!V$10</f>
        <v>5.3128000000000002</v>
      </c>
      <c r="J21" s="17">
        <f>'Economic Forecasts'!W$10</f>
        <v>5.3654999999999999</v>
      </c>
      <c r="K21" s="17">
        <f>'Economic Forecasts'!X$10</f>
        <v>5.4257</v>
      </c>
      <c r="L21" s="17">
        <f>'Economic Forecasts'!Y$10</f>
        <v>5.4906999999999995</v>
      </c>
      <c r="M21" s="17">
        <f>'Economic Forecasts'!Z$10</f>
        <v>5.5564</v>
      </c>
      <c r="N21" s="17">
        <f>'Economic Forecasts'!AA$10</f>
        <v>5.6223999999999998</v>
      </c>
      <c r="O21" s="16">
        <f>N$21*'Population Treasury'!Z$4/'Population Treasury'!Y$4</f>
        <v>5.6799900083635739</v>
      </c>
      <c r="P21" s="16">
        <f>O$21*'Population Treasury'!AA$4/'Population Treasury'!Z$4</f>
        <v>5.7362200133817218</v>
      </c>
      <c r="Q21" s="16">
        <f>P$21*'Population Treasury'!AB$4/'Population Treasury'!AA$4</f>
        <v>5.7910800157235158</v>
      </c>
      <c r="R21" s="16">
        <f>Q$21*'Population Treasury'!AC$4/'Population Treasury'!AB$4</f>
        <v>5.8447700157235163</v>
      </c>
      <c r="S21" s="16">
        <f>R$21*'Population Treasury'!AD$4/'Population Treasury'!AC$4</f>
        <v>5.8979800157235163</v>
      </c>
      <c r="T21" s="16">
        <f>S$21*'Population Treasury'!AE$4/'Population Treasury'!AD$4</f>
        <v>5.950610015723516</v>
      </c>
      <c r="U21" s="16">
        <f>T$21*'Population Treasury'!AF$4/'Population Treasury'!AE$4</f>
        <v>6.003070015723516</v>
      </c>
      <c r="V21" s="16">
        <f>U$21*'Population Treasury'!AG$4/'Population Treasury'!AF$4</f>
        <v>6.0551000157235162</v>
      </c>
      <c r="W21" s="16">
        <f>V$21*'Population Treasury'!AH$4/'Population Treasury'!AG$4</f>
        <v>6.1068800157235152</v>
      </c>
      <c r="X21" s="16">
        <f>W$21*'Population Treasury'!AI$4/'Population Treasury'!AH$4</f>
        <v>6.1583500157235154</v>
      </c>
      <c r="Y21" s="16">
        <f>X$21*'Population Treasury'!AJ$4/'Population Treasury'!AI$4</f>
        <v>6.2096300157235156</v>
      </c>
      <c r="Z21" s="16">
        <f>Y$21*'Population Treasury'!AK$4/'Population Treasury'!AJ$4</f>
        <v>6.2606000157235133</v>
      </c>
      <c r="AA21" s="16">
        <f>Z$21*'Population Treasury'!AL$4/'Population Treasury'!AK$4</f>
        <v>6.3114200157235132</v>
      </c>
      <c r="AB21" s="16">
        <f>AA$21*'Population Treasury'!AM$4/'Population Treasury'!AL$4</f>
        <v>6.3618100157235133</v>
      </c>
      <c r="AC21" s="16">
        <f>AB$21*'Population Treasury'!AN$4/'Population Treasury'!AM$4</f>
        <v>6.4119300157235131</v>
      </c>
      <c r="AD21" s="16">
        <f>AC$21*'Population Treasury'!AO$4/'Population Treasury'!AN$4</f>
        <v>6.4616500157235137</v>
      </c>
      <c r="AE21" s="16">
        <f>AD$21*'Population Treasury'!AP$4/'Population Treasury'!AO$4</f>
        <v>6.5109300157235142</v>
      </c>
      <c r="AF21" s="16">
        <f>AE$21*'Population Treasury'!AQ$4/'Population Treasury'!AP$4</f>
        <v>6.5596800157235142</v>
      </c>
      <c r="AG21" s="16">
        <f>AF$21*'Population Treasury'!AR$4/'Population Treasury'!AQ$4</f>
        <v>6.6079200157235132</v>
      </c>
      <c r="AH21" s="16">
        <f>AG$21*'Population Treasury'!AS$4/'Population Treasury'!AR$4</f>
        <v>6.6554600157235138</v>
      </c>
      <c r="AI21" s="16">
        <f>AH$21*'Population Treasury'!AT$4/'Population Treasury'!AS$4</f>
        <v>6.7025300157235135</v>
      </c>
      <c r="AJ21" s="16">
        <f>AI$21*'Population Treasury'!AU$4/'Population Treasury'!AT$4</f>
        <v>6.7489200157235132</v>
      </c>
      <c r="AK21" s="16">
        <f>AJ$21*'Population Treasury'!AV$4/'Population Treasury'!AU$4</f>
        <v>6.794790015723513</v>
      </c>
      <c r="AL21" s="16">
        <f>AK$21*'Population Treasury'!AW$4/'Population Treasury'!AV$4</f>
        <v>6.8402100157235131</v>
      </c>
      <c r="AM21" s="16">
        <f>AL$21*'Population Treasury'!AX$4/'Population Treasury'!AW$4</f>
        <v>6.8850400157235141</v>
      </c>
      <c r="AN21" s="16">
        <f>AM$21*'Population Treasury'!AY$4/'Population Treasury'!AX$4</f>
        <v>6.9294900157235144</v>
      </c>
      <c r="AO21" s="16">
        <f>AN$21*'Population Treasury'!AZ$4/'Population Treasury'!AY$4</f>
        <v>6.9735200157235147</v>
      </c>
      <c r="AP21" s="16">
        <f>AO$21*'Population Treasury'!BA$4/'Population Treasury'!AZ$4</f>
        <v>7.0173900157235147</v>
      </c>
      <c r="AQ21" s="16">
        <f>AP$21*'Population Treasury'!BB$4/'Population Treasury'!BA$4</f>
        <v>7.0609100157235138</v>
      </c>
      <c r="AR21" s="16">
        <f>AQ$21*'Population Treasury'!BC$4/'Population Treasury'!BB$4</f>
        <v>7.1045200157235131</v>
      </c>
      <c r="AS21" s="16">
        <f>AR$21*'Population Treasury'!BD$4/'Population Treasury'!BC$4</f>
        <v>7.1478700157235133</v>
      </c>
      <c r="AT21" s="16">
        <f>AS$21*'Population Treasury'!BE$4/'Population Treasury'!BD$4</f>
        <v>7.1911200157235138</v>
      </c>
      <c r="AU21" s="16">
        <f>AT$21*'Population Treasury'!BF$4/'Population Treasury'!BE$4</f>
        <v>7.2344900157235132</v>
      </c>
      <c r="AV21" s="16">
        <f>AU$21*'Population Treasury'!BG$4/'Population Treasury'!BF$4</f>
        <v>7.2778500157235122</v>
      </c>
      <c r="AW21" s="16">
        <f>AV$21*'Population Treasury'!BH$4/'Population Treasury'!BG$4</f>
        <v>7.3213200157235123</v>
      </c>
      <c r="AX21" s="16">
        <f>AW$21*'Population Treasury'!BI$4/'Population Treasury'!BH$4</f>
        <v>7.364730015723512</v>
      </c>
    </row>
    <row r="22" spans="1:50" x14ac:dyDescent="0.25">
      <c r="A22" s="10" t="str">
        <f>$A$12</f>
        <v>Annual percentage growth</v>
      </c>
      <c r="B22" s="12"/>
      <c r="C22" s="13"/>
      <c r="D22" s="40"/>
      <c r="E22" s="36">
        <f>E$21/D$21-1</f>
        <v>2.0881717389987342E-2</v>
      </c>
      <c r="F22" s="36">
        <f t="shared" ref="F22:X22" si="164">F$21/E$21-1</f>
        <v>9.9503471741408944E-3</v>
      </c>
      <c r="G22" s="36">
        <f t="shared" si="164"/>
        <v>2.0566459043367402E-3</v>
      </c>
      <c r="H22" s="36">
        <f t="shared" si="164"/>
        <v>1.3721925760863396E-2</v>
      </c>
      <c r="I22" s="36">
        <f t="shared" si="164"/>
        <v>2.4430689728312194E-2</v>
      </c>
      <c r="J22" s="19">
        <f t="shared" si="164"/>
        <v>9.9194398433970488E-3</v>
      </c>
      <c r="K22" s="19">
        <f t="shared" si="164"/>
        <v>1.1219830397912522E-2</v>
      </c>
      <c r="L22" s="19">
        <f t="shared" si="164"/>
        <v>1.1980021011113617E-2</v>
      </c>
      <c r="M22" s="19">
        <f t="shared" si="164"/>
        <v>1.1965687435117722E-2</v>
      </c>
      <c r="N22" s="19">
        <f t="shared" si="164"/>
        <v>1.1878194514433726E-2</v>
      </c>
      <c r="O22" s="18">
        <f t="shared" si="164"/>
        <v>1.0242958231996058E-2</v>
      </c>
      <c r="P22" s="18">
        <f t="shared" si="164"/>
        <v>9.8996661852135404E-3</v>
      </c>
      <c r="Q22" s="18">
        <f t="shared" si="164"/>
        <v>9.5637897803455552E-3</v>
      </c>
      <c r="R22" s="18">
        <f t="shared" si="164"/>
        <v>9.2711549234729684E-3</v>
      </c>
      <c r="S22" s="18">
        <f t="shared" si="164"/>
        <v>9.1038654826203214E-3</v>
      </c>
      <c r="T22" s="18">
        <f t="shared" si="164"/>
        <v>8.9233940874151596E-3</v>
      </c>
      <c r="U22" s="18">
        <f t="shared" si="164"/>
        <v>8.8159028841383602E-3</v>
      </c>
      <c r="V22" s="18">
        <f t="shared" si="164"/>
        <v>8.6672319102927275E-3</v>
      </c>
      <c r="W22" s="18">
        <f t="shared" si="164"/>
        <v>8.5514689873891214E-3</v>
      </c>
      <c r="X22" s="18">
        <f t="shared" si="164"/>
        <v>8.4281989931813683E-3</v>
      </c>
      <c r="Y22" s="18">
        <f t="shared" ref="Y22" si="165">Y$21/X$21-1</f>
        <v>8.3269057245969336E-3</v>
      </c>
      <c r="Z22" s="18">
        <f t="shared" ref="Z22" si="166">Z$21/Y$21-1</f>
        <v>8.2082185043128586E-3</v>
      </c>
      <c r="AA22" s="18">
        <f t="shared" ref="AA22" si="167">AA$21/Z$21-1</f>
        <v>8.117432813526726E-3</v>
      </c>
      <c r="AB22" s="18">
        <f t="shared" ref="AB22" si="168">AB$21/AA$21-1</f>
        <v>7.9839402027537254E-3</v>
      </c>
      <c r="AC22" s="18">
        <f t="shared" ref="AC22" si="169">AC$21/AB$21-1</f>
        <v>7.8782610414529497E-3</v>
      </c>
      <c r="AD22" s="18">
        <f t="shared" ref="AD22" si="170">AD$21/AC$21-1</f>
        <v>7.7542954895133409E-3</v>
      </c>
      <c r="AE22" s="18">
        <f t="shared" ref="AE22" si="171">AE$21/AD$21-1</f>
        <v>7.626534999587431E-3</v>
      </c>
      <c r="AF22" s="18">
        <f t="shared" ref="AF22" si="172">AF$21/AE$21-1</f>
        <v>7.4874096146435587E-3</v>
      </c>
      <c r="AG22" s="18">
        <f t="shared" ref="AG22" si="173">AG$21/AF$21-1</f>
        <v>7.3540172515074165E-3</v>
      </c>
      <c r="AH22" s="18">
        <f t="shared" ref="AH22" si="174">AH$21/AG$21-1</f>
        <v>7.1943970094794363E-3</v>
      </c>
      <c r="AI22" s="18">
        <f t="shared" ref="AI22" si="175">AI$21/AH$21-1</f>
        <v>7.0723886686716586E-3</v>
      </c>
      <c r="AJ22" s="18">
        <f t="shared" ref="AJ22" si="176">AJ$21/AI$21-1</f>
        <v>6.9212670277003507E-3</v>
      </c>
      <c r="AK22" s="18">
        <f t="shared" ref="AK22" si="177">AK$21/AJ$21-1</f>
        <v>6.7966430026038527E-3</v>
      </c>
      <c r="AL22" s="18">
        <f t="shared" ref="AL22" si="178">AL$21/AK$21-1</f>
        <v>6.6845332813663116E-3</v>
      </c>
      <c r="AM22" s="18">
        <f t="shared" ref="AM22" si="179">AM$21/AL$21-1</f>
        <v>6.553892336192968E-3</v>
      </c>
      <c r="AN22" s="18">
        <f t="shared" ref="AN22" si="180">AN$21/AM$21-1</f>
        <v>6.4560263845219179E-3</v>
      </c>
      <c r="AO22" s="18">
        <f t="shared" ref="AO22" si="181">AO$21/AN$21-1</f>
        <v>6.3540029497255457E-3</v>
      </c>
      <c r="AP22" s="18">
        <f t="shared" ref="AP22" si="182">AP$21/AO$21-1</f>
        <v>6.2909405724920209E-3</v>
      </c>
      <c r="AQ22" s="18">
        <f t="shared" ref="AQ22" si="183">AQ$21/AP$21-1</f>
        <v>6.2017359591650667E-3</v>
      </c>
      <c r="AR22" s="18">
        <f t="shared" ref="AR22" si="184">AR$21/AQ$21-1</f>
        <v>6.1762577207309377E-3</v>
      </c>
      <c r="AS22" s="18">
        <f t="shared" ref="AS22" si="185">AS$21/AR$21-1</f>
        <v>6.1017492953865382E-3</v>
      </c>
      <c r="AT22" s="18">
        <f t="shared" ref="AT22" si="186">AT$21/AS$21-1</f>
        <v>6.0507535678266944E-3</v>
      </c>
      <c r="AU22" s="18">
        <f t="shared" ref="AU22" si="187">AU$21/AT$21-1</f>
        <v>6.0310493921906794E-3</v>
      </c>
      <c r="AV22" s="18">
        <f t="shared" ref="AV22" si="188">AV$21/AU$21-1</f>
        <v>5.9935116235920738E-3</v>
      </c>
      <c r="AW22" s="18">
        <f t="shared" ref="AW22" si="189">AW$21/AV$21-1</f>
        <v>5.9729178131020522E-3</v>
      </c>
      <c r="AX22" s="18">
        <f t="shared" ref="AX22" si="190">AX$21/AW$21-1</f>
        <v>5.9292586455408358E-3</v>
      </c>
    </row>
    <row r="23" spans="1:50" x14ac:dyDescent="0.25">
      <c r="A23" s="9" t="s">
        <v>58</v>
      </c>
      <c r="B23" s="9"/>
      <c r="C23" s="13"/>
      <c r="D23" s="36">
        <f>'Economic Forecasts'!Q$11</f>
        <v>4.1299999999999996E-2</v>
      </c>
      <c r="E23" s="36">
        <f>'Economic Forecasts'!R$11</f>
        <v>4.1299999999999996E-2</v>
      </c>
      <c r="F23" s="36">
        <f>'Economic Forecasts'!S$11</f>
        <v>4.6799999999999994E-2</v>
      </c>
      <c r="G23" s="36">
        <f>'Economic Forecasts'!T$11</f>
        <v>3.2500000000000001E-2</v>
      </c>
      <c r="H23" s="36">
        <f>'Economic Forecasts'!U$11</f>
        <v>3.4300000000000004E-2</v>
      </c>
      <c r="I23" s="36">
        <f>'Economic Forecasts'!V$11</f>
        <v>4.2300000000000004E-2</v>
      </c>
      <c r="J23" s="19">
        <f>'Economic Forecasts'!W$11</f>
        <v>5.16E-2</v>
      </c>
      <c r="K23" s="19">
        <f>'Economic Forecasts'!X$11</f>
        <v>5.1900000000000002E-2</v>
      </c>
      <c r="L23" s="19">
        <f>'Economic Forecasts'!Y$11</f>
        <v>4.8799999999999996E-2</v>
      </c>
      <c r="M23" s="19">
        <f>'Economic Forecasts'!Z$11</f>
        <v>4.5599999999999995E-2</v>
      </c>
      <c r="N23" s="19">
        <f>'Economic Forecasts'!AA$11</f>
        <v>4.3799999999999999E-2</v>
      </c>
      <c r="O23" s="18">
        <f ca="1">N$23+MIN(ABS(OFFSET(Assumptions!$B$12,0,$C$1)-N$23),OFFSET(Assumptions!$B$18,0,$C$1))*SIGN(OFFSET(Assumptions!$B$12,0,$C$1)-N$23)</f>
        <v>4.3099999999999999E-2</v>
      </c>
      <c r="P23" s="18">
        <f ca="1">O$23+MIN(ABS(OFFSET(Assumptions!$B$12,0,$C$1)-O$23),OFFSET(Assumptions!$B$18,0,$C$1))*SIGN(OFFSET(Assumptions!$B$12,0,$C$1)-O$23)</f>
        <v>4.2500000000000003E-2</v>
      </c>
      <c r="Q23" s="18">
        <f ca="1">P$23+MIN(ABS(OFFSET(Assumptions!$B$12,0,$C$1)-P$23),OFFSET(Assumptions!$B$18,0,$C$1))*SIGN(OFFSET(Assumptions!$B$12,0,$C$1)-P$23)</f>
        <v>4.2500000000000003E-2</v>
      </c>
      <c r="R23" s="18">
        <f ca="1">Q$23+MIN(ABS(OFFSET(Assumptions!$B$12,0,$C$1)-Q$23),OFFSET(Assumptions!$B$18,0,$C$1))*SIGN(OFFSET(Assumptions!$B$12,0,$C$1)-Q$23)</f>
        <v>4.2500000000000003E-2</v>
      </c>
      <c r="S23" s="18">
        <f ca="1">R$23+MIN(ABS(OFFSET(Assumptions!$B$12,0,$C$1)-R$23),OFFSET(Assumptions!$B$18,0,$C$1))*SIGN(OFFSET(Assumptions!$B$12,0,$C$1)-R$23)</f>
        <v>4.2500000000000003E-2</v>
      </c>
      <c r="T23" s="18">
        <f ca="1">S$23+MIN(ABS(OFFSET(Assumptions!$B$12,0,$C$1)-S$23),OFFSET(Assumptions!$B$18,0,$C$1))*SIGN(OFFSET(Assumptions!$B$12,0,$C$1)-S$23)</f>
        <v>4.2500000000000003E-2</v>
      </c>
      <c r="U23" s="18">
        <f ca="1">T$23+MIN(ABS(OFFSET(Assumptions!$B$12,0,$C$1)-T$23),OFFSET(Assumptions!$B$18,0,$C$1))*SIGN(OFFSET(Assumptions!$B$12,0,$C$1)-T$23)</f>
        <v>4.2500000000000003E-2</v>
      </c>
      <c r="V23" s="18">
        <f ca="1">U$23+MIN(ABS(OFFSET(Assumptions!$B$12,0,$C$1)-U$23),OFFSET(Assumptions!$B$18,0,$C$1))*SIGN(OFFSET(Assumptions!$B$12,0,$C$1)-U$23)</f>
        <v>4.2500000000000003E-2</v>
      </c>
      <c r="W23" s="18">
        <f ca="1">V$23+MIN(ABS(OFFSET(Assumptions!$B$12,0,$C$1)-V$23),OFFSET(Assumptions!$B$18,0,$C$1))*SIGN(OFFSET(Assumptions!$B$12,0,$C$1)-V$23)</f>
        <v>4.2500000000000003E-2</v>
      </c>
      <c r="X23" s="18">
        <f ca="1">W$23+MIN(ABS(OFFSET(Assumptions!$B$12,0,$C$1)-W$23),OFFSET(Assumptions!$B$18,0,$C$1))*SIGN(OFFSET(Assumptions!$B$12,0,$C$1)-W$23)</f>
        <v>4.2500000000000003E-2</v>
      </c>
      <c r="Y23" s="18">
        <f ca="1">X$23+MIN(ABS(OFFSET(Assumptions!$B$12,0,$C$1)-X$23),OFFSET(Assumptions!$B$18,0,$C$1))*SIGN(OFFSET(Assumptions!$B$12,0,$C$1)-X$23)</f>
        <v>4.2500000000000003E-2</v>
      </c>
      <c r="Z23" s="18">
        <f ca="1">Y$23+MIN(ABS(OFFSET(Assumptions!$B$12,0,$C$1)-Y$23),OFFSET(Assumptions!$B$18,0,$C$1))*SIGN(OFFSET(Assumptions!$B$12,0,$C$1)-Y$23)</f>
        <v>4.2500000000000003E-2</v>
      </c>
      <c r="AA23" s="18">
        <f ca="1">Z$23+MIN(ABS(OFFSET(Assumptions!$B$12,0,$C$1)-Z$23),OFFSET(Assumptions!$B$18,0,$C$1))*SIGN(OFFSET(Assumptions!$B$12,0,$C$1)-Z$23)</f>
        <v>4.2500000000000003E-2</v>
      </c>
      <c r="AB23" s="18">
        <f ca="1">AA$23+MIN(ABS(OFFSET(Assumptions!$B$12,0,$C$1)-AA$23),OFFSET(Assumptions!$B$18,0,$C$1))*SIGN(OFFSET(Assumptions!$B$12,0,$C$1)-AA$23)</f>
        <v>4.2500000000000003E-2</v>
      </c>
      <c r="AC23" s="18">
        <f ca="1">AB$23+MIN(ABS(OFFSET(Assumptions!$B$12,0,$C$1)-AB$23),OFFSET(Assumptions!$B$18,0,$C$1))*SIGN(OFFSET(Assumptions!$B$12,0,$C$1)-AB$23)</f>
        <v>4.2500000000000003E-2</v>
      </c>
      <c r="AD23" s="18">
        <f ca="1">AC$23+MIN(ABS(OFFSET(Assumptions!$B$12,0,$C$1)-AC$23),OFFSET(Assumptions!$B$18,0,$C$1))*SIGN(OFFSET(Assumptions!$B$12,0,$C$1)-AC$23)</f>
        <v>4.2500000000000003E-2</v>
      </c>
      <c r="AE23" s="18">
        <f ca="1">AD$23+MIN(ABS(OFFSET(Assumptions!$B$12,0,$C$1)-AD$23),OFFSET(Assumptions!$B$18,0,$C$1))*SIGN(OFFSET(Assumptions!$B$12,0,$C$1)-AD$23)</f>
        <v>4.2500000000000003E-2</v>
      </c>
      <c r="AF23" s="18">
        <f ca="1">AE$23+MIN(ABS(OFFSET(Assumptions!$B$12,0,$C$1)-AE$23),OFFSET(Assumptions!$B$18,0,$C$1))*SIGN(OFFSET(Assumptions!$B$12,0,$C$1)-AE$23)</f>
        <v>4.2500000000000003E-2</v>
      </c>
      <c r="AG23" s="18">
        <f ca="1">AF$23+MIN(ABS(OFFSET(Assumptions!$B$12,0,$C$1)-AF$23),OFFSET(Assumptions!$B$18,0,$C$1))*SIGN(OFFSET(Assumptions!$B$12,0,$C$1)-AF$23)</f>
        <v>4.2500000000000003E-2</v>
      </c>
      <c r="AH23" s="18">
        <f ca="1">AG$23+MIN(ABS(OFFSET(Assumptions!$B$12,0,$C$1)-AG$23),OFFSET(Assumptions!$B$18,0,$C$1))*SIGN(OFFSET(Assumptions!$B$12,0,$C$1)-AG$23)</f>
        <v>4.2500000000000003E-2</v>
      </c>
      <c r="AI23" s="18">
        <f ca="1">AH$23+MIN(ABS(OFFSET(Assumptions!$B$12,0,$C$1)-AH$23),OFFSET(Assumptions!$B$18,0,$C$1))*SIGN(OFFSET(Assumptions!$B$12,0,$C$1)-AH$23)</f>
        <v>4.2500000000000003E-2</v>
      </c>
      <c r="AJ23" s="18">
        <f ca="1">AI$23+MIN(ABS(OFFSET(Assumptions!$B$12,0,$C$1)-AI$23),OFFSET(Assumptions!$B$18,0,$C$1))*SIGN(OFFSET(Assumptions!$B$12,0,$C$1)-AI$23)</f>
        <v>4.2500000000000003E-2</v>
      </c>
      <c r="AK23" s="18">
        <f ca="1">AJ$23+MIN(ABS(OFFSET(Assumptions!$B$12,0,$C$1)-AJ$23),OFFSET(Assumptions!$B$18,0,$C$1))*SIGN(OFFSET(Assumptions!$B$12,0,$C$1)-AJ$23)</f>
        <v>4.2500000000000003E-2</v>
      </c>
      <c r="AL23" s="18">
        <f ca="1">AK$23+MIN(ABS(OFFSET(Assumptions!$B$12,0,$C$1)-AK$23),OFFSET(Assumptions!$B$18,0,$C$1))*SIGN(OFFSET(Assumptions!$B$12,0,$C$1)-AK$23)</f>
        <v>4.2500000000000003E-2</v>
      </c>
      <c r="AM23" s="18">
        <f ca="1">AL$23+MIN(ABS(OFFSET(Assumptions!$B$12,0,$C$1)-AL$23),OFFSET(Assumptions!$B$18,0,$C$1))*SIGN(OFFSET(Assumptions!$B$12,0,$C$1)-AL$23)</f>
        <v>4.2500000000000003E-2</v>
      </c>
      <c r="AN23" s="18">
        <f ca="1">AM$23+MIN(ABS(OFFSET(Assumptions!$B$12,0,$C$1)-AM$23),OFFSET(Assumptions!$B$18,0,$C$1))*SIGN(OFFSET(Assumptions!$B$12,0,$C$1)-AM$23)</f>
        <v>4.2500000000000003E-2</v>
      </c>
      <c r="AO23" s="18">
        <f ca="1">AN$23+MIN(ABS(OFFSET(Assumptions!$B$12,0,$C$1)-AN$23),OFFSET(Assumptions!$B$18,0,$C$1))*SIGN(OFFSET(Assumptions!$B$12,0,$C$1)-AN$23)</f>
        <v>4.2500000000000003E-2</v>
      </c>
      <c r="AP23" s="18">
        <f ca="1">AO$23+MIN(ABS(OFFSET(Assumptions!$B$12,0,$C$1)-AO$23),OFFSET(Assumptions!$B$18,0,$C$1))*SIGN(OFFSET(Assumptions!$B$12,0,$C$1)-AO$23)</f>
        <v>4.2500000000000003E-2</v>
      </c>
      <c r="AQ23" s="18">
        <f ca="1">AP$23+MIN(ABS(OFFSET(Assumptions!$B$12,0,$C$1)-AP$23),OFFSET(Assumptions!$B$18,0,$C$1))*SIGN(OFFSET(Assumptions!$B$12,0,$C$1)-AP$23)</f>
        <v>4.2500000000000003E-2</v>
      </c>
      <c r="AR23" s="18">
        <f ca="1">AQ$23+MIN(ABS(OFFSET(Assumptions!$B$12,0,$C$1)-AQ$23),OFFSET(Assumptions!$B$18,0,$C$1))*SIGN(OFFSET(Assumptions!$B$12,0,$C$1)-AQ$23)</f>
        <v>4.2500000000000003E-2</v>
      </c>
      <c r="AS23" s="18">
        <f ca="1">AR$23+MIN(ABS(OFFSET(Assumptions!$B$12,0,$C$1)-AR$23),OFFSET(Assumptions!$B$18,0,$C$1))*SIGN(OFFSET(Assumptions!$B$12,0,$C$1)-AR$23)</f>
        <v>4.2500000000000003E-2</v>
      </c>
      <c r="AT23" s="18">
        <f ca="1">AS$23+MIN(ABS(OFFSET(Assumptions!$B$12,0,$C$1)-AS$23),OFFSET(Assumptions!$B$18,0,$C$1))*SIGN(OFFSET(Assumptions!$B$12,0,$C$1)-AS$23)</f>
        <v>4.2500000000000003E-2</v>
      </c>
      <c r="AU23" s="18">
        <f ca="1">AT$23+MIN(ABS(OFFSET(Assumptions!$B$12,0,$C$1)-AT$23),OFFSET(Assumptions!$B$18,0,$C$1))*SIGN(OFFSET(Assumptions!$B$12,0,$C$1)-AT$23)</f>
        <v>4.2500000000000003E-2</v>
      </c>
      <c r="AV23" s="18">
        <f ca="1">AU$23+MIN(ABS(OFFSET(Assumptions!$B$12,0,$C$1)-AU$23),OFFSET(Assumptions!$B$18,0,$C$1))*SIGN(OFFSET(Assumptions!$B$12,0,$C$1)-AU$23)</f>
        <v>4.2500000000000003E-2</v>
      </c>
      <c r="AW23" s="18">
        <f ca="1">AV$23+MIN(ABS(OFFSET(Assumptions!$B$12,0,$C$1)-AV$23),OFFSET(Assumptions!$B$18,0,$C$1))*SIGN(OFFSET(Assumptions!$B$12,0,$C$1)-AV$23)</f>
        <v>4.2500000000000003E-2</v>
      </c>
      <c r="AX23" s="18">
        <f ca="1">AW$23+MIN(ABS(OFFSET(Assumptions!$B$12,0,$C$1)-AW$23),OFFSET(Assumptions!$B$18,0,$C$1))*SIGN(OFFSET(Assumptions!$B$12,0,$C$1)-AW$23)</f>
        <v>4.2500000000000003E-2</v>
      </c>
    </row>
    <row r="24" spans="1:50" x14ac:dyDescent="0.25">
      <c r="A24" s="9" t="s">
        <v>59</v>
      </c>
      <c r="B24" s="9"/>
      <c r="C24" s="13"/>
      <c r="D24" s="37">
        <f>'Economic Forecasts'!Q$12</f>
        <v>34.119999999999997</v>
      </c>
      <c r="E24" s="37">
        <f>'Economic Forecasts'!R$12</f>
        <v>33.18</v>
      </c>
      <c r="F24" s="37">
        <f>'Economic Forecasts'!S$12</f>
        <v>34.119999999999997</v>
      </c>
      <c r="G24" s="37">
        <f>'Economic Forecasts'!T$12</f>
        <v>32.94</v>
      </c>
      <c r="H24" s="37">
        <f>'Economic Forecasts'!U$12</f>
        <v>33.729999999999997</v>
      </c>
      <c r="I24" s="37">
        <f>'Economic Forecasts'!V$12</f>
        <v>33.549999999999997</v>
      </c>
      <c r="J24" s="21">
        <f>'Economic Forecasts'!W$12</f>
        <v>33.29</v>
      </c>
      <c r="K24" s="21">
        <f>'Economic Forecasts'!X$12</f>
        <v>33.380000000000003</v>
      </c>
      <c r="L24" s="21">
        <f>'Economic Forecasts'!Y$12</f>
        <v>33.409999999999997</v>
      </c>
      <c r="M24" s="21">
        <f>'Economic Forecasts'!Z$12</f>
        <v>33.44</v>
      </c>
      <c r="N24" s="21">
        <f>'Economic Forecasts'!AA$12</f>
        <v>33.44</v>
      </c>
      <c r="O24" s="20">
        <f ca="1">N$24+MIN(ABS(OFFSET(Assumptions!$B$13,0,$C$1)-N$24),OFFSET(Assumptions!$B$19,0,$C$1))*SIGN(OFFSET(Assumptions!$B$13,0,$C$1)-N$24)</f>
        <v>33.5</v>
      </c>
      <c r="P24" s="20">
        <f ca="1">O$24+MIN(ABS(OFFSET(Assumptions!$B$13,0,$C$1)-O$24),OFFSET(Assumptions!$B$19,0,$C$1))*SIGN(OFFSET(Assumptions!$B$13,0,$C$1)-O$24)</f>
        <v>33.56</v>
      </c>
      <c r="Q24" s="20">
        <f ca="1">P$24+MIN(ABS(OFFSET(Assumptions!$B$13,0,$C$1)-P$24),OFFSET(Assumptions!$B$19,0,$C$1))*SIGN(OFFSET(Assumptions!$B$13,0,$C$1)-P$24)</f>
        <v>33.6</v>
      </c>
      <c r="R24" s="20">
        <f ca="1">Q$24+MIN(ABS(OFFSET(Assumptions!$B$13,0,$C$1)-Q$24),OFFSET(Assumptions!$B$19,0,$C$1))*SIGN(OFFSET(Assumptions!$B$13,0,$C$1)-Q$24)</f>
        <v>33.6</v>
      </c>
      <c r="S24" s="20">
        <f ca="1">R$24+MIN(ABS(OFFSET(Assumptions!$B$13,0,$C$1)-R$24),OFFSET(Assumptions!$B$19,0,$C$1))*SIGN(OFFSET(Assumptions!$B$13,0,$C$1)-R$24)</f>
        <v>33.6</v>
      </c>
      <c r="T24" s="20">
        <f ca="1">S$24+MIN(ABS(OFFSET(Assumptions!$B$13,0,$C$1)-S$24),OFFSET(Assumptions!$B$19,0,$C$1))*SIGN(OFFSET(Assumptions!$B$13,0,$C$1)-S$24)</f>
        <v>33.6</v>
      </c>
      <c r="U24" s="20">
        <f ca="1">T$24+MIN(ABS(OFFSET(Assumptions!$B$13,0,$C$1)-T$24),OFFSET(Assumptions!$B$19,0,$C$1))*SIGN(OFFSET(Assumptions!$B$13,0,$C$1)-T$24)</f>
        <v>33.6</v>
      </c>
      <c r="V24" s="20">
        <f ca="1">U$24+MIN(ABS(OFFSET(Assumptions!$B$13,0,$C$1)-U$24),OFFSET(Assumptions!$B$19,0,$C$1))*SIGN(OFFSET(Assumptions!$B$13,0,$C$1)-U$24)</f>
        <v>33.6</v>
      </c>
      <c r="W24" s="20">
        <f ca="1">V$24+MIN(ABS(OFFSET(Assumptions!$B$13,0,$C$1)-V$24),OFFSET(Assumptions!$B$19,0,$C$1))*SIGN(OFFSET(Assumptions!$B$13,0,$C$1)-V$24)</f>
        <v>33.6</v>
      </c>
      <c r="X24" s="20">
        <f ca="1">W$24+MIN(ABS(OFFSET(Assumptions!$B$13,0,$C$1)-W$24),OFFSET(Assumptions!$B$19,0,$C$1))*SIGN(OFFSET(Assumptions!$B$13,0,$C$1)-W$24)</f>
        <v>33.6</v>
      </c>
      <c r="Y24" s="20">
        <f ca="1">X$24+MIN(ABS(OFFSET(Assumptions!$B$13,0,$C$1)-X$24),OFFSET(Assumptions!$B$19,0,$C$1))*SIGN(OFFSET(Assumptions!$B$13,0,$C$1)-X$24)</f>
        <v>33.6</v>
      </c>
      <c r="Z24" s="20">
        <f ca="1">Y$24+MIN(ABS(OFFSET(Assumptions!$B$13,0,$C$1)-Y$24),OFFSET(Assumptions!$B$19,0,$C$1))*SIGN(OFFSET(Assumptions!$B$13,0,$C$1)-Y$24)</f>
        <v>33.6</v>
      </c>
      <c r="AA24" s="20">
        <f ca="1">Z$24+MIN(ABS(OFFSET(Assumptions!$B$13,0,$C$1)-Z$24),OFFSET(Assumptions!$B$19,0,$C$1))*SIGN(OFFSET(Assumptions!$B$13,0,$C$1)-Z$24)</f>
        <v>33.6</v>
      </c>
      <c r="AB24" s="20">
        <f ca="1">AA$24+MIN(ABS(OFFSET(Assumptions!$B$13,0,$C$1)-AA$24),OFFSET(Assumptions!$B$19,0,$C$1))*SIGN(OFFSET(Assumptions!$B$13,0,$C$1)-AA$24)</f>
        <v>33.6</v>
      </c>
      <c r="AC24" s="20">
        <f ca="1">AB$24+MIN(ABS(OFFSET(Assumptions!$B$13,0,$C$1)-AB$24),OFFSET(Assumptions!$B$19,0,$C$1))*SIGN(OFFSET(Assumptions!$B$13,0,$C$1)-AB$24)</f>
        <v>33.6</v>
      </c>
      <c r="AD24" s="20">
        <f ca="1">AC$24+MIN(ABS(OFFSET(Assumptions!$B$13,0,$C$1)-AC$24),OFFSET(Assumptions!$B$19,0,$C$1))*SIGN(OFFSET(Assumptions!$B$13,0,$C$1)-AC$24)</f>
        <v>33.6</v>
      </c>
      <c r="AE24" s="20">
        <f ca="1">AD$24+MIN(ABS(OFFSET(Assumptions!$B$13,0,$C$1)-AD$24),OFFSET(Assumptions!$B$19,0,$C$1))*SIGN(OFFSET(Assumptions!$B$13,0,$C$1)-AD$24)</f>
        <v>33.6</v>
      </c>
      <c r="AF24" s="20">
        <f ca="1">AE$24+MIN(ABS(OFFSET(Assumptions!$B$13,0,$C$1)-AE$24),OFFSET(Assumptions!$B$19,0,$C$1))*SIGN(OFFSET(Assumptions!$B$13,0,$C$1)-AE$24)</f>
        <v>33.6</v>
      </c>
      <c r="AG24" s="20">
        <f ca="1">AF$24+MIN(ABS(OFFSET(Assumptions!$B$13,0,$C$1)-AF$24),OFFSET(Assumptions!$B$19,0,$C$1))*SIGN(OFFSET(Assumptions!$B$13,0,$C$1)-AF$24)</f>
        <v>33.6</v>
      </c>
      <c r="AH24" s="20">
        <f ca="1">AG$24+MIN(ABS(OFFSET(Assumptions!$B$13,0,$C$1)-AG$24),OFFSET(Assumptions!$B$19,0,$C$1))*SIGN(OFFSET(Assumptions!$B$13,0,$C$1)-AG$24)</f>
        <v>33.6</v>
      </c>
      <c r="AI24" s="20">
        <f ca="1">AH$24+MIN(ABS(OFFSET(Assumptions!$B$13,0,$C$1)-AH$24),OFFSET(Assumptions!$B$19,0,$C$1))*SIGN(OFFSET(Assumptions!$B$13,0,$C$1)-AH$24)</f>
        <v>33.6</v>
      </c>
      <c r="AJ24" s="20">
        <f ca="1">AI$24+MIN(ABS(OFFSET(Assumptions!$B$13,0,$C$1)-AI$24),OFFSET(Assumptions!$B$19,0,$C$1))*SIGN(OFFSET(Assumptions!$B$13,0,$C$1)-AI$24)</f>
        <v>33.6</v>
      </c>
      <c r="AK24" s="20">
        <f ca="1">AJ$24+MIN(ABS(OFFSET(Assumptions!$B$13,0,$C$1)-AJ$24),OFFSET(Assumptions!$B$19,0,$C$1))*SIGN(OFFSET(Assumptions!$B$13,0,$C$1)-AJ$24)</f>
        <v>33.6</v>
      </c>
      <c r="AL24" s="20">
        <f ca="1">AK$24+MIN(ABS(OFFSET(Assumptions!$B$13,0,$C$1)-AK$24),OFFSET(Assumptions!$B$19,0,$C$1))*SIGN(OFFSET(Assumptions!$B$13,0,$C$1)-AK$24)</f>
        <v>33.6</v>
      </c>
      <c r="AM24" s="20">
        <f ca="1">AL$24+MIN(ABS(OFFSET(Assumptions!$B$13,0,$C$1)-AL$24),OFFSET(Assumptions!$B$19,0,$C$1))*SIGN(OFFSET(Assumptions!$B$13,0,$C$1)-AL$24)</f>
        <v>33.6</v>
      </c>
      <c r="AN24" s="20">
        <f ca="1">AM$24+MIN(ABS(OFFSET(Assumptions!$B$13,0,$C$1)-AM$24),OFFSET(Assumptions!$B$19,0,$C$1))*SIGN(OFFSET(Assumptions!$B$13,0,$C$1)-AM$24)</f>
        <v>33.6</v>
      </c>
      <c r="AO24" s="20">
        <f ca="1">AN$24+MIN(ABS(OFFSET(Assumptions!$B$13,0,$C$1)-AN$24),OFFSET(Assumptions!$B$19,0,$C$1))*SIGN(OFFSET(Assumptions!$B$13,0,$C$1)-AN$24)</f>
        <v>33.6</v>
      </c>
      <c r="AP24" s="20">
        <f ca="1">AO$24+MIN(ABS(OFFSET(Assumptions!$B$13,0,$C$1)-AO$24),OFFSET(Assumptions!$B$19,0,$C$1))*SIGN(OFFSET(Assumptions!$B$13,0,$C$1)-AO$24)</f>
        <v>33.6</v>
      </c>
      <c r="AQ24" s="20">
        <f ca="1">AP$24+MIN(ABS(OFFSET(Assumptions!$B$13,0,$C$1)-AP$24),OFFSET(Assumptions!$B$19,0,$C$1))*SIGN(OFFSET(Assumptions!$B$13,0,$C$1)-AP$24)</f>
        <v>33.6</v>
      </c>
      <c r="AR24" s="20">
        <f ca="1">AQ$24+MIN(ABS(OFFSET(Assumptions!$B$13,0,$C$1)-AQ$24),OFFSET(Assumptions!$B$19,0,$C$1))*SIGN(OFFSET(Assumptions!$B$13,0,$C$1)-AQ$24)</f>
        <v>33.6</v>
      </c>
      <c r="AS24" s="20">
        <f ca="1">AR$24+MIN(ABS(OFFSET(Assumptions!$B$13,0,$C$1)-AR$24),OFFSET(Assumptions!$B$19,0,$C$1))*SIGN(OFFSET(Assumptions!$B$13,0,$C$1)-AR$24)</f>
        <v>33.6</v>
      </c>
      <c r="AT24" s="20">
        <f ca="1">AS$24+MIN(ABS(OFFSET(Assumptions!$B$13,0,$C$1)-AS$24),OFFSET(Assumptions!$B$19,0,$C$1))*SIGN(OFFSET(Assumptions!$B$13,0,$C$1)-AS$24)</f>
        <v>33.6</v>
      </c>
      <c r="AU24" s="20">
        <f ca="1">AT$24+MIN(ABS(OFFSET(Assumptions!$B$13,0,$C$1)-AT$24),OFFSET(Assumptions!$B$19,0,$C$1))*SIGN(OFFSET(Assumptions!$B$13,0,$C$1)-AT$24)</f>
        <v>33.6</v>
      </c>
      <c r="AV24" s="20">
        <f ca="1">AU$24+MIN(ABS(OFFSET(Assumptions!$B$13,0,$C$1)-AU$24),OFFSET(Assumptions!$B$19,0,$C$1))*SIGN(OFFSET(Assumptions!$B$13,0,$C$1)-AU$24)</f>
        <v>33.6</v>
      </c>
      <c r="AW24" s="20">
        <f ca="1">AV$24+MIN(ABS(OFFSET(Assumptions!$B$13,0,$C$1)-AV$24),OFFSET(Assumptions!$B$19,0,$C$1))*SIGN(OFFSET(Assumptions!$B$13,0,$C$1)-AV$24)</f>
        <v>33.6</v>
      </c>
      <c r="AX24" s="20">
        <f ca="1">AW$24+MIN(ABS(OFFSET(Assumptions!$B$13,0,$C$1)-AW$24),OFFSET(Assumptions!$B$19,0,$C$1))*SIGN(OFFSET(Assumptions!$B$13,0,$C$1)-AW$24)</f>
        <v>33.6</v>
      </c>
    </row>
    <row r="25" spans="1:50" x14ac:dyDescent="0.25">
      <c r="A25" s="9" t="s">
        <v>60</v>
      </c>
      <c r="B25" s="9"/>
      <c r="C25" s="13"/>
      <c r="D25" s="36">
        <f>'Economic Forecasts'!Q$13</f>
        <v>6.7000000000000002E-3</v>
      </c>
      <c r="E25" s="36">
        <f>'Economic Forecasts'!R$13</f>
        <v>3.7000000000000002E-3</v>
      </c>
      <c r="F25" s="36">
        <f>'Economic Forecasts'!S$13</f>
        <v>2.6800000000000001E-2</v>
      </c>
      <c r="G25" s="36">
        <f>'Economic Forecasts'!T$13</f>
        <v>1.54E-2</v>
      </c>
      <c r="H25" s="36">
        <f>'Economic Forecasts'!U$13</f>
        <v>-1.0500000000000001E-2</v>
      </c>
      <c r="I25" s="36">
        <f>'Economic Forecasts'!V$13</f>
        <v>-5.4000000000000003E-3</v>
      </c>
      <c r="J25" s="19">
        <f>'Economic Forecasts'!W$13</f>
        <v>6.3E-3</v>
      </c>
      <c r="K25" s="19">
        <f>'Economic Forecasts'!X$13</f>
        <v>1.0999999999999999E-2</v>
      </c>
      <c r="L25" s="19">
        <f>'Economic Forecasts'!Y$13</f>
        <v>7.3000000000000001E-3</v>
      </c>
      <c r="M25" s="19">
        <f>'Economic Forecasts'!Z$13</f>
        <v>8.0000000000000002E-3</v>
      </c>
      <c r="N25" s="19">
        <f>'Economic Forecasts'!AA$13</f>
        <v>8.6999999999999994E-3</v>
      </c>
      <c r="O25" s="18">
        <f ca="1">N$25+MIN(ABS(OFFSET(Assumptions!$B$14,0,$C$1)-N$25),OFFSET(Assumptions!$B$20,0,$C$1))*SIGN(OFFSET(Assumptions!$B$14,0,$C$1)-N$25)</f>
        <v>8.9999999999999993E-3</v>
      </c>
      <c r="P25" s="18">
        <f ca="1">O$25+MIN(ABS(OFFSET(Assumptions!$B$14,0,$C$1)-O$25),OFFSET(Assumptions!$B$20,0,$C$1))*SIGN(OFFSET(Assumptions!$B$14,0,$C$1)-O$25)</f>
        <v>8.9999999999999993E-3</v>
      </c>
      <c r="Q25" s="18">
        <f ca="1">P$25+MIN(ABS(OFFSET(Assumptions!$B$14,0,$C$1)-P$25),OFFSET(Assumptions!$B$20,0,$C$1))*SIGN(OFFSET(Assumptions!$B$14,0,$C$1)-P$25)</f>
        <v>8.9999999999999993E-3</v>
      </c>
      <c r="R25" s="18">
        <f ca="1">Q$25+MIN(ABS(OFFSET(Assumptions!$B$14,0,$C$1)-Q$25),OFFSET(Assumptions!$B$20,0,$C$1))*SIGN(OFFSET(Assumptions!$B$14,0,$C$1)-Q$25)</f>
        <v>8.9999999999999993E-3</v>
      </c>
      <c r="S25" s="18">
        <f ca="1">R$25+MIN(ABS(OFFSET(Assumptions!$B$14,0,$C$1)-R$25),OFFSET(Assumptions!$B$20,0,$C$1))*SIGN(OFFSET(Assumptions!$B$14,0,$C$1)-R$25)</f>
        <v>8.9999999999999993E-3</v>
      </c>
      <c r="T25" s="18">
        <f ca="1">S$25+MIN(ABS(OFFSET(Assumptions!$B$14,0,$C$1)-S$25),OFFSET(Assumptions!$B$20,0,$C$1))*SIGN(OFFSET(Assumptions!$B$14,0,$C$1)-S$25)</f>
        <v>8.9999999999999993E-3</v>
      </c>
      <c r="U25" s="18">
        <f ca="1">T$25+MIN(ABS(OFFSET(Assumptions!$B$14,0,$C$1)-T$25),OFFSET(Assumptions!$B$20,0,$C$1))*SIGN(OFFSET(Assumptions!$B$14,0,$C$1)-T$25)</f>
        <v>8.9999999999999993E-3</v>
      </c>
      <c r="V25" s="18">
        <f ca="1">U$25+MIN(ABS(OFFSET(Assumptions!$B$14,0,$C$1)-U$25),OFFSET(Assumptions!$B$20,0,$C$1))*SIGN(OFFSET(Assumptions!$B$14,0,$C$1)-U$25)</f>
        <v>8.9999999999999993E-3</v>
      </c>
      <c r="W25" s="18">
        <f ca="1">V$25+MIN(ABS(OFFSET(Assumptions!$B$14,0,$C$1)-V$25),OFFSET(Assumptions!$B$20,0,$C$1))*SIGN(OFFSET(Assumptions!$B$14,0,$C$1)-V$25)</f>
        <v>8.9999999999999993E-3</v>
      </c>
      <c r="X25" s="18">
        <f ca="1">W$25+MIN(ABS(OFFSET(Assumptions!$B$14,0,$C$1)-W$25),OFFSET(Assumptions!$B$20,0,$C$1))*SIGN(OFFSET(Assumptions!$B$14,0,$C$1)-W$25)</f>
        <v>8.9999999999999993E-3</v>
      </c>
      <c r="Y25" s="18">
        <f ca="1">X$25+MIN(ABS(OFFSET(Assumptions!$B$14,0,$C$1)-X$25),OFFSET(Assumptions!$B$20,0,$C$1))*SIGN(OFFSET(Assumptions!$B$14,0,$C$1)-X$25)</f>
        <v>8.9999999999999993E-3</v>
      </c>
      <c r="Z25" s="18">
        <f ca="1">Y$25+MIN(ABS(OFFSET(Assumptions!$B$14,0,$C$1)-Y$25),OFFSET(Assumptions!$B$20,0,$C$1))*SIGN(OFFSET(Assumptions!$B$14,0,$C$1)-Y$25)</f>
        <v>8.9999999999999993E-3</v>
      </c>
      <c r="AA25" s="18">
        <f ca="1">Z$25+MIN(ABS(OFFSET(Assumptions!$B$14,0,$C$1)-Z$25),OFFSET(Assumptions!$B$20,0,$C$1))*SIGN(OFFSET(Assumptions!$B$14,0,$C$1)-Z$25)</f>
        <v>8.9999999999999993E-3</v>
      </c>
      <c r="AB25" s="18">
        <f ca="1">AA$25+MIN(ABS(OFFSET(Assumptions!$B$14,0,$C$1)-AA$25),OFFSET(Assumptions!$B$20,0,$C$1))*SIGN(OFFSET(Assumptions!$B$14,0,$C$1)-AA$25)</f>
        <v>8.9999999999999993E-3</v>
      </c>
      <c r="AC25" s="18">
        <f ca="1">AB$25+MIN(ABS(OFFSET(Assumptions!$B$14,0,$C$1)-AB$25),OFFSET(Assumptions!$B$20,0,$C$1))*SIGN(OFFSET(Assumptions!$B$14,0,$C$1)-AB$25)</f>
        <v>8.9999999999999993E-3</v>
      </c>
      <c r="AD25" s="18">
        <f ca="1">AC$25+MIN(ABS(OFFSET(Assumptions!$B$14,0,$C$1)-AC$25),OFFSET(Assumptions!$B$20,0,$C$1))*SIGN(OFFSET(Assumptions!$B$14,0,$C$1)-AC$25)</f>
        <v>8.9999999999999993E-3</v>
      </c>
      <c r="AE25" s="18">
        <f ca="1">AD$25+MIN(ABS(OFFSET(Assumptions!$B$14,0,$C$1)-AD$25),OFFSET(Assumptions!$B$20,0,$C$1))*SIGN(OFFSET(Assumptions!$B$14,0,$C$1)-AD$25)</f>
        <v>8.9999999999999993E-3</v>
      </c>
      <c r="AF25" s="18">
        <f ca="1">AE$25+MIN(ABS(OFFSET(Assumptions!$B$14,0,$C$1)-AE$25),OFFSET(Assumptions!$B$20,0,$C$1))*SIGN(OFFSET(Assumptions!$B$14,0,$C$1)-AE$25)</f>
        <v>8.9999999999999993E-3</v>
      </c>
      <c r="AG25" s="18">
        <f ca="1">AF$25+MIN(ABS(OFFSET(Assumptions!$B$14,0,$C$1)-AF$25),OFFSET(Assumptions!$B$20,0,$C$1))*SIGN(OFFSET(Assumptions!$B$14,0,$C$1)-AF$25)</f>
        <v>8.9999999999999993E-3</v>
      </c>
      <c r="AH25" s="18">
        <f ca="1">AG$25+MIN(ABS(OFFSET(Assumptions!$B$14,0,$C$1)-AG$25),OFFSET(Assumptions!$B$20,0,$C$1))*SIGN(OFFSET(Assumptions!$B$14,0,$C$1)-AG$25)</f>
        <v>8.9999999999999993E-3</v>
      </c>
      <c r="AI25" s="18">
        <f ca="1">AH$25+MIN(ABS(OFFSET(Assumptions!$B$14,0,$C$1)-AH$25),OFFSET(Assumptions!$B$20,0,$C$1))*SIGN(OFFSET(Assumptions!$B$14,0,$C$1)-AH$25)</f>
        <v>8.9999999999999993E-3</v>
      </c>
      <c r="AJ25" s="18">
        <f ca="1">AI$25+MIN(ABS(OFFSET(Assumptions!$B$14,0,$C$1)-AI$25),OFFSET(Assumptions!$B$20,0,$C$1))*SIGN(OFFSET(Assumptions!$B$14,0,$C$1)-AI$25)</f>
        <v>8.9999999999999993E-3</v>
      </c>
      <c r="AK25" s="18">
        <f ca="1">AJ$25+MIN(ABS(OFFSET(Assumptions!$B$14,0,$C$1)-AJ$25),OFFSET(Assumptions!$B$20,0,$C$1))*SIGN(OFFSET(Assumptions!$B$14,0,$C$1)-AJ$25)</f>
        <v>8.9999999999999993E-3</v>
      </c>
      <c r="AL25" s="18">
        <f ca="1">AK$25+MIN(ABS(OFFSET(Assumptions!$B$14,0,$C$1)-AK$25),OFFSET(Assumptions!$B$20,0,$C$1))*SIGN(OFFSET(Assumptions!$B$14,0,$C$1)-AK$25)</f>
        <v>8.9999999999999993E-3</v>
      </c>
      <c r="AM25" s="18">
        <f ca="1">AL$25+MIN(ABS(OFFSET(Assumptions!$B$14,0,$C$1)-AL$25),OFFSET(Assumptions!$B$20,0,$C$1))*SIGN(OFFSET(Assumptions!$B$14,0,$C$1)-AL$25)</f>
        <v>8.9999999999999993E-3</v>
      </c>
      <c r="AN25" s="18">
        <f ca="1">AM$25+MIN(ABS(OFFSET(Assumptions!$B$14,0,$C$1)-AM$25),OFFSET(Assumptions!$B$20,0,$C$1))*SIGN(OFFSET(Assumptions!$B$14,0,$C$1)-AM$25)</f>
        <v>8.9999999999999993E-3</v>
      </c>
      <c r="AO25" s="18">
        <f ca="1">AN$25+MIN(ABS(OFFSET(Assumptions!$B$14,0,$C$1)-AN$25),OFFSET(Assumptions!$B$20,0,$C$1))*SIGN(OFFSET(Assumptions!$B$14,0,$C$1)-AN$25)</f>
        <v>8.9999999999999993E-3</v>
      </c>
      <c r="AP25" s="18">
        <f ca="1">AO$25+MIN(ABS(OFFSET(Assumptions!$B$14,0,$C$1)-AO$25),OFFSET(Assumptions!$B$20,0,$C$1))*SIGN(OFFSET(Assumptions!$B$14,0,$C$1)-AO$25)</f>
        <v>8.9999999999999993E-3</v>
      </c>
      <c r="AQ25" s="18">
        <f ca="1">AP$25+MIN(ABS(OFFSET(Assumptions!$B$14,0,$C$1)-AP$25),OFFSET(Assumptions!$B$20,0,$C$1))*SIGN(OFFSET(Assumptions!$B$14,0,$C$1)-AP$25)</f>
        <v>8.9999999999999993E-3</v>
      </c>
      <c r="AR25" s="18">
        <f ca="1">AQ$25+MIN(ABS(OFFSET(Assumptions!$B$14,0,$C$1)-AQ$25),OFFSET(Assumptions!$B$20,0,$C$1))*SIGN(OFFSET(Assumptions!$B$14,0,$C$1)-AQ$25)</f>
        <v>8.9999999999999993E-3</v>
      </c>
      <c r="AS25" s="18">
        <f ca="1">AR$25+MIN(ABS(OFFSET(Assumptions!$B$14,0,$C$1)-AR$25),OFFSET(Assumptions!$B$20,0,$C$1))*SIGN(OFFSET(Assumptions!$B$14,0,$C$1)-AR$25)</f>
        <v>8.9999999999999993E-3</v>
      </c>
      <c r="AT25" s="18">
        <f ca="1">AS$25+MIN(ABS(OFFSET(Assumptions!$B$14,0,$C$1)-AS$25),OFFSET(Assumptions!$B$20,0,$C$1))*SIGN(OFFSET(Assumptions!$B$14,0,$C$1)-AS$25)</f>
        <v>8.9999999999999993E-3</v>
      </c>
      <c r="AU25" s="18">
        <f ca="1">AT$25+MIN(ABS(OFFSET(Assumptions!$B$14,0,$C$1)-AT$25),OFFSET(Assumptions!$B$20,0,$C$1))*SIGN(OFFSET(Assumptions!$B$14,0,$C$1)-AT$25)</f>
        <v>8.9999999999999993E-3</v>
      </c>
      <c r="AV25" s="18">
        <f ca="1">AU$25+MIN(ABS(OFFSET(Assumptions!$B$14,0,$C$1)-AU$25),OFFSET(Assumptions!$B$20,0,$C$1))*SIGN(OFFSET(Assumptions!$B$14,0,$C$1)-AU$25)</f>
        <v>8.9999999999999993E-3</v>
      </c>
      <c r="AW25" s="18">
        <f ca="1">AV$25+MIN(ABS(OFFSET(Assumptions!$B$14,0,$C$1)-AV$25),OFFSET(Assumptions!$B$20,0,$C$1))*SIGN(OFFSET(Assumptions!$B$14,0,$C$1)-AV$25)</f>
        <v>8.9999999999999993E-3</v>
      </c>
      <c r="AX25" s="18">
        <f ca="1">AW$25+MIN(ABS(OFFSET(Assumptions!$B$14,0,$C$1)-AW$25),OFFSET(Assumptions!$B$20,0,$C$1))*SIGN(OFFSET(Assumptions!$B$14,0,$C$1)-AW$25)</f>
        <v>8.9999999999999993E-3</v>
      </c>
    </row>
    <row r="26" spans="1:50" x14ac:dyDescent="0.25">
      <c r="A26" s="9" t="s">
        <v>62</v>
      </c>
      <c r="B26" s="12"/>
      <c r="C26" s="13"/>
      <c r="D26" s="36">
        <f>'Economic Forecasts'!Q$15</f>
        <v>3.3700000000000001E-2</v>
      </c>
      <c r="E26" s="36">
        <f>'Economic Forecasts'!R$15</f>
        <v>3.3300000000000003E-2</v>
      </c>
      <c r="F26" s="36">
        <f>'Economic Forecasts'!S$15</f>
        <v>4.1200000000000001E-2</v>
      </c>
      <c r="G26" s="36">
        <f>'Economic Forecasts'!T$15</f>
        <v>4.6100000000000002E-2</v>
      </c>
      <c r="H26" s="36">
        <f>'Economic Forecasts'!U$15</f>
        <v>7.2900000000000006E-2</v>
      </c>
      <c r="I26" s="36">
        <f>'Economic Forecasts'!V$15</f>
        <v>5.96E-2</v>
      </c>
      <c r="J26" s="19">
        <f>'Economic Forecasts'!W$15</f>
        <v>4.1200000000000001E-2</v>
      </c>
      <c r="K26" s="19">
        <f>'Economic Forecasts'!X$15</f>
        <v>3.0099999999999998E-2</v>
      </c>
      <c r="L26" s="19">
        <f>'Economic Forecasts'!Y$15</f>
        <v>2.6499999999999999E-2</v>
      </c>
      <c r="M26" s="19">
        <f>'Economic Forecasts'!Z$15</f>
        <v>2.6800000000000001E-2</v>
      </c>
      <c r="N26" s="19">
        <f>'Economic Forecasts'!AA$15</f>
        <v>2.7199999999999998E-2</v>
      </c>
      <c r="O26" s="18">
        <f t="shared" ref="O26:AX26" ca="1" si="191">(1+O$25)*(1+O$29)-1</f>
        <v>2.9179999999999984E-2</v>
      </c>
      <c r="P26" s="18">
        <f t="shared" ca="1" si="191"/>
        <v>2.9179999999999984E-2</v>
      </c>
      <c r="Q26" s="18">
        <f t="shared" ca="1" si="191"/>
        <v>2.9179999999999984E-2</v>
      </c>
      <c r="R26" s="18">
        <f t="shared" ca="1" si="191"/>
        <v>2.9179999999999984E-2</v>
      </c>
      <c r="S26" s="18">
        <f t="shared" ca="1" si="191"/>
        <v>2.9179999999999984E-2</v>
      </c>
      <c r="T26" s="18">
        <f t="shared" ca="1" si="191"/>
        <v>2.9179999999999984E-2</v>
      </c>
      <c r="U26" s="18">
        <f t="shared" ca="1" si="191"/>
        <v>2.9179999999999984E-2</v>
      </c>
      <c r="V26" s="18">
        <f t="shared" ca="1" si="191"/>
        <v>2.9179999999999984E-2</v>
      </c>
      <c r="W26" s="18">
        <f t="shared" ca="1" si="191"/>
        <v>2.9179999999999984E-2</v>
      </c>
      <c r="X26" s="18">
        <f t="shared" ca="1" si="191"/>
        <v>2.9179999999999984E-2</v>
      </c>
      <c r="Y26" s="18">
        <f t="shared" ca="1" si="191"/>
        <v>2.9179999999999984E-2</v>
      </c>
      <c r="Z26" s="18">
        <f t="shared" ca="1" si="191"/>
        <v>2.9179999999999984E-2</v>
      </c>
      <c r="AA26" s="18">
        <f t="shared" ca="1" si="191"/>
        <v>2.9179999999999984E-2</v>
      </c>
      <c r="AB26" s="18">
        <f t="shared" ca="1" si="191"/>
        <v>2.9179999999999984E-2</v>
      </c>
      <c r="AC26" s="18">
        <f t="shared" ca="1" si="191"/>
        <v>2.9179999999999984E-2</v>
      </c>
      <c r="AD26" s="18">
        <f t="shared" ca="1" si="191"/>
        <v>2.9179999999999984E-2</v>
      </c>
      <c r="AE26" s="18">
        <f t="shared" ca="1" si="191"/>
        <v>2.9179999999999984E-2</v>
      </c>
      <c r="AF26" s="18">
        <f t="shared" ca="1" si="191"/>
        <v>2.9179999999999984E-2</v>
      </c>
      <c r="AG26" s="18">
        <f t="shared" ca="1" si="191"/>
        <v>2.9179999999999984E-2</v>
      </c>
      <c r="AH26" s="18">
        <f t="shared" ca="1" si="191"/>
        <v>2.9179999999999984E-2</v>
      </c>
      <c r="AI26" s="18">
        <f t="shared" ca="1" si="191"/>
        <v>2.9179999999999984E-2</v>
      </c>
      <c r="AJ26" s="18">
        <f t="shared" ca="1" si="191"/>
        <v>2.9179999999999984E-2</v>
      </c>
      <c r="AK26" s="18">
        <f t="shared" ca="1" si="191"/>
        <v>2.9179999999999984E-2</v>
      </c>
      <c r="AL26" s="18">
        <f t="shared" ca="1" si="191"/>
        <v>2.9179999999999984E-2</v>
      </c>
      <c r="AM26" s="18">
        <f t="shared" ca="1" si="191"/>
        <v>2.9179999999999984E-2</v>
      </c>
      <c r="AN26" s="18">
        <f t="shared" ca="1" si="191"/>
        <v>2.9179999999999984E-2</v>
      </c>
      <c r="AO26" s="18">
        <f t="shared" ca="1" si="191"/>
        <v>2.9179999999999984E-2</v>
      </c>
      <c r="AP26" s="18">
        <f t="shared" ca="1" si="191"/>
        <v>2.9179999999999984E-2</v>
      </c>
      <c r="AQ26" s="18">
        <f t="shared" ca="1" si="191"/>
        <v>2.9179999999999984E-2</v>
      </c>
      <c r="AR26" s="18">
        <f t="shared" ca="1" si="191"/>
        <v>2.9179999999999984E-2</v>
      </c>
      <c r="AS26" s="18">
        <f t="shared" ca="1" si="191"/>
        <v>2.9179999999999984E-2</v>
      </c>
      <c r="AT26" s="18">
        <f t="shared" ca="1" si="191"/>
        <v>2.9179999999999984E-2</v>
      </c>
      <c r="AU26" s="18">
        <f t="shared" ca="1" si="191"/>
        <v>2.9179999999999984E-2</v>
      </c>
      <c r="AV26" s="18">
        <f t="shared" ca="1" si="191"/>
        <v>2.9179999999999984E-2</v>
      </c>
      <c r="AW26" s="18">
        <f t="shared" ca="1" si="191"/>
        <v>2.9179999999999984E-2</v>
      </c>
      <c r="AX26" s="18">
        <f t="shared" ca="1" si="191"/>
        <v>2.9179999999999984E-2</v>
      </c>
    </row>
    <row r="27" spans="1:50" x14ac:dyDescent="0.25">
      <c r="A27" s="12" t="s">
        <v>148</v>
      </c>
      <c r="B27" s="9"/>
      <c r="C27" s="13"/>
    </row>
    <row r="28" spans="1:50" x14ac:dyDescent="0.25">
      <c r="A28" s="9" t="s">
        <v>149</v>
      </c>
      <c r="B28" s="9"/>
      <c r="C28" s="13"/>
      <c r="D28" s="44">
        <f>'Economic Forecasts'!Q$14</f>
        <v>1032</v>
      </c>
      <c r="E28" s="44">
        <f>'Economic Forecasts'!R$14</f>
        <v>1047</v>
      </c>
      <c r="F28" s="44">
        <f>'Economic Forecasts'!S$14</f>
        <v>1082</v>
      </c>
      <c r="G28" s="44">
        <f>'Economic Forecasts'!T$14</f>
        <v>1161</v>
      </c>
      <c r="H28" s="44">
        <f>'Economic Forecasts'!U$14</f>
        <v>1231</v>
      </c>
      <c r="I28" s="44">
        <f>'Economic Forecasts'!V$14</f>
        <v>1272</v>
      </c>
      <c r="J28" s="45">
        <f>'Economic Forecasts'!W$14</f>
        <v>1299.5999999999999</v>
      </c>
      <c r="K28" s="45">
        <f>'Economic Forecasts'!X$14</f>
        <v>1326.7</v>
      </c>
      <c r="L28" s="45">
        <f>'Economic Forecasts'!Y$14</f>
        <v>1352.9</v>
      </c>
      <c r="M28" s="45">
        <f>'Economic Forecasts'!Z$14</f>
        <v>1379.7</v>
      </c>
      <c r="N28" s="45">
        <f>'Economic Forecasts'!AA$14</f>
        <v>1407.3</v>
      </c>
      <c r="O28" s="46">
        <f t="shared" ref="O28:X28" ca="1" si="192">N$28*(1+O$29)</f>
        <v>1435.4459999999999</v>
      </c>
      <c r="P28" s="46">
        <f t="shared" ca="1" si="192"/>
        <v>1464.1549199999999</v>
      </c>
      <c r="Q28" s="46">
        <f t="shared" ca="1" si="192"/>
        <v>1493.4380183999999</v>
      </c>
      <c r="R28" s="46">
        <f t="shared" ca="1" si="192"/>
        <v>1523.306778768</v>
      </c>
      <c r="S28" s="46">
        <f t="shared" ca="1" si="192"/>
        <v>1553.7729143433601</v>
      </c>
      <c r="T28" s="46">
        <f t="shared" ca="1" si="192"/>
        <v>1584.8483726302272</v>
      </c>
      <c r="U28" s="46">
        <f t="shared" ca="1" si="192"/>
        <v>1616.5453400828319</v>
      </c>
      <c r="V28" s="46">
        <f t="shared" ca="1" si="192"/>
        <v>1648.8762468844886</v>
      </c>
      <c r="W28" s="46">
        <f t="shared" ca="1" si="192"/>
        <v>1681.8537718221785</v>
      </c>
      <c r="X28" s="46">
        <f t="shared" ca="1" si="192"/>
        <v>1715.4908472586221</v>
      </c>
      <c r="Y28" s="46">
        <f t="shared" ref="Y28" ca="1" si="193">X$28*(1+Y$29)</f>
        <v>1749.8006642037947</v>
      </c>
      <c r="Z28" s="46">
        <f t="shared" ref="Z28" ca="1" si="194">Y$28*(1+Z$29)</f>
        <v>1784.7966774878705</v>
      </c>
      <c r="AA28" s="46">
        <f t="shared" ref="AA28" ca="1" si="195">Z$28*(1+AA$29)</f>
        <v>1820.492611037628</v>
      </c>
      <c r="AB28" s="46">
        <f t="shared" ref="AB28" ca="1" si="196">AA$28*(1+AB$29)</f>
        <v>1856.9024632583805</v>
      </c>
      <c r="AC28" s="46">
        <f t="shared" ref="AC28" ca="1" si="197">AB$28*(1+AC$29)</f>
        <v>1894.0405125235482</v>
      </c>
      <c r="AD28" s="46">
        <f t="shared" ref="AD28" ca="1" si="198">AC$28*(1+AD$29)</f>
        <v>1931.9213227740192</v>
      </c>
      <c r="AE28" s="46">
        <f t="shared" ref="AE28" ca="1" si="199">AD$28*(1+AE$29)</f>
        <v>1970.5597492294996</v>
      </c>
      <c r="AF28" s="46">
        <f t="shared" ref="AF28" ca="1" si="200">AE$28*(1+AF$29)</f>
        <v>2009.9709442140897</v>
      </c>
      <c r="AG28" s="46">
        <f t="shared" ref="AG28" ca="1" si="201">AF$28*(1+AG$29)</f>
        <v>2050.1703630983716</v>
      </c>
      <c r="AH28" s="46">
        <f t="shared" ref="AH28" ca="1" si="202">AG$28*(1+AH$29)</f>
        <v>2091.1737703603389</v>
      </c>
      <c r="AI28" s="46">
        <f t="shared" ref="AI28" ca="1" si="203">AH$28*(1+AI$29)</f>
        <v>2132.9972457675458</v>
      </c>
      <c r="AJ28" s="46">
        <f t="shared" ref="AJ28" ca="1" si="204">AI$28*(1+AJ$29)</f>
        <v>2175.6571906828967</v>
      </c>
      <c r="AK28" s="46">
        <f t="shared" ref="AK28" ca="1" si="205">AJ$28*(1+AK$29)</f>
        <v>2219.1703344965549</v>
      </c>
      <c r="AL28" s="46">
        <f t="shared" ref="AL28" ca="1" si="206">AK$28*(1+AL$29)</f>
        <v>2263.5537411864861</v>
      </c>
      <c r="AM28" s="46">
        <f t="shared" ref="AM28" ca="1" si="207">AL$28*(1+AM$29)</f>
        <v>2308.8248160102157</v>
      </c>
      <c r="AN28" s="46">
        <f t="shared" ref="AN28" ca="1" si="208">AM$28*(1+AN$29)</f>
        <v>2355.0013123304202</v>
      </c>
      <c r="AO28" s="46">
        <f t="shared" ref="AO28" ca="1" si="209">AN$28*(1+AO$29)</f>
        <v>2402.1013385770289</v>
      </c>
      <c r="AP28" s="46">
        <f t="shared" ref="AP28" ca="1" si="210">AO$28*(1+AP$29)</f>
        <v>2450.1433653485697</v>
      </c>
      <c r="AQ28" s="46">
        <f t="shared" ref="AQ28" ca="1" si="211">AP$28*(1+AQ$29)</f>
        <v>2499.1462326555411</v>
      </c>
      <c r="AR28" s="46">
        <f t="shared" ref="AR28" ca="1" si="212">AQ$28*(1+AR$29)</f>
        <v>2549.1291573086519</v>
      </c>
      <c r="AS28" s="46">
        <f t="shared" ref="AS28" ca="1" si="213">AR$28*(1+AS$29)</f>
        <v>2600.1117404548249</v>
      </c>
      <c r="AT28" s="46">
        <f t="shared" ref="AT28" ca="1" si="214">AS$28*(1+AT$29)</f>
        <v>2652.1139752639215</v>
      </c>
      <c r="AU28" s="46">
        <f t="shared" ref="AU28" ca="1" si="215">AT$28*(1+AU$29)</f>
        <v>2705.1562547692001</v>
      </c>
      <c r="AV28" s="46">
        <f t="shared" ref="AV28" ca="1" si="216">AU$28*(1+AV$29)</f>
        <v>2759.2593798645844</v>
      </c>
      <c r="AW28" s="46">
        <f t="shared" ref="AW28" ca="1" si="217">AV$28*(1+AW$29)</f>
        <v>2814.444567461876</v>
      </c>
      <c r="AX28" s="46">
        <f t="shared" ref="AX28" ca="1" si="218">AW$28*(1+AX$29)</f>
        <v>2870.7334588111135</v>
      </c>
    </row>
    <row r="29" spans="1:50" x14ac:dyDescent="0.25">
      <c r="A29" s="10" t="str">
        <f>$A$12</f>
        <v>Annual percentage growth</v>
      </c>
      <c r="B29" s="9"/>
      <c r="C29" s="13"/>
      <c r="D29" s="39"/>
      <c r="E29" s="36">
        <f>E$28/D$28-1</f>
        <v>1.4534883720930258E-2</v>
      </c>
      <c r="F29" s="36">
        <f t="shared" ref="F29:N29" si="219">F$28/E$28-1</f>
        <v>3.3428844317096473E-2</v>
      </c>
      <c r="G29" s="36">
        <f t="shared" si="219"/>
        <v>7.3012939001848354E-2</v>
      </c>
      <c r="H29" s="36">
        <f t="shared" si="219"/>
        <v>6.0292850990525393E-2</v>
      </c>
      <c r="I29" s="36">
        <f t="shared" si="219"/>
        <v>3.3306255077172997E-2</v>
      </c>
      <c r="J29" s="19">
        <f t="shared" si="219"/>
        <v>2.1698113207547109E-2</v>
      </c>
      <c r="K29" s="19">
        <f t="shared" si="219"/>
        <v>2.0852570021545169E-2</v>
      </c>
      <c r="L29" s="19">
        <f t="shared" si="219"/>
        <v>1.9748247531469199E-2</v>
      </c>
      <c r="M29" s="19">
        <f t="shared" si="219"/>
        <v>1.9809298543868703E-2</v>
      </c>
      <c r="N29" s="19">
        <f t="shared" si="219"/>
        <v>2.0004348771472058E-2</v>
      </c>
      <c r="O29" s="18">
        <f ca="1">N$29+MIN(ABS(OFFSET(Assumptions!$B$15,0,$C$1)-N$29),OFFSET(Assumptions!$B$21,0,$C$1))*SIGN(OFFSET(Assumptions!$B$15,0,$C$1)-N$29)</f>
        <v>0.02</v>
      </c>
      <c r="P29" s="18">
        <f ca="1">O$29+MIN(ABS(OFFSET(Assumptions!$B$15,0,$C$1)-O$29),OFFSET(Assumptions!$B$21,0,$C$1))*SIGN(OFFSET(Assumptions!$B$15,0,$C$1)-O$29)</f>
        <v>0.02</v>
      </c>
      <c r="Q29" s="18">
        <f ca="1">P$29+MIN(ABS(OFFSET(Assumptions!$B$15,0,$C$1)-P$29),OFFSET(Assumptions!$B$21,0,$C$1))*SIGN(OFFSET(Assumptions!$B$15,0,$C$1)-P$29)</f>
        <v>0.02</v>
      </c>
      <c r="R29" s="18">
        <f ca="1">Q$29+MIN(ABS(OFFSET(Assumptions!$B$15,0,$C$1)-Q$29),OFFSET(Assumptions!$B$21,0,$C$1))*SIGN(OFFSET(Assumptions!$B$15,0,$C$1)-Q$29)</f>
        <v>0.02</v>
      </c>
      <c r="S29" s="18">
        <f ca="1">R$29+MIN(ABS(OFFSET(Assumptions!$B$15,0,$C$1)-R$29),OFFSET(Assumptions!$B$21,0,$C$1))*SIGN(OFFSET(Assumptions!$B$15,0,$C$1)-R$29)</f>
        <v>0.02</v>
      </c>
      <c r="T29" s="18">
        <f ca="1">S$29+MIN(ABS(OFFSET(Assumptions!$B$15,0,$C$1)-S$29),OFFSET(Assumptions!$B$21,0,$C$1))*SIGN(OFFSET(Assumptions!$B$15,0,$C$1)-S$29)</f>
        <v>0.02</v>
      </c>
      <c r="U29" s="18">
        <f ca="1">T$29+MIN(ABS(OFFSET(Assumptions!$B$15,0,$C$1)-T$29),OFFSET(Assumptions!$B$21,0,$C$1))*SIGN(OFFSET(Assumptions!$B$15,0,$C$1)-T$29)</f>
        <v>0.02</v>
      </c>
      <c r="V29" s="18">
        <f ca="1">U$29+MIN(ABS(OFFSET(Assumptions!$B$15,0,$C$1)-U$29),OFFSET(Assumptions!$B$21,0,$C$1))*SIGN(OFFSET(Assumptions!$B$15,0,$C$1)-U$29)</f>
        <v>0.02</v>
      </c>
      <c r="W29" s="18">
        <f ca="1">V$29+MIN(ABS(OFFSET(Assumptions!$B$15,0,$C$1)-V$29),OFFSET(Assumptions!$B$21,0,$C$1))*SIGN(OFFSET(Assumptions!$B$15,0,$C$1)-V$29)</f>
        <v>0.02</v>
      </c>
      <c r="X29" s="18">
        <f ca="1">W$29+MIN(ABS(OFFSET(Assumptions!$B$15,0,$C$1)-W$29),OFFSET(Assumptions!$B$21,0,$C$1))*SIGN(OFFSET(Assumptions!$B$15,0,$C$1)-W$29)</f>
        <v>0.02</v>
      </c>
      <c r="Y29" s="18">
        <f ca="1">X$29+MIN(ABS(OFFSET(Assumptions!$B$15,0,$C$1)-X$29),OFFSET(Assumptions!$B$21,0,$C$1))*SIGN(OFFSET(Assumptions!$B$15,0,$C$1)-X$29)</f>
        <v>0.02</v>
      </c>
      <c r="Z29" s="18">
        <f ca="1">Y$29+MIN(ABS(OFFSET(Assumptions!$B$15,0,$C$1)-Y$29),OFFSET(Assumptions!$B$21,0,$C$1))*SIGN(OFFSET(Assumptions!$B$15,0,$C$1)-Y$29)</f>
        <v>0.02</v>
      </c>
      <c r="AA29" s="18">
        <f ca="1">Z$29+MIN(ABS(OFFSET(Assumptions!$B$15,0,$C$1)-Z$29),OFFSET(Assumptions!$B$21,0,$C$1))*SIGN(OFFSET(Assumptions!$B$15,0,$C$1)-Z$29)</f>
        <v>0.02</v>
      </c>
      <c r="AB29" s="18">
        <f ca="1">AA$29+MIN(ABS(OFFSET(Assumptions!$B$15,0,$C$1)-AA$29),OFFSET(Assumptions!$B$21,0,$C$1))*SIGN(OFFSET(Assumptions!$B$15,0,$C$1)-AA$29)</f>
        <v>0.02</v>
      </c>
      <c r="AC29" s="18">
        <f ca="1">AB$29+MIN(ABS(OFFSET(Assumptions!$B$15,0,$C$1)-AB$29),OFFSET(Assumptions!$B$21,0,$C$1))*SIGN(OFFSET(Assumptions!$B$15,0,$C$1)-AB$29)</f>
        <v>0.02</v>
      </c>
      <c r="AD29" s="18">
        <f ca="1">AC$29+MIN(ABS(OFFSET(Assumptions!$B$15,0,$C$1)-AC$29),OFFSET(Assumptions!$B$21,0,$C$1))*SIGN(OFFSET(Assumptions!$B$15,0,$C$1)-AC$29)</f>
        <v>0.02</v>
      </c>
      <c r="AE29" s="18">
        <f ca="1">AD$29+MIN(ABS(OFFSET(Assumptions!$B$15,0,$C$1)-AD$29),OFFSET(Assumptions!$B$21,0,$C$1))*SIGN(OFFSET(Assumptions!$B$15,0,$C$1)-AD$29)</f>
        <v>0.02</v>
      </c>
      <c r="AF29" s="18">
        <f ca="1">AE$29+MIN(ABS(OFFSET(Assumptions!$B$15,0,$C$1)-AE$29),OFFSET(Assumptions!$B$21,0,$C$1))*SIGN(OFFSET(Assumptions!$B$15,0,$C$1)-AE$29)</f>
        <v>0.02</v>
      </c>
      <c r="AG29" s="18">
        <f ca="1">AF$29+MIN(ABS(OFFSET(Assumptions!$B$15,0,$C$1)-AF$29),OFFSET(Assumptions!$B$21,0,$C$1))*SIGN(OFFSET(Assumptions!$B$15,0,$C$1)-AF$29)</f>
        <v>0.02</v>
      </c>
      <c r="AH29" s="18">
        <f ca="1">AG$29+MIN(ABS(OFFSET(Assumptions!$B$15,0,$C$1)-AG$29),OFFSET(Assumptions!$B$21,0,$C$1))*SIGN(OFFSET(Assumptions!$B$15,0,$C$1)-AG$29)</f>
        <v>0.02</v>
      </c>
      <c r="AI29" s="18">
        <f ca="1">AH$29+MIN(ABS(OFFSET(Assumptions!$B$15,0,$C$1)-AH$29),OFFSET(Assumptions!$B$21,0,$C$1))*SIGN(OFFSET(Assumptions!$B$15,0,$C$1)-AH$29)</f>
        <v>0.02</v>
      </c>
      <c r="AJ29" s="18">
        <f ca="1">AI$29+MIN(ABS(OFFSET(Assumptions!$B$15,0,$C$1)-AI$29),OFFSET(Assumptions!$B$21,0,$C$1))*SIGN(OFFSET(Assumptions!$B$15,0,$C$1)-AI$29)</f>
        <v>0.02</v>
      </c>
      <c r="AK29" s="18">
        <f ca="1">AJ$29+MIN(ABS(OFFSET(Assumptions!$B$15,0,$C$1)-AJ$29),OFFSET(Assumptions!$B$21,0,$C$1))*SIGN(OFFSET(Assumptions!$B$15,0,$C$1)-AJ$29)</f>
        <v>0.02</v>
      </c>
      <c r="AL29" s="18">
        <f ca="1">AK$29+MIN(ABS(OFFSET(Assumptions!$B$15,0,$C$1)-AK$29),OFFSET(Assumptions!$B$21,0,$C$1))*SIGN(OFFSET(Assumptions!$B$15,0,$C$1)-AK$29)</f>
        <v>0.02</v>
      </c>
      <c r="AM29" s="18">
        <f ca="1">AL$29+MIN(ABS(OFFSET(Assumptions!$B$15,0,$C$1)-AL$29),OFFSET(Assumptions!$B$21,0,$C$1))*SIGN(OFFSET(Assumptions!$B$15,0,$C$1)-AL$29)</f>
        <v>0.02</v>
      </c>
      <c r="AN29" s="18">
        <f ca="1">AM$29+MIN(ABS(OFFSET(Assumptions!$B$15,0,$C$1)-AM$29),OFFSET(Assumptions!$B$21,0,$C$1))*SIGN(OFFSET(Assumptions!$B$15,0,$C$1)-AM$29)</f>
        <v>0.02</v>
      </c>
      <c r="AO29" s="18">
        <f ca="1">AN$29+MIN(ABS(OFFSET(Assumptions!$B$15,0,$C$1)-AN$29),OFFSET(Assumptions!$B$21,0,$C$1))*SIGN(OFFSET(Assumptions!$B$15,0,$C$1)-AN$29)</f>
        <v>0.02</v>
      </c>
      <c r="AP29" s="18">
        <f ca="1">AO$29+MIN(ABS(OFFSET(Assumptions!$B$15,0,$C$1)-AO$29),OFFSET(Assumptions!$B$21,0,$C$1))*SIGN(OFFSET(Assumptions!$B$15,0,$C$1)-AO$29)</f>
        <v>0.02</v>
      </c>
      <c r="AQ29" s="18">
        <f ca="1">AP$29+MIN(ABS(OFFSET(Assumptions!$B$15,0,$C$1)-AP$29),OFFSET(Assumptions!$B$21,0,$C$1))*SIGN(OFFSET(Assumptions!$B$15,0,$C$1)-AP$29)</f>
        <v>0.02</v>
      </c>
      <c r="AR29" s="18">
        <f ca="1">AQ$29+MIN(ABS(OFFSET(Assumptions!$B$15,0,$C$1)-AQ$29),OFFSET(Assumptions!$B$21,0,$C$1))*SIGN(OFFSET(Assumptions!$B$15,0,$C$1)-AQ$29)</f>
        <v>0.02</v>
      </c>
      <c r="AS29" s="18">
        <f ca="1">AR$29+MIN(ABS(OFFSET(Assumptions!$B$15,0,$C$1)-AR$29),OFFSET(Assumptions!$B$21,0,$C$1))*SIGN(OFFSET(Assumptions!$B$15,0,$C$1)-AR$29)</f>
        <v>0.02</v>
      </c>
      <c r="AT29" s="18">
        <f ca="1">AS$29+MIN(ABS(OFFSET(Assumptions!$B$15,0,$C$1)-AS$29),OFFSET(Assumptions!$B$21,0,$C$1))*SIGN(OFFSET(Assumptions!$B$15,0,$C$1)-AS$29)</f>
        <v>0.02</v>
      </c>
      <c r="AU29" s="18">
        <f ca="1">AT$29+MIN(ABS(OFFSET(Assumptions!$B$15,0,$C$1)-AT$29),OFFSET(Assumptions!$B$21,0,$C$1))*SIGN(OFFSET(Assumptions!$B$15,0,$C$1)-AT$29)</f>
        <v>0.02</v>
      </c>
      <c r="AV29" s="18">
        <f ca="1">AU$29+MIN(ABS(OFFSET(Assumptions!$B$15,0,$C$1)-AU$29),OFFSET(Assumptions!$B$21,0,$C$1))*SIGN(OFFSET(Assumptions!$B$15,0,$C$1)-AU$29)</f>
        <v>0.02</v>
      </c>
      <c r="AW29" s="18">
        <f ca="1">AV$29+MIN(ABS(OFFSET(Assumptions!$B$15,0,$C$1)-AV$29),OFFSET(Assumptions!$B$21,0,$C$1))*SIGN(OFFSET(Assumptions!$B$15,0,$C$1)-AV$29)</f>
        <v>0.02</v>
      </c>
      <c r="AX29" s="18">
        <f ca="1">AW$29+MIN(ABS(OFFSET(Assumptions!$B$15,0,$C$1)-AW$29),OFFSET(Assumptions!$B$21,0,$C$1))*SIGN(OFFSET(Assumptions!$B$15,0,$C$1)-AW$29)</f>
        <v>0.02</v>
      </c>
    </row>
    <row r="30" spans="1:50" x14ac:dyDescent="0.25">
      <c r="A30" s="9" t="s">
        <v>63</v>
      </c>
      <c r="B30" s="9"/>
      <c r="C30" s="13"/>
      <c r="D30" s="36">
        <f>'Economic Forecasts'!Q$16</f>
        <v>2.3099999999999999E-2</v>
      </c>
      <c r="E30" s="36">
        <f>'Economic Forecasts'!R$16</f>
        <v>1.18E-2</v>
      </c>
      <c r="F30" s="36">
        <f>'Economic Forecasts'!S$16</f>
        <v>1.1599999999999999E-2</v>
      </c>
      <c r="G30" s="36">
        <f>'Economic Forecasts'!T$16</f>
        <v>2.6499999999999999E-2</v>
      </c>
      <c r="H30" s="36">
        <f>'Economic Forecasts'!U$16</f>
        <v>4.1500000000000002E-2</v>
      </c>
      <c r="I30" s="36">
        <f>'Economic Forecasts'!V$16</f>
        <v>4.8499999999999995E-2</v>
      </c>
      <c r="J30" s="19">
        <f>'Economic Forecasts'!W$16</f>
        <v>4.4400000000000002E-2</v>
      </c>
      <c r="K30" s="19">
        <f>'Economic Forecasts'!X$16</f>
        <v>4.2999999999999997E-2</v>
      </c>
      <c r="L30" s="19">
        <f>'Economic Forecasts'!Y$16</f>
        <v>4.2900000000000001E-2</v>
      </c>
      <c r="M30" s="19">
        <f>'Economic Forecasts'!Z$16</f>
        <v>4.24E-2</v>
      </c>
      <c r="N30" s="19">
        <f>'Economic Forecasts'!AA$16</f>
        <v>4.2599999999999999E-2</v>
      </c>
      <c r="O30" s="18">
        <f ca="1">N$30+MIN(ABS(OFFSET(Assumptions!$B$16,0,$C$1)-N$30),OFFSET(Assumptions!$B$22,0,$C$1))*SIGN(OFFSET(Assumptions!$B$16,0,$C$1)-N$30)</f>
        <v>4.2999999999999997E-2</v>
      </c>
      <c r="P30" s="18">
        <f ca="1">O$30+MIN(ABS(OFFSET(Assumptions!$B$16,0,$C$1)-O$30),OFFSET(Assumptions!$B$22,0,$C$1))*SIGN(OFFSET(Assumptions!$B$16,0,$C$1)-O$30)</f>
        <v>4.2999999999999997E-2</v>
      </c>
      <c r="Q30" s="18">
        <f ca="1">P$30+MIN(ABS(OFFSET(Assumptions!$B$16,0,$C$1)-P$30),OFFSET(Assumptions!$B$22,0,$C$1))*SIGN(OFFSET(Assumptions!$B$16,0,$C$1)-P$30)</f>
        <v>4.2999999999999997E-2</v>
      </c>
      <c r="R30" s="18">
        <f ca="1">Q$30+MIN(ABS(OFFSET(Assumptions!$B$16,0,$C$1)-Q$30),OFFSET(Assumptions!$B$22,0,$C$1))*SIGN(OFFSET(Assumptions!$B$16,0,$C$1)-Q$30)</f>
        <v>4.2999999999999997E-2</v>
      </c>
      <c r="S30" s="18">
        <f ca="1">R$30+MIN(ABS(OFFSET(Assumptions!$B$16,0,$C$1)-R$30),OFFSET(Assumptions!$B$22,0,$C$1))*SIGN(OFFSET(Assumptions!$B$16,0,$C$1)-R$30)</f>
        <v>4.2999999999999997E-2</v>
      </c>
      <c r="T30" s="18">
        <f ca="1">S$30+MIN(ABS(OFFSET(Assumptions!$B$16,0,$C$1)-S$30),OFFSET(Assumptions!$B$22,0,$C$1))*SIGN(OFFSET(Assumptions!$B$16,0,$C$1)-S$30)</f>
        <v>4.2999999999999997E-2</v>
      </c>
      <c r="U30" s="18">
        <f ca="1">T$30+MIN(ABS(OFFSET(Assumptions!$B$16,0,$C$1)-T$30),OFFSET(Assumptions!$B$22,0,$C$1))*SIGN(OFFSET(Assumptions!$B$16,0,$C$1)-T$30)</f>
        <v>4.2999999999999997E-2</v>
      </c>
      <c r="V30" s="18">
        <f ca="1">U$30+MIN(ABS(OFFSET(Assumptions!$B$16,0,$C$1)-U$30),OFFSET(Assumptions!$B$22,0,$C$1))*SIGN(OFFSET(Assumptions!$B$16,0,$C$1)-U$30)</f>
        <v>4.2999999999999997E-2</v>
      </c>
      <c r="W30" s="18">
        <f ca="1">V$30+MIN(ABS(OFFSET(Assumptions!$B$16,0,$C$1)-V$30),OFFSET(Assumptions!$B$22,0,$C$1))*SIGN(OFFSET(Assumptions!$B$16,0,$C$1)-V$30)</f>
        <v>4.2999999999999997E-2</v>
      </c>
      <c r="X30" s="18">
        <f ca="1">W$30+MIN(ABS(OFFSET(Assumptions!$B$16,0,$C$1)-W$30),OFFSET(Assumptions!$B$22,0,$C$1))*SIGN(OFFSET(Assumptions!$B$16,0,$C$1)-W$30)</f>
        <v>4.2999999999999997E-2</v>
      </c>
      <c r="Y30" s="18">
        <f ca="1">X$30+MIN(ABS(OFFSET(Assumptions!$B$16,0,$C$1)-X$30),OFFSET(Assumptions!$B$22,0,$C$1))*SIGN(OFFSET(Assumptions!$B$16,0,$C$1)-X$30)</f>
        <v>4.2999999999999997E-2</v>
      </c>
      <c r="Z30" s="18">
        <f ca="1">Y$30+MIN(ABS(OFFSET(Assumptions!$B$16,0,$C$1)-Y$30),OFFSET(Assumptions!$B$22,0,$C$1))*SIGN(OFFSET(Assumptions!$B$16,0,$C$1)-Y$30)</f>
        <v>4.2999999999999997E-2</v>
      </c>
      <c r="AA30" s="18">
        <f ca="1">Z$30+MIN(ABS(OFFSET(Assumptions!$B$16,0,$C$1)-Z$30),OFFSET(Assumptions!$B$22,0,$C$1))*SIGN(OFFSET(Assumptions!$B$16,0,$C$1)-Z$30)</f>
        <v>4.2999999999999997E-2</v>
      </c>
      <c r="AB30" s="18">
        <f ca="1">AA$30+MIN(ABS(OFFSET(Assumptions!$B$16,0,$C$1)-AA$30),OFFSET(Assumptions!$B$22,0,$C$1))*SIGN(OFFSET(Assumptions!$B$16,0,$C$1)-AA$30)</f>
        <v>4.2999999999999997E-2</v>
      </c>
      <c r="AC30" s="18">
        <f ca="1">AB$30+MIN(ABS(OFFSET(Assumptions!$B$16,0,$C$1)-AB$30),OFFSET(Assumptions!$B$22,0,$C$1))*SIGN(OFFSET(Assumptions!$B$16,0,$C$1)-AB$30)</f>
        <v>4.2999999999999997E-2</v>
      </c>
      <c r="AD30" s="18">
        <f ca="1">AC$30+MIN(ABS(OFFSET(Assumptions!$B$16,0,$C$1)-AC$30),OFFSET(Assumptions!$B$22,0,$C$1))*SIGN(OFFSET(Assumptions!$B$16,0,$C$1)-AC$30)</f>
        <v>4.2999999999999997E-2</v>
      </c>
      <c r="AE30" s="18">
        <f ca="1">AD$30+MIN(ABS(OFFSET(Assumptions!$B$16,0,$C$1)-AD$30),OFFSET(Assumptions!$B$22,0,$C$1))*SIGN(OFFSET(Assumptions!$B$16,0,$C$1)-AD$30)</f>
        <v>4.2999999999999997E-2</v>
      </c>
      <c r="AF30" s="18">
        <f ca="1">AE$30+MIN(ABS(OFFSET(Assumptions!$B$16,0,$C$1)-AE$30),OFFSET(Assumptions!$B$22,0,$C$1))*SIGN(OFFSET(Assumptions!$B$16,0,$C$1)-AE$30)</f>
        <v>4.2999999999999997E-2</v>
      </c>
      <c r="AG30" s="18">
        <f ca="1">AF$30+MIN(ABS(OFFSET(Assumptions!$B$16,0,$C$1)-AF$30),OFFSET(Assumptions!$B$22,0,$C$1))*SIGN(OFFSET(Assumptions!$B$16,0,$C$1)-AF$30)</f>
        <v>4.2999999999999997E-2</v>
      </c>
      <c r="AH30" s="18">
        <f ca="1">AG$30+MIN(ABS(OFFSET(Assumptions!$B$16,0,$C$1)-AG$30),OFFSET(Assumptions!$B$22,0,$C$1))*SIGN(OFFSET(Assumptions!$B$16,0,$C$1)-AG$30)</f>
        <v>4.2999999999999997E-2</v>
      </c>
      <c r="AI30" s="18">
        <f ca="1">AH$30+MIN(ABS(OFFSET(Assumptions!$B$16,0,$C$1)-AH$30),OFFSET(Assumptions!$B$22,0,$C$1))*SIGN(OFFSET(Assumptions!$B$16,0,$C$1)-AH$30)</f>
        <v>4.2999999999999997E-2</v>
      </c>
      <c r="AJ30" s="18">
        <f ca="1">AI$30+MIN(ABS(OFFSET(Assumptions!$B$16,0,$C$1)-AI$30),OFFSET(Assumptions!$B$22,0,$C$1))*SIGN(OFFSET(Assumptions!$B$16,0,$C$1)-AI$30)</f>
        <v>4.2999999999999997E-2</v>
      </c>
      <c r="AK30" s="18">
        <f ca="1">AJ$30+MIN(ABS(OFFSET(Assumptions!$B$16,0,$C$1)-AJ$30),OFFSET(Assumptions!$B$22,0,$C$1))*SIGN(OFFSET(Assumptions!$B$16,0,$C$1)-AJ$30)</f>
        <v>4.2999999999999997E-2</v>
      </c>
      <c r="AL30" s="18">
        <f ca="1">AK$30+MIN(ABS(OFFSET(Assumptions!$B$16,0,$C$1)-AK$30),OFFSET(Assumptions!$B$22,0,$C$1))*SIGN(OFFSET(Assumptions!$B$16,0,$C$1)-AK$30)</f>
        <v>4.2999999999999997E-2</v>
      </c>
      <c r="AM30" s="18">
        <f ca="1">AL$30+MIN(ABS(OFFSET(Assumptions!$B$16,0,$C$1)-AL$30),OFFSET(Assumptions!$B$22,0,$C$1))*SIGN(OFFSET(Assumptions!$B$16,0,$C$1)-AL$30)</f>
        <v>4.2999999999999997E-2</v>
      </c>
      <c r="AN30" s="18">
        <f ca="1">AM$30+MIN(ABS(OFFSET(Assumptions!$B$16,0,$C$1)-AM$30),OFFSET(Assumptions!$B$22,0,$C$1))*SIGN(OFFSET(Assumptions!$B$16,0,$C$1)-AM$30)</f>
        <v>4.2999999999999997E-2</v>
      </c>
      <c r="AO30" s="18">
        <f ca="1">AN$30+MIN(ABS(OFFSET(Assumptions!$B$16,0,$C$1)-AN$30),OFFSET(Assumptions!$B$22,0,$C$1))*SIGN(OFFSET(Assumptions!$B$16,0,$C$1)-AN$30)</f>
        <v>4.2999999999999997E-2</v>
      </c>
      <c r="AP30" s="18">
        <f ca="1">AO$30+MIN(ABS(OFFSET(Assumptions!$B$16,0,$C$1)-AO$30),OFFSET(Assumptions!$B$22,0,$C$1))*SIGN(OFFSET(Assumptions!$B$16,0,$C$1)-AO$30)</f>
        <v>4.2999999999999997E-2</v>
      </c>
      <c r="AQ30" s="18">
        <f ca="1">AP$30+MIN(ABS(OFFSET(Assumptions!$B$16,0,$C$1)-AP$30),OFFSET(Assumptions!$B$22,0,$C$1))*SIGN(OFFSET(Assumptions!$B$16,0,$C$1)-AP$30)</f>
        <v>4.2999999999999997E-2</v>
      </c>
      <c r="AR30" s="18">
        <f ca="1">AQ$30+MIN(ABS(OFFSET(Assumptions!$B$16,0,$C$1)-AQ$30),OFFSET(Assumptions!$B$22,0,$C$1))*SIGN(OFFSET(Assumptions!$B$16,0,$C$1)-AQ$30)</f>
        <v>4.2999999999999997E-2</v>
      </c>
      <c r="AS30" s="18">
        <f ca="1">AR$30+MIN(ABS(OFFSET(Assumptions!$B$16,0,$C$1)-AR$30),OFFSET(Assumptions!$B$22,0,$C$1))*SIGN(OFFSET(Assumptions!$B$16,0,$C$1)-AR$30)</f>
        <v>4.2999999999999997E-2</v>
      </c>
      <c r="AT30" s="18">
        <f ca="1">AS$30+MIN(ABS(OFFSET(Assumptions!$B$16,0,$C$1)-AS$30),OFFSET(Assumptions!$B$22,0,$C$1))*SIGN(OFFSET(Assumptions!$B$16,0,$C$1)-AS$30)</f>
        <v>4.2999999999999997E-2</v>
      </c>
      <c r="AU30" s="18">
        <f ca="1">AT$30+MIN(ABS(OFFSET(Assumptions!$B$16,0,$C$1)-AT$30),OFFSET(Assumptions!$B$22,0,$C$1))*SIGN(OFFSET(Assumptions!$B$16,0,$C$1)-AT$30)</f>
        <v>4.2999999999999997E-2</v>
      </c>
      <c r="AV30" s="18">
        <f ca="1">AU$30+MIN(ABS(OFFSET(Assumptions!$B$16,0,$C$1)-AU$30),OFFSET(Assumptions!$B$22,0,$C$1))*SIGN(OFFSET(Assumptions!$B$16,0,$C$1)-AU$30)</f>
        <v>4.2999999999999997E-2</v>
      </c>
      <c r="AW30" s="18">
        <f ca="1">AV$30+MIN(ABS(OFFSET(Assumptions!$B$16,0,$C$1)-AV$30),OFFSET(Assumptions!$B$22,0,$C$1))*SIGN(OFFSET(Assumptions!$B$16,0,$C$1)-AV$30)</f>
        <v>4.2999999999999997E-2</v>
      </c>
      <c r="AX30" s="18">
        <f ca="1">AW$30+MIN(ABS(OFFSET(Assumptions!$B$16,0,$C$1)-AW$30),OFFSET(Assumptions!$B$22,0,$C$1))*SIGN(OFFSET(Assumptions!$B$16,0,$C$1)-AW$30)</f>
        <v>4.2999999999999997E-2</v>
      </c>
    </row>
    <row r="31" spans="1:50" x14ac:dyDescent="0.25">
      <c r="A31" s="9"/>
      <c r="B31" s="9"/>
      <c r="C31" s="13"/>
      <c r="D31" s="36"/>
      <c r="E31" s="36"/>
      <c r="F31" s="36"/>
      <c r="G31" s="36"/>
      <c r="H31" s="36"/>
      <c r="I31" s="36"/>
      <c r="J31" s="19"/>
      <c r="K31" s="19"/>
      <c r="L31" s="19"/>
      <c r="M31" s="19"/>
      <c r="N31" s="18"/>
      <c r="O31" s="18"/>
      <c r="P31" s="18"/>
      <c r="Q31" s="18"/>
      <c r="R31" s="18"/>
      <c r="S31" s="18"/>
      <c r="T31" s="18"/>
      <c r="U31" s="18"/>
      <c r="V31" s="18"/>
      <c r="W31" s="18"/>
      <c r="X31" s="18"/>
    </row>
    <row r="32" spans="1:50" ht="16.5" x14ac:dyDescent="0.25">
      <c r="A32" s="41" t="s">
        <v>763</v>
      </c>
      <c r="B32" s="9"/>
      <c r="C32" s="13"/>
      <c r="D32" s="36"/>
      <c r="E32" s="36"/>
      <c r="F32" s="36"/>
      <c r="G32" s="36"/>
      <c r="H32" s="36"/>
      <c r="I32" s="36"/>
      <c r="J32" s="19"/>
      <c r="K32" s="19"/>
      <c r="L32" s="19"/>
      <c r="M32" s="19"/>
      <c r="N32" s="18"/>
      <c r="O32" s="18"/>
      <c r="P32" s="18"/>
      <c r="Q32" s="18"/>
      <c r="R32" s="18"/>
      <c r="S32" s="18"/>
      <c r="T32" s="18"/>
      <c r="U32" s="18"/>
      <c r="V32" s="18"/>
      <c r="W32" s="18"/>
      <c r="X32" s="18"/>
    </row>
    <row r="33" spans="1:50" x14ac:dyDescent="0.25">
      <c r="A33" s="12" t="s">
        <v>764</v>
      </c>
      <c r="B33" s="9"/>
      <c r="C33" s="13"/>
      <c r="D33" s="36"/>
      <c r="E33" s="36"/>
      <c r="F33" s="36"/>
      <c r="G33" s="36"/>
      <c r="H33" s="36"/>
      <c r="I33" s="36"/>
      <c r="J33" s="19"/>
      <c r="K33" s="19"/>
      <c r="L33" s="19"/>
      <c r="M33" s="19"/>
      <c r="N33" s="18"/>
      <c r="O33" s="18"/>
      <c r="P33" s="18"/>
      <c r="Q33" s="18"/>
      <c r="R33" s="18"/>
      <c r="S33" s="18"/>
      <c r="T33" s="18"/>
      <c r="U33" s="18"/>
      <c r="V33" s="18"/>
      <c r="W33" s="18"/>
      <c r="X33" s="18"/>
    </row>
    <row r="34" spans="1:50" x14ac:dyDescent="0.25">
      <c r="A34" s="9" t="s">
        <v>765</v>
      </c>
      <c r="B34" s="9"/>
      <c r="C34" s="13"/>
      <c r="D34" s="42">
        <f t="shared" ref="D34:AX34" ca="1" si="220">SUM(D$138,D$148,D$153,D$163,D$171,D$177)</f>
        <v>119.142</v>
      </c>
      <c r="E34" s="42">
        <f t="shared" ca="1" si="220"/>
        <v>116.003</v>
      </c>
      <c r="F34" s="42">
        <f t="shared" ca="1" si="220"/>
        <v>129.33500000000001</v>
      </c>
      <c r="G34" s="42">
        <f t="shared" ca="1" si="220"/>
        <v>141.62700000000001</v>
      </c>
      <c r="H34" s="42">
        <f t="shared" ca="1" si="220"/>
        <v>153.011</v>
      </c>
      <c r="I34" s="42">
        <f t="shared" ca="1" si="220"/>
        <v>167.34699999999998</v>
      </c>
      <c r="J34" s="43">
        <f t="shared" ca="1" si="220"/>
        <v>169.65100000000001</v>
      </c>
      <c r="K34" s="43">
        <f t="shared" ca="1" si="220"/>
        <v>175.864</v>
      </c>
      <c r="L34" s="43">
        <f t="shared" ca="1" si="220"/>
        <v>184.02299999999997</v>
      </c>
      <c r="M34" s="43">
        <f t="shared" ca="1" si="220"/>
        <v>193.79</v>
      </c>
      <c r="N34" s="43">
        <f t="shared" ca="1" si="220"/>
        <v>203.01099999999997</v>
      </c>
      <c r="O34" s="47">
        <f t="shared" ca="1" si="220"/>
        <v>211.56895781424311</v>
      </c>
      <c r="P34" s="47">
        <f t="shared" ca="1" si="220"/>
        <v>220.60389332316788</v>
      </c>
      <c r="Q34" s="47">
        <f t="shared" ca="1" si="220"/>
        <v>229.94434492399705</v>
      </c>
      <c r="R34" s="47">
        <f t="shared" ca="1" si="220"/>
        <v>239.35671098002234</v>
      </c>
      <c r="S34" s="47">
        <f t="shared" ca="1" si="220"/>
        <v>249.11294363745301</v>
      </c>
      <c r="T34" s="47">
        <f t="shared" ca="1" si="220"/>
        <v>259.16633450385763</v>
      </c>
      <c r="U34" s="47">
        <f t="shared" ca="1" si="220"/>
        <v>269.59306775456668</v>
      </c>
      <c r="V34" s="47">
        <f t="shared" ca="1" si="220"/>
        <v>280.18843053105445</v>
      </c>
      <c r="W34" s="47">
        <f t="shared" ca="1" si="220"/>
        <v>290.80259521352491</v>
      </c>
      <c r="X34" s="47">
        <f t="shared" ca="1" si="220"/>
        <v>301.63642074720326</v>
      </c>
      <c r="Y34" s="47">
        <f t="shared" ca="1" si="220"/>
        <v>312.82353971854985</v>
      </c>
      <c r="Z34" s="47">
        <f t="shared" ca="1" si="220"/>
        <v>324.39646950106896</v>
      </c>
      <c r="AA34" s="47">
        <f t="shared" ca="1" si="220"/>
        <v>336.37134136695505</v>
      </c>
      <c r="AB34" s="47">
        <f t="shared" ca="1" si="220"/>
        <v>348.74128566695902</v>
      </c>
      <c r="AC34" s="47">
        <f t="shared" ca="1" si="220"/>
        <v>361.5523416043261</v>
      </c>
      <c r="AD34" s="47">
        <f t="shared" ca="1" si="220"/>
        <v>374.75674379525674</v>
      </c>
      <c r="AE34" s="47">
        <f t="shared" ca="1" si="220"/>
        <v>388.32225994635559</v>
      </c>
      <c r="AF34" s="47">
        <f t="shared" ca="1" si="220"/>
        <v>402.38046835907852</v>
      </c>
      <c r="AG34" s="47">
        <f t="shared" ca="1" si="220"/>
        <v>416.75780619737736</v>
      </c>
      <c r="AH34" s="47">
        <f t="shared" ca="1" si="220"/>
        <v>431.48063030133903</v>
      </c>
      <c r="AI34" s="47">
        <f t="shared" ca="1" si="220"/>
        <v>446.66956296784747</v>
      </c>
      <c r="AJ34" s="47">
        <f t="shared" ca="1" si="220"/>
        <v>462.2906773809932</v>
      </c>
      <c r="AK34" s="47">
        <f t="shared" ca="1" si="220"/>
        <v>478.27092910884193</v>
      </c>
      <c r="AL34" s="47">
        <f t="shared" ca="1" si="220"/>
        <v>494.73996731106007</v>
      </c>
      <c r="AM34" s="47">
        <f t="shared" ca="1" si="220"/>
        <v>511.60140293066263</v>
      </c>
      <c r="AN34" s="47">
        <f t="shared" ca="1" si="220"/>
        <v>528.97611530437928</v>
      </c>
      <c r="AO34" s="47">
        <f t="shared" ca="1" si="220"/>
        <v>546.81146537953896</v>
      </c>
      <c r="AP34" s="47">
        <f t="shared" ca="1" si="220"/>
        <v>565.17544284042197</v>
      </c>
      <c r="AQ34" s="47">
        <f t="shared" ca="1" si="220"/>
        <v>584.06157418645614</v>
      </c>
      <c r="AR34" s="47">
        <f t="shared" ca="1" si="220"/>
        <v>603.53308570710999</v>
      </c>
      <c r="AS34" s="47">
        <f t="shared" ca="1" si="220"/>
        <v>623.60325932368278</v>
      </c>
      <c r="AT34" s="47">
        <f t="shared" ca="1" si="220"/>
        <v>644.32864934564213</v>
      </c>
      <c r="AU34" s="47">
        <f t="shared" ca="1" si="220"/>
        <v>665.70651193681556</v>
      </c>
      <c r="AV34" s="47">
        <f t="shared" ca="1" si="220"/>
        <v>687.7905847600473</v>
      </c>
      <c r="AW34" s="47">
        <f t="shared" ca="1" si="220"/>
        <v>710.60227696213053</v>
      </c>
      <c r="AX34" s="47">
        <f t="shared" ca="1" si="220"/>
        <v>734.15009097610073</v>
      </c>
    </row>
    <row r="35" spans="1:50" x14ac:dyDescent="0.25">
      <c r="A35" s="9" t="s">
        <v>835</v>
      </c>
      <c r="B35" s="9"/>
      <c r="C35" s="13"/>
      <c r="D35" s="42">
        <f t="shared" ref="D35:H35" si="221">SUM(D$192,D$210,D$216,D$225,D$232,D$239)</f>
        <v>111.376</v>
      </c>
      <c r="E35" s="42">
        <f t="shared" si="221"/>
        <v>138.91599999999997</v>
      </c>
      <c r="F35" s="42">
        <f t="shared" si="221"/>
        <v>133.72200000000004</v>
      </c>
      <c r="G35" s="42">
        <f t="shared" si="221"/>
        <v>150.95599999999999</v>
      </c>
      <c r="H35" s="42">
        <f t="shared" si="221"/>
        <v>161.822</v>
      </c>
      <c r="I35" s="42">
        <f>SUM(I$192,I$210,I$216,I$225,I$232,I$239)</f>
        <v>180.06100000000001</v>
      </c>
      <c r="J35" s="43">
        <f t="shared" ref="J35:M35" si="222">SUM(J$192,J$210,J$216,J$225,J$232,J$239)</f>
        <v>184.11200000000002</v>
      </c>
      <c r="K35" s="43">
        <f t="shared" si="222"/>
        <v>191.15800000000002</v>
      </c>
      <c r="L35" s="43">
        <f t="shared" si="222"/>
        <v>195.333</v>
      </c>
      <c r="M35" s="43">
        <f t="shared" si="222"/>
        <v>199.89400000000006</v>
      </c>
      <c r="N35" s="43">
        <f t="shared" ref="N35:AW35" si="223">SUM(N$192,N$210,N$216,N$225,N$232,N$239)</f>
        <v>205.57500000000002</v>
      </c>
      <c r="O35" s="47">
        <f t="shared" ca="1" si="223"/>
        <v>217.10945390083708</v>
      </c>
      <c r="P35" s="47">
        <f t="shared" ca="1" si="223"/>
        <v>228.78744374119154</v>
      </c>
      <c r="Q35" s="47">
        <f t="shared" ca="1" si="223"/>
        <v>240.9991920736928</v>
      </c>
      <c r="R35" s="47">
        <f t="shared" ca="1" si="223"/>
        <v>253.62742214276952</v>
      </c>
      <c r="S35" s="47">
        <f t="shared" ca="1" si="223"/>
        <v>266.55308384710492</v>
      </c>
      <c r="T35" s="47">
        <f t="shared" ca="1" si="223"/>
        <v>279.50638257280406</v>
      </c>
      <c r="U35" s="47">
        <f t="shared" ca="1" si="223"/>
        <v>291.93711366472064</v>
      </c>
      <c r="V35" s="47">
        <f t="shared" ca="1" si="223"/>
        <v>304.74062372355354</v>
      </c>
      <c r="W35" s="47">
        <f t="shared" ca="1" si="223"/>
        <v>317.99901499438528</v>
      </c>
      <c r="X35" s="47">
        <f t="shared" ca="1" si="223"/>
        <v>331.75173602478696</v>
      </c>
      <c r="Y35" s="47">
        <f t="shared" ca="1" si="223"/>
        <v>346.22083523349102</v>
      </c>
      <c r="Z35" s="47">
        <f t="shared" ca="1" si="223"/>
        <v>361.27605198111814</v>
      </c>
      <c r="AA35" s="47">
        <f t="shared" ca="1" si="223"/>
        <v>376.97638297666896</v>
      </c>
      <c r="AB35" s="47">
        <f t="shared" ca="1" si="223"/>
        <v>393.27455254302379</v>
      </c>
      <c r="AC35" s="47">
        <f t="shared" ca="1" si="223"/>
        <v>410.34365702420558</v>
      </c>
      <c r="AD35" s="47">
        <f t="shared" ca="1" si="223"/>
        <v>428.09080472726959</v>
      </c>
      <c r="AE35" s="47">
        <f t="shared" ca="1" si="223"/>
        <v>446.61965037347545</v>
      </c>
      <c r="AF35" s="47">
        <f t="shared" ca="1" si="223"/>
        <v>466.00118888277547</v>
      </c>
      <c r="AG35" s="47">
        <f t="shared" ca="1" si="223"/>
        <v>486.24600757124637</v>
      </c>
      <c r="AH35" s="47">
        <f t="shared" ca="1" si="223"/>
        <v>507.36242110331017</v>
      </c>
      <c r="AI35" s="47">
        <f t="shared" ca="1" si="223"/>
        <v>529.3889762033109</v>
      </c>
      <c r="AJ35" s="47">
        <f t="shared" ca="1" si="223"/>
        <v>552.37835381181355</v>
      </c>
      <c r="AK35" s="47">
        <f t="shared" ca="1" si="223"/>
        <v>576.49744420632817</v>
      </c>
      <c r="AL35" s="47">
        <f t="shared" ca="1" si="223"/>
        <v>601.67741577621803</v>
      </c>
      <c r="AM35" s="47">
        <f t="shared" ca="1" si="223"/>
        <v>627.96686662088405</v>
      </c>
      <c r="AN35" s="47">
        <f t="shared" ca="1" si="223"/>
        <v>655.69480476588785</v>
      </c>
      <c r="AO35" s="47">
        <f t="shared" ca="1" si="223"/>
        <v>684.55736424701558</v>
      </c>
      <c r="AP35" s="47">
        <f t="shared" ca="1" si="223"/>
        <v>714.66246505847755</v>
      </c>
      <c r="AQ35" s="47">
        <f t="shared" ca="1" si="223"/>
        <v>746.09739754735563</v>
      </c>
      <c r="AR35" s="47">
        <f t="shared" ca="1" si="223"/>
        <v>778.76797792195691</v>
      </c>
      <c r="AS35" s="47">
        <f t="shared" ca="1" si="223"/>
        <v>812.86970830698476</v>
      </c>
      <c r="AT35" s="47">
        <f t="shared" ca="1" si="223"/>
        <v>848.38167798960046</v>
      </c>
      <c r="AU35" s="47">
        <f t="shared" ca="1" si="223"/>
        <v>885.41511505704852</v>
      </c>
      <c r="AV35" s="47">
        <f t="shared" ca="1" si="223"/>
        <v>924.12687568085744</v>
      </c>
      <c r="AW35" s="47">
        <f t="shared" ca="1" si="223"/>
        <v>964.48334914349016</v>
      </c>
      <c r="AX35" s="47">
        <f ca="1">SUM(AX$192,AX$210,AX$216,AX$225,AX$232,AX$239)</f>
        <v>1006.8427538798627</v>
      </c>
    </row>
    <row r="36" spans="1:50" x14ac:dyDescent="0.25">
      <c r="A36" s="11" t="s">
        <v>766</v>
      </c>
      <c r="B36" s="9"/>
      <c r="C36" s="13"/>
      <c r="D36" s="35">
        <f t="shared" ref="D36:AX36" si="224">D$338</f>
        <v>-7.1309999999999993</v>
      </c>
      <c r="E36" s="35">
        <f t="shared" si="224"/>
        <v>-8.7219999999999995</v>
      </c>
      <c r="F36" s="35">
        <f t="shared" si="224"/>
        <v>21.023</v>
      </c>
      <c r="G36" s="35">
        <f t="shared" si="224"/>
        <v>-6.7219999999999995</v>
      </c>
      <c r="H36" s="35">
        <f t="shared" si="224"/>
        <v>14.658000000000001</v>
      </c>
      <c r="I36" s="35">
        <f t="shared" si="224"/>
        <v>4.6669999999999998</v>
      </c>
      <c r="J36" s="17">
        <f t="shared" si="224"/>
        <v>9.0810000000000013</v>
      </c>
      <c r="K36" s="17">
        <f t="shared" si="224"/>
        <v>5.6920000000000002</v>
      </c>
      <c r="L36" s="17">
        <f t="shared" si="224"/>
        <v>6.0170000000000003</v>
      </c>
      <c r="M36" s="17">
        <f t="shared" si="224"/>
        <v>6.4740000000000002</v>
      </c>
      <c r="N36" s="17">
        <f t="shared" si="224"/>
        <v>6.9139999999999997</v>
      </c>
      <c r="O36" s="16">
        <f t="shared" ca="1" si="224"/>
        <v>7.2945966247569602</v>
      </c>
      <c r="P36" s="16">
        <f t="shared" ca="1" si="224"/>
        <v>7.7328224626060207</v>
      </c>
      <c r="Q36" s="16">
        <f t="shared" ca="1" si="224"/>
        <v>8.1989564218124364</v>
      </c>
      <c r="R36" s="16">
        <f t="shared" ca="1" si="224"/>
        <v>8.6926429971041674</v>
      </c>
      <c r="S36" s="16">
        <f t="shared" ca="1" si="224"/>
        <v>9.2140787837376834</v>
      </c>
      <c r="T36" s="16">
        <f t="shared" ca="1" si="224"/>
        <v>9.765768780397444</v>
      </c>
      <c r="U36" s="16">
        <f t="shared" ca="1" si="224"/>
        <v>10.349658236358829</v>
      </c>
      <c r="V36" s="16">
        <f t="shared" ca="1" si="224"/>
        <v>10.962450781003122</v>
      </c>
      <c r="W36" s="16">
        <f t="shared" ca="1" si="224"/>
        <v>11.604088056522059</v>
      </c>
      <c r="X36" s="16">
        <f t="shared" ca="1" si="224"/>
        <v>12.2791577435226</v>
      </c>
      <c r="Y36" s="16">
        <f t="shared" ca="1" si="224"/>
        <v>12.994874922223184</v>
      </c>
      <c r="Z36" s="16">
        <f t="shared" ca="1" si="224"/>
        <v>13.759187086496389</v>
      </c>
      <c r="AA36" s="16">
        <f t="shared" ca="1" si="224"/>
        <v>14.578067026248846</v>
      </c>
      <c r="AB36" s="16">
        <f t="shared" ca="1" si="224"/>
        <v>15.4568412439491</v>
      </c>
      <c r="AC36" s="16">
        <f t="shared" ca="1" si="224"/>
        <v>16.399723191425188</v>
      </c>
      <c r="AD36" s="16">
        <f t="shared" ca="1" si="224"/>
        <v>17.360464638636891</v>
      </c>
      <c r="AE36" s="16">
        <f t="shared" ca="1" si="224"/>
        <v>18.380116514380013</v>
      </c>
      <c r="AF36" s="16">
        <f t="shared" ca="1" si="224"/>
        <v>19.460007756672713</v>
      </c>
      <c r="AG36" s="16">
        <f t="shared" ca="1" si="224"/>
        <v>20.598359038803217</v>
      </c>
      <c r="AH36" s="16">
        <f t="shared" ca="1" si="224"/>
        <v>21.793041371741797</v>
      </c>
      <c r="AI36" s="16">
        <f t="shared" ca="1" si="224"/>
        <v>23.04414798814696</v>
      </c>
      <c r="AJ36" s="16">
        <f t="shared" ca="1" si="224"/>
        <v>24.350402110530688</v>
      </c>
      <c r="AK36" s="16">
        <f t="shared" ca="1" si="224"/>
        <v>25.706647151893119</v>
      </c>
      <c r="AL36" s="16">
        <f t="shared" ca="1" si="224"/>
        <v>27.107684126486447</v>
      </c>
      <c r="AM36" s="16">
        <f t="shared" ca="1" si="224"/>
        <v>28.547042796296644</v>
      </c>
      <c r="AN36" s="16">
        <f t="shared" ca="1" si="224"/>
        <v>30.018953217145359</v>
      </c>
      <c r="AO36" s="16">
        <f t="shared" ca="1" si="224"/>
        <v>31.516765596099408</v>
      </c>
      <c r="AP36" s="16">
        <f t="shared" ca="1" si="224"/>
        <v>33.037416260381484</v>
      </c>
      <c r="AQ36" s="16">
        <f t="shared" ca="1" si="224"/>
        <v>34.582969189255714</v>
      </c>
      <c r="AR36" s="16">
        <f t="shared" ca="1" si="224"/>
        <v>36.156692811683733</v>
      </c>
      <c r="AS36" s="16">
        <f t="shared" ca="1" si="224"/>
        <v>37.762892830661578</v>
      </c>
      <c r="AT36" s="16">
        <f t="shared" ca="1" si="224"/>
        <v>39.405062997055005</v>
      </c>
      <c r="AU36" s="16">
        <f t="shared" ca="1" si="224"/>
        <v>41.088751500582369</v>
      </c>
      <c r="AV36" s="16">
        <f t="shared" ca="1" si="224"/>
        <v>42.818531646072913</v>
      </c>
      <c r="AW36" s="16">
        <f t="shared" ca="1" si="224"/>
        <v>44.59972214254055</v>
      </c>
      <c r="AX36" s="16">
        <f t="shared" ca="1" si="224"/>
        <v>46.433344797498101</v>
      </c>
    </row>
    <row r="37" spans="1:50" x14ac:dyDescent="0.25">
      <c r="A37" s="11" t="s">
        <v>469</v>
      </c>
      <c r="B37" s="10"/>
      <c r="C37" s="13"/>
      <c r="D37" s="35">
        <f t="shared" ref="D37:AX37" si="225">D$342</f>
        <v>0.20599999999999999</v>
      </c>
      <c r="E37" s="35">
        <f t="shared" si="225"/>
        <v>1.1930000000000001</v>
      </c>
      <c r="F37" s="35">
        <f t="shared" si="225"/>
        <v>-0.36</v>
      </c>
      <c r="G37" s="35">
        <f t="shared" si="225"/>
        <v>-0.126</v>
      </c>
      <c r="H37" s="35">
        <f t="shared" si="225"/>
        <v>2.9000000000000001E-2</v>
      </c>
      <c r="I37" s="35">
        <f t="shared" si="225"/>
        <v>0.12</v>
      </c>
      <c r="J37" s="17">
        <f t="shared" si="225"/>
        <v>0.192</v>
      </c>
      <c r="K37" s="17">
        <f t="shared" si="225"/>
        <v>7.0999999999999994E-2</v>
      </c>
      <c r="L37" s="17">
        <f t="shared" si="225"/>
        <v>0.114</v>
      </c>
      <c r="M37" s="17">
        <f t="shared" si="225"/>
        <v>0.14799999999999999</v>
      </c>
      <c r="N37" s="17">
        <f t="shared" si="225"/>
        <v>0.21099999999999999</v>
      </c>
      <c r="O37" s="16">
        <f t="shared" ca="1" si="225"/>
        <v>0.22046603525864986</v>
      </c>
      <c r="P37" s="16">
        <f t="shared" ca="1" si="225"/>
        <v>0.23020960487623898</v>
      </c>
      <c r="Q37" s="16">
        <f t="shared" ca="1" si="225"/>
        <v>0.23998562152797234</v>
      </c>
      <c r="R37" s="16">
        <f t="shared" ca="1" si="225"/>
        <v>0.24976100691521591</v>
      </c>
      <c r="S37" s="16">
        <f t="shared" ca="1" si="225"/>
        <v>0.25984897304891447</v>
      </c>
      <c r="T37" s="16">
        <f t="shared" ca="1" si="225"/>
        <v>0.27024460374071457</v>
      </c>
      <c r="U37" s="16">
        <f t="shared" ca="1" si="225"/>
        <v>0.28098975707214824</v>
      </c>
      <c r="V37" s="16">
        <f t="shared" ca="1" si="225"/>
        <v>0.29208743220279187</v>
      </c>
      <c r="W37" s="16">
        <f t="shared" ca="1" si="225"/>
        <v>0.30347978506525303</v>
      </c>
      <c r="X37" s="16">
        <f t="shared" ca="1" si="225"/>
        <v>0.31518527153081971</v>
      </c>
      <c r="Y37" s="16">
        <f t="shared" ca="1" si="225"/>
        <v>0.32726520108222285</v>
      </c>
      <c r="Z37" s="16">
        <f t="shared" ca="1" si="225"/>
        <v>0.33972165594725207</v>
      </c>
      <c r="AA37" s="16">
        <f t="shared" ca="1" si="225"/>
        <v>0.35260558332645087</v>
      </c>
      <c r="AB37" s="16">
        <f t="shared" ca="1" si="225"/>
        <v>0.36590331100902856</v>
      </c>
      <c r="AC37" s="16">
        <f t="shared" ca="1" si="225"/>
        <v>0.37961449700943051</v>
      </c>
      <c r="AD37" s="16">
        <f t="shared" ca="1" si="225"/>
        <v>0.39374896782654201</v>
      </c>
      <c r="AE37" s="16">
        <f t="shared" ca="1" si="225"/>
        <v>0.40830286761343254</v>
      </c>
      <c r="AF37" s="16">
        <f t="shared" ca="1" si="225"/>
        <v>0.42327960966481587</v>
      </c>
      <c r="AG37" s="16">
        <f t="shared" ca="1" si="225"/>
        <v>0.43868080771387552</v>
      </c>
      <c r="AH37" s="16">
        <f t="shared" ca="1" si="225"/>
        <v>0.45449919973861252</v>
      </c>
      <c r="AI37" s="16">
        <f t="shared" ca="1" si="225"/>
        <v>0.47074978332771189</v>
      </c>
      <c r="AJ37" s="16">
        <f t="shared" ca="1" si="225"/>
        <v>0.4874517319904309</v>
      </c>
      <c r="AK37" s="16">
        <f t="shared" ca="1" si="225"/>
        <v>0.5045828742360392</v>
      </c>
      <c r="AL37" s="16">
        <f t="shared" ca="1" si="225"/>
        <v>0.52216671023924199</v>
      </c>
      <c r="AM37" s="16">
        <f t="shared" ca="1" si="225"/>
        <v>0.54022867843601274</v>
      </c>
      <c r="AN37" s="16">
        <f t="shared" ca="1" si="225"/>
        <v>0.55878931704531576</v>
      </c>
      <c r="AO37" s="16">
        <f t="shared" ca="1" si="225"/>
        <v>0.57785634219699489</v>
      </c>
      <c r="AP37" s="16">
        <f t="shared" ca="1" si="225"/>
        <v>0.59748841346714032</v>
      </c>
      <c r="AQ37" s="16">
        <f t="shared" ca="1" si="225"/>
        <v>0.61770471233758961</v>
      </c>
      <c r="AR37" s="16">
        <f t="shared" ca="1" si="225"/>
        <v>0.63855799730068041</v>
      </c>
      <c r="AS37" s="16">
        <f t="shared" ca="1" si="225"/>
        <v>0.6600638631206871</v>
      </c>
      <c r="AT37" s="16">
        <f t="shared" ca="1" si="225"/>
        <v>0.68228923120259544</v>
      </c>
      <c r="AU37" s="16">
        <f t="shared" ca="1" si="225"/>
        <v>0.7052244927583986</v>
      </c>
      <c r="AV37" s="16">
        <f t="shared" ca="1" si="225"/>
        <v>0.72893467110093513</v>
      </c>
      <c r="AW37" s="16">
        <f t="shared" ca="1" si="225"/>
        <v>0.75344066344415461</v>
      </c>
      <c r="AX37" s="16">
        <f t="shared" ca="1" si="225"/>
        <v>0.77873228748496692</v>
      </c>
    </row>
    <row r="38" spans="1:50" x14ac:dyDescent="0.25">
      <c r="A38" s="11" t="s">
        <v>836</v>
      </c>
      <c r="B38" s="10" t="s">
        <v>767</v>
      </c>
      <c r="C38" s="13"/>
      <c r="D38" s="35">
        <f>'Fiscal Forecasts'!D$28</f>
        <v>0.45200000000000001</v>
      </c>
      <c r="E38" s="35">
        <f>'Fiscal Forecasts'!E$28</f>
        <v>-0.40200000000000002</v>
      </c>
      <c r="F38" s="35">
        <f>'Fiscal Forecasts'!F$28</f>
        <v>0.11700000000000001</v>
      </c>
      <c r="G38" s="35">
        <f>'Fiscal Forecasts'!G$28</f>
        <v>0.755</v>
      </c>
      <c r="H38" s="35">
        <f>'Fiscal Forecasts'!H$28</f>
        <v>0.55500000000000005</v>
      </c>
      <c r="I38" s="35">
        <f>'Fiscal Forecasts'!I$28</f>
        <v>0.438</v>
      </c>
      <c r="J38" s="17">
        <f>'Fiscal Forecasts'!J$28</f>
        <v>0.30499999999999999</v>
      </c>
      <c r="K38" s="17">
        <f>'Fiscal Forecasts'!K$28</f>
        <v>0.35299999999999998</v>
      </c>
      <c r="L38" s="17">
        <f>'Fiscal Forecasts'!L$28</f>
        <v>0.48599999999999999</v>
      </c>
      <c r="M38" s="17">
        <f>'Fiscal Forecasts'!M$28</f>
        <v>0.55700000000000005</v>
      </c>
      <c r="N38" s="17">
        <f>'Fiscal Forecasts'!N$28</f>
        <v>0.49</v>
      </c>
      <c r="O38" s="16">
        <f t="shared" ref="O38" ca="1" si="226">N$38*O$59/N$59</f>
        <v>0.51913373274647057</v>
      </c>
      <c r="P38" s="16">
        <f t="shared" ref="P38" ca="1" si="227">O$38*P$59/O$59</f>
        <v>0.5420770204049068</v>
      </c>
      <c r="Q38" s="16">
        <f t="shared" ref="Q38" ca="1" si="228">P$38*Q$59/P$59</f>
        <v>0.56509671144190465</v>
      </c>
      <c r="R38" s="16">
        <f t="shared" ref="R38" ca="1" si="229">Q$38*R$59/Q$59</f>
        <v>0.58811491603365229</v>
      </c>
      <c r="S38" s="16">
        <f t="shared" ref="S38" ca="1" si="230">R$38*S$59/R$59</f>
        <v>0.61186915785445206</v>
      </c>
      <c r="T38" s="16">
        <f t="shared" ref="T38" ca="1" si="231">S$38*T$59/S$59</f>
        <v>0.63634786070297256</v>
      </c>
      <c r="U38" s="16">
        <f t="shared" ref="U38" ca="1" si="232">T$38*U$59/T$59</f>
        <v>0.661649588251781</v>
      </c>
      <c r="V38" s="16">
        <f t="shared" ref="V38" ca="1" si="233">U$38*V$59/U$59</f>
        <v>0.68778140265402998</v>
      </c>
      <c r="W38" s="16">
        <f t="shared" ref="W38" ca="1" si="234">V$38*W$59/V$59</f>
        <v>0.71460709786515841</v>
      </c>
      <c r="X38" s="16">
        <f t="shared" ref="X38" ca="1" si="235">W$38*X$59/W$59</f>
        <v>0.74217013212281058</v>
      </c>
      <c r="Y38" s="16">
        <f t="shared" ref="Y38" ca="1" si="236">X$38*Y$59/X$59</f>
        <v>0.77061487152213382</v>
      </c>
      <c r="Z38" s="16">
        <f t="shared" ref="Z38" ca="1" si="237">Y$38*Z$59/Y$59</f>
        <v>0.79994621910718944</v>
      </c>
      <c r="AA38" s="16">
        <f t="shared" ref="AA38" ca="1" si="238">Z$38*AA$59/Z$59</f>
        <v>0.83028414079635593</v>
      </c>
      <c r="AB38" s="16">
        <f t="shared" ref="AB38" ca="1" si="239">AA$38*AB$59/AA$59</f>
        <v>0.86159644248855871</v>
      </c>
      <c r="AC38" s="16">
        <f t="shared" ref="AC38" ca="1" si="240">AB$38*AC$59/AB$59</f>
        <v>0.89388231890675218</v>
      </c>
      <c r="AD38" s="16">
        <f t="shared" ref="AD38" ca="1" si="241">AC$38*AD$59/AC$59</f>
        <v>0.92716490861302892</v>
      </c>
      <c r="AE38" s="16">
        <f t="shared" ref="AE38" ca="1" si="242">AD$38*AE$59/AD$59</f>
        <v>0.96143513220335453</v>
      </c>
      <c r="AF38" s="16">
        <f t="shared" ref="AF38" ca="1" si="243">AE$38*AF$59/AE$59</f>
        <v>0.99670102699932239</v>
      </c>
      <c r="AG38" s="16">
        <f t="shared" ref="AG38" ca="1" si="244">AF$38*AG$59/AF$59</f>
        <v>1.0329663928757307</v>
      </c>
      <c r="AH38" s="16">
        <f t="shared" ref="AH38" ca="1" si="245">AG$38*AH$59/AG$59</f>
        <v>1.0702141298716565</v>
      </c>
      <c r="AI38" s="16">
        <f t="shared" ref="AI38" ca="1" si="246">AH$38*AI$59/AH$59</f>
        <v>1.108479552969688</v>
      </c>
      <c r="AJ38" s="16">
        <f t="shared" ref="AJ38" ca="1" si="247">AI$38*AJ$59/AI$59</f>
        <v>1.1478078102372757</v>
      </c>
      <c r="AK38" s="16">
        <f t="shared" ref="AK38" ca="1" si="248">AJ$38*AK$59/AJ$59</f>
        <v>1.1881466942279082</v>
      </c>
      <c r="AL38" s="16">
        <f t="shared" ref="AL38" ca="1" si="249">AK$38*AL$59/AK$59</f>
        <v>1.2295515410544733</v>
      </c>
      <c r="AM38" s="16">
        <f t="shared" ref="AM38" ca="1" si="250">AL$38*AM$59/AL$59</f>
        <v>1.2720822508744101</v>
      </c>
      <c r="AN38" s="16">
        <f t="shared" ref="AN38" ca="1" si="251">AM$38*AN$59/AM$59</f>
        <v>1.3157871852517233</v>
      </c>
      <c r="AO38" s="16">
        <f t="shared" ref="AO38" ca="1" si="252">AN$38*AO$59/AN$59</f>
        <v>1.3606845134399383</v>
      </c>
      <c r="AP38" s="16">
        <f t="shared" ref="AP38" ca="1" si="253">AO$38*AP$59/AO$59</f>
        <v>1.4069123617706731</v>
      </c>
      <c r="AQ38" s="16">
        <f t="shared" ref="AQ38" ca="1" si="254">AP$38*AQ$59/AP$59</f>
        <v>1.4545158970845002</v>
      </c>
      <c r="AR38" s="16">
        <f t="shared" ref="AR38" ca="1" si="255">AQ$38*AR$59/AQ$59</f>
        <v>1.5036193503679716</v>
      </c>
      <c r="AS38" s="16">
        <f t="shared" ref="AS38" ca="1" si="256">AR$38*AS$59/AR$59</f>
        <v>1.5542594427794254</v>
      </c>
      <c r="AT38" s="16">
        <f t="shared" ref="AT38" ca="1" si="257">AS$38*AT$59/AS$59</f>
        <v>1.6065937548674032</v>
      </c>
      <c r="AU38" s="16">
        <f t="shared" ref="AU38" ca="1" si="258">AT$38*AU$59/AT$59</f>
        <v>1.660599660715949</v>
      </c>
      <c r="AV38" s="16">
        <f t="shared" ref="AV38" ca="1" si="259">AU$38*AV$59/AU$59</f>
        <v>1.7164302714157105</v>
      </c>
      <c r="AW38" s="16">
        <f t="shared" ref="AW38" ca="1" si="260">AV$38*AW$59/AV$59</f>
        <v>1.774134793860026</v>
      </c>
      <c r="AX38" s="16">
        <f t="shared" ref="AX38" ca="1" si="261">AW$38*AX$59/AW$59</f>
        <v>1.8336892516708336</v>
      </c>
    </row>
    <row r="39" spans="1:50" x14ac:dyDescent="0.25">
      <c r="A39" s="9" t="s">
        <v>756</v>
      </c>
      <c r="B39" s="9"/>
      <c r="C39" s="13"/>
      <c r="D39" s="64">
        <f t="shared" ref="D39:AX39" ca="1" si="262">SUM(D$34,D$36,D$37)-SUM(D$35,D$38)</f>
        <v>0.38899999999999579</v>
      </c>
      <c r="E39" s="64">
        <f t="shared" ca="1" si="262"/>
        <v>-30.039999999999978</v>
      </c>
      <c r="F39" s="64">
        <f t="shared" ca="1" si="262"/>
        <v>16.158999999999963</v>
      </c>
      <c r="G39" s="64">
        <f t="shared" ca="1" si="262"/>
        <v>-16.931999999999988</v>
      </c>
      <c r="H39" s="64">
        <f t="shared" ca="1" si="262"/>
        <v>5.3209999999999695</v>
      </c>
      <c r="I39" s="64">
        <f t="shared" ca="1" si="262"/>
        <v>-8.3650000000000091</v>
      </c>
      <c r="J39" s="65">
        <f t="shared" ca="1" si="262"/>
        <v>-5.4930000000000234</v>
      </c>
      <c r="K39" s="65">
        <f t="shared" ca="1" si="262"/>
        <v>-9.8840000000000146</v>
      </c>
      <c r="L39" s="65">
        <f t="shared" ca="1" si="262"/>
        <v>-5.6650000000000205</v>
      </c>
      <c r="M39" s="65">
        <f t="shared" ca="1" si="262"/>
        <v>-3.9000000000072532E-2</v>
      </c>
      <c r="N39" s="65">
        <f t="shared" ca="1" si="262"/>
        <v>4.0709999999999411</v>
      </c>
      <c r="O39" s="66">
        <f t="shared" ca="1" si="262"/>
        <v>1.4554328406751722</v>
      </c>
      <c r="P39" s="66">
        <f t="shared" ca="1" si="262"/>
        <v>-0.76259537094631469</v>
      </c>
      <c r="Q39" s="66">
        <f t="shared" ca="1" si="262"/>
        <v>-3.1810018177972381</v>
      </c>
      <c r="R39" s="66">
        <f t="shared" ca="1" si="262"/>
        <v>-5.9164220747614422</v>
      </c>
      <c r="S39" s="66">
        <f t="shared" ca="1" si="262"/>
        <v>-8.5780816107197779</v>
      </c>
      <c r="T39" s="66">
        <f t="shared" ca="1" si="262"/>
        <v>-10.940382545511284</v>
      </c>
      <c r="U39" s="66">
        <f t="shared" ca="1" si="262"/>
        <v>-12.375047504974816</v>
      </c>
      <c r="V39" s="66">
        <f t="shared" ca="1" si="262"/>
        <v>-13.985436381947238</v>
      </c>
      <c r="W39" s="66">
        <f t="shared" ca="1" si="262"/>
        <v>-16.003459037138214</v>
      </c>
      <c r="X39" s="66">
        <f t="shared" ca="1" si="262"/>
        <v>-18.263142394653073</v>
      </c>
      <c r="Y39" s="66">
        <f t="shared" ca="1" si="262"/>
        <v>-20.845770263157874</v>
      </c>
      <c r="Z39" s="66">
        <f t="shared" ca="1" si="262"/>
        <v>-23.580619956712724</v>
      </c>
      <c r="AA39" s="66">
        <f t="shared" ca="1" si="262"/>
        <v>-26.504653140934977</v>
      </c>
      <c r="AB39" s="66">
        <f t="shared" ca="1" si="262"/>
        <v>-29.572118763595199</v>
      </c>
      <c r="AC39" s="66">
        <f t="shared" ca="1" si="262"/>
        <v>-32.905860050351635</v>
      </c>
      <c r="AD39" s="66">
        <f t="shared" ca="1" si="262"/>
        <v>-36.50701223416246</v>
      </c>
      <c r="AE39" s="66">
        <f t="shared" ca="1" si="262"/>
        <v>-40.470406177329778</v>
      </c>
      <c r="AF39" s="66">
        <f t="shared" ca="1" si="262"/>
        <v>-44.734134184358766</v>
      </c>
      <c r="AG39" s="66">
        <f t="shared" ca="1" si="262"/>
        <v>-49.48412792022765</v>
      </c>
      <c r="AH39" s="66">
        <f t="shared" ca="1" si="262"/>
        <v>-54.704464360362351</v>
      </c>
      <c r="AI39" s="66">
        <f t="shared" ca="1" si="262"/>
        <v>-60.312995016958439</v>
      </c>
      <c r="AJ39" s="66">
        <f t="shared" ca="1" si="262"/>
        <v>-66.397630398536535</v>
      </c>
      <c r="AK39" s="66">
        <f t="shared" ca="1" si="262"/>
        <v>-73.203431765585037</v>
      </c>
      <c r="AL39" s="66">
        <f t="shared" ca="1" si="262"/>
        <v>-80.537149169486611</v>
      </c>
      <c r="AM39" s="66">
        <f t="shared" ca="1" si="262"/>
        <v>-88.550274466363135</v>
      </c>
      <c r="AN39" s="66">
        <f t="shared" ca="1" si="262"/>
        <v>-97.456734112569507</v>
      </c>
      <c r="AO39" s="66">
        <f t="shared" ca="1" si="262"/>
        <v>-107.01196144262019</v>
      </c>
      <c r="AP39" s="66">
        <f t="shared" ca="1" si="262"/>
        <v>-117.25902990597763</v>
      </c>
      <c r="AQ39" s="66">
        <f t="shared" ca="1" si="262"/>
        <v>-128.28966535639074</v>
      </c>
      <c r="AR39" s="66">
        <f t="shared" ca="1" si="262"/>
        <v>-139.94326075623053</v>
      </c>
      <c r="AS39" s="66">
        <f t="shared" ca="1" si="262"/>
        <v>-152.39775173229907</v>
      </c>
      <c r="AT39" s="66">
        <f t="shared" ca="1" si="262"/>
        <v>-165.57227017056812</v>
      </c>
      <c r="AU39" s="66">
        <f t="shared" ca="1" si="262"/>
        <v>-179.57522678760824</v>
      </c>
      <c r="AV39" s="66">
        <f t="shared" ca="1" si="262"/>
        <v>-194.50525487505206</v>
      </c>
      <c r="AW39" s="66">
        <f t="shared" ca="1" si="262"/>
        <v>-210.30204416923493</v>
      </c>
      <c r="AX39" s="66">
        <f t="shared" ca="1" si="262"/>
        <v>-227.31427507044975</v>
      </c>
    </row>
    <row r="40" spans="1:50" x14ac:dyDescent="0.25">
      <c r="A40" s="11" t="s">
        <v>474</v>
      </c>
      <c r="B40" s="10" t="str">
        <f>$B$38</f>
        <v>From Fiscal Forecasts</v>
      </c>
      <c r="C40" s="13"/>
      <c r="D40" s="35">
        <f>'Fiscal Forecasts'!D$32</f>
        <v>0.115</v>
      </c>
      <c r="E40" s="35">
        <f>'Fiscal Forecasts'!E$32</f>
        <v>-0.54600000000000004</v>
      </c>
      <c r="F40" s="35">
        <f>'Fiscal Forecasts'!F$32</f>
        <v>-5.6000000000000001E-2</v>
      </c>
      <c r="G40" s="35">
        <f>'Fiscal Forecasts'!G$32</f>
        <v>0.39300000000000002</v>
      </c>
      <c r="H40" s="35">
        <f>'Fiscal Forecasts'!H$32</f>
        <v>-0.08</v>
      </c>
      <c r="I40" s="35">
        <f>'Fiscal Forecasts'!I$32</f>
        <v>0.29799999999999999</v>
      </c>
      <c r="J40" s="17">
        <f>'Fiscal Forecasts'!J$32</f>
        <v>2.5999999999999999E-2</v>
      </c>
      <c r="K40" s="17">
        <f>'Fiscal Forecasts'!K$32</f>
        <v>4.4999999999999998E-2</v>
      </c>
      <c r="L40" s="17">
        <f>'Fiscal Forecasts'!L$32</f>
        <v>4.1000000000000002E-2</v>
      </c>
      <c r="M40" s="17">
        <f>'Fiscal Forecasts'!M$32</f>
        <v>4.2000000000000003E-2</v>
      </c>
      <c r="N40" s="17">
        <f>'Fiscal Forecasts'!N$32</f>
        <v>4.3999999999999997E-2</v>
      </c>
      <c r="O40" s="16">
        <f ca="1">IF(O$6=OFFSET(Assumptions!$B$8,0,$C$1),AVERAGE(L$40/L$38,M$40/M$38,N$40/N$38),N$40/N$38)*O$38</f>
        <v>4.3185352257639024E-2</v>
      </c>
      <c r="P40" s="16">
        <f ca="1">IF(P$6=OFFSET(Assumptions!$B$8,0,$C$1),AVERAGE(M$40/M$38,N$40/N$38,O$40/O$38),O$40/O$38)*P$38</f>
        <v>4.5093943237146411E-2</v>
      </c>
      <c r="Q40" s="16">
        <f ca="1">IF(Q$6=OFFSET(Assumptions!$B$8,0,$C$1),AVERAGE(N$40/N$38,O$40/O$38,P$40/P$38),P$40/P$38)*Q$38</f>
        <v>4.7008890010178134E-2</v>
      </c>
      <c r="R40" s="16">
        <f ca="1">IF(R$6=OFFSET(Assumptions!$B$8,0,$C$1),AVERAGE(O$40/O$38,P$40/P$38,Q$40/Q$38),Q$40/Q$38)*R$38</f>
        <v>4.8923713129789374E-2</v>
      </c>
      <c r="S40" s="16">
        <f ca="1">IF(S$6=OFFSET(Assumptions!$B$8,0,$C$1),AVERAGE(P$40/P$38,Q$40/Q$38,R$40/R$38),R$40/R$38)*S$38</f>
        <v>5.089976522568615E-2</v>
      </c>
      <c r="T40" s="16">
        <f ca="1">IF(T$6=OFFSET(Assumptions!$B$8,0,$C$1),AVERAGE(Q$40/Q$38,R$40/R$38,S$40/S$38),S$40/S$38)*T$38</f>
        <v>5.2936083304518634E-2</v>
      </c>
      <c r="U40" s="16">
        <f ca="1">IF(U$6=OFFSET(Assumptions!$B$8,0,$C$1),AVERAGE(R$40/R$38,S$40/S$38,T$40/T$38),T$40/T$38)*U$38</f>
        <v>5.5040866615634593E-2</v>
      </c>
      <c r="V40" s="16">
        <f ca="1">IF(V$6=OFFSET(Assumptions!$B$8,0,$C$1),AVERAGE(S$40/S$38,T$40/T$38,U$40/U$38),U$40/U$38)*V$38</f>
        <v>5.7214702640741244E-2</v>
      </c>
      <c r="W40" s="16">
        <f ca="1">IF(W$6=OFFSET(Assumptions!$B$8,0,$C$1),AVERAGE(T$40/T$38,U$40/U$38,V$40/V$38),V$40/V$38)*W$38</f>
        <v>5.9446260761843742E-2</v>
      </c>
      <c r="X40" s="16">
        <f ca="1">IF(X$6=OFFSET(Assumptions!$B$8,0,$C$1),AVERAGE(U$40/U$38,V$40/V$38,W$40/W$38),W$40/W$38)*X$38</f>
        <v>6.1739156153959203E-2</v>
      </c>
      <c r="Y40" s="16">
        <f ca="1">IF(Y$6=OFFSET(Assumptions!$B$8,0,$C$1),AVERAGE(V$40/V$38,W$40/W$38,X$40/X$38),X$40/X$38)*Y$38</f>
        <v>6.4105398247952403E-2</v>
      </c>
      <c r="Z40" s="16">
        <f ca="1">IF(Z$6=OFFSET(Assumptions!$B$8,0,$C$1),AVERAGE(W$40/W$38,X$40/X$38,Y$40/Y$38),Y$40/Y$38)*Z$38</f>
        <v>6.6545394914997127E-2</v>
      </c>
      <c r="AA40" s="16">
        <f ca="1">IF(AA$6=OFFSET(Assumptions!$B$8,0,$C$1),AVERAGE(X$40/X$38,Y$40/Y$38,Z$40/Z$38),Z$40/Z$38)*AA$38</f>
        <v>6.9069125800254705E-2</v>
      </c>
      <c r="AB40" s="16">
        <f ca="1">IF(AB$6=OFFSET(Assumptions!$B$8,0,$C$1),AVERAGE(Y$40/Y$38,Z$40/Z$38,AA$40/AA$38),AA$40/AA$38)*AB$38</f>
        <v>7.1673912762221653E-2</v>
      </c>
      <c r="AC40" s="16">
        <f ca="1">IF(AC$6=OFFSET(Assumptions!$B$8,0,$C$1),AVERAGE(Z$40/Z$38,AA$40/AA$38,AB$40/AB$38),AB$40/AB$38)*AC$38</f>
        <v>7.4359688812045813E-2</v>
      </c>
      <c r="AD40" s="16">
        <f ca="1">IF(AD$6=OFFSET(Assumptions!$B$8,0,$C$1),AVERAGE(AA$40/AA$38,AB$40/AB$38,AC$40/AC$38),AC$40/AC$38)*AD$38</f>
        <v>7.7128378785066648E-2</v>
      </c>
      <c r="AE40" s="16">
        <f ca="1">IF(AE$6=OFFSET(Assumptions!$B$8,0,$C$1),AVERAGE(AB$40/AB$38,AC$40/AC$38,AD$40/AD$38),AD$40/AD$38)*AE$38</f>
        <v>7.9979227389850027E-2</v>
      </c>
      <c r="AF40" s="16">
        <f ca="1">IF(AF$6=OFFSET(Assumptions!$B$8,0,$C$1),AVERAGE(AC$40/AC$38,AD$40/AD$38,AE$40/AE$38),AE$40/AE$38)*AF$38</f>
        <v>8.2912903229767923E-2</v>
      </c>
      <c r="AG40" s="16">
        <f ca="1">IF(AG$6=OFFSET(Assumptions!$B$8,0,$C$1),AVERAGE(AD$40/AD$38,AE$40/AE$38,AF$40/AF$38),AF$40/AF$38)*AG$38</f>
        <v>8.5929722406281925E-2</v>
      </c>
      <c r="AH40" s="16">
        <f ca="1">IF(AH$6=OFFSET(Assumptions!$B$8,0,$C$1),AVERAGE(AE$40/AE$38,AF$40/AF$38,AG$40/AG$38),AG$40/AG$38)*AH$38</f>
        <v>8.9028262419197104E-2</v>
      </c>
      <c r="AI40" s="16">
        <f ca="1">IF(AI$6=OFFSET(Assumptions!$B$8,0,$C$1),AVERAGE(AF$40/AF$38,AG$40/AG$38,AH$40/AH$38),AH$40/AH$38)*AI$38</f>
        <v>9.2211461027836006E-2</v>
      </c>
      <c r="AJ40" s="16">
        <f ca="1">IF(AJ$6=OFFSET(Assumptions!$B$8,0,$C$1),AVERAGE(AG$40/AG$38,AH$40/AH$38,AI$40/AI$38),AI$40/AI$38)*AJ$38</f>
        <v>9.548307397965565E-2</v>
      </c>
      <c r="AK40" s="16">
        <f ca="1">IF(AK$6=OFFSET(Assumptions!$B$8,0,$C$1),AVERAGE(AH$40/AH$38,AI$40/AI$38,AJ$40/AJ$38),AJ$40/AJ$38)*AK$38</f>
        <v>9.8838758276261096E-2</v>
      </c>
      <c r="AL40" s="16">
        <f ca="1">IF(AL$6=OFFSET(Assumptions!$B$8,0,$C$1),AVERAGE(AI$40/AI$38,AJ$40/AJ$38,AK$40/AK$38),AK$40/AK$38)*AL$38</f>
        <v>0.10228311718146836</v>
      </c>
      <c r="AM40" s="16">
        <f ca="1">IF(AM$6=OFFSET(Assumptions!$B$8,0,$C$1),AVERAGE(AJ$40/AJ$38,AK$40/AK$38,AL$40/AL$38),AL$40/AL$38)*AM$38</f>
        <v>0.10582113362980113</v>
      </c>
      <c r="AN40" s="16">
        <f ca="1">IF(AN$6=OFFSET(Assumptions!$B$8,0,$C$1),AVERAGE(AK$40/AK$38,AL$40/AL$38,AM$40/AM$38),AM$40/AM$38)*AN$38</f>
        <v>0.10945683069093398</v>
      </c>
      <c r="AO40" s="16">
        <f ca="1">IF(AO$6=OFFSET(Assumptions!$B$8,0,$C$1),AVERAGE(AL$40/AL$38,AM$40/AM$38,AN$40/AN$38),AN$40/AN$38)*AO$38</f>
        <v>0.1131917198166649</v>
      </c>
      <c r="AP40" s="16">
        <f ca="1">IF(AP$6=OFFSET(Assumptions!$B$8,0,$C$1),AVERAGE(AM$40/AM$38,AN$40/AN$38,AO$40/AO$38),AO$40/AO$38)*AP$38</f>
        <v>0.11703729136855336</v>
      </c>
      <c r="AQ40" s="16">
        <f ca="1">IF(AQ$6=OFFSET(Assumptions!$B$8,0,$C$1),AVERAGE(AN$40/AN$38,AO$40/AO$38,AP$40/AP$38),AP$40/AP$38)*AQ$38</f>
        <v>0.12099730265574235</v>
      </c>
      <c r="AR40" s="16">
        <f ca="1">IF(AR$6=OFFSET(Assumptions!$B$8,0,$C$1),AVERAGE(AO$40/AO$38,AP$40/AP$38,AQ$40/AQ$38),AQ$40/AQ$38)*AR$38</f>
        <v>0.12508208812305247</v>
      </c>
      <c r="AS40" s="16">
        <f ca="1">IF(AS$6=OFFSET(Assumptions!$B$8,0,$C$1),AVERAGE(AP$40/AP$38,AQ$40/AQ$38,AR$40/AR$38),AR$40/AR$38)*AS$38</f>
        <v>0.12929470250582087</v>
      </c>
      <c r="AT40" s="16">
        <f ca="1">IF(AT$6=OFFSET(Assumptions!$B$8,0,$C$1),AVERAGE(AQ$40/AQ$38,AR$40/AR$38,AS$40/AS$38),AS$40/AS$38)*AT$38</f>
        <v>0.13364825451008697</v>
      </c>
      <c r="AU40" s="16">
        <f ca="1">IF(AU$6=OFFSET(Assumptions!$B$8,0,$C$1),AVERAGE(AR$40/AR$38,AS$40/AS$38,AT$40/AT$38),AT$40/AT$38)*AU$38</f>
        <v>0.13814086194617772</v>
      </c>
      <c r="AV40" s="16">
        <f ca="1">IF(AV$6=OFFSET(Assumptions!$B$8,0,$C$1),AVERAGE(AS$40/AS$38,AT$40/AT$38,AU$40/AU$38),AU$40/AU$38)*AV$38</f>
        <v>0.14278526171783693</v>
      </c>
      <c r="AW40" s="16">
        <f ca="1">IF(AW$6=OFFSET(Assumptions!$B$8,0,$C$1),AVERAGE(AT$40/AT$38,AU$40/AU$38,AV$40/AV$38),AV$40/AV$38)*AW$38</f>
        <v>0.14758554721543454</v>
      </c>
      <c r="AX40" s="16">
        <f ca="1">IF(AX$6=OFFSET(Assumptions!$B$8,0,$C$1),AVERAGE(AU$40/AU$38,AV$40/AV$38,AW$40/AW$38),AW$40/AW$38)*AX$38</f>
        <v>0.15253972390795253</v>
      </c>
    </row>
    <row r="41" spans="1:50" x14ac:dyDescent="0.25">
      <c r="A41" s="9" t="s">
        <v>843</v>
      </c>
      <c r="B41" s="9"/>
      <c r="C41" s="13"/>
      <c r="D41" s="64">
        <f t="shared" ref="D41:AX41" ca="1" si="263">D$34-D$35-(D$38-D$40)</f>
        <v>7.4289999999999914</v>
      </c>
      <c r="E41" s="64">
        <f t="shared" ca="1" si="263"/>
        <v>-23.056999999999967</v>
      </c>
      <c r="F41" s="64">
        <f t="shared" ca="1" si="263"/>
        <v>-4.5600000000000289</v>
      </c>
      <c r="G41" s="64">
        <f t="shared" ca="1" si="263"/>
        <v>-9.6909999999999794</v>
      </c>
      <c r="H41" s="64">
        <f t="shared" ca="1" si="263"/>
        <v>-9.4460000000000068</v>
      </c>
      <c r="I41" s="64">
        <f t="shared" ca="1" si="263"/>
        <v>-12.854000000000028</v>
      </c>
      <c r="J41" s="65">
        <f t="shared" ca="1" si="263"/>
        <v>-14.740000000000013</v>
      </c>
      <c r="K41" s="65">
        <f t="shared" ca="1" si="263"/>
        <v>-15.602000000000011</v>
      </c>
      <c r="L41" s="65">
        <f t="shared" ca="1" si="263"/>
        <v>-11.755000000000031</v>
      </c>
      <c r="M41" s="65">
        <f t="shared" ca="1" si="263"/>
        <v>-6.6190000000000699</v>
      </c>
      <c r="N41" s="65">
        <f t="shared" ca="1" si="263"/>
        <v>-3.01000000000005</v>
      </c>
      <c r="O41" s="66">
        <f t="shared" ca="1" si="263"/>
        <v>-6.016444467082807</v>
      </c>
      <c r="P41" s="66">
        <f t="shared" ca="1" si="263"/>
        <v>-8.6805334951914173</v>
      </c>
      <c r="Q41" s="66">
        <f t="shared" ca="1" si="263"/>
        <v>-11.572934971127472</v>
      </c>
      <c r="R41" s="66">
        <f t="shared" ca="1" si="263"/>
        <v>-14.809902365651039</v>
      </c>
      <c r="S41" s="66">
        <f t="shared" ca="1" si="263"/>
        <v>-18.001109602280668</v>
      </c>
      <c r="T41" s="66">
        <f t="shared" ca="1" si="263"/>
        <v>-20.923459846344883</v>
      </c>
      <c r="U41" s="66">
        <f t="shared" ca="1" si="263"/>
        <v>-22.950654631790112</v>
      </c>
      <c r="V41" s="66">
        <f t="shared" ca="1" si="263"/>
        <v>-25.182759892512379</v>
      </c>
      <c r="W41" s="66">
        <f t="shared" ca="1" si="263"/>
        <v>-27.85158061796368</v>
      </c>
      <c r="X41" s="66">
        <f t="shared" ca="1" si="263"/>
        <v>-30.795746253552554</v>
      </c>
      <c r="Y41" s="66">
        <f t="shared" ca="1" si="263"/>
        <v>-34.103804988215344</v>
      </c>
      <c r="Z41" s="66">
        <f t="shared" ca="1" si="263"/>
        <v>-37.612983304241375</v>
      </c>
      <c r="AA41" s="66">
        <f t="shared" ca="1" si="263"/>
        <v>-41.366256624710012</v>
      </c>
      <c r="AB41" s="66">
        <f t="shared" ca="1" si="263"/>
        <v>-45.323189405791112</v>
      </c>
      <c r="AC41" s="66">
        <f t="shared" ca="1" si="263"/>
        <v>-49.610838049974191</v>
      </c>
      <c r="AD41" s="66">
        <f t="shared" ca="1" si="263"/>
        <v>-54.184097461840807</v>
      </c>
      <c r="AE41" s="66">
        <f t="shared" ca="1" si="263"/>
        <v>-59.178846331933372</v>
      </c>
      <c r="AF41" s="66">
        <f t="shared" ca="1" si="263"/>
        <v>-64.534508647466495</v>
      </c>
      <c r="AG41" s="66">
        <f t="shared" ca="1" si="263"/>
        <v>-70.435238044338448</v>
      </c>
      <c r="AH41" s="66">
        <f t="shared" ca="1" si="263"/>
        <v>-76.862976669423588</v>
      </c>
      <c r="AI41" s="66">
        <f t="shared" ca="1" si="263"/>
        <v>-83.735681327405288</v>
      </c>
      <c r="AJ41" s="66">
        <f t="shared" ca="1" si="263"/>
        <v>-91.140001167077969</v>
      </c>
      <c r="AK41" s="66">
        <f t="shared" ca="1" si="263"/>
        <v>-99.315823033437894</v>
      </c>
      <c r="AL41" s="66">
        <f t="shared" ca="1" si="263"/>
        <v>-108.06471688903096</v>
      </c>
      <c r="AM41" s="66">
        <f t="shared" ca="1" si="263"/>
        <v>-117.53172480746602</v>
      </c>
      <c r="AN41" s="66">
        <f t="shared" ca="1" si="263"/>
        <v>-127.92501981606937</v>
      </c>
      <c r="AO41" s="66">
        <f t="shared" ca="1" si="263"/>
        <v>-138.99339166109991</v>
      </c>
      <c r="AP41" s="66">
        <f t="shared" ca="1" si="263"/>
        <v>-150.77689728845772</v>
      </c>
      <c r="AQ41" s="66">
        <f t="shared" ca="1" si="263"/>
        <v>-163.36934195532825</v>
      </c>
      <c r="AR41" s="66">
        <f t="shared" ca="1" si="263"/>
        <v>-176.61342947709184</v>
      </c>
      <c r="AS41" s="66">
        <f t="shared" ca="1" si="263"/>
        <v>-190.69141372357558</v>
      </c>
      <c r="AT41" s="66">
        <f t="shared" ca="1" si="263"/>
        <v>-205.52597414431565</v>
      </c>
      <c r="AU41" s="66">
        <f t="shared" ca="1" si="263"/>
        <v>-221.23106191900274</v>
      </c>
      <c r="AV41" s="66">
        <f t="shared" ca="1" si="263"/>
        <v>-237.90993593050803</v>
      </c>
      <c r="AW41" s="66">
        <f t="shared" ca="1" si="263"/>
        <v>-255.50762142800423</v>
      </c>
      <c r="AX41" s="66">
        <f t="shared" ca="1" si="263"/>
        <v>-274.37381243152487</v>
      </c>
    </row>
    <row r="42" spans="1:50" x14ac:dyDescent="0.25">
      <c r="A42" s="55" t="s">
        <v>837</v>
      </c>
      <c r="B42" s="10" t="s">
        <v>956</v>
      </c>
      <c r="C42" s="13"/>
      <c r="D42" s="87" t="str">
        <f ca="1">IF(ROUND('Fiscal Forecasts'!D$33-D$41,3)=0,"OK","ERROR")</f>
        <v>OK</v>
      </c>
      <c r="E42" s="87" t="str">
        <f ca="1">IF(ROUND('Fiscal Forecasts'!E$33-E$41,3)=0,"OK","ERROR")</f>
        <v>OK</v>
      </c>
      <c r="F42" s="87" t="str">
        <f ca="1">IF(ROUND('Fiscal Forecasts'!F$33-F$41,3)=0,"OK","ERROR")</f>
        <v>OK</v>
      </c>
      <c r="G42" s="87" t="str">
        <f ca="1">IF(ROUND('Fiscal Forecasts'!G$33-G$41,3)=0,"OK","ERROR")</f>
        <v>OK</v>
      </c>
      <c r="H42" s="87" t="str">
        <f ca="1">IF(ROUND('Fiscal Forecasts'!H$33-H$41,3)=0,"OK","ERROR")</f>
        <v>OK</v>
      </c>
      <c r="I42" s="87" t="str">
        <f ca="1">IF(ROUND('Fiscal Forecasts'!I$33-I$41,3)=0,"OK","ERROR")</f>
        <v>OK</v>
      </c>
      <c r="J42" s="87" t="str">
        <f ca="1">IF(ROUND('Fiscal Forecasts'!J$33-J$41,3)=0,"OK","ERROR")</f>
        <v>OK</v>
      </c>
      <c r="K42" s="87" t="str">
        <f ca="1">IF(ROUND('Fiscal Forecasts'!K$33-K$41,3)=0,"OK","ERROR")</f>
        <v>OK</v>
      </c>
      <c r="L42" s="87" t="str">
        <f ca="1">IF(ROUND('Fiscal Forecasts'!L$33-L$41,3)=0,"OK","ERROR")</f>
        <v>OK</v>
      </c>
      <c r="M42" s="87" t="str">
        <f ca="1">IF(ROUND('Fiscal Forecasts'!M$33-M$41,3)=0,"OK","ERROR")</f>
        <v>OK</v>
      </c>
      <c r="N42" s="87" t="str">
        <f ca="1">IF(ROUND('Fiscal Forecasts'!N$33-N$41,3)=0,"OK","ERROR")</f>
        <v>OK</v>
      </c>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spans="1:50" x14ac:dyDescent="0.25">
      <c r="A43" s="11" t="s">
        <v>1090</v>
      </c>
      <c r="B43" s="10" t="str">
        <f>$B$38</f>
        <v>From Fiscal Forecasts</v>
      </c>
      <c r="C43" s="13"/>
      <c r="D43" s="35">
        <f>'Fiscal Forecasts'!D$35</f>
        <v>5.827</v>
      </c>
      <c r="E43" s="35">
        <f>'Fiscal Forecasts'!E$35</f>
        <v>5.73</v>
      </c>
      <c r="F43" s="35">
        <f>'Fiscal Forecasts'!F$35</f>
        <v>6.1950000000000003</v>
      </c>
      <c r="G43" s="35">
        <f>'Fiscal Forecasts'!G$35</f>
        <v>6.625</v>
      </c>
      <c r="H43" s="35">
        <f>'Fiscal Forecasts'!H$35</f>
        <v>7.39</v>
      </c>
      <c r="I43" s="35">
        <f>'Fiscal Forecasts'!I$35</f>
        <v>7.9290000000000003</v>
      </c>
      <c r="J43" s="17">
        <f>'Fiscal Forecasts'!J$35</f>
        <v>8.5640000000000001</v>
      </c>
      <c r="K43" s="17">
        <f>'Fiscal Forecasts'!K$35</f>
        <v>9.0779999999999994</v>
      </c>
      <c r="L43" s="17">
        <f>'Fiscal Forecasts'!L$35</f>
        <v>9.76</v>
      </c>
      <c r="M43" s="17">
        <f>'Fiscal Forecasts'!M$35</f>
        <v>10.48</v>
      </c>
      <c r="N43" s="17">
        <f>'Fiscal Forecasts'!N$35</f>
        <v>11.268000000000001</v>
      </c>
      <c r="O43" s="16">
        <f>O$146+(N$43-N$146)*(1+Exogenous!Z$29/Exogenous!Y$30)</f>
        <v>12.079439766907566</v>
      </c>
      <c r="P43" s="16">
        <f>P$146+(O$43-O$146)*(1+Exogenous!AA$29/Exogenous!Z$30)</f>
        <v>12.946989239229504</v>
      </c>
      <c r="Q43" s="16">
        <f>Q$146+(P$43-P$146)*(1+Exogenous!AB$29/Exogenous!AA$30)</f>
        <v>13.922100932853603</v>
      </c>
      <c r="R43" s="16">
        <f>R$146+(Q$43-Q$146)*(1+Exogenous!AC$29/Exogenous!AB$30)</f>
        <v>14.959085505266426</v>
      </c>
      <c r="S43" s="16">
        <f>S$146+(R$43-R$146)*(1+Exogenous!AD$29/Exogenous!AC$30)</f>
        <v>16.086716885741083</v>
      </c>
      <c r="T43" s="16">
        <f>T$146+(S$43-S$146)*(1+Exogenous!AE$29/Exogenous!AD$30)</f>
        <v>17.277595530225824</v>
      </c>
      <c r="U43" s="16">
        <f>U$146+(T$43-T$146)*(1+Exogenous!AF$29/Exogenous!AE$30)</f>
        <v>18.56750333007993</v>
      </c>
      <c r="V43" s="16">
        <f>V$146+(U$43-U$146)*(1+Exogenous!AG$29/Exogenous!AF$30)</f>
        <v>19.751970130083862</v>
      </c>
      <c r="W43" s="16">
        <f>W$146+(V$43-V$146)*(1+Exogenous!AH$29/Exogenous!AG$30)</f>
        <v>20.736391036530534</v>
      </c>
      <c r="X43" s="16">
        <f>X$146+(W$43-W$146)*(1+Exogenous!AI$29/Exogenous!AH$30)</f>
        <v>21.688573679744984</v>
      </c>
      <c r="Y43" s="16">
        <f>Y$146+(X$43-X$146)*(1+Exogenous!AJ$29/Exogenous!AI$30)</f>
        <v>22.685507127521205</v>
      </c>
      <c r="Z43" s="16">
        <f>Z$146+(Y$43-Y$146)*(1+Exogenous!AK$29/Exogenous!AJ$30)</f>
        <v>23.761701553250138</v>
      </c>
      <c r="AA43" s="16">
        <f>AA$146+(Z$43-Z$146)*(1+Exogenous!AL$29/Exogenous!AK$30)</f>
        <v>24.890940159424829</v>
      </c>
      <c r="AB43" s="16">
        <f>AB$146+(AA$43-AA$146)*(1+Exogenous!AM$29/Exogenous!AL$30)</f>
        <v>26.078044952016761</v>
      </c>
      <c r="AC43" s="16">
        <f>AC$146+(AB$43-AB$146)*(1+Exogenous!AN$29/Exogenous!AM$30)</f>
        <v>27.369343918133644</v>
      </c>
      <c r="AD43" s="16">
        <f>AD$146+(AC$43-AC$146)*(1+Exogenous!AO$29/Exogenous!AN$30)</f>
        <v>28.728204622467473</v>
      </c>
      <c r="AE43" s="16">
        <f>AE$146+(AD$43-AD$146)*(1+Exogenous!AP$29/Exogenous!AO$30)</f>
        <v>30.112046896866339</v>
      </c>
      <c r="AF43" s="16">
        <f>AF$146+(AE$43-AE$146)*(1+Exogenous!AQ$29/Exogenous!AP$30)</f>
        <v>31.651933929967591</v>
      </c>
      <c r="AG43" s="16">
        <f>AG$146+(AF$43-AF$146)*(1+Exogenous!AR$29/Exogenous!AQ$30)</f>
        <v>33.174480670850407</v>
      </c>
      <c r="AH43" s="16">
        <f>AH$146+(AG$43-AG$146)*(1+Exogenous!AS$29/Exogenous!AR$30)</f>
        <v>34.714583525770976</v>
      </c>
      <c r="AI43" s="16">
        <f>AI$146+(AH$43-AH$146)*(1+Exogenous!AT$29/Exogenous!AS$30)</f>
        <v>36.381549240582984</v>
      </c>
      <c r="AJ43" s="16">
        <f>AJ$146+(AI$43-AI$146)*(1+Exogenous!AU$29/Exogenous!AT$30)</f>
        <v>38.129632070451116</v>
      </c>
      <c r="AK43" s="16">
        <f>AK$146+(AJ$43-AJ$146)*(1+Exogenous!AV$29/Exogenous!AU$30)</f>
        <v>39.905965242124175</v>
      </c>
      <c r="AL43" s="16">
        <f>AL$146+(AK$43-AK$146)*(1+Exogenous!AW$29/Exogenous!AV$30)</f>
        <v>41.826960082497692</v>
      </c>
      <c r="AM43" s="16">
        <f>AM$146+(AL$43-AL$146)*(1+Exogenous!AX$29/Exogenous!AW$30)</f>
        <v>43.781032093652328</v>
      </c>
      <c r="AN43" s="16">
        <f>AN$146+(AM$43-AM$146)*(1+Exogenous!AY$29/Exogenous!AX$30)</f>
        <v>45.892931906377981</v>
      </c>
      <c r="AO43" s="16">
        <f>AO$146+(AN$43-AN$146)*(1+Exogenous!AZ$29/Exogenous!AY$30)</f>
        <v>48.108797287335335</v>
      </c>
      <c r="AP43" s="16">
        <f>AP$146+(AO$43-AO$146)*(1+Exogenous!BA$29/Exogenous!AZ$30)</f>
        <v>50.43402269946035</v>
      </c>
      <c r="AQ43" s="16">
        <f>AQ$146+(AP$43-AP$146)*(1+Exogenous!BB$29/Exogenous!BA$30)</f>
        <v>52.858981176215963</v>
      </c>
      <c r="AR43" s="16">
        <f>AR$146+(AQ$43-AQ$146)*(1+Exogenous!BC$29/Exogenous!BB$30)</f>
        <v>55.404484218549349</v>
      </c>
      <c r="AS43" s="16">
        <f>AS$146+(AR$43-AR$146)*(1+Exogenous!BD$29/Exogenous!BC$30)</f>
        <v>58.076724009269981</v>
      </c>
      <c r="AT43" s="16">
        <f>AT$146+(AS$43-AS$146)*(1+Exogenous!BE$29/Exogenous!BD$30)</f>
        <v>60.882220691378215</v>
      </c>
      <c r="AU43" s="16">
        <f>AU$146+(AT$43-AT$146)*(1+Exogenous!BF$29/Exogenous!BE$30)</f>
        <v>63.827840215817155</v>
      </c>
      <c r="AV43" s="16">
        <f>AV$146+(AU$43-AU$146)*(1+Exogenous!BG$29/Exogenous!BF$30)</f>
        <v>66.920813183265693</v>
      </c>
      <c r="AW43" s="16">
        <f>AW$146+(AV$43-AV$146)*(1+Exogenous!BH$29/Exogenous!BG$30)</f>
        <v>70.168754736411984</v>
      </c>
      <c r="AX43" s="16">
        <f>AX$146+(AW$43-AW$146)*(1+Exogenous!BI$29/Exogenous!BH$30)</f>
        <v>73.579685562402034</v>
      </c>
    </row>
    <row r="44" spans="1:50" x14ac:dyDescent="0.25">
      <c r="A44" s="11" t="s">
        <v>1091</v>
      </c>
      <c r="B44" s="10" t="str">
        <f>$B$38</f>
        <v>From Fiscal Forecasts</v>
      </c>
      <c r="C44" s="13"/>
      <c r="D44" s="35">
        <f>'Fiscal Forecasts'!D$36</f>
        <v>6.9020000000000001</v>
      </c>
      <c r="E44" s="35">
        <f>'Fiscal Forecasts'!E$36</f>
        <v>7.8849999999999998</v>
      </c>
      <c r="F44" s="35">
        <f>'Fiscal Forecasts'!F$36</f>
        <v>8.1959999999999997</v>
      </c>
      <c r="G44" s="35">
        <f>'Fiscal Forecasts'!G$36</f>
        <v>7.6520000000000001</v>
      </c>
      <c r="H44" s="35">
        <f>'Fiscal Forecasts'!H$36</f>
        <v>9.6370000000000005</v>
      </c>
      <c r="I44" s="35">
        <f>'Fiscal Forecasts'!I$36</f>
        <v>12.01</v>
      </c>
      <c r="J44" s="17">
        <f>'Fiscal Forecasts'!J$36</f>
        <v>13.129</v>
      </c>
      <c r="K44" s="17">
        <f>'Fiscal Forecasts'!K$36</f>
        <v>12.605</v>
      </c>
      <c r="L44" s="17">
        <f>'Fiscal Forecasts'!L$36</f>
        <v>13.37</v>
      </c>
      <c r="M44" s="17">
        <f>'Fiscal Forecasts'!M$36</f>
        <v>14.006</v>
      </c>
      <c r="N44" s="17">
        <f>'Fiscal Forecasts'!N$36</f>
        <v>14.492000000000001</v>
      </c>
      <c r="O44" s="16">
        <f t="shared" ref="O44:AX44" ca="1" si="264">O$240+(N$44-N$240)*(1+O$19)*(1+O$29)</f>
        <v>15.269409280119877</v>
      </c>
      <c r="P44" s="16">
        <f t="shared" ca="1" si="264"/>
        <v>16.088049703340733</v>
      </c>
      <c r="Q44" s="16">
        <f t="shared" ca="1" si="264"/>
        <v>16.925898251026783</v>
      </c>
      <c r="R44" s="16">
        <f t="shared" ca="1" si="264"/>
        <v>17.767758095270551</v>
      </c>
      <c r="S44" s="16">
        <f t="shared" ca="1" si="264"/>
        <v>18.623092093971398</v>
      </c>
      <c r="T44" s="16">
        <f t="shared" ca="1" si="264"/>
        <v>19.465050328061832</v>
      </c>
      <c r="U44" s="16">
        <f t="shared" ca="1" si="264"/>
        <v>20.357818986370631</v>
      </c>
      <c r="V44" s="16">
        <f t="shared" ca="1" si="264"/>
        <v>21.258740454790772</v>
      </c>
      <c r="W44" s="16">
        <f t="shared" ca="1" si="264"/>
        <v>22.187825222468966</v>
      </c>
      <c r="X44" s="16">
        <f t="shared" ca="1" si="264"/>
        <v>23.15777133528276</v>
      </c>
      <c r="Y44" s="16">
        <f t="shared" ca="1" si="264"/>
        <v>24.131255511725684</v>
      </c>
      <c r="Z44" s="16">
        <f t="shared" ca="1" si="264"/>
        <v>25.153329968463368</v>
      </c>
      <c r="AA44" s="16">
        <f t="shared" ca="1" si="264"/>
        <v>26.20263630901777</v>
      </c>
      <c r="AB44" s="16">
        <f t="shared" ca="1" si="264"/>
        <v>27.278776742302924</v>
      </c>
      <c r="AC44" s="16">
        <f t="shared" ca="1" si="264"/>
        <v>28.426494341519756</v>
      </c>
      <c r="AD44" s="16">
        <f t="shared" ca="1" si="264"/>
        <v>29.565463705906481</v>
      </c>
      <c r="AE44" s="16">
        <f t="shared" ca="1" si="264"/>
        <v>30.750513203941892</v>
      </c>
      <c r="AF44" s="16">
        <f t="shared" ca="1" si="264"/>
        <v>32.00629425193523</v>
      </c>
      <c r="AG44" s="16">
        <f t="shared" ca="1" si="264"/>
        <v>33.276796270590069</v>
      </c>
      <c r="AH44" s="16">
        <f t="shared" ca="1" si="264"/>
        <v>34.601919743488367</v>
      </c>
      <c r="AI44" s="16">
        <f t="shared" ca="1" si="264"/>
        <v>35.961154519882001</v>
      </c>
      <c r="AJ44" s="16">
        <f t="shared" ca="1" si="264"/>
        <v>37.365813661596761</v>
      </c>
      <c r="AK44" s="16">
        <f t="shared" ca="1" si="264"/>
        <v>38.83618474399492</v>
      </c>
      <c r="AL44" s="16">
        <f t="shared" ca="1" si="264"/>
        <v>40.343495749389355</v>
      </c>
      <c r="AM44" s="16">
        <f t="shared" ca="1" si="264"/>
        <v>41.895867567487286</v>
      </c>
      <c r="AN44" s="16">
        <f t="shared" ca="1" si="264"/>
        <v>43.528326603973646</v>
      </c>
      <c r="AO44" s="16">
        <f t="shared" ca="1" si="264"/>
        <v>45.175876728970934</v>
      </c>
      <c r="AP44" s="16">
        <f t="shared" ca="1" si="264"/>
        <v>46.91063689186398</v>
      </c>
      <c r="AQ44" s="16">
        <f t="shared" ca="1" si="264"/>
        <v>48.742804031670829</v>
      </c>
      <c r="AR44" s="16">
        <f t="shared" ca="1" si="264"/>
        <v>50.647601174450884</v>
      </c>
      <c r="AS44" s="16">
        <f t="shared" ca="1" si="264"/>
        <v>52.627432897376401</v>
      </c>
      <c r="AT44" s="16">
        <f t="shared" ca="1" si="264"/>
        <v>54.685293440571954</v>
      </c>
      <c r="AU44" s="16">
        <f t="shared" ca="1" si="264"/>
        <v>56.824540133657095</v>
      </c>
      <c r="AV44" s="16">
        <f t="shared" ca="1" si="264"/>
        <v>59.047972894965419</v>
      </c>
      <c r="AW44" s="16">
        <f t="shared" ca="1" si="264"/>
        <v>61.359150029125104</v>
      </c>
      <c r="AX44" s="16">
        <f t="shared" ca="1" si="264"/>
        <v>63.761239997014208</v>
      </c>
    </row>
    <row r="45" spans="1:50" x14ac:dyDescent="0.25">
      <c r="A45" s="9" t="s">
        <v>1092</v>
      </c>
      <c r="B45" s="10"/>
      <c r="C45" s="13"/>
      <c r="D45" s="64">
        <f t="shared" ref="D45:AX45" ca="1" si="265">D$41-(D$43-D$44)</f>
        <v>8.5039999999999907</v>
      </c>
      <c r="E45" s="64">
        <f t="shared" ca="1" si="265"/>
        <v>-20.901999999999965</v>
      </c>
      <c r="F45" s="64">
        <f t="shared" ca="1" si="265"/>
        <v>-2.5590000000000295</v>
      </c>
      <c r="G45" s="64">
        <f t="shared" ca="1" si="265"/>
        <v>-8.6639999999999802</v>
      </c>
      <c r="H45" s="64">
        <f t="shared" ca="1" si="265"/>
        <v>-7.1990000000000061</v>
      </c>
      <c r="I45" s="64">
        <f t="shared" ca="1" si="265"/>
        <v>-8.7730000000000281</v>
      </c>
      <c r="J45" s="65">
        <f t="shared" ca="1" si="265"/>
        <v>-10.175000000000013</v>
      </c>
      <c r="K45" s="65">
        <f t="shared" ca="1" si="265"/>
        <v>-12.07500000000001</v>
      </c>
      <c r="L45" s="65">
        <f t="shared" ca="1" si="265"/>
        <v>-8.1450000000000315</v>
      </c>
      <c r="M45" s="65">
        <f t="shared" ca="1" si="265"/>
        <v>-3.0930000000000701</v>
      </c>
      <c r="N45" s="65">
        <f t="shared" ca="1" si="265"/>
        <v>0.21399999999995023</v>
      </c>
      <c r="O45" s="66">
        <f t="shared" ca="1" si="265"/>
        <v>-2.8264749538704956</v>
      </c>
      <c r="P45" s="66">
        <f t="shared" ca="1" si="265"/>
        <v>-5.5394730310801883</v>
      </c>
      <c r="Q45" s="66">
        <f t="shared" ca="1" si="265"/>
        <v>-8.5691376529542911</v>
      </c>
      <c r="R45" s="66">
        <f t="shared" ca="1" si="265"/>
        <v>-12.001229775646914</v>
      </c>
      <c r="S45" s="66">
        <f t="shared" ca="1" si="265"/>
        <v>-15.464734394050353</v>
      </c>
      <c r="T45" s="66">
        <f t="shared" ca="1" si="265"/>
        <v>-18.736005048508876</v>
      </c>
      <c r="U45" s="66">
        <f t="shared" ca="1" si="265"/>
        <v>-21.16033897549941</v>
      </c>
      <c r="V45" s="66">
        <f t="shared" ca="1" si="265"/>
        <v>-23.67598956780547</v>
      </c>
      <c r="W45" s="66">
        <f t="shared" ca="1" si="265"/>
        <v>-26.400146432025249</v>
      </c>
      <c r="X45" s="66">
        <f t="shared" ca="1" si="265"/>
        <v>-29.326548598014778</v>
      </c>
      <c r="Y45" s="66">
        <f t="shared" ca="1" si="265"/>
        <v>-32.658056604010866</v>
      </c>
      <c r="Z45" s="66">
        <f t="shared" ca="1" si="265"/>
        <v>-36.221354889028149</v>
      </c>
      <c r="AA45" s="66">
        <f t="shared" ca="1" si="265"/>
        <v>-40.054560475117071</v>
      </c>
      <c r="AB45" s="66">
        <f t="shared" ca="1" si="265"/>
        <v>-44.122457615504949</v>
      </c>
      <c r="AC45" s="66">
        <f t="shared" ca="1" si="265"/>
        <v>-48.553687626588079</v>
      </c>
      <c r="AD45" s="66">
        <f t="shared" ca="1" si="265"/>
        <v>-53.346838378401799</v>
      </c>
      <c r="AE45" s="66">
        <f t="shared" ca="1" si="265"/>
        <v>-58.540380024857818</v>
      </c>
      <c r="AF45" s="66">
        <f t="shared" ca="1" si="265"/>
        <v>-64.180148325498863</v>
      </c>
      <c r="AG45" s="66">
        <f t="shared" ca="1" si="265"/>
        <v>-70.332922444598779</v>
      </c>
      <c r="AH45" s="66">
        <f t="shared" ca="1" si="265"/>
        <v>-76.975640451706198</v>
      </c>
      <c r="AI45" s="66">
        <f t="shared" ca="1" si="265"/>
        <v>-84.156076048106272</v>
      </c>
      <c r="AJ45" s="66">
        <f t="shared" ca="1" si="265"/>
        <v>-91.903819575932317</v>
      </c>
      <c r="AK45" s="66">
        <f t="shared" ca="1" si="265"/>
        <v>-100.38560353156714</v>
      </c>
      <c r="AL45" s="66">
        <f t="shared" ca="1" si="265"/>
        <v>-109.54818122213931</v>
      </c>
      <c r="AM45" s="66">
        <f t="shared" ca="1" si="265"/>
        <v>-119.41688933363106</v>
      </c>
      <c r="AN45" s="66">
        <f t="shared" ca="1" si="265"/>
        <v>-130.28962511847371</v>
      </c>
      <c r="AO45" s="66">
        <f t="shared" ca="1" si="265"/>
        <v>-141.92631221946431</v>
      </c>
      <c r="AP45" s="66">
        <f t="shared" ca="1" si="265"/>
        <v>-154.3002830960541</v>
      </c>
      <c r="AQ45" s="66">
        <f t="shared" ca="1" si="265"/>
        <v>-167.48551909987339</v>
      </c>
      <c r="AR45" s="66">
        <f t="shared" ca="1" si="265"/>
        <v>-181.3703125211903</v>
      </c>
      <c r="AS45" s="66">
        <f t="shared" ca="1" si="265"/>
        <v>-196.14070483546917</v>
      </c>
      <c r="AT45" s="66">
        <f t="shared" ca="1" si="265"/>
        <v>-211.72290139512191</v>
      </c>
      <c r="AU45" s="66">
        <f t="shared" ca="1" si="265"/>
        <v>-228.23436200116279</v>
      </c>
      <c r="AV45" s="66">
        <f t="shared" ca="1" si="265"/>
        <v>-245.78277621880829</v>
      </c>
      <c r="AW45" s="66">
        <f t="shared" ca="1" si="265"/>
        <v>-264.31722613529109</v>
      </c>
      <c r="AX45" s="66">
        <f t="shared" ca="1" si="265"/>
        <v>-284.1922579969127</v>
      </c>
    </row>
    <row r="46" spans="1:50" x14ac:dyDescent="0.25">
      <c r="A46" s="55" t="s">
        <v>838</v>
      </c>
      <c r="B46" s="9"/>
      <c r="C46" s="13"/>
      <c r="D46" s="87" t="str">
        <f t="shared" ref="D46:AX46" si="266">IF(ROUND(D$35-SUM(D$198,D$232,D$245,D$256,D$269,D$277,D$281,D$288,D$295,D$299,D$303,D$307,D$311,D$317,D$321),3)=0,"OK","ERROR")</f>
        <v>OK</v>
      </c>
      <c r="E46" s="87" t="str">
        <f t="shared" si="266"/>
        <v>OK</v>
      </c>
      <c r="F46" s="87" t="str">
        <f t="shared" si="266"/>
        <v>OK</v>
      </c>
      <c r="G46" s="87" t="str">
        <f t="shared" si="266"/>
        <v>OK</v>
      </c>
      <c r="H46" s="87" t="str">
        <f t="shared" si="266"/>
        <v>OK</v>
      </c>
      <c r="I46" s="87" t="str">
        <f t="shared" si="266"/>
        <v>OK</v>
      </c>
      <c r="J46" s="87" t="str">
        <f t="shared" si="266"/>
        <v>OK</v>
      </c>
      <c r="K46" s="87" t="str">
        <f t="shared" si="266"/>
        <v>OK</v>
      </c>
      <c r="L46" s="87" t="str">
        <f t="shared" si="266"/>
        <v>OK</v>
      </c>
      <c r="M46" s="87" t="str">
        <f t="shared" si="266"/>
        <v>OK</v>
      </c>
      <c r="N46" s="87" t="str">
        <f t="shared" si="266"/>
        <v>OK</v>
      </c>
      <c r="O46" s="87" t="str">
        <f t="shared" ca="1" si="266"/>
        <v>OK</v>
      </c>
      <c r="P46" s="87" t="str">
        <f t="shared" ca="1" si="266"/>
        <v>OK</v>
      </c>
      <c r="Q46" s="87" t="str">
        <f t="shared" ca="1" si="266"/>
        <v>OK</v>
      </c>
      <c r="R46" s="87" t="str">
        <f t="shared" ca="1" si="266"/>
        <v>OK</v>
      </c>
      <c r="S46" s="87" t="str">
        <f t="shared" ca="1" si="266"/>
        <v>OK</v>
      </c>
      <c r="T46" s="87" t="str">
        <f t="shared" ca="1" si="266"/>
        <v>OK</v>
      </c>
      <c r="U46" s="87" t="str">
        <f t="shared" ca="1" si="266"/>
        <v>OK</v>
      </c>
      <c r="V46" s="87" t="str">
        <f t="shared" ca="1" si="266"/>
        <v>OK</v>
      </c>
      <c r="W46" s="87" t="str">
        <f t="shared" ca="1" si="266"/>
        <v>OK</v>
      </c>
      <c r="X46" s="87" t="str">
        <f t="shared" ca="1" si="266"/>
        <v>OK</v>
      </c>
      <c r="Y46" s="87" t="str">
        <f t="shared" ca="1" si="266"/>
        <v>OK</v>
      </c>
      <c r="Z46" s="87" t="str">
        <f t="shared" ca="1" si="266"/>
        <v>OK</v>
      </c>
      <c r="AA46" s="87" t="str">
        <f t="shared" ca="1" si="266"/>
        <v>OK</v>
      </c>
      <c r="AB46" s="87" t="str">
        <f t="shared" ca="1" si="266"/>
        <v>OK</v>
      </c>
      <c r="AC46" s="87" t="str">
        <f t="shared" ca="1" si="266"/>
        <v>OK</v>
      </c>
      <c r="AD46" s="87" t="str">
        <f t="shared" ca="1" si="266"/>
        <v>OK</v>
      </c>
      <c r="AE46" s="87" t="str">
        <f t="shared" ca="1" si="266"/>
        <v>OK</v>
      </c>
      <c r="AF46" s="87" t="str">
        <f t="shared" ca="1" si="266"/>
        <v>OK</v>
      </c>
      <c r="AG46" s="87" t="str">
        <f t="shared" ca="1" si="266"/>
        <v>OK</v>
      </c>
      <c r="AH46" s="87" t="str">
        <f t="shared" ca="1" si="266"/>
        <v>OK</v>
      </c>
      <c r="AI46" s="87" t="str">
        <f t="shared" ca="1" si="266"/>
        <v>OK</v>
      </c>
      <c r="AJ46" s="87" t="str">
        <f t="shared" ca="1" si="266"/>
        <v>OK</v>
      </c>
      <c r="AK46" s="87" t="str">
        <f t="shared" ca="1" si="266"/>
        <v>OK</v>
      </c>
      <c r="AL46" s="87" t="str">
        <f t="shared" ca="1" si="266"/>
        <v>OK</v>
      </c>
      <c r="AM46" s="87" t="str">
        <f t="shared" ca="1" si="266"/>
        <v>OK</v>
      </c>
      <c r="AN46" s="87" t="str">
        <f t="shared" ca="1" si="266"/>
        <v>OK</v>
      </c>
      <c r="AO46" s="87" t="str">
        <f t="shared" ca="1" si="266"/>
        <v>OK</v>
      </c>
      <c r="AP46" s="87" t="str">
        <f t="shared" ca="1" si="266"/>
        <v>OK</v>
      </c>
      <c r="AQ46" s="87" t="str">
        <f t="shared" ca="1" si="266"/>
        <v>OK</v>
      </c>
      <c r="AR46" s="87" t="str">
        <f t="shared" ca="1" si="266"/>
        <v>OK</v>
      </c>
      <c r="AS46" s="87" t="str">
        <f t="shared" ca="1" si="266"/>
        <v>OK</v>
      </c>
      <c r="AT46" s="87" t="str">
        <f t="shared" ca="1" si="266"/>
        <v>OK</v>
      </c>
      <c r="AU46" s="87" t="str">
        <f t="shared" ca="1" si="266"/>
        <v>OK</v>
      </c>
      <c r="AV46" s="87" t="str">
        <f t="shared" ca="1" si="266"/>
        <v>OK</v>
      </c>
      <c r="AW46" s="87" t="str">
        <f t="shared" ca="1" si="266"/>
        <v>OK</v>
      </c>
      <c r="AX46" s="87" t="str">
        <f t="shared" ca="1" si="266"/>
        <v>OK</v>
      </c>
    </row>
    <row r="47" spans="1:50" x14ac:dyDescent="0.25">
      <c r="A47" s="9" t="s">
        <v>839</v>
      </c>
      <c r="B47" s="9"/>
      <c r="C47" s="13"/>
      <c r="D47" s="42">
        <f t="shared" ref="D47:AX47" ca="1" si="267">SUM(D$140,D$145,D$152,D$159,D$168,D$176)</f>
        <v>93.474000000000004</v>
      </c>
      <c r="E47" s="42">
        <f t="shared" ca="1" si="267"/>
        <v>91.923000000000002</v>
      </c>
      <c r="F47" s="42">
        <f t="shared" ca="1" si="267"/>
        <v>104.968</v>
      </c>
      <c r="G47" s="42">
        <f t="shared" ca="1" si="267"/>
        <v>117.515</v>
      </c>
      <c r="H47" s="42">
        <f t="shared" ca="1" si="267"/>
        <v>123.398</v>
      </c>
      <c r="I47" s="42">
        <f t="shared" ca="1" si="267"/>
        <v>133.22</v>
      </c>
      <c r="J47" s="43">
        <f t="shared" ca="1" si="267"/>
        <v>134.18799999999999</v>
      </c>
      <c r="K47" s="43">
        <f t="shared" ca="1" si="267"/>
        <v>139.726</v>
      </c>
      <c r="L47" s="43">
        <f t="shared" ca="1" si="267"/>
        <v>146.42300000000003</v>
      </c>
      <c r="M47" s="43">
        <f t="shared" ca="1" si="267"/>
        <v>154.37099999999998</v>
      </c>
      <c r="N47" s="43">
        <f t="shared" ca="1" si="267"/>
        <v>162.505</v>
      </c>
      <c r="O47" s="47">
        <f t="shared" ca="1" si="267"/>
        <v>168.92562437675892</v>
      </c>
      <c r="P47" s="47">
        <f t="shared" ca="1" si="267"/>
        <v>175.95251884750482</v>
      </c>
      <c r="Q47" s="47">
        <f t="shared" ca="1" si="267"/>
        <v>183.19568926193762</v>
      </c>
      <c r="R47" s="47">
        <f t="shared" ca="1" si="267"/>
        <v>190.46905017551074</v>
      </c>
      <c r="S47" s="47">
        <f t="shared" ca="1" si="267"/>
        <v>197.97050642678443</v>
      </c>
      <c r="T47" s="47">
        <f t="shared" ca="1" si="267"/>
        <v>205.69253003452678</v>
      </c>
      <c r="U47" s="47">
        <f t="shared" ca="1" si="267"/>
        <v>213.66673477108418</v>
      </c>
      <c r="V47" s="47">
        <f t="shared" ca="1" si="267"/>
        <v>221.89433573881794</v>
      </c>
      <c r="W47" s="47">
        <f t="shared" ca="1" si="267"/>
        <v>230.33109779521666</v>
      </c>
      <c r="X47" s="47">
        <f t="shared" ca="1" si="267"/>
        <v>239.00223331713221</v>
      </c>
      <c r="Y47" s="47">
        <f t="shared" ca="1" si="267"/>
        <v>247.95586869065164</v>
      </c>
      <c r="Z47" s="47">
        <f t="shared" ca="1" si="267"/>
        <v>257.1930414662562</v>
      </c>
      <c r="AA47" s="47">
        <f t="shared" ca="1" si="267"/>
        <v>266.7511846632807</v>
      </c>
      <c r="AB47" s="47">
        <f t="shared" ca="1" si="267"/>
        <v>276.62254736151363</v>
      </c>
      <c r="AC47" s="47">
        <f t="shared" ca="1" si="267"/>
        <v>286.80875159713207</v>
      </c>
      <c r="AD47" s="47">
        <f t="shared" ca="1" si="267"/>
        <v>297.29980697232315</v>
      </c>
      <c r="AE47" s="47">
        <f t="shared" ca="1" si="267"/>
        <v>308.1085142604183</v>
      </c>
      <c r="AF47" s="47">
        <f t="shared" ca="1" si="267"/>
        <v>319.23733852044131</v>
      </c>
      <c r="AG47" s="47">
        <f t="shared" ca="1" si="267"/>
        <v>330.68779128659668</v>
      </c>
      <c r="AH47" s="47">
        <f t="shared" ca="1" si="267"/>
        <v>342.45433011685805</v>
      </c>
      <c r="AI47" s="47">
        <f t="shared" ca="1" si="267"/>
        <v>354.54830281761201</v>
      </c>
      <c r="AJ47" s="47">
        <f t="shared" ca="1" si="267"/>
        <v>366.98221293164289</v>
      </c>
      <c r="AK47" s="47">
        <f t="shared" ca="1" si="267"/>
        <v>379.74070765079034</v>
      </c>
      <c r="AL47" s="47">
        <f t="shared" ca="1" si="267"/>
        <v>392.83760615765055</v>
      </c>
      <c r="AM47" s="47">
        <f t="shared" ca="1" si="267"/>
        <v>406.28832629644575</v>
      </c>
      <c r="AN47" s="47">
        <f t="shared" ca="1" si="267"/>
        <v>420.08959274486392</v>
      </c>
      <c r="AO47" s="47">
        <f t="shared" ca="1" si="267"/>
        <v>434.24598524171955</v>
      </c>
      <c r="AP47" s="47">
        <f t="shared" ca="1" si="267"/>
        <v>448.8161466692377</v>
      </c>
      <c r="AQ47" s="47">
        <f t="shared" ca="1" si="267"/>
        <v>463.80685927305899</v>
      </c>
      <c r="AR47" s="47">
        <f t="shared" ca="1" si="267"/>
        <v>479.25612766065399</v>
      </c>
      <c r="AS47" s="47">
        <f t="shared" ca="1" si="267"/>
        <v>495.17453552204529</v>
      </c>
      <c r="AT47" s="47">
        <f t="shared" ca="1" si="267"/>
        <v>511.60853707515537</v>
      </c>
      <c r="AU47" s="47">
        <f t="shared" ca="1" si="267"/>
        <v>528.55455449234387</v>
      </c>
      <c r="AV47" s="47">
        <f t="shared" ca="1" si="267"/>
        <v>546.05712350999488</v>
      </c>
      <c r="AW47" s="47">
        <f t="shared" ca="1" si="267"/>
        <v>564.13292397738917</v>
      </c>
      <c r="AX47" s="47">
        <f t="shared" ca="1" si="267"/>
        <v>582.79053699063024</v>
      </c>
    </row>
    <row r="48" spans="1:50" x14ac:dyDescent="0.25">
      <c r="A48" s="9" t="s">
        <v>840</v>
      </c>
      <c r="B48" s="9"/>
      <c r="C48" s="13"/>
      <c r="D48" s="42">
        <f>SUM(D$193,D$206,D$213,D$221,D$228,D$236)</f>
        <v>86.959000000000003</v>
      </c>
      <c r="E48" s="42">
        <f t="shared" ref="E48:I48" si="268">SUM(E$193,E$206,E$213,E$221,E$228,E$236)</f>
        <v>108.83199999999999</v>
      </c>
      <c r="F48" s="42">
        <f t="shared" si="268"/>
        <v>107.76500000000001</v>
      </c>
      <c r="G48" s="42">
        <f t="shared" si="268"/>
        <v>125.64100000000001</v>
      </c>
      <c r="H48" s="42">
        <f t="shared" si="268"/>
        <v>127.57400000000001</v>
      </c>
      <c r="I48" s="42">
        <f t="shared" si="268"/>
        <v>139.00000000000003</v>
      </c>
      <c r="J48" s="43">
        <f>SUM(J$193,J$206,J$213,J$221,J$228,J$236)</f>
        <v>142.208</v>
      </c>
      <c r="K48" s="43">
        <f t="shared" ref="K48:N48" si="269">SUM(K$193,K$206,K$213,K$221,K$228,K$236)</f>
        <v>150.34899999999999</v>
      </c>
      <c r="L48" s="43">
        <f t="shared" si="269"/>
        <v>153.142</v>
      </c>
      <c r="M48" s="43">
        <f t="shared" si="269"/>
        <v>156.82700000000003</v>
      </c>
      <c r="N48" s="43">
        <f t="shared" si="269"/>
        <v>161.95899999999997</v>
      </c>
      <c r="O48" s="47">
        <f ca="1">SUM(O$193,O$206,O$213,O$221,O$228,O$236)</f>
        <v>171.19706784211772</v>
      </c>
      <c r="P48" s="47">
        <f t="shared" ref="P48:AX48" ca="1" si="270">SUM(P$193,P$206,P$213,P$221,P$228,P$236)</f>
        <v>180.72916040594586</v>
      </c>
      <c r="Q48" s="47">
        <f t="shared" ca="1" si="270"/>
        <v>190.82340867729403</v>
      </c>
      <c r="R48" s="47">
        <f t="shared" ca="1" si="270"/>
        <v>201.37325016641725</v>
      </c>
      <c r="S48" s="47">
        <f t="shared" ca="1" si="270"/>
        <v>212.22465727215126</v>
      </c>
      <c r="T48" s="47">
        <f t="shared" ca="1" si="270"/>
        <v>223.1393488054083</v>
      </c>
      <c r="U48" s="47">
        <f t="shared" ca="1" si="270"/>
        <v>233.4692700093332</v>
      </c>
      <c r="V48" s="47">
        <f t="shared" ca="1" si="270"/>
        <v>243.98109960155594</v>
      </c>
      <c r="W48" s="47">
        <f t="shared" ca="1" si="270"/>
        <v>254.83325911295083</v>
      </c>
      <c r="X48" s="47">
        <f t="shared" ca="1" si="270"/>
        <v>266.10462516897394</v>
      </c>
      <c r="Y48" s="47">
        <f t="shared" ca="1" si="270"/>
        <v>278.0468133308276</v>
      </c>
      <c r="Z48" s="47">
        <f t="shared" ca="1" si="270"/>
        <v>290.48743666386594</v>
      </c>
      <c r="AA48" s="47">
        <f t="shared" ca="1" si="270"/>
        <v>303.50578403989357</v>
      </c>
      <c r="AB48" s="47">
        <f t="shared" ca="1" si="270"/>
        <v>317.05543143811025</v>
      </c>
      <c r="AC48" s="47">
        <f t="shared" ca="1" si="270"/>
        <v>331.25928448996279</v>
      </c>
      <c r="AD48" s="47">
        <f t="shared" ca="1" si="270"/>
        <v>346.11735980209028</v>
      </c>
      <c r="AE48" s="47">
        <f t="shared" ca="1" si="270"/>
        <v>361.66979413763079</v>
      </c>
      <c r="AF48" s="47">
        <f t="shared" ca="1" si="270"/>
        <v>377.95547107446197</v>
      </c>
      <c r="AG48" s="47">
        <f t="shared" ca="1" si="270"/>
        <v>395.05207862300449</v>
      </c>
      <c r="AH48" s="47">
        <f t="shared" ca="1" si="270"/>
        <v>412.92108267589975</v>
      </c>
      <c r="AI48" s="47">
        <f t="shared" ca="1" si="270"/>
        <v>431.62063661700552</v>
      </c>
      <c r="AJ48" s="47">
        <f t="shared" ca="1" si="270"/>
        <v>451.19527485359504</v>
      </c>
      <c r="AK48" s="47">
        <f t="shared" ca="1" si="270"/>
        <v>471.78772653353371</v>
      </c>
      <c r="AL48" s="47">
        <f t="shared" ca="1" si="270"/>
        <v>493.43665864019636</v>
      </c>
      <c r="AM48" s="47">
        <f t="shared" ca="1" si="270"/>
        <v>516.12063273365004</v>
      </c>
      <c r="AN48" s="47">
        <f t="shared" ca="1" si="270"/>
        <v>540.11867421431475</v>
      </c>
      <c r="AO48" s="47">
        <f t="shared" ca="1" si="270"/>
        <v>565.2030228912912</v>
      </c>
      <c r="AP48" s="47">
        <f t="shared" ca="1" si="270"/>
        <v>591.38542151215665</v>
      </c>
      <c r="AQ48" s="47">
        <f t="shared" ca="1" si="270"/>
        <v>618.71133082391236</v>
      </c>
      <c r="AR48" s="47">
        <f t="shared" ca="1" si="270"/>
        <v>647.15793604878331</v>
      </c>
      <c r="AS48" s="47">
        <f t="shared" ca="1" si="270"/>
        <v>676.91028739385308</v>
      </c>
      <c r="AT48" s="47">
        <f t="shared" ca="1" si="270"/>
        <v>707.94122622836358</v>
      </c>
      <c r="AU48" s="47">
        <f t="shared" ca="1" si="270"/>
        <v>740.35920822208163</v>
      </c>
      <c r="AV48" s="47">
        <f t="shared" ca="1" si="270"/>
        <v>774.31725472633025</v>
      </c>
      <c r="AW48" s="47">
        <f t="shared" ca="1" si="270"/>
        <v>809.77712063017736</v>
      </c>
      <c r="AX48" s="47">
        <f t="shared" ca="1" si="270"/>
        <v>847.09780688567673</v>
      </c>
    </row>
    <row r="49" spans="1:50" x14ac:dyDescent="0.25">
      <c r="A49" s="9" t="s">
        <v>592</v>
      </c>
      <c r="B49" s="9"/>
      <c r="C49" s="13"/>
      <c r="D49" s="42">
        <f t="shared" ref="D49:AX49" ca="1" si="271">SUM(D$47,-D$48,D$334,D$341)</f>
        <v>9.7070000000000007</v>
      </c>
      <c r="E49" s="42">
        <f t="shared" ca="1" si="271"/>
        <v>-20.882999999999992</v>
      </c>
      <c r="F49" s="42">
        <f t="shared" ca="1" si="271"/>
        <v>4.7029999999999887</v>
      </c>
      <c r="G49" s="42">
        <f t="shared" ca="1" si="271"/>
        <v>-19.532000000000004</v>
      </c>
      <c r="H49" s="42">
        <f t="shared" ca="1" si="271"/>
        <v>8.2929999999999833</v>
      </c>
      <c r="I49" s="42">
        <f t="shared" ca="1" si="271"/>
        <v>2.1039999999999708</v>
      </c>
      <c r="J49" s="43">
        <f t="shared" ca="1" si="271"/>
        <v>-0.77400000000000979</v>
      </c>
      <c r="K49" s="43">
        <f t="shared" ca="1" si="271"/>
        <v>-5.4479999999999906</v>
      </c>
      <c r="L49" s="43">
        <f t="shared" ca="1" si="271"/>
        <v>-1.2689999999999655</v>
      </c>
      <c r="M49" s="43">
        <f t="shared" ca="1" si="271"/>
        <v>3.3019999999999543</v>
      </c>
      <c r="N49" s="43">
        <f t="shared" ca="1" si="271"/>
        <v>6.6430000000000211</v>
      </c>
      <c r="O49" s="47">
        <f t="shared" ca="1" si="271"/>
        <v>4.1831452259875785</v>
      </c>
      <c r="P49" s="47">
        <f t="shared" ca="1" si="271"/>
        <v>2.0876064969294652</v>
      </c>
      <c r="Q49" s="47">
        <f t="shared" ca="1" si="271"/>
        <v>-0.33296519131273228</v>
      </c>
      <c r="R49" s="47">
        <f t="shared" ca="1" si="271"/>
        <v>-3.15924127896578</v>
      </c>
      <c r="S49" s="47">
        <f t="shared" ca="1" si="271"/>
        <v>-6.0401220719002273</v>
      </c>
      <c r="T49" s="47">
        <f t="shared" ca="1" si="271"/>
        <v>-8.7438553357415962</v>
      </c>
      <c r="U49" s="47">
        <f t="shared" ca="1" si="271"/>
        <v>-10.590298175454089</v>
      </c>
      <c r="V49" s="47">
        <f t="shared" ca="1" si="271"/>
        <v>-12.344291702229757</v>
      </c>
      <c r="W49" s="47">
        <f t="shared" ca="1" si="271"/>
        <v>-14.204161174697122</v>
      </c>
      <c r="X49" s="47">
        <f t="shared" ca="1" si="271"/>
        <v>-16.21796764920299</v>
      </c>
      <c r="Y49" s="47">
        <f t="shared" ca="1" si="271"/>
        <v>-18.582526122854762</v>
      </c>
      <c r="Z49" s="47">
        <f t="shared" ca="1" si="271"/>
        <v>-21.117012043108037</v>
      </c>
      <c r="AA49" s="47">
        <f t="shared" ca="1" si="271"/>
        <v>-23.857727834198197</v>
      </c>
      <c r="AB49" s="47">
        <f t="shared" ca="1" si="271"/>
        <v>-26.761158928820617</v>
      </c>
      <c r="AC49" s="47">
        <f t="shared" ca="1" si="271"/>
        <v>-29.944970432134365</v>
      </c>
      <c r="AD49" s="47">
        <f t="shared" ca="1" si="271"/>
        <v>-33.466540656166224</v>
      </c>
      <c r="AE49" s="47">
        <f t="shared" ca="1" si="271"/>
        <v>-37.311853986351267</v>
      </c>
      <c r="AF49" s="47">
        <f t="shared" ca="1" si="271"/>
        <v>-41.51728423479075</v>
      </c>
      <c r="AG49" s="47">
        <f t="shared" ca="1" si="271"/>
        <v>-46.160210852956816</v>
      </c>
      <c r="AH49" s="47">
        <f t="shared" ca="1" si="271"/>
        <v>-51.209115968401541</v>
      </c>
      <c r="AI49" s="47">
        <f t="shared" ca="1" si="271"/>
        <v>-56.711919499331053</v>
      </c>
      <c r="AJ49" s="47">
        <f t="shared" ca="1" si="271"/>
        <v>-62.702345470481703</v>
      </c>
      <c r="AK49" s="47">
        <f t="shared" ca="1" si="271"/>
        <v>-69.342909406203844</v>
      </c>
      <c r="AL49" s="47">
        <f t="shared" ca="1" si="271"/>
        <v>-76.666251502654944</v>
      </c>
      <c r="AM49" s="47">
        <f t="shared" ca="1" si="271"/>
        <v>-84.641800567039468</v>
      </c>
      <c r="AN49" s="47">
        <f t="shared" ca="1" si="271"/>
        <v>-93.558782065318724</v>
      </c>
      <c r="AO49" s="47">
        <f t="shared" ca="1" si="271"/>
        <v>-103.19284849230478</v>
      </c>
      <c r="AP49" s="47">
        <f t="shared" ca="1" si="271"/>
        <v>-113.50055151602415</v>
      </c>
      <c r="AQ49" s="47">
        <f t="shared" ca="1" si="271"/>
        <v>-124.52009256250102</v>
      </c>
      <c r="AR49" s="47">
        <f t="shared" ca="1" si="271"/>
        <v>-136.1868802322725</v>
      </c>
      <c r="AS49" s="47">
        <f t="shared" ca="1" si="271"/>
        <v>-148.67184085707112</v>
      </c>
      <c r="AT49" s="47">
        <f t="shared" ca="1" si="271"/>
        <v>-161.89867039455658</v>
      </c>
      <c r="AU49" s="47">
        <f t="shared" ca="1" si="271"/>
        <v>-175.97471385462541</v>
      </c>
      <c r="AV49" s="47">
        <f t="shared" ca="1" si="271"/>
        <v>-191.00478229693761</v>
      </c>
      <c r="AW49" s="47">
        <f t="shared" ca="1" si="271"/>
        <v>-206.92958900341159</v>
      </c>
      <c r="AX49" s="47">
        <f t="shared" ca="1" si="271"/>
        <v>-224.09954837679794</v>
      </c>
    </row>
    <row r="50" spans="1:50" x14ac:dyDescent="0.25">
      <c r="A50" s="9" t="s">
        <v>753</v>
      </c>
      <c r="B50" s="9"/>
      <c r="C50" s="13"/>
      <c r="D50" s="42">
        <f t="shared" ref="D50:AX50" ca="1" si="272">(D$47-D$159)-(D$48-D$228)</f>
        <v>9.144999999999996</v>
      </c>
      <c r="E50" s="42">
        <f t="shared" ca="1" si="272"/>
        <v>-14.530999999999992</v>
      </c>
      <c r="F50" s="42">
        <f t="shared" ca="1" si="272"/>
        <v>-1.5949999999999989</v>
      </c>
      <c r="G50" s="42">
        <f t="shared" ca="1" si="272"/>
        <v>-6.1000000000000085</v>
      </c>
      <c r="H50" s="42">
        <f t="shared" ca="1" si="272"/>
        <v>-0.4690000000000083</v>
      </c>
      <c r="I50" s="42">
        <f t="shared" ca="1" si="272"/>
        <v>-1.27800000000002</v>
      </c>
      <c r="J50" s="43">
        <f t="shared" ca="1" si="272"/>
        <v>-3.2600000000000193</v>
      </c>
      <c r="K50" s="43">
        <f t="shared" ca="1" si="272"/>
        <v>-4.8259999999999934</v>
      </c>
      <c r="L50" s="43">
        <f t="shared" ca="1" si="272"/>
        <v>8.0000000000381988E-3</v>
      </c>
      <c r="M50" s="43">
        <f t="shared" ca="1" si="272"/>
        <v>5.1669999999999732</v>
      </c>
      <c r="N50" s="43">
        <f t="shared" ca="1" si="272"/>
        <v>8.8270000000000266</v>
      </c>
      <c r="O50" s="47">
        <f t="shared" ca="1" si="272"/>
        <v>6.3879846076006572</v>
      </c>
      <c r="P50" s="47">
        <f t="shared" ca="1" si="272"/>
        <v>4.4485887140470766</v>
      </c>
      <c r="Q50" s="47">
        <f t="shared" ca="1" si="272"/>
        <v>2.3405069914656451</v>
      </c>
      <c r="R50" s="47">
        <f t="shared" ca="1" si="272"/>
        <v>-6.0900329822061394E-2</v>
      </c>
      <c r="S50" s="47">
        <f t="shared" ca="1" si="272"/>
        <v>-2.3855791270769942</v>
      </c>
      <c r="T50" s="47">
        <f t="shared" ca="1" si="272"/>
        <v>-4.4580405076627869</v>
      </c>
      <c r="U50" s="47">
        <f t="shared" ca="1" si="272"/>
        <v>-5.5921280414599153</v>
      </c>
      <c r="V50" s="47">
        <f t="shared" ca="1" si="272"/>
        <v>-6.5767870319210147</v>
      </c>
      <c r="W50" s="47">
        <f t="shared" ca="1" si="272"/>
        <v>-7.5730197216054478</v>
      </c>
      <c r="X50" s="47">
        <f t="shared" ca="1" si="272"/>
        <v>-8.6089177380383148</v>
      </c>
      <c r="Y50" s="47">
        <f t="shared" ca="1" si="272"/>
        <v>-9.8847560038466611</v>
      </c>
      <c r="Z50" s="47">
        <f t="shared" ca="1" si="272"/>
        <v>-11.225346230561343</v>
      </c>
      <c r="AA50" s="47">
        <f t="shared" ca="1" si="272"/>
        <v>-12.659767002242802</v>
      </c>
      <c r="AB50" s="47">
        <f t="shared" ca="1" si="272"/>
        <v>-14.13755670437007</v>
      </c>
      <c r="AC50" s="47">
        <f t="shared" ca="1" si="272"/>
        <v>-15.768894560741899</v>
      </c>
      <c r="AD50" s="47">
        <f t="shared" ca="1" si="272"/>
        <v>-17.542932249171713</v>
      </c>
      <c r="AE50" s="47">
        <f t="shared" ca="1" si="272"/>
        <v>-19.479266989369705</v>
      </c>
      <c r="AF50" s="47">
        <f t="shared" ca="1" si="272"/>
        <v>-21.599280988404473</v>
      </c>
      <c r="AG50" s="47">
        <f t="shared" ca="1" si="272"/>
        <v>-23.962289729691861</v>
      </c>
      <c r="AH50" s="47">
        <f t="shared" ca="1" si="272"/>
        <v>-26.517890273169087</v>
      </c>
      <c r="AI50" s="47">
        <f t="shared" ca="1" si="272"/>
        <v>-29.294558652116507</v>
      </c>
      <c r="AJ50" s="47">
        <f t="shared" ca="1" si="272"/>
        <v>-32.303879306287229</v>
      </c>
      <c r="AK50" s="47">
        <f t="shared" ca="1" si="272"/>
        <v>-35.6821653374177</v>
      </c>
      <c r="AL50" s="47">
        <f t="shared" ca="1" si="272"/>
        <v>-39.430214031669891</v>
      </c>
      <c r="AM50" s="47">
        <f t="shared" ca="1" si="272"/>
        <v>-43.484482138572446</v>
      </c>
      <c r="AN50" s="47">
        <f t="shared" ca="1" si="272"/>
        <v>-48.082838308595058</v>
      </c>
      <c r="AO50" s="47">
        <f t="shared" ca="1" si="272"/>
        <v>-52.963289815850715</v>
      </c>
      <c r="AP50" s="47">
        <f t="shared" ca="1" si="272"/>
        <v>-58.063773589133632</v>
      </c>
      <c r="AQ50" s="47">
        <f t="shared" ca="1" si="272"/>
        <v>-63.385519766843345</v>
      </c>
      <c r="AR50" s="47">
        <f t="shared" ca="1" si="272"/>
        <v>-68.834605190058426</v>
      </c>
      <c r="AS50" s="47">
        <f t="shared" ca="1" si="272"/>
        <v>-74.549709683817184</v>
      </c>
      <c r="AT50" s="47">
        <f t="shared" ca="1" si="272"/>
        <v>-80.418953402975603</v>
      </c>
      <c r="AU50" s="47">
        <f t="shared" ca="1" si="272"/>
        <v>-86.515512470392082</v>
      </c>
      <c r="AV50" s="47">
        <f t="shared" ca="1" si="272"/>
        <v>-92.905027660299311</v>
      </c>
      <c r="AW50" s="47">
        <f t="shared" ca="1" si="272"/>
        <v>-99.487267645446082</v>
      </c>
      <c r="AX50" s="47">
        <f t="shared" ca="1" si="272"/>
        <v>-106.58245241280667</v>
      </c>
    </row>
    <row r="51" spans="1:50" x14ac:dyDescent="0.25">
      <c r="A51" s="9" t="s">
        <v>752</v>
      </c>
      <c r="B51" s="9"/>
      <c r="C51" s="13"/>
      <c r="D51" s="42">
        <f t="shared" ref="D51:AX51" si="273">D$482</f>
        <v>-0.7100000000000124</v>
      </c>
      <c r="E51" s="42">
        <f t="shared" si="273"/>
        <v>-23.692000000000007</v>
      </c>
      <c r="F51" s="42">
        <f t="shared" si="273"/>
        <v>-13.766999999999978</v>
      </c>
      <c r="G51" s="42">
        <f t="shared" si="273"/>
        <v>-27.042999999999999</v>
      </c>
      <c r="H51" s="42">
        <f t="shared" si="273"/>
        <v>-25.648000000000007</v>
      </c>
      <c r="I51" s="42">
        <f t="shared" si="273"/>
        <v>-19.302000000000007</v>
      </c>
      <c r="J51" s="43">
        <f t="shared" si="273"/>
        <v>-9.9899999999999931</v>
      </c>
      <c r="K51" s="43">
        <f t="shared" si="273"/>
        <v>-14.533000000000023</v>
      </c>
      <c r="L51" s="43">
        <f t="shared" si="273"/>
        <v>-18.212000000000003</v>
      </c>
      <c r="M51" s="43">
        <f t="shared" si="273"/>
        <v>-11.415000000000003</v>
      </c>
      <c r="N51" s="43">
        <f t="shared" si="273"/>
        <v>-8.1450000000000227</v>
      </c>
      <c r="O51" s="47">
        <f t="shared" ca="1" si="273"/>
        <v>-13.556675243598043</v>
      </c>
      <c r="P51" s="47">
        <f t="shared" ca="1" si="273"/>
        <v>-15.619676113247447</v>
      </c>
      <c r="Q51" s="47">
        <f t="shared" ca="1" si="273"/>
        <v>-18.440559007550714</v>
      </c>
      <c r="R51" s="47">
        <f t="shared" ca="1" si="273"/>
        <v>-21.587218289506065</v>
      </c>
      <c r="S51" s="47">
        <f t="shared" ca="1" si="273"/>
        <v>-25.095364664762293</v>
      </c>
      <c r="T51" s="47">
        <f t="shared" ca="1" si="273"/>
        <v>-28.450555375149662</v>
      </c>
      <c r="U51" s="47">
        <f t="shared" ca="1" si="273"/>
        <v>-29.558549782467423</v>
      </c>
      <c r="V51" s="47">
        <f t="shared" ca="1" si="273"/>
        <v>-31.917518871200194</v>
      </c>
      <c r="W51" s="47">
        <f t="shared" ca="1" si="273"/>
        <v>-35.163038765580474</v>
      </c>
      <c r="X51" s="47">
        <f t="shared" ca="1" si="273"/>
        <v>-38.76321666458751</v>
      </c>
      <c r="Y51" s="47">
        <f t="shared" ca="1" si="273"/>
        <v>-42.180947568305392</v>
      </c>
      <c r="Z51" s="47">
        <f t="shared" ca="1" si="273"/>
        <v>-45.888008641174999</v>
      </c>
      <c r="AA51" s="47">
        <f t="shared" ca="1" si="273"/>
        <v>-49.918732499325372</v>
      </c>
      <c r="AB51" s="47">
        <f t="shared" ca="1" si="273"/>
        <v>-54.204530255028189</v>
      </c>
      <c r="AC51" s="47">
        <f t="shared" ca="1" si="273"/>
        <v>-58.777884405417474</v>
      </c>
      <c r="AD51" s="47">
        <f t="shared" ca="1" si="273"/>
        <v>-63.68805017959815</v>
      </c>
      <c r="AE51" s="47">
        <f t="shared" ca="1" si="273"/>
        <v>-68.933281484604436</v>
      </c>
      <c r="AF51" s="47">
        <f t="shared" ca="1" si="273"/>
        <v>-74.544496160214166</v>
      </c>
      <c r="AG51" s="47">
        <f t="shared" ca="1" si="273"/>
        <v>-80.565685992765225</v>
      </c>
      <c r="AH51" s="47">
        <f t="shared" ca="1" si="273"/>
        <v>-86.985162385793657</v>
      </c>
      <c r="AI51" s="47">
        <f t="shared" ca="1" si="273"/>
        <v>-93.852229685611832</v>
      </c>
      <c r="AJ51" s="47">
        <f t="shared" ca="1" si="273"/>
        <v>-101.20835946954386</v>
      </c>
      <c r="AK51" s="47">
        <f t="shared" ca="1" si="273"/>
        <v>-109.06858170299998</v>
      </c>
      <c r="AL51" s="47">
        <f t="shared" ca="1" si="273"/>
        <v>-117.50604406750128</v>
      </c>
      <c r="AM51" s="47">
        <f t="shared" ca="1" si="273"/>
        <v>-126.55377205982764</v>
      </c>
      <c r="AN51" s="47">
        <f t="shared" ca="1" si="273"/>
        <v>-136.26997443372795</v>
      </c>
      <c r="AO51" s="47">
        <f t="shared" ca="1" si="273"/>
        <v>-146.75371159893425</v>
      </c>
      <c r="AP51" s="47">
        <f t="shared" ca="1" si="273"/>
        <v>-158.00376551135506</v>
      </c>
      <c r="AQ51" s="47">
        <f t="shared" ca="1" si="273"/>
        <v>-169.94740377082204</v>
      </c>
      <c r="AR51" s="47">
        <f t="shared" ca="1" si="273"/>
        <v>-182.69494204385094</v>
      </c>
      <c r="AS51" s="47">
        <f t="shared" ca="1" si="273"/>
        <v>-196.295205059989</v>
      </c>
      <c r="AT51" s="47">
        <f t="shared" ca="1" si="273"/>
        <v>-210.79262172119127</v>
      </c>
      <c r="AU51" s="47">
        <f t="shared" ca="1" si="273"/>
        <v>-226.21544282435764</v>
      </c>
      <c r="AV51" s="47">
        <f t="shared" ca="1" si="273"/>
        <v>-242.70641653913904</v>
      </c>
      <c r="AW51" s="47">
        <f t="shared" ca="1" si="273"/>
        <v>-260.23233635209965</v>
      </c>
      <c r="AX51" s="47">
        <f t="shared" ca="1" si="273"/>
        <v>-278.86930745484403</v>
      </c>
    </row>
    <row r="52" spans="1:50" x14ac:dyDescent="0.25">
      <c r="A52" s="55" t="s">
        <v>841</v>
      </c>
      <c r="B52" s="10" t="str">
        <f>$B$42</f>
        <v>Outturn &amp; Forecast only</v>
      </c>
      <c r="C52" s="13"/>
      <c r="D52" s="87" t="str">
        <f ca="1">IF(ROUND('Fiscal Forecasts'!D$178-D$49,3)=0,"OK","ERROR")</f>
        <v>OK</v>
      </c>
      <c r="E52" s="87" t="str">
        <f ca="1">IF(ROUND('Fiscal Forecasts'!E$178-E$49,3)=0,"OK","ERROR")</f>
        <v>OK</v>
      </c>
      <c r="F52" s="87" t="str">
        <f ca="1">IF(ROUND('Fiscal Forecasts'!F$178-F$49,3)-0.001=0,"OK","ERROR")</f>
        <v>OK</v>
      </c>
      <c r="G52" s="87" t="str">
        <f ca="1">IF(ROUND('Fiscal Forecasts'!G$178-G$49,3)=0,"OK","ERROR")</f>
        <v>OK</v>
      </c>
      <c r="H52" s="87" t="str">
        <f ca="1">IF(ROUND('Fiscal Forecasts'!H$178-H$49,3)=0,"OK","ERROR")</f>
        <v>OK</v>
      </c>
      <c r="I52" s="87" t="str">
        <f ca="1">IF(ROUND('Fiscal Forecasts'!I$178-I$49-0.002,3)=0,"OK","ERROR")</f>
        <v>OK</v>
      </c>
      <c r="J52" s="87" t="str">
        <f ca="1">IF(ROUND('Fiscal Forecasts'!J$178-J$49,3)=0,"OK","ERROR")</f>
        <v>OK</v>
      </c>
      <c r="K52" s="87" t="str">
        <f ca="1">IF(ROUND('Fiscal Forecasts'!K$178-K$49,3)=0,"OK","ERROR")</f>
        <v>OK</v>
      </c>
      <c r="L52" s="87" t="str">
        <f ca="1">IF(ROUND('Fiscal Forecasts'!L$178-L$49,3)=0,"OK","ERROR")</f>
        <v>OK</v>
      </c>
      <c r="M52" s="87" t="str">
        <f ca="1">IF(ROUND('Fiscal Forecasts'!M$178-M$49,3)=0,"OK","ERROR")</f>
        <v>OK</v>
      </c>
      <c r="N52" s="87" t="str">
        <f ca="1">IF(ROUND('Fiscal Forecasts'!N$178-N$49,3)=0,"OK","ERROR")</f>
        <v>OK</v>
      </c>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spans="1:50" x14ac:dyDescent="0.25">
      <c r="A53" s="55" t="s">
        <v>842</v>
      </c>
      <c r="B53" s="9"/>
      <c r="C53" s="13"/>
      <c r="D53" s="87" t="str">
        <f>IF(ROUND(D$48-SUM(D$195,D$228,D$244,D$253,D$266,D$276,D$280,D$284,D$294,D$298,D$302,D$306,D$310,D$316,D$320),3)-0.001=0,"OK","ERROR")</f>
        <v>OK</v>
      </c>
      <c r="E53" s="87" t="str">
        <f t="shared" ref="E53:AX53" si="274">IF(ROUND(E$48-SUM(E$195,E$228,E$244,E$253,E$266,E$276,E$280,E$284,E$294,E$298,E$302,E$306,E$310,E$316,E$320),3)=0,"OK","ERROR")</f>
        <v>OK</v>
      </c>
      <c r="F53" s="87" t="str">
        <f t="shared" ref="F53" si="275">IF(ROUND(F$48-SUM(F$195,F$228,F$244,F$253,F$266,F$276,F$280,F$284,F$294,F$298,F$302,F$306,F$310,F$316,F$320),3)-0.001=0,"OK","ERROR")</f>
        <v>OK</v>
      </c>
      <c r="G53" s="87" t="str">
        <f t="shared" si="274"/>
        <v>OK</v>
      </c>
      <c r="H53" s="87" t="str">
        <f t="shared" si="274"/>
        <v>OK</v>
      </c>
      <c r="I53" s="87" t="str">
        <f>IF(ROUND(I$48-SUM(I$195,I$228,I$244,I$253,I$266,I$276,I$280,I$284,I$294,I$298,I$302,I$306,I$310,I$316,I$320),3)-0.002=0,"OK","ERROR")</f>
        <v>OK</v>
      </c>
      <c r="J53" s="87" t="str">
        <f t="shared" si="274"/>
        <v>OK</v>
      </c>
      <c r="K53" s="87" t="str">
        <f t="shared" si="274"/>
        <v>OK</v>
      </c>
      <c r="L53" s="87" t="str">
        <f t="shared" si="274"/>
        <v>OK</v>
      </c>
      <c r="M53" s="87" t="str">
        <f t="shared" si="274"/>
        <v>OK</v>
      </c>
      <c r="N53" s="87" t="str">
        <f t="shared" si="274"/>
        <v>OK</v>
      </c>
      <c r="O53" s="87" t="str">
        <f t="shared" ca="1" si="274"/>
        <v>OK</v>
      </c>
      <c r="P53" s="87" t="str">
        <f t="shared" ca="1" si="274"/>
        <v>OK</v>
      </c>
      <c r="Q53" s="87" t="str">
        <f t="shared" ca="1" si="274"/>
        <v>OK</v>
      </c>
      <c r="R53" s="87" t="str">
        <f t="shared" ca="1" si="274"/>
        <v>OK</v>
      </c>
      <c r="S53" s="87" t="str">
        <f t="shared" ca="1" si="274"/>
        <v>OK</v>
      </c>
      <c r="T53" s="87" t="str">
        <f t="shared" ca="1" si="274"/>
        <v>OK</v>
      </c>
      <c r="U53" s="87" t="str">
        <f t="shared" ca="1" si="274"/>
        <v>OK</v>
      </c>
      <c r="V53" s="87" t="str">
        <f t="shared" ca="1" si="274"/>
        <v>OK</v>
      </c>
      <c r="W53" s="87" t="str">
        <f t="shared" ca="1" si="274"/>
        <v>OK</v>
      </c>
      <c r="X53" s="87" t="str">
        <f t="shared" ca="1" si="274"/>
        <v>OK</v>
      </c>
      <c r="Y53" s="87" t="str">
        <f t="shared" ca="1" si="274"/>
        <v>OK</v>
      </c>
      <c r="Z53" s="87" t="str">
        <f t="shared" ca="1" si="274"/>
        <v>OK</v>
      </c>
      <c r="AA53" s="87" t="str">
        <f t="shared" ca="1" si="274"/>
        <v>OK</v>
      </c>
      <c r="AB53" s="87" t="str">
        <f t="shared" ca="1" si="274"/>
        <v>OK</v>
      </c>
      <c r="AC53" s="87" t="str">
        <f t="shared" ca="1" si="274"/>
        <v>OK</v>
      </c>
      <c r="AD53" s="87" t="str">
        <f t="shared" ca="1" si="274"/>
        <v>OK</v>
      </c>
      <c r="AE53" s="87" t="str">
        <f t="shared" ca="1" si="274"/>
        <v>OK</v>
      </c>
      <c r="AF53" s="87" t="str">
        <f t="shared" ca="1" si="274"/>
        <v>OK</v>
      </c>
      <c r="AG53" s="87" t="str">
        <f t="shared" ca="1" si="274"/>
        <v>OK</v>
      </c>
      <c r="AH53" s="87" t="str">
        <f t="shared" ca="1" si="274"/>
        <v>OK</v>
      </c>
      <c r="AI53" s="87" t="str">
        <f t="shared" ca="1" si="274"/>
        <v>OK</v>
      </c>
      <c r="AJ53" s="87" t="str">
        <f t="shared" ca="1" si="274"/>
        <v>OK</v>
      </c>
      <c r="AK53" s="87" t="str">
        <f t="shared" ca="1" si="274"/>
        <v>OK</v>
      </c>
      <c r="AL53" s="87" t="str">
        <f t="shared" ca="1" si="274"/>
        <v>OK</v>
      </c>
      <c r="AM53" s="87" t="str">
        <f t="shared" ca="1" si="274"/>
        <v>OK</v>
      </c>
      <c r="AN53" s="87" t="str">
        <f t="shared" ca="1" si="274"/>
        <v>OK</v>
      </c>
      <c r="AO53" s="87" t="str">
        <f t="shared" ca="1" si="274"/>
        <v>OK</v>
      </c>
      <c r="AP53" s="87" t="str">
        <f t="shared" ca="1" si="274"/>
        <v>OK</v>
      </c>
      <c r="AQ53" s="87" t="str">
        <f t="shared" ca="1" si="274"/>
        <v>OK</v>
      </c>
      <c r="AR53" s="87" t="str">
        <f t="shared" ca="1" si="274"/>
        <v>OK</v>
      </c>
      <c r="AS53" s="87" t="str">
        <f t="shared" ca="1" si="274"/>
        <v>OK</v>
      </c>
      <c r="AT53" s="87" t="str">
        <f t="shared" ca="1" si="274"/>
        <v>OK</v>
      </c>
      <c r="AU53" s="87" t="str">
        <f t="shared" ca="1" si="274"/>
        <v>OK</v>
      </c>
      <c r="AV53" s="87" t="str">
        <f t="shared" ca="1" si="274"/>
        <v>OK</v>
      </c>
      <c r="AW53" s="87" t="str">
        <f t="shared" ca="1" si="274"/>
        <v>OK</v>
      </c>
      <c r="AX53" s="87" t="str">
        <f t="shared" ca="1" si="274"/>
        <v>OK</v>
      </c>
    </row>
    <row r="54" spans="1:50" x14ac:dyDescent="0.25">
      <c r="A54" s="9"/>
      <c r="B54" s="9"/>
      <c r="C54" s="13"/>
      <c r="D54" s="13"/>
      <c r="E54" s="13"/>
      <c r="F54" s="13"/>
      <c r="G54" s="13"/>
      <c r="H54" s="13"/>
      <c r="I54" s="13"/>
      <c r="J54" s="13"/>
      <c r="K54" s="13"/>
      <c r="L54" s="13"/>
      <c r="M54" s="13"/>
      <c r="N54" s="13"/>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row>
    <row r="55" spans="1:50" x14ac:dyDescent="0.25">
      <c r="A55" s="12" t="s">
        <v>1027</v>
      </c>
      <c r="B55" s="9"/>
      <c r="C55" s="13"/>
      <c r="D55" s="103"/>
      <c r="E55" s="103"/>
      <c r="F55" s="103"/>
      <c r="G55" s="103"/>
      <c r="H55" s="103"/>
      <c r="I55" s="103"/>
      <c r="J55" s="103"/>
      <c r="K55" s="103"/>
      <c r="L55" s="103"/>
      <c r="M55" s="103"/>
      <c r="N55" s="103"/>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row>
    <row r="56" spans="1:50" x14ac:dyDescent="0.25">
      <c r="A56" s="9" t="s">
        <v>1028</v>
      </c>
      <c r="B56" s="9"/>
      <c r="C56" s="13"/>
      <c r="D56" s="42">
        <f ca="1">SUM(D$348,D$355,D$364,D$373,D$389,D$398,D$412,D$416,D$422,D$426,D$431)</f>
        <v>364.65199999999999</v>
      </c>
      <c r="E56" s="42">
        <f t="shared" ref="E56:N56" ca="1" si="276">SUM(E$348,E$355,E$364,E$373,E$389,E$398,E$412,E$416,E$422,E$426,E$431)</f>
        <v>393.4</v>
      </c>
      <c r="F56" s="42">
        <f t="shared" ca="1" si="276"/>
        <v>438.59599999999995</v>
      </c>
      <c r="G56" s="42">
        <f t="shared" ca="1" si="276"/>
        <v>501.84400000000005</v>
      </c>
      <c r="H56" s="42">
        <f t="shared" ca="1" si="276"/>
        <v>536.66599999999994</v>
      </c>
      <c r="I56" s="42">
        <f t="shared" ca="1" si="276"/>
        <v>570.86799999999994</v>
      </c>
      <c r="J56" s="43">
        <f t="shared" ca="1" si="276"/>
        <v>600.50799999999981</v>
      </c>
      <c r="K56" s="43">
        <f t="shared" ca="1" si="276"/>
        <v>619.46400000000006</v>
      </c>
      <c r="L56" s="43">
        <f t="shared" ca="1" si="276"/>
        <v>637.74199999999996</v>
      </c>
      <c r="M56" s="43">
        <f t="shared" ca="1" si="276"/>
        <v>657.05400000000009</v>
      </c>
      <c r="N56" s="43">
        <f t="shared" ca="1" si="276"/>
        <v>676.23599999999999</v>
      </c>
      <c r="O56" s="47">
        <f ca="1">SUM(O$348,O$355,O$364,O$373,O$389,O$398,O$412,O$416,O$422,O$426,O$431)</f>
        <v>709.09284282046133</v>
      </c>
      <c r="P56" s="47">
        <f t="shared" ref="P56:AX56" ca="1" si="277">SUM(P$348,P$355,P$364,P$373,P$389,P$398,P$412,P$416,P$422,P$426,P$431)</f>
        <v>741.34414133261032</v>
      </c>
      <c r="Q56" s="47">
        <f t="shared" ca="1" si="277"/>
        <v>773.98665307877172</v>
      </c>
      <c r="R56" s="47">
        <f t="shared" ca="1" si="277"/>
        <v>806.2805289617088</v>
      </c>
      <c r="S56" s="47">
        <f t="shared" ca="1" si="277"/>
        <v>839.63316366800711</v>
      </c>
      <c r="T56" s="47">
        <f t="shared" ca="1" si="277"/>
        <v>874.2888463471254</v>
      </c>
      <c r="U56" s="47">
        <f t="shared" ca="1" si="277"/>
        <v>908.93409000653799</v>
      </c>
      <c r="V56" s="47">
        <f t="shared" ca="1" si="277"/>
        <v>944.82575732034536</v>
      </c>
      <c r="W56" s="47">
        <f t="shared" ca="1" si="277"/>
        <v>982.59758874693182</v>
      </c>
      <c r="X56" s="47">
        <f t="shared" ca="1" si="277"/>
        <v>1022.4574873072386</v>
      </c>
      <c r="Y56" s="47">
        <f t="shared" ca="1" si="277"/>
        <v>1063.9595776388248</v>
      </c>
      <c r="Z56" s="47">
        <f t="shared" ca="1" si="277"/>
        <v>1107.2469743914939</v>
      </c>
      <c r="AA56" s="47">
        <f t="shared" ca="1" si="277"/>
        <v>1152.5057450856752</v>
      </c>
      <c r="AB56" s="47">
        <f t="shared" ca="1" si="277"/>
        <v>1199.8338299808424</v>
      </c>
      <c r="AC56" s="47">
        <f t="shared" ca="1" si="277"/>
        <v>1249.252506068498</v>
      </c>
      <c r="AD56" s="47">
        <f t="shared" ca="1" si="277"/>
        <v>1300.7924898088697</v>
      </c>
      <c r="AE56" s="47">
        <f t="shared" ca="1" si="277"/>
        <v>1354.4588990972832</v>
      </c>
      <c r="AF56" s="47">
        <f t="shared" ca="1" si="277"/>
        <v>1410.2858025910054</v>
      </c>
      <c r="AG56" s="47">
        <f t="shared" ca="1" si="277"/>
        <v>1468.2365647099125</v>
      </c>
      <c r="AH56" s="47">
        <f t="shared" ca="1" si="277"/>
        <v>1528.2843470023111</v>
      </c>
      <c r="AI56" s="47">
        <f t="shared" ca="1" si="277"/>
        <v>1590.4606078348547</v>
      </c>
      <c r="AJ56" s="47">
        <f t="shared" ca="1" si="277"/>
        <v>1654.7942247659353</v>
      </c>
      <c r="AK56" s="47">
        <f t="shared" ca="1" si="277"/>
        <v>1721.0942264215507</v>
      </c>
      <c r="AL56" s="47">
        <f t="shared" ca="1" si="277"/>
        <v>1789.3179402515466</v>
      </c>
      <c r="AM56" s="47">
        <f t="shared" ca="1" si="277"/>
        <v>1859.4413513919555</v>
      </c>
      <c r="AN56" s="47">
        <f t="shared" ca="1" si="277"/>
        <v>1931.2206892012214</v>
      </c>
      <c r="AO56" s="47">
        <f t="shared" ca="1" si="277"/>
        <v>2004.7309777859905</v>
      </c>
      <c r="AP56" s="47">
        <f t="shared" ca="1" si="277"/>
        <v>2080.1314551426135</v>
      </c>
      <c r="AQ56" s="47">
        <f t="shared" ca="1" si="277"/>
        <v>2157.4531468825103</v>
      </c>
      <c r="AR56" s="47">
        <f t="shared" ca="1" si="277"/>
        <v>2236.9066090937263</v>
      </c>
      <c r="AS56" s="47">
        <f t="shared" ca="1" si="277"/>
        <v>2318.5561361684368</v>
      </c>
      <c r="AT56" s="47">
        <f t="shared" ca="1" si="277"/>
        <v>2402.646852252843</v>
      </c>
      <c r="AU56" s="47">
        <f t="shared" ca="1" si="277"/>
        <v>2489.2625945294562</v>
      </c>
      <c r="AV56" s="47">
        <f t="shared" ca="1" si="277"/>
        <v>2578.6039098826277</v>
      </c>
      <c r="AW56" s="47">
        <f t="shared" ca="1" si="277"/>
        <v>2670.8573721746097</v>
      </c>
      <c r="AX56" s="47">
        <f t="shared" ca="1" si="277"/>
        <v>2765.8843111514675</v>
      </c>
    </row>
    <row r="57" spans="1:50" x14ac:dyDescent="0.25">
      <c r="A57" s="9" t="s">
        <v>1029</v>
      </c>
      <c r="B57" s="9"/>
      <c r="C57" s="13"/>
      <c r="D57" s="42">
        <f t="shared" ref="D57:AX57" si="278">SUM(D$70,D$434,D$441,D$445,D$449,D$455,D$460,D$466)</f>
        <v>221.31299999999999</v>
      </c>
      <c r="E57" s="42">
        <f t="shared" si="278"/>
        <v>277.45699999999999</v>
      </c>
      <c r="F57" s="42">
        <f t="shared" si="278"/>
        <v>281.40300000000002</v>
      </c>
      <c r="G57" s="42">
        <f t="shared" si="278"/>
        <v>327.52500000000003</v>
      </c>
      <c r="H57" s="42">
        <f t="shared" si="278"/>
        <v>345.19400000000002</v>
      </c>
      <c r="I57" s="42">
        <f t="shared" si="278"/>
        <v>379.81899999999996</v>
      </c>
      <c r="J57" s="43">
        <f t="shared" si="278"/>
        <v>417.37800000000004</v>
      </c>
      <c r="K57" s="43">
        <f t="shared" si="278"/>
        <v>446.24</v>
      </c>
      <c r="L57" s="43">
        <f t="shared" si="278"/>
        <v>469.96299999999997</v>
      </c>
      <c r="M57" s="43">
        <f t="shared" si="278"/>
        <v>489.21399999999994</v>
      </c>
      <c r="N57" s="43">
        <f t="shared" si="278"/>
        <v>504.34300000000002</v>
      </c>
      <c r="O57" s="47">
        <f t="shared" ca="1" si="278"/>
        <v>535.2252762470398</v>
      </c>
      <c r="P57" s="47">
        <f t="shared" ca="1" si="278"/>
        <v>567.69709310973019</v>
      </c>
      <c r="Q57" s="47">
        <f t="shared" ca="1" si="278"/>
        <v>602.95550996224665</v>
      </c>
      <c r="R57" s="47">
        <f t="shared" ca="1" si="278"/>
        <v>640.57769300391158</v>
      </c>
      <c r="S57" s="47">
        <f t="shared" ca="1" si="278"/>
        <v>681.89654016307497</v>
      </c>
      <c r="T57" s="47">
        <f t="shared" ca="1" si="278"/>
        <v>726.8562575270015</v>
      </c>
      <c r="U57" s="47">
        <f t="shared" ca="1" si="278"/>
        <v>773.21489910313721</v>
      </c>
      <c r="V57" s="47">
        <f t="shared" ca="1" si="278"/>
        <v>822.40422139623774</v>
      </c>
      <c r="W57" s="47">
        <f t="shared" ca="1" si="278"/>
        <v>875.46490476209738</v>
      </c>
      <c r="X57" s="47">
        <f t="shared" ca="1" si="278"/>
        <v>932.84577558493436</v>
      </c>
      <c r="Y57" s="47">
        <f t="shared" ca="1" si="278"/>
        <v>994.42302130815631</v>
      </c>
      <c r="Z57" s="47">
        <f t="shared" ca="1" si="278"/>
        <v>1060.4910917984314</v>
      </c>
      <c r="AA57" s="47">
        <f t="shared" ca="1" si="278"/>
        <v>1131.4242314927506</v>
      </c>
      <c r="AB57" s="47">
        <f t="shared" ca="1" si="278"/>
        <v>1207.4628387090249</v>
      </c>
      <c r="AC57" s="47">
        <f t="shared" ca="1" si="278"/>
        <v>1288.8934925281255</v>
      </c>
      <c r="AD57" s="47">
        <f t="shared" ca="1" si="278"/>
        <v>1376.0133235940466</v>
      </c>
      <c r="AE57" s="47">
        <f t="shared" ca="1" si="278"/>
        <v>1469.1887039275862</v>
      </c>
      <c r="AF57" s="47">
        <f t="shared" ca="1" si="278"/>
        <v>1568.7530405786677</v>
      </c>
      <c r="AG57" s="47">
        <f t="shared" ca="1" si="278"/>
        <v>1675.154964224927</v>
      </c>
      <c r="AH57" s="47">
        <f t="shared" ca="1" si="278"/>
        <v>1788.8369967478156</v>
      </c>
      <c r="AI57" s="47">
        <f t="shared" ca="1" si="278"/>
        <v>1910.2177730443486</v>
      </c>
      <c r="AJ57" s="47">
        <f t="shared" ca="1" si="278"/>
        <v>2039.8012125637279</v>
      </c>
      <c r="AK57" s="47">
        <f t="shared" ca="1" si="278"/>
        <v>2178.1164992907006</v>
      </c>
      <c r="AL57" s="47">
        <f t="shared" ca="1" si="278"/>
        <v>2325.6478107491289</v>
      </c>
      <c r="AM57" s="47">
        <f t="shared" ca="1" si="278"/>
        <v>2483.0494141050267</v>
      </c>
      <c r="AN57" s="47">
        <f t="shared" ca="1" si="278"/>
        <v>2650.9696988416108</v>
      </c>
      <c r="AO57" s="47">
        <f t="shared" ca="1" si="278"/>
        <v>2830.1312643555598</v>
      </c>
      <c r="AP57" s="47">
        <f t="shared" ca="1" si="278"/>
        <v>3021.3838592563898</v>
      </c>
      <c r="AQ57" s="47">
        <f t="shared" ca="1" si="278"/>
        <v>3225.5407004555932</v>
      </c>
      <c r="AR57" s="47">
        <f t="shared" ca="1" si="278"/>
        <v>3443.4338040726716</v>
      </c>
      <c r="AS57" s="47">
        <f t="shared" ca="1" si="278"/>
        <v>3675.926823436901</v>
      </c>
      <c r="AT57" s="47">
        <f t="shared" ca="1" si="278"/>
        <v>3923.9832159370089</v>
      </c>
      <c r="AU57" s="47">
        <f t="shared" ca="1" si="278"/>
        <v>4188.5135853405136</v>
      </c>
      <c r="AV57" s="47">
        <f t="shared" ca="1" si="278"/>
        <v>4470.6437252973219</v>
      </c>
      <c r="AW57" s="47">
        <f t="shared" ca="1" si="278"/>
        <v>4771.4250969646791</v>
      </c>
      <c r="AX57" s="47">
        <f t="shared" ca="1" si="278"/>
        <v>5091.9326217603166</v>
      </c>
    </row>
    <row r="58" spans="1:50" x14ac:dyDescent="0.25">
      <c r="A58" s="9" t="s">
        <v>759</v>
      </c>
      <c r="B58" s="9"/>
      <c r="C58" s="13"/>
      <c r="D58" s="64">
        <f t="shared" ref="D58:AX58" ca="1" si="279">D$56-D$57</f>
        <v>143.339</v>
      </c>
      <c r="E58" s="64">
        <f t="shared" ca="1" si="279"/>
        <v>115.94299999999998</v>
      </c>
      <c r="F58" s="64">
        <f t="shared" ca="1" si="279"/>
        <v>157.19299999999993</v>
      </c>
      <c r="G58" s="64">
        <f t="shared" ca="1" si="279"/>
        <v>174.31900000000002</v>
      </c>
      <c r="H58" s="64">
        <f t="shared" ca="1" si="279"/>
        <v>191.47199999999992</v>
      </c>
      <c r="I58" s="64">
        <f t="shared" ca="1" si="279"/>
        <v>191.04899999999998</v>
      </c>
      <c r="J58" s="65">
        <f t="shared" ca="1" si="279"/>
        <v>183.12999999999977</v>
      </c>
      <c r="K58" s="65">
        <f t="shared" ca="1" si="279"/>
        <v>173.22400000000005</v>
      </c>
      <c r="L58" s="65">
        <f t="shared" ca="1" si="279"/>
        <v>167.779</v>
      </c>
      <c r="M58" s="65">
        <f t="shared" ca="1" si="279"/>
        <v>167.84000000000015</v>
      </c>
      <c r="N58" s="65">
        <f t="shared" ca="1" si="279"/>
        <v>171.89299999999997</v>
      </c>
      <c r="O58" s="66">
        <f t="shared" ca="1" si="279"/>
        <v>173.86756657342153</v>
      </c>
      <c r="P58" s="66">
        <f t="shared" ca="1" si="279"/>
        <v>173.64704822288013</v>
      </c>
      <c r="Q58" s="66">
        <f t="shared" ca="1" si="279"/>
        <v>171.03114311652507</v>
      </c>
      <c r="R58" s="66">
        <f t="shared" ca="1" si="279"/>
        <v>165.70283595779722</v>
      </c>
      <c r="S58" s="66">
        <f t="shared" ca="1" si="279"/>
        <v>157.73662350493214</v>
      </c>
      <c r="T58" s="66">
        <f t="shared" ca="1" si="279"/>
        <v>147.4325888201239</v>
      </c>
      <c r="U58" s="66">
        <f t="shared" ca="1" si="279"/>
        <v>135.71919090340077</v>
      </c>
      <c r="V58" s="66">
        <f t="shared" ca="1" si="279"/>
        <v>122.42153592410762</v>
      </c>
      <c r="W58" s="66">
        <f t="shared" ca="1" si="279"/>
        <v>107.13268398483444</v>
      </c>
      <c r="X58" s="66">
        <f t="shared" ca="1" si="279"/>
        <v>89.611711722304221</v>
      </c>
      <c r="Y58" s="66">
        <f t="shared" ca="1" si="279"/>
        <v>69.536556330668532</v>
      </c>
      <c r="Z58" s="66">
        <f t="shared" ca="1" si="279"/>
        <v>46.755882593062552</v>
      </c>
      <c r="AA58" s="66">
        <f t="shared" ca="1" si="279"/>
        <v>21.081513592924694</v>
      </c>
      <c r="AB58" s="66">
        <f t="shared" ca="1" si="279"/>
        <v>-7.6290087281824981</v>
      </c>
      <c r="AC58" s="66">
        <f t="shared" ca="1" si="279"/>
        <v>-39.640986459627584</v>
      </c>
      <c r="AD58" s="66">
        <f t="shared" ca="1" si="279"/>
        <v>-75.220833785176865</v>
      </c>
      <c r="AE58" s="66">
        <f t="shared" ca="1" si="279"/>
        <v>-114.72980483030301</v>
      </c>
      <c r="AF58" s="66">
        <f t="shared" ca="1" si="279"/>
        <v>-158.4672379876622</v>
      </c>
      <c r="AG58" s="66">
        <f t="shared" ca="1" si="279"/>
        <v>-206.91839951501447</v>
      </c>
      <c r="AH58" s="66">
        <f t="shared" ca="1" si="279"/>
        <v>-260.5526497455046</v>
      </c>
      <c r="AI58" s="66">
        <f t="shared" ca="1" si="279"/>
        <v>-319.75716520949391</v>
      </c>
      <c r="AJ58" s="66">
        <f t="shared" ca="1" si="279"/>
        <v>-385.00698779779259</v>
      </c>
      <c r="AK58" s="66">
        <f t="shared" ca="1" si="279"/>
        <v>-457.0222728691499</v>
      </c>
      <c r="AL58" s="66">
        <f t="shared" ca="1" si="279"/>
        <v>-536.32987049758231</v>
      </c>
      <c r="AM58" s="66">
        <f t="shared" ca="1" si="279"/>
        <v>-623.60806271307115</v>
      </c>
      <c r="AN58" s="66">
        <f t="shared" ca="1" si="279"/>
        <v>-719.74900964038943</v>
      </c>
      <c r="AO58" s="66">
        <f t="shared" ca="1" si="279"/>
        <v>-825.40028656956929</v>
      </c>
      <c r="AP58" s="66">
        <f t="shared" ca="1" si="279"/>
        <v>-941.25240411377627</v>
      </c>
      <c r="AQ58" s="66">
        <f t="shared" ca="1" si="279"/>
        <v>-1068.0875535730829</v>
      </c>
      <c r="AR58" s="66">
        <f t="shared" ca="1" si="279"/>
        <v>-1206.5271949789453</v>
      </c>
      <c r="AS58" s="66">
        <f t="shared" ca="1" si="279"/>
        <v>-1357.3706872684643</v>
      </c>
      <c r="AT58" s="66">
        <f t="shared" ca="1" si="279"/>
        <v>-1521.3363636841659</v>
      </c>
      <c r="AU58" s="66">
        <f t="shared" ca="1" si="279"/>
        <v>-1699.2509908110574</v>
      </c>
      <c r="AV58" s="66">
        <f t="shared" ca="1" si="279"/>
        <v>-1892.0398154146942</v>
      </c>
      <c r="AW58" s="66">
        <f t="shared" ca="1" si="279"/>
        <v>-2100.5677247900694</v>
      </c>
      <c r="AX58" s="66">
        <f t="shared" ca="1" si="279"/>
        <v>-2326.0483106088491</v>
      </c>
    </row>
    <row r="59" spans="1:50" x14ac:dyDescent="0.25">
      <c r="A59" s="11" t="s">
        <v>1030</v>
      </c>
      <c r="B59" s="10" t="str">
        <f>$B$38</f>
        <v>From Fiscal Forecasts</v>
      </c>
      <c r="C59" s="13"/>
      <c r="D59" s="35">
        <f>'Fiscal Forecasts'!D$145</f>
        <v>6.39</v>
      </c>
      <c r="E59" s="35">
        <f>'Fiscal Forecasts'!E$145</f>
        <v>5.6230000000000002</v>
      </c>
      <c r="F59" s="35">
        <f>'Fiscal Forecasts'!F$145</f>
        <v>5.7240000000000002</v>
      </c>
      <c r="G59" s="35">
        <f>'Fiscal Forecasts'!G$145</f>
        <v>7.2830000000000004</v>
      </c>
      <c r="H59" s="35">
        <f>'Fiscal Forecasts'!H$145</f>
        <v>7.9580000000000002</v>
      </c>
      <c r="I59" s="35">
        <f>'Fiscal Forecasts'!I$145</f>
        <v>9.2309999999999999</v>
      </c>
      <c r="J59" s="17">
        <f>'Fiscal Forecasts'!J$145</f>
        <v>9.4350000000000005</v>
      </c>
      <c r="K59" s="17">
        <f>'Fiscal Forecasts'!K$145</f>
        <v>9.3460000000000001</v>
      </c>
      <c r="L59" s="17">
        <f>'Fiscal Forecasts'!L$145</f>
        <v>9.4849999999999994</v>
      </c>
      <c r="M59" s="17">
        <f>'Fiscal Forecasts'!M$145</f>
        <v>9.5519999999999996</v>
      </c>
      <c r="N59" s="17">
        <f>'Fiscal Forecasts'!N$145</f>
        <v>9.5259999999999998</v>
      </c>
      <c r="O59" s="16">
        <f ca="1">IF(O$6=OFFSET(Assumptions!$B$8,0,$C$1),AVERAGE(L$59/SUM(L$362,L$371),M$59/SUM(M$362,M$371),N$59/SUM(N$362,N$371)),N$59/SUM(N$362,N$371))*SUM(O$362,O$371)</f>
        <v>10.092383547230364</v>
      </c>
      <c r="P59" s="16">
        <f ca="1">IF(P$6=OFFSET(Assumptions!$B$8,0,$C$1),AVERAGE(M$59/SUM(M$362,M$371),N$59/SUM(N$362,N$371),O$59/SUM(O$362,O$371)),O$59/SUM(O$362,O$371))*SUM(P$362,P$371)</f>
        <v>10.538419788524781</v>
      </c>
      <c r="Q59" s="16">
        <f ca="1">IF(Q$6=OFFSET(Assumptions!$B$8,0,$C$1),AVERAGE(N$59/SUM(N$362,N$371),O$59/SUM(O$362,O$371),P$59/SUM(P$362,P$371)),P$59/SUM(P$362,P$371))*SUM(Q$362,Q$371)</f>
        <v>10.985941373868538</v>
      </c>
      <c r="R59" s="16">
        <f ca="1">IF(R$6=OFFSET(Assumptions!$B$8,0,$C$1),AVERAGE(O$59/SUM(O$362,O$371),P$59/SUM(P$362,P$371),Q$59/SUM(Q$362,Q$371)),Q$59/SUM(Q$362,Q$371))*SUM(R$362,R$371)</f>
        <v>11.433434061503208</v>
      </c>
      <c r="S59" s="16">
        <f ca="1">IF(S$6=OFFSET(Assumptions!$B$8,0,$C$1),AVERAGE(P$59/SUM(P$362,P$371),Q$59/SUM(Q$362,Q$371),R$59/SUM(R$362,R$371)),R$59/SUM(R$362,R$371))*SUM(S$362,S$371)</f>
        <v>11.895235913717368</v>
      </c>
      <c r="T59" s="16">
        <f ca="1">IF(T$6=OFFSET(Assumptions!$B$8,0,$C$1),AVERAGE(Q$59/SUM(Q$362,Q$371),R$59/SUM(R$362,R$371),S$59/SUM(S$362,S$371)),S$59/SUM(S$362,S$371))*SUM(T$362,T$371)</f>
        <v>12.371121879707177</v>
      </c>
      <c r="U59" s="16">
        <f ca="1">IF(U$6=OFFSET(Assumptions!$B$8,0,$C$1),AVERAGE(R$59/SUM(R$362,R$371),S$59/SUM(S$362,S$371),T$59/SUM(T$362,T$371)),T$59/SUM(T$362,T$371))*SUM(U$362,U$371)</f>
        <v>12.86300811772748</v>
      </c>
      <c r="V59" s="16">
        <f ca="1">IF(V$6=OFFSET(Assumptions!$B$8,0,$C$1),AVERAGE(S$59/SUM(S$362,S$371),T$59/SUM(T$362,T$371),U$59/SUM(U$362,U$371)),U$59/SUM(U$362,U$371))*SUM(V$362,V$371)</f>
        <v>13.371031921800588</v>
      </c>
      <c r="W59" s="16">
        <f ca="1">IF(W$6=OFFSET(Assumptions!$B$8,0,$C$1),AVERAGE(T$59/SUM(T$362,T$371),U$59/SUM(U$362,U$371),V$59/SUM(V$362,V$371)),V$59/SUM(V$362,V$371))*SUM(W$362,W$371)</f>
        <v>13.892545335231626</v>
      </c>
      <c r="X59" s="16">
        <f ca="1">IF(X$6=OFFSET(Assumptions!$B$8,0,$C$1),AVERAGE(U$59/SUM(U$362,U$371),V$59/SUM(V$362,V$371),W$59/SUM(W$362,W$371)),W$59/SUM(W$362,W$371))*SUM(X$362,X$371)</f>
        <v>14.428393221636513</v>
      </c>
      <c r="Y59" s="16">
        <f ca="1">IF(Y$6=OFFSET(Assumptions!$B$8,0,$C$1),AVERAGE(V$59/SUM(V$362,V$371),W$59/SUM(W$362,W$371),X$59/SUM(X$362,X$371)),X$59/SUM(X$362,X$371))*SUM(Y$362,Y$371)</f>
        <v>14.981382175754785</v>
      </c>
      <c r="Z59" s="16">
        <f ca="1">IF(Z$6=OFFSET(Assumptions!$B$8,0,$C$1),AVERAGE(W$59/SUM(W$362,W$371),X$59/SUM(X$362,X$371),Y$59/SUM(Y$362,Y$371)),Y$59/SUM(Y$362,Y$371))*SUM(Z$362,Z$371)</f>
        <v>15.551607516765479</v>
      </c>
      <c r="AA59" s="16">
        <f ca="1">IF(AA$6=OFFSET(Assumptions!$B$8,0,$C$1),AVERAGE(X$59/SUM(X$362,X$371),Y$59/SUM(Y$362,Y$371),Z$59/SUM(Z$362,Z$371)),Z$59/SUM(Z$362,Z$371))*SUM(AA$362,AA$371)</f>
        <v>16.141401480053233</v>
      </c>
      <c r="AB59" s="16">
        <f ca="1">IF(AB$6=OFFSET(Assumptions!$B$8,0,$C$1),AVERAGE(Y$59/SUM(Y$362,Y$371),Z$59/SUM(Z$362,Z$371),AA$59/SUM(AA$362,AA$371)),AA$59/SUM(AA$362,AA$371))*SUM(AB$362,AB$371)</f>
        <v>16.750138186012261</v>
      </c>
      <c r="AC59" s="16">
        <f ca="1">IF(AC$6=OFFSET(Assumptions!$B$8,0,$C$1),AVERAGE(Z$59/SUM(Z$362,Z$371),AA$59/SUM(AA$362,AA$371),AB$59/SUM(AB$362,AB$371)),AB$59/SUM(AB$362,AB$371))*SUM(AC$362,AC$371)</f>
        <v>17.377801979399425</v>
      </c>
      <c r="AD59" s="16">
        <f ca="1">IF(AD$6=OFFSET(Assumptions!$B$8,0,$C$1),AVERAGE(AA$59/SUM(AA$362,AA$371),AB$59/SUM(AB$362,AB$371),AC$59/SUM(AC$362,AC$371)),AC$59/SUM(AC$362,AC$371))*SUM(AD$362,AD$371)</f>
        <v>18.024842692750429</v>
      </c>
      <c r="AE59" s="16">
        <f ca="1">IF(AE$6=OFFSET(Assumptions!$B$8,0,$C$1),AVERAGE(AB$59/SUM(AB$362,AB$371),AC$59/SUM(AC$362,AC$371),AD$59/SUM(AD$362,AD$371)),AD$59/SUM(AD$362,AD$371))*SUM(AE$362,AE$371)</f>
        <v>18.691083815039086</v>
      </c>
      <c r="AF59" s="16">
        <f ca="1">IF(AF$6=OFFSET(Assumptions!$B$8,0,$C$1),AVERAGE(AC$59/SUM(AC$362,AC$371),AD$59/SUM(AD$362,AD$371),AE$59/SUM(AE$362,AE$371)),AE$59/SUM(AE$362,AE$371))*SUM(AF$362,AF$371)</f>
        <v>19.376681598358246</v>
      </c>
      <c r="AG59" s="16">
        <f ca="1">IF(AG$6=OFFSET(Assumptions!$B$8,0,$C$1),AVERAGE(AD$59/SUM(AD$362,AD$371),AE$59/SUM(AE$362,AE$371),AF$59/SUM(AF$362,AF$371)),AF$59/SUM(AF$362,AF$371))*SUM(AG$362,AG$371)</f>
        <v>20.081709915375928</v>
      </c>
      <c r="AH59" s="16">
        <f ca="1">IF(AH$6=OFFSET(Assumptions!$B$8,0,$C$1),AVERAGE(AE$59/SUM(AE$362,AE$371),AF$59/SUM(AF$362,AF$371),AG$59/SUM(AG$362,AG$371)),AG$59/SUM(AG$362,AG$371))*SUM(AH$362,AH$371)</f>
        <v>20.805836328892642</v>
      </c>
      <c r="AI59" s="16">
        <f ca="1">IF(AI$6=OFFSET(Assumptions!$B$8,0,$C$1),AVERAGE(AF$59/SUM(AF$362,AF$371),AG$59/SUM(AG$362,AG$371),AH$59/SUM(AH$362,AH$371)),AH$59/SUM(AH$362,AH$371))*SUM(AI$362,AI$371)</f>
        <v>21.549747390998455</v>
      </c>
      <c r="AJ59" s="16">
        <f ca="1">IF(AJ$6=OFFSET(Assumptions!$B$8,0,$C$1),AVERAGE(AG$59/SUM(AG$362,AG$371),AH$59/SUM(AH$362,AH$371),AI$59/SUM(AI$362,AI$371)),AI$59/SUM(AI$362,AI$371))*SUM(AJ$362,AJ$371)</f>
        <v>22.314320816980171</v>
      </c>
      <c r="AK59" s="16">
        <f ca="1">IF(AK$6=OFFSET(Assumptions!$B$8,0,$C$1),AVERAGE(AH$59/SUM(AH$362,AH$371),AI$59/SUM(AI$362,AI$371),AJ$59/SUM(AJ$362,AJ$371)),AJ$59/SUM(AJ$362,AJ$371))*SUM(AK$362,AK$371)</f>
        <v>23.098541651459282</v>
      </c>
      <c r="AL59" s="16">
        <f ca="1">IF(AL$6=OFFSET(Assumptions!$B$8,0,$C$1),AVERAGE(AI$59/SUM(AI$362,AI$371),AJ$59/SUM(AJ$362,AJ$371),AK$59/SUM(AK$362,AK$371)),AK$59/SUM(AK$362,AK$371))*SUM(AL$362,AL$371)</f>
        <v>23.903485673642667</v>
      </c>
      <c r="AM59" s="16">
        <f ca="1">IF(AM$6=OFFSET(Assumptions!$B$8,0,$C$1),AVERAGE(AJ$59/SUM(AJ$362,AJ$371),AK$59/SUM(AK$362,AK$371),AL$59/SUM(AL$362,AL$371)),AL$59/SUM(AL$362,AL$371))*SUM(AM$362,AM$371)</f>
        <v>24.730317391489031</v>
      </c>
      <c r="AN59" s="16">
        <f ca="1">IF(AN$6=OFFSET(Assumptions!$B$8,0,$C$1),AVERAGE(AK$59/SUM(AK$362,AK$371),AL$59/SUM(AL$362,AL$371),AM$59/SUM(AM$362,AM$371)),AM$59/SUM(AM$362,AM$371))*SUM(AN$362,AN$371)</f>
        <v>25.579976993281448</v>
      </c>
      <c r="AO59" s="16">
        <f ca="1">IF(AO$6=OFFSET(Assumptions!$B$8,0,$C$1),AVERAGE(AL$59/SUM(AL$362,AL$371),AM$59/SUM(AM$362,AM$371),AN$59/SUM(AN$362,AN$371)),AN$59/SUM(AN$362,AN$371))*SUM(AO$362,AO$371)</f>
        <v>26.4528177041405</v>
      </c>
      <c r="AP59" s="16">
        <f ca="1">IF(AP$6=OFFSET(Assumptions!$B$8,0,$C$1),AVERAGE(AM$59/SUM(AM$362,AM$371),AN$59/SUM(AN$362,AN$371),AO$59/SUM(AO$362,AO$371)),AO$59/SUM(AO$362,AO$371))*SUM(AP$362,AP$371)</f>
        <v>27.35152481270903</v>
      </c>
      <c r="AQ59" s="16">
        <f ca="1">IF(AQ$6=OFFSET(Assumptions!$B$8,0,$C$1),AVERAGE(AN$59/SUM(AN$362,AN$371),AO$59/SUM(AO$362,AO$371),AP$59/SUM(AP$362,AP$371)),AP$59/SUM(AP$362,AP$371))*SUM(AQ$362,AQ$371)</f>
        <v>28.276976399238659</v>
      </c>
      <c r="AR59" s="16">
        <f ca="1">IF(AR$6=OFFSET(Assumptions!$B$8,0,$C$1),AVERAGE(AO$59/SUM(AO$362,AO$371),AP$59/SUM(AP$362,AP$371),AQ$59/SUM(AQ$362,AQ$371)),AQ$59/SUM(AQ$362,AQ$371))*SUM(AR$362,AR$371)</f>
        <v>29.231587615521001</v>
      </c>
      <c r="AS59" s="16">
        <f ca="1">IF(AS$6=OFFSET(Assumptions!$B$8,0,$C$1),AVERAGE(AP$59/SUM(AP$362,AP$371),AQ$59/SUM(AQ$362,AQ$371),AR$59/SUM(AR$362,AR$371)),AR$59/SUM(AR$362,AR$371))*SUM(AS$362,AS$371)</f>
        <v>30.216072350850609</v>
      </c>
      <c r="AT59" s="16">
        <f ca="1">IF(AT$6=OFFSET(Assumptions!$B$8,0,$C$1),AVERAGE(AQ$59/SUM(AQ$362,AQ$371),AR$59/SUM(AR$362,AR$371),AS$59/SUM(AS$362,AS$371)),AS$59/SUM(AS$362,AS$371))*SUM(AT$362,AT$371)</f>
        <v>31.233494099728315</v>
      </c>
      <c r="AU59" s="16">
        <f ca="1">IF(AU$6=OFFSET(Assumptions!$B$8,0,$C$1),AVERAGE(AR$59/SUM(AR$362,AR$371),AS$59/SUM(AS$362,AS$371),AT$59/SUM(AT$362,AT$371)),AT$59/SUM(AT$362,AT$371))*SUM(AU$362,AU$371)</f>
        <v>32.283412995877796</v>
      </c>
      <c r="AV59" s="16">
        <f ca="1">IF(AV$6=OFFSET(Assumptions!$B$8,0,$C$1),AVERAGE(AS$59/SUM(AS$362,AS$371),AT$59/SUM(AT$362,AT$371),AU$59/SUM(AU$362,AU$371)),AU$59/SUM(AU$362,AU$371))*SUM(AV$362,AV$371)</f>
        <v>33.368805643889893</v>
      </c>
      <c r="AW59" s="16">
        <f ca="1">IF(AW$6=OFFSET(Assumptions!$B$8,0,$C$1),AVERAGE(AT$59/SUM(AT$362,AT$371),AU$59/SUM(AU$362,AU$371),AV$59/SUM(AV$362,AV$371)),AV$59/SUM(AV$362,AV$371))*SUM(AW$362,AW$371)</f>
        <v>34.490628665939994</v>
      </c>
      <c r="AX59" s="16">
        <f ca="1">IF(AX$6=OFFSET(Assumptions!$B$8,0,$C$1),AVERAGE(AU$59/SUM(AU$362,AU$371),AV$59/SUM(AV$362,AV$371),AW$59/SUM(AW$362,AW$371)),AW$59/SUM(AW$362,AW$371))*SUM(AX$362,AX$371)</f>
        <v>35.648415941666023</v>
      </c>
    </row>
    <row r="60" spans="1:50" x14ac:dyDescent="0.25">
      <c r="A60" s="9" t="s">
        <v>760</v>
      </c>
      <c r="B60" s="10"/>
      <c r="C60" s="13"/>
      <c r="D60" s="64">
        <f t="shared" ref="D60:AX60" ca="1" si="280">D$58-D$59</f>
        <v>136.94900000000001</v>
      </c>
      <c r="E60" s="64">
        <f t="shared" ca="1" si="280"/>
        <v>110.31999999999998</v>
      </c>
      <c r="F60" s="64">
        <f t="shared" ca="1" si="280"/>
        <v>151.46899999999994</v>
      </c>
      <c r="G60" s="64">
        <f t="shared" ca="1" si="280"/>
        <v>167.03600000000003</v>
      </c>
      <c r="H60" s="64">
        <f t="shared" ca="1" si="280"/>
        <v>183.51399999999992</v>
      </c>
      <c r="I60" s="64">
        <f t="shared" ca="1" si="280"/>
        <v>181.81799999999998</v>
      </c>
      <c r="J60" s="65">
        <f t="shared" ca="1" si="280"/>
        <v>173.69499999999977</v>
      </c>
      <c r="K60" s="65">
        <f t="shared" ca="1" si="280"/>
        <v>163.87800000000004</v>
      </c>
      <c r="L60" s="65">
        <f t="shared" ca="1" si="280"/>
        <v>158.29399999999998</v>
      </c>
      <c r="M60" s="65">
        <f t="shared" ca="1" si="280"/>
        <v>158.28800000000015</v>
      </c>
      <c r="N60" s="65">
        <f t="shared" ca="1" si="280"/>
        <v>162.36699999999996</v>
      </c>
      <c r="O60" s="66">
        <f t="shared" ca="1" si="280"/>
        <v>163.77518302619117</v>
      </c>
      <c r="P60" s="66">
        <f t="shared" ca="1" si="280"/>
        <v>163.10862843435535</v>
      </c>
      <c r="Q60" s="66">
        <f t="shared" ca="1" si="280"/>
        <v>160.04520174265653</v>
      </c>
      <c r="R60" s="66">
        <f t="shared" ca="1" si="280"/>
        <v>154.269401896294</v>
      </c>
      <c r="S60" s="66">
        <f t="shared" ca="1" si="280"/>
        <v>145.84138759121478</v>
      </c>
      <c r="T60" s="66">
        <f t="shared" ca="1" si="280"/>
        <v>135.06146694041672</v>
      </c>
      <c r="U60" s="66">
        <f t="shared" ca="1" si="280"/>
        <v>122.8561827856733</v>
      </c>
      <c r="V60" s="66">
        <f t="shared" ca="1" si="280"/>
        <v>109.05050400230702</v>
      </c>
      <c r="W60" s="66">
        <f t="shared" ca="1" si="280"/>
        <v>93.240138649602812</v>
      </c>
      <c r="X60" s="66">
        <f t="shared" ca="1" si="280"/>
        <v>75.18331850066771</v>
      </c>
      <c r="Y60" s="66">
        <f t="shared" ca="1" si="280"/>
        <v>54.555174154913743</v>
      </c>
      <c r="Z60" s="66">
        <f t="shared" ca="1" si="280"/>
        <v>31.204275076297073</v>
      </c>
      <c r="AA60" s="66">
        <f t="shared" ca="1" si="280"/>
        <v>4.9401121128714607</v>
      </c>
      <c r="AB60" s="66">
        <f t="shared" ca="1" si="280"/>
        <v>-24.379146914194759</v>
      </c>
      <c r="AC60" s="66">
        <f t="shared" ca="1" si="280"/>
        <v>-57.018788439027006</v>
      </c>
      <c r="AD60" s="66">
        <f t="shared" ca="1" si="280"/>
        <v>-93.24567647792729</v>
      </c>
      <c r="AE60" s="66">
        <f t="shared" ca="1" si="280"/>
        <v>-133.4208886453421</v>
      </c>
      <c r="AF60" s="66">
        <f t="shared" ca="1" si="280"/>
        <v>-177.84391958602043</v>
      </c>
      <c r="AG60" s="66">
        <f t="shared" ca="1" si="280"/>
        <v>-227.00010943039041</v>
      </c>
      <c r="AH60" s="66">
        <f t="shared" ca="1" si="280"/>
        <v>-281.35848607439726</v>
      </c>
      <c r="AI60" s="66">
        <f t="shared" ca="1" si="280"/>
        <v>-341.30691260049235</v>
      </c>
      <c r="AJ60" s="66">
        <f t="shared" ca="1" si="280"/>
        <v>-407.32130861477276</v>
      </c>
      <c r="AK60" s="66">
        <f t="shared" ca="1" si="280"/>
        <v>-480.1208145206092</v>
      </c>
      <c r="AL60" s="66">
        <f t="shared" ca="1" si="280"/>
        <v>-560.23335617122495</v>
      </c>
      <c r="AM60" s="66">
        <f t="shared" ca="1" si="280"/>
        <v>-648.3383801045602</v>
      </c>
      <c r="AN60" s="66">
        <f t="shared" ca="1" si="280"/>
        <v>-745.32898663367087</v>
      </c>
      <c r="AO60" s="66">
        <f t="shared" ca="1" si="280"/>
        <v>-851.85310427370973</v>
      </c>
      <c r="AP60" s="66">
        <f t="shared" ca="1" si="280"/>
        <v>-968.60392892648531</v>
      </c>
      <c r="AQ60" s="66">
        <f t="shared" ca="1" si="280"/>
        <v>-1096.3645299723216</v>
      </c>
      <c r="AR60" s="66">
        <f t="shared" ca="1" si="280"/>
        <v>-1235.7587825944663</v>
      </c>
      <c r="AS60" s="66">
        <f t="shared" ca="1" si="280"/>
        <v>-1387.586759619315</v>
      </c>
      <c r="AT60" s="66">
        <f t="shared" ca="1" si="280"/>
        <v>-1552.5698577838941</v>
      </c>
      <c r="AU60" s="66">
        <f t="shared" ca="1" si="280"/>
        <v>-1731.5344038069352</v>
      </c>
      <c r="AV60" s="66">
        <f t="shared" ca="1" si="280"/>
        <v>-1925.408621058584</v>
      </c>
      <c r="AW60" s="66">
        <f t="shared" ca="1" si="280"/>
        <v>-2135.0583534560092</v>
      </c>
      <c r="AX60" s="66">
        <f t="shared" ca="1" si="280"/>
        <v>-2361.696726550515</v>
      </c>
    </row>
    <row r="61" spans="1:50" x14ac:dyDescent="0.25">
      <c r="A61" s="55" t="s">
        <v>1031</v>
      </c>
      <c r="B61" s="10" t="str">
        <f>$B$42</f>
        <v>Outturn &amp; Forecast only</v>
      </c>
      <c r="C61" s="13"/>
      <c r="D61" s="87" t="str">
        <f ca="1">IF(ROUND('Fiscal Forecasts'!D$143-D$58,3)=0,"OK","ERROR")</f>
        <v>OK</v>
      </c>
      <c r="E61" s="87" t="str">
        <f ca="1">IF(ROUND('Fiscal Forecasts'!E$143-E$58,3)=0,"OK","ERROR")</f>
        <v>OK</v>
      </c>
      <c r="F61" s="87" t="str">
        <f ca="1">IF(ROUND('Fiscal Forecasts'!F$143-F$58,3)=0,"OK","ERROR")</f>
        <v>OK</v>
      </c>
      <c r="G61" s="87" t="str">
        <f ca="1">IF(ROUND('Fiscal Forecasts'!G$143-G$58,3)=0,"OK","ERROR")</f>
        <v>OK</v>
      </c>
      <c r="H61" s="87" t="str">
        <f ca="1">IF(ROUND('Fiscal Forecasts'!H$143-H$58,3)=0,"OK","ERROR")</f>
        <v>OK</v>
      </c>
      <c r="I61" s="87" t="str">
        <f ca="1">IF(ROUND('Fiscal Forecasts'!I$143-I$58,3)=0,"OK","ERROR")</f>
        <v>OK</v>
      </c>
      <c r="J61" s="87" t="str">
        <f ca="1">IF(ROUND('Fiscal Forecasts'!J$143-J$58,3)=0,"OK","ERROR")</f>
        <v>OK</v>
      </c>
      <c r="K61" s="87" t="str">
        <f ca="1">IF(ROUND('Fiscal Forecasts'!K$143-K$58,3)=0,"OK","ERROR")</f>
        <v>OK</v>
      </c>
      <c r="L61" s="87" t="str">
        <f ca="1">IF(ROUND('Fiscal Forecasts'!L$143-L$58,3)=0,"OK","ERROR")</f>
        <v>OK</v>
      </c>
      <c r="M61" s="87" t="str">
        <f ca="1">IF(ROUND('Fiscal Forecasts'!M$143-M$58,3)=0,"OK","ERROR")</f>
        <v>OK</v>
      </c>
      <c r="N61" s="87" t="str">
        <f ca="1">IF(ROUND('Fiscal Forecasts'!N$143-N$58,3)=0,"OK","ERROR")</f>
        <v>OK</v>
      </c>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row>
    <row r="62" spans="1:50" x14ac:dyDescent="0.25">
      <c r="A62" s="55" t="s">
        <v>1042</v>
      </c>
      <c r="B62" s="10" t="s">
        <v>1041</v>
      </c>
      <c r="C62" s="13"/>
      <c r="D62" s="36"/>
      <c r="E62" s="36"/>
      <c r="F62" s="36"/>
      <c r="G62" s="36"/>
      <c r="H62" s="36"/>
      <c r="I62" s="36"/>
      <c r="J62" s="19"/>
      <c r="K62" s="19"/>
      <c r="L62" s="19"/>
      <c r="M62" s="19"/>
      <c r="N62" s="19"/>
      <c r="O62" s="87" t="str">
        <f t="shared" ref="O62" ca="1" si="281">IF(ROUND(O$39+O$38-(O$58-N$58),3)=0,"OK","ERROR")</f>
        <v>OK</v>
      </c>
      <c r="P62" s="87" t="str">
        <f t="shared" ref="P62" ca="1" si="282">IF(ROUND(P$39+P$38-(P$58-O$58),3)=0,"OK","ERROR")</f>
        <v>OK</v>
      </c>
      <c r="Q62" s="87" t="str">
        <f t="shared" ref="Q62" ca="1" si="283">IF(ROUND(Q$39+Q$38-(Q$58-P$58),3)=0,"OK","ERROR")</f>
        <v>OK</v>
      </c>
      <c r="R62" s="87" t="str">
        <f t="shared" ref="R62" ca="1" si="284">IF(ROUND(R$39+R$38-(R$58-Q$58),3)=0,"OK","ERROR")</f>
        <v>OK</v>
      </c>
      <c r="S62" s="87" t="str">
        <f t="shared" ref="S62" ca="1" si="285">IF(ROUND(S$39+S$38-(S$58-R$58),3)=0,"OK","ERROR")</f>
        <v>OK</v>
      </c>
      <c r="T62" s="87" t="str">
        <f t="shared" ref="T62" ca="1" si="286">IF(ROUND(T$39+T$38-(T$58-S$58),3)=0,"OK","ERROR")</f>
        <v>OK</v>
      </c>
      <c r="U62" s="87" t="str">
        <f t="shared" ref="U62" ca="1" si="287">IF(ROUND(U$39+U$38-(U$58-T$58),3)=0,"OK","ERROR")</f>
        <v>OK</v>
      </c>
      <c r="V62" s="87" t="str">
        <f t="shared" ref="V62" ca="1" si="288">IF(ROUND(V$39+V$38-(V$58-U$58),3)=0,"OK","ERROR")</f>
        <v>OK</v>
      </c>
      <c r="W62" s="87" t="str">
        <f t="shared" ref="W62" ca="1" si="289">IF(ROUND(W$39+W$38-(W$58-V$58),3)=0,"OK","ERROR")</f>
        <v>OK</v>
      </c>
      <c r="X62" s="87" t="str">
        <f t="shared" ref="X62" ca="1" si="290">IF(ROUND(X$39+X$38-(X$58-W$58),3)=0,"OK","ERROR")</f>
        <v>OK</v>
      </c>
      <c r="Y62" s="87" t="str">
        <f t="shared" ref="Y62" ca="1" si="291">IF(ROUND(Y$39+Y$38-(Y$58-X$58),3)=0,"OK","ERROR")</f>
        <v>OK</v>
      </c>
      <c r="Z62" s="87" t="str">
        <f t="shared" ref="Z62" ca="1" si="292">IF(ROUND(Z$39+Z$38-(Z$58-Y$58),3)=0,"OK","ERROR")</f>
        <v>OK</v>
      </c>
      <c r="AA62" s="87" t="str">
        <f t="shared" ref="AA62" ca="1" si="293">IF(ROUND(AA$39+AA$38-(AA$58-Z$58),3)=0,"OK","ERROR")</f>
        <v>OK</v>
      </c>
      <c r="AB62" s="87" t="str">
        <f t="shared" ref="AB62" ca="1" si="294">IF(ROUND(AB$39+AB$38-(AB$58-AA$58),3)=0,"OK","ERROR")</f>
        <v>OK</v>
      </c>
      <c r="AC62" s="87" t="str">
        <f t="shared" ref="AC62" ca="1" si="295">IF(ROUND(AC$39+AC$38-(AC$58-AB$58),3)=0,"OK","ERROR")</f>
        <v>OK</v>
      </c>
      <c r="AD62" s="87" t="str">
        <f t="shared" ref="AD62" ca="1" si="296">IF(ROUND(AD$39+AD$38-(AD$58-AC$58),3)=0,"OK","ERROR")</f>
        <v>OK</v>
      </c>
      <c r="AE62" s="87" t="str">
        <f t="shared" ref="AE62" ca="1" si="297">IF(ROUND(AE$39+AE$38-(AE$58-AD$58),3)=0,"OK","ERROR")</f>
        <v>OK</v>
      </c>
      <c r="AF62" s="87" t="str">
        <f t="shared" ref="AF62" ca="1" si="298">IF(ROUND(AF$39+AF$38-(AF$58-AE$58),3)=0,"OK","ERROR")</f>
        <v>OK</v>
      </c>
      <c r="AG62" s="87" t="str">
        <f t="shared" ref="AG62" ca="1" si="299">IF(ROUND(AG$39+AG$38-(AG$58-AF$58),3)=0,"OK","ERROR")</f>
        <v>OK</v>
      </c>
      <c r="AH62" s="87" t="str">
        <f t="shared" ref="AH62" ca="1" si="300">IF(ROUND(AH$39+AH$38-(AH$58-AG$58),3)=0,"OK","ERROR")</f>
        <v>OK</v>
      </c>
      <c r="AI62" s="87" t="str">
        <f t="shared" ref="AI62" ca="1" si="301">IF(ROUND(AI$39+AI$38-(AI$58-AH$58),3)=0,"OK","ERROR")</f>
        <v>OK</v>
      </c>
      <c r="AJ62" s="87" t="str">
        <f t="shared" ref="AJ62" ca="1" si="302">IF(ROUND(AJ$39+AJ$38-(AJ$58-AI$58),3)=0,"OK","ERROR")</f>
        <v>OK</v>
      </c>
      <c r="AK62" s="87" t="str">
        <f t="shared" ref="AK62" ca="1" si="303">IF(ROUND(AK$39+AK$38-(AK$58-AJ$58),3)=0,"OK","ERROR")</f>
        <v>OK</v>
      </c>
      <c r="AL62" s="87" t="str">
        <f t="shared" ref="AL62" ca="1" si="304">IF(ROUND(AL$39+AL$38-(AL$58-AK$58),3)=0,"OK","ERROR")</f>
        <v>OK</v>
      </c>
      <c r="AM62" s="87" t="str">
        <f t="shared" ref="AM62" ca="1" si="305">IF(ROUND(AM$39+AM$38-(AM$58-AL$58),3)=0,"OK","ERROR")</f>
        <v>OK</v>
      </c>
      <c r="AN62" s="87" t="str">
        <f t="shared" ref="AN62" ca="1" si="306">IF(ROUND(AN$39+AN$38-(AN$58-AM$58),3)=0,"OK","ERROR")</f>
        <v>OK</v>
      </c>
      <c r="AO62" s="87" t="str">
        <f t="shared" ref="AO62" ca="1" si="307">IF(ROUND(AO$39+AO$38-(AO$58-AN$58),3)=0,"OK","ERROR")</f>
        <v>OK</v>
      </c>
      <c r="AP62" s="87" t="str">
        <f t="shared" ref="AP62" ca="1" si="308">IF(ROUND(AP$39+AP$38-(AP$58-AO$58),3)=0,"OK","ERROR")</f>
        <v>OK</v>
      </c>
      <c r="AQ62" s="87" t="str">
        <f t="shared" ref="AQ62" ca="1" si="309">IF(ROUND(AQ$39+AQ$38-(AQ$58-AP$58),3)=0,"OK","ERROR")</f>
        <v>OK</v>
      </c>
      <c r="AR62" s="87" t="str">
        <f t="shared" ref="AR62" ca="1" si="310">IF(ROUND(AR$39+AR$38-(AR$58-AQ$58),3)=0,"OK","ERROR")</f>
        <v>OK</v>
      </c>
      <c r="AS62" s="87" t="str">
        <f t="shared" ref="AS62" ca="1" si="311">IF(ROUND(AS$39+AS$38-(AS$58-AR$58),3)=0,"OK","ERROR")</f>
        <v>OK</v>
      </c>
      <c r="AT62" s="87" t="str">
        <f t="shared" ref="AT62" ca="1" si="312">IF(ROUND(AT$39+AT$38-(AT$58-AS$58),3)=0,"OK","ERROR")</f>
        <v>OK</v>
      </c>
      <c r="AU62" s="87" t="str">
        <f t="shared" ref="AU62" ca="1" si="313">IF(ROUND(AU$39+AU$38-(AU$58-AT$58),3)=0,"OK","ERROR")</f>
        <v>OK</v>
      </c>
      <c r="AV62" s="87" t="str">
        <f t="shared" ref="AV62" ca="1" si="314">IF(ROUND(AV$39+AV$38-(AV$58-AU$58),3)=0,"OK","ERROR")</f>
        <v>OK</v>
      </c>
      <c r="AW62" s="87" t="str">
        <f t="shared" ref="AW62" ca="1" si="315">IF(ROUND(AW$39+AW$38-(AW$58-AV$58),3)=0,"OK","ERROR")</f>
        <v>OK</v>
      </c>
      <c r="AX62" s="87" t="str">
        <f t="shared" ref="AX62" ca="1" si="316">IF(ROUND(AX$39+AX$38-(AX$58-AW$58),3)=0,"OK","ERROR")</f>
        <v>OK</v>
      </c>
    </row>
    <row r="63" spans="1:50" x14ac:dyDescent="0.25">
      <c r="A63" s="9" t="s">
        <v>595</v>
      </c>
      <c r="B63" s="9"/>
      <c r="C63" s="13"/>
      <c r="D63" s="42">
        <f ca="1">SUM(D$347,D$354,D$360,D$369,D$389,D$395,D$411,D$415,D$419,D$425,D$429)</f>
        <v>201.42400000000004</v>
      </c>
      <c r="E63" s="42">
        <f t="shared" ref="E63:I63" ca="1" si="317">SUM(E$347,E$354,E$360,E$369,E$389,E$395,E$411,E$415,E$419,E$425,E$429)</f>
        <v>219.821</v>
      </c>
      <c r="F63" s="42">
        <f t="shared" ca="1" si="317"/>
        <v>239.35500000000002</v>
      </c>
      <c r="G63" s="42">
        <f t="shared" ca="1" si="317"/>
        <v>269.32</v>
      </c>
      <c r="H63" s="42">
        <f t="shared" ca="1" si="317"/>
        <v>294.69400000000002</v>
      </c>
      <c r="I63" s="42">
        <f t="shared" ca="1" si="317"/>
        <v>326.74099999999999</v>
      </c>
      <c r="J63" s="43">
        <f ca="1">SUM(J$347,J$354,J$360,J$369,J$389,J$395,J$411,J$415,J$419,J$425,J$429)</f>
        <v>357.79299999999995</v>
      </c>
      <c r="K63" s="43">
        <f t="shared" ref="K63:N63" ca="1" si="318">SUM(K$347,K$354,K$360,K$369,K$389,K$395,K$411,K$415,K$419,K$425,K$429)</f>
        <v>372.36099999999999</v>
      </c>
      <c r="L63" s="43">
        <f t="shared" ca="1" si="318"/>
        <v>387.94900000000001</v>
      </c>
      <c r="M63" s="43">
        <f t="shared" ca="1" si="318"/>
        <v>401.86700000000002</v>
      </c>
      <c r="N63" s="43">
        <f t="shared" ca="1" si="318"/>
        <v>416.26400000000007</v>
      </c>
      <c r="O63" s="47">
        <f ca="1">SUM(O$347,O$354,O$360,O$369,O$389,O$395,O$411,O$415,O$419,O$425,O$429)</f>
        <v>438.24976747701879</v>
      </c>
      <c r="P63" s="47">
        <f t="shared" ref="P63:AX63" ca="1" si="319">SUM(P$347,P$354,P$360,P$369,P$389,P$395,P$411,P$415,P$419,P$425,P$429)</f>
        <v>459.49095130571584</v>
      </c>
      <c r="Q63" s="47">
        <f t="shared" ca="1" si="319"/>
        <v>481.2156048359501</v>
      </c>
      <c r="R63" s="47">
        <f t="shared" ca="1" si="319"/>
        <v>503.32231205235496</v>
      </c>
      <c r="S63" s="47">
        <f t="shared" ca="1" si="319"/>
        <v>526.21946905162872</v>
      </c>
      <c r="T63" s="47">
        <f t="shared" ca="1" si="319"/>
        <v>549.93440662405249</v>
      </c>
      <c r="U63" s="47">
        <f t="shared" ca="1" si="319"/>
        <v>573.09640077863207</v>
      </c>
      <c r="V63" s="47">
        <f t="shared" ca="1" si="319"/>
        <v>597.05071783552307</v>
      </c>
      <c r="W63" s="47">
        <f t="shared" ca="1" si="319"/>
        <v>622.5679974126549</v>
      </c>
      <c r="X63" s="47">
        <f t="shared" ca="1" si="319"/>
        <v>649.86386231637073</v>
      </c>
      <c r="Y63" s="47">
        <f t="shared" ca="1" si="319"/>
        <v>678.4368166671635</v>
      </c>
      <c r="Z63" s="47">
        <f t="shared" ca="1" si="319"/>
        <v>708.41642934280742</v>
      </c>
      <c r="AA63" s="47">
        <f t="shared" ca="1" si="319"/>
        <v>739.94345322397339</v>
      </c>
      <c r="AB63" s="47">
        <f t="shared" ca="1" si="319"/>
        <v>773.11535343842331</v>
      </c>
      <c r="AC63" s="47">
        <f t="shared" ca="1" si="319"/>
        <v>807.94139474015265</v>
      </c>
      <c r="AD63" s="47">
        <f t="shared" ca="1" si="319"/>
        <v>844.42316984172169</v>
      </c>
      <c r="AE63" s="47">
        <f t="shared" ca="1" si="319"/>
        <v>882.5745331893778</v>
      </c>
      <c r="AF63" s="47">
        <f t="shared" ca="1" si="319"/>
        <v>922.40272047861663</v>
      </c>
      <c r="AG63" s="47">
        <f t="shared" ca="1" si="319"/>
        <v>963.8811545437535</v>
      </c>
      <c r="AH63" s="47">
        <f t="shared" ca="1" si="319"/>
        <v>1007.000336479541</v>
      </c>
      <c r="AI63" s="47">
        <f t="shared" ca="1" si="319"/>
        <v>1051.758327229117</v>
      </c>
      <c r="AJ63" s="47">
        <f t="shared" ca="1" si="319"/>
        <v>1098.1626836358191</v>
      </c>
      <c r="AK63" s="47">
        <f t="shared" ca="1" si="319"/>
        <v>1146.0510523553942</v>
      </c>
      <c r="AL63" s="47">
        <f t="shared" ca="1" si="319"/>
        <v>1195.3170642838179</v>
      </c>
      <c r="AM63" s="47">
        <f t="shared" ca="1" si="319"/>
        <v>1245.9222354878234</v>
      </c>
      <c r="AN63" s="47">
        <f t="shared" ca="1" si="319"/>
        <v>1297.5878806886951</v>
      </c>
      <c r="AO63" s="47">
        <f t="shared" ca="1" si="319"/>
        <v>1350.3609997229469</v>
      </c>
      <c r="AP63" s="47">
        <f t="shared" ca="1" si="319"/>
        <v>1404.3530862709451</v>
      </c>
      <c r="AQ63" s="47">
        <f t="shared" ca="1" si="319"/>
        <v>1459.5559344035335</v>
      </c>
      <c r="AR63" s="47">
        <f t="shared" ca="1" si="319"/>
        <v>1516.1522187931744</v>
      </c>
      <c r="AS63" s="47">
        <f t="shared" ca="1" si="319"/>
        <v>1574.1834539580436</v>
      </c>
      <c r="AT63" s="47">
        <f t="shared" ca="1" si="319"/>
        <v>1633.8343249311213</v>
      </c>
      <c r="AU63" s="47">
        <f t="shared" ca="1" si="319"/>
        <v>1695.1832910747901</v>
      </c>
      <c r="AV63" s="47">
        <f t="shared" ca="1" si="319"/>
        <v>1758.3704591636902</v>
      </c>
      <c r="AW63" s="47">
        <f t="shared" ca="1" si="319"/>
        <v>1823.5536938887813</v>
      </c>
      <c r="AX63" s="47">
        <f t="shared" ca="1" si="319"/>
        <v>1890.5870277408621</v>
      </c>
    </row>
    <row r="64" spans="1:50" x14ac:dyDescent="0.25">
      <c r="A64" s="9" t="s">
        <v>597</v>
      </c>
      <c r="B64" s="9"/>
      <c r="C64" s="13"/>
      <c r="D64" s="42">
        <f t="shared" ref="D64:AX64" si="320">SUM(D$71,D$434,D$440,D$444,D$448,D$452,D$458,D$465)</f>
        <v>132.88</v>
      </c>
      <c r="E64" s="42">
        <f t="shared" si="320"/>
        <v>172.70499999999998</v>
      </c>
      <c r="F64" s="42">
        <f t="shared" si="320"/>
        <v>178.81700000000001</v>
      </c>
      <c r="G64" s="42">
        <f t="shared" si="320"/>
        <v>224.036</v>
      </c>
      <c r="H64" s="42">
        <f t="shared" si="320"/>
        <v>235.35300000000001</v>
      </c>
      <c r="I64" s="42">
        <f t="shared" si="320"/>
        <v>261.70100000000002</v>
      </c>
      <c r="J64" s="43">
        <f t="shared" si="320"/>
        <v>296.44799999999992</v>
      </c>
      <c r="K64" s="43">
        <f t="shared" si="320"/>
        <v>316.36</v>
      </c>
      <c r="L64" s="43">
        <f t="shared" si="320"/>
        <v>333.11800000000005</v>
      </c>
      <c r="M64" s="43">
        <f t="shared" si="320"/>
        <v>343.65699999999998</v>
      </c>
      <c r="N64" s="43">
        <f t="shared" si="320"/>
        <v>351.35600000000005</v>
      </c>
      <c r="O64" s="47">
        <f t="shared" ca="1" si="320"/>
        <v>369.15862225103109</v>
      </c>
      <c r="P64" s="47">
        <f t="shared" ca="1" si="320"/>
        <v>388.31219958279877</v>
      </c>
      <c r="Q64" s="47">
        <f t="shared" ca="1" si="320"/>
        <v>410.36981830434576</v>
      </c>
      <c r="R64" s="47">
        <f t="shared" ca="1" si="320"/>
        <v>435.63576679971646</v>
      </c>
      <c r="S64" s="47">
        <f t="shared" ca="1" si="320"/>
        <v>464.57304587089044</v>
      </c>
      <c r="T64" s="47">
        <f t="shared" ca="1" si="320"/>
        <v>497.0318387790557</v>
      </c>
      <c r="U64" s="47">
        <f t="shared" ca="1" si="320"/>
        <v>530.78413110908934</v>
      </c>
      <c r="V64" s="47">
        <f t="shared" ca="1" si="320"/>
        <v>567.08273986821018</v>
      </c>
      <c r="W64" s="47">
        <f t="shared" ca="1" si="320"/>
        <v>606.80418062003923</v>
      </c>
      <c r="X64" s="47">
        <f t="shared" ca="1" si="320"/>
        <v>650.31801317295799</v>
      </c>
      <c r="Y64" s="47">
        <f t="shared" ca="1" si="320"/>
        <v>697.47349364660556</v>
      </c>
      <c r="Z64" s="47">
        <f t="shared" ca="1" si="320"/>
        <v>748.57011836535764</v>
      </c>
      <c r="AA64" s="47">
        <f t="shared" ca="1" si="320"/>
        <v>803.95487008072166</v>
      </c>
      <c r="AB64" s="47">
        <f t="shared" ca="1" si="320"/>
        <v>863.88792922399216</v>
      </c>
      <c r="AC64" s="47">
        <f t="shared" ca="1" si="320"/>
        <v>928.65894095785598</v>
      </c>
      <c r="AD64" s="47">
        <f t="shared" ca="1" si="320"/>
        <v>998.60725671559123</v>
      </c>
      <c r="AE64" s="47">
        <f t="shared" ca="1" si="320"/>
        <v>1074.0704740495983</v>
      </c>
      <c r="AF64" s="47">
        <f t="shared" ca="1" si="320"/>
        <v>1155.4159455736281</v>
      </c>
      <c r="AG64" s="47">
        <f t="shared" ca="1" si="320"/>
        <v>1243.0545904917217</v>
      </c>
      <c r="AH64" s="47">
        <f t="shared" ca="1" si="320"/>
        <v>1337.3828883959111</v>
      </c>
      <c r="AI64" s="47">
        <f t="shared" ca="1" si="320"/>
        <v>1438.852798644818</v>
      </c>
      <c r="AJ64" s="47">
        <f t="shared" ca="1" si="320"/>
        <v>1547.9595005220019</v>
      </c>
      <c r="AK64" s="47">
        <f t="shared" ca="1" si="320"/>
        <v>1665.1907786477809</v>
      </c>
      <c r="AL64" s="47">
        <f t="shared" ca="1" si="320"/>
        <v>1791.1230420788595</v>
      </c>
      <c r="AM64" s="47">
        <f t="shared" ca="1" si="320"/>
        <v>1926.3700138499044</v>
      </c>
      <c r="AN64" s="47">
        <f t="shared" ca="1" si="320"/>
        <v>2071.5944411160949</v>
      </c>
      <c r="AO64" s="47">
        <f t="shared" ca="1" si="320"/>
        <v>2227.5604086426515</v>
      </c>
      <c r="AP64" s="47">
        <f t="shared" ca="1" si="320"/>
        <v>2395.0530467066733</v>
      </c>
      <c r="AQ64" s="47">
        <f t="shared" ca="1" si="320"/>
        <v>2574.7759874017634</v>
      </c>
      <c r="AR64" s="47">
        <f t="shared" ca="1" si="320"/>
        <v>2767.5591520236767</v>
      </c>
      <c r="AS64" s="47">
        <f t="shared" ca="1" si="320"/>
        <v>2974.2622280456171</v>
      </c>
      <c r="AT64" s="47">
        <f t="shared" ca="1" si="320"/>
        <v>3195.8117694132511</v>
      </c>
      <c r="AU64" s="47">
        <f t="shared" ca="1" si="320"/>
        <v>3433.1354494115453</v>
      </c>
      <c r="AV64" s="47">
        <f t="shared" ca="1" si="320"/>
        <v>3687.3273997973824</v>
      </c>
      <c r="AW64" s="47">
        <f t="shared" ca="1" si="320"/>
        <v>3959.4402235258854</v>
      </c>
      <c r="AX64" s="47">
        <f t="shared" ca="1" si="320"/>
        <v>4250.5731057547637</v>
      </c>
    </row>
    <row r="65" spans="1:50" x14ac:dyDescent="0.25">
      <c r="A65" s="9" t="s">
        <v>599</v>
      </c>
      <c r="B65" s="9"/>
      <c r="C65" s="13"/>
      <c r="D65" s="64">
        <f t="shared" ref="D65:AX65" ca="1" si="321">D$63-D$64</f>
        <v>68.54400000000004</v>
      </c>
      <c r="E65" s="64">
        <f t="shared" ca="1" si="321"/>
        <v>47.116000000000014</v>
      </c>
      <c r="F65" s="64">
        <f t="shared" ca="1" si="321"/>
        <v>60.538000000000011</v>
      </c>
      <c r="G65" s="64">
        <f t="shared" ca="1" si="321"/>
        <v>45.283999999999992</v>
      </c>
      <c r="H65" s="64">
        <f t="shared" ca="1" si="321"/>
        <v>59.341000000000008</v>
      </c>
      <c r="I65" s="64">
        <f t="shared" ca="1" si="321"/>
        <v>65.039999999999964</v>
      </c>
      <c r="J65" s="65">
        <f t="shared" ca="1" si="321"/>
        <v>61.345000000000027</v>
      </c>
      <c r="K65" s="65">
        <f t="shared" ca="1" si="321"/>
        <v>56.000999999999976</v>
      </c>
      <c r="L65" s="65">
        <f t="shared" ca="1" si="321"/>
        <v>54.83099999999996</v>
      </c>
      <c r="M65" s="65">
        <f t="shared" ca="1" si="321"/>
        <v>58.210000000000036</v>
      </c>
      <c r="N65" s="65">
        <f t="shared" ca="1" si="321"/>
        <v>64.908000000000015</v>
      </c>
      <c r="O65" s="66">
        <f t="shared" ca="1" si="321"/>
        <v>69.091145225987702</v>
      </c>
      <c r="P65" s="66">
        <f t="shared" ca="1" si="321"/>
        <v>71.17875172291707</v>
      </c>
      <c r="Q65" s="66">
        <f t="shared" ca="1" si="321"/>
        <v>70.845786531604347</v>
      </c>
      <c r="R65" s="66">
        <f t="shared" ca="1" si="321"/>
        <v>67.686545252638496</v>
      </c>
      <c r="S65" s="66">
        <f t="shared" ca="1" si="321"/>
        <v>61.646423180738282</v>
      </c>
      <c r="T65" s="66">
        <f t="shared" ca="1" si="321"/>
        <v>52.902567844996781</v>
      </c>
      <c r="U65" s="66">
        <f t="shared" ca="1" si="321"/>
        <v>42.312269669542729</v>
      </c>
      <c r="V65" s="66">
        <f t="shared" ca="1" si="321"/>
        <v>29.967977967312891</v>
      </c>
      <c r="W65" s="66">
        <f t="shared" ca="1" si="321"/>
        <v>15.763816792615671</v>
      </c>
      <c r="X65" s="66">
        <f t="shared" ca="1" si="321"/>
        <v>-0.45415085658726184</v>
      </c>
      <c r="Y65" s="66">
        <f t="shared" ca="1" si="321"/>
        <v>-19.036676979442063</v>
      </c>
      <c r="Z65" s="66">
        <f t="shared" ca="1" si="321"/>
        <v>-40.153689022550225</v>
      </c>
      <c r="AA65" s="66">
        <f t="shared" ca="1" si="321"/>
        <v>-64.011416856748269</v>
      </c>
      <c r="AB65" s="66">
        <f t="shared" ca="1" si="321"/>
        <v>-90.772575785568847</v>
      </c>
      <c r="AC65" s="66">
        <f t="shared" ca="1" si="321"/>
        <v>-120.71754621770333</v>
      </c>
      <c r="AD65" s="66">
        <f t="shared" ca="1" si="321"/>
        <v>-154.18408687386955</v>
      </c>
      <c r="AE65" s="66">
        <f t="shared" ca="1" si="321"/>
        <v>-191.49594086022046</v>
      </c>
      <c r="AF65" s="66">
        <f t="shared" ca="1" si="321"/>
        <v>-233.01322509501142</v>
      </c>
      <c r="AG65" s="66">
        <f t="shared" ca="1" si="321"/>
        <v>-279.17343594796819</v>
      </c>
      <c r="AH65" s="66">
        <f t="shared" ca="1" si="321"/>
        <v>-330.38255191637006</v>
      </c>
      <c r="AI65" s="66">
        <f t="shared" ca="1" si="321"/>
        <v>-387.09447141570104</v>
      </c>
      <c r="AJ65" s="66">
        <f t="shared" ca="1" si="321"/>
        <v>-449.7968168861828</v>
      </c>
      <c r="AK65" s="66">
        <f t="shared" ca="1" si="321"/>
        <v>-519.13972629238674</v>
      </c>
      <c r="AL65" s="66">
        <f t="shared" ca="1" si="321"/>
        <v>-595.8059777950416</v>
      </c>
      <c r="AM65" s="66">
        <f t="shared" ca="1" si="321"/>
        <v>-680.44777836208095</v>
      </c>
      <c r="AN65" s="66">
        <f t="shared" ca="1" si="321"/>
        <v>-774.00656042739979</v>
      </c>
      <c r="AO65" s="66">
        <f t="shared" ca="1" si="321"/>
        <v>-877.19940891970464</v>
      </c>
      <c r="AP65" s="66">
        <f t="shared" ca="1" si="321"/>
        <v>-990.69996043572814</v>
      </c>
      <c r="AQ65" s="66">
        <f t="shared" ca="1" si="321"/>
        <v>-1115.2200529982299</v>
      </c>
      <c r="AR65" s="66">
        <f t="shared" ca="1" si="321"/>
        <v>-1251.4069332305023</v>
      </c>
      <c r="AS65" s="66">
        <f t="shared" ca="1" si="321"/>
        <v>-1400.0787740875735</v>
      </c>
      <c r="AT65" s="66">
        <f t="shared" ca="1" si="321"/>
        <v>-1561.9774444821298</v>
      </c>
      <c r="AU65" s="66">
        <f t="shared" ca="1" si="321"/>
        <v>-1737.9521583367552</v>
      </c>
      <c r="AV65" s="66">
        <f t="shared" ca="1" si="321"/>
        <v>-1928.9569406336923</v>
      </c>
      <c r="AW65" s="66">
        <f t="shared" ca="1" si="321"/>
        <v>-2135.8865296371041</v>
      </c>
      <c r="AX65" s="66">
        <f t="shared" ca="1" si="321"/>
        <v>-2359.9860780139015</v>
      </c>
    </row>
    <row r="66" spans="1:50" x14ac:dyDescent="0.25">
      <c r="A66" s="55" t="s">
        <v>1050</v>
      </c>
      <c r="B66" s="10" t="str">
        <f>$B$42</f>
        <v>Outturn &amp; Forecast only</v>
      </c>
      <c r="C66" s="13"/>
      <c r="D66" s="87" t="str">
        <f ca="1">IF(ROUND('Fiscal Forecasts'!D$200-D$65,3)=0,"OK","ERROR")</f>
        <v>OK</v>
      </c>
      <c r="E66" s="87" t="str">
        <f ca="1">IF(ROUND('Fiscal Forecasts'!E$200-E$65,3)=0,"OK","ERROR")</f>
        <v>OK</v>
      </c>
      <c r="F66" s="87" t="str">
        <f ca="1">IF(ROUND('Fiscal Forecasts'!F$200-F$65,3)=0,"OK","ERROR")</f>
        <v>OK</v>
      </c>
      <c r="G66" s="87" t="str">
        <f ca="1">IF(ROUND('Fiscal Forecasts'!G$200-G$65,3)=0,"OK","ERROR")</f>
        <v>OK</v>
      </c>
      <c r="H66" s="87" t="str">
        <f ca="1">IF(ROUND('Fiscal Forecasts'!H$200-H$65,3)=0,"OK","ERROR")</f>
        <v>OK</v>
      </c>
      <c r="I66" s="87" t="str">
        <f ca="1">IF(ROUND('Fiscal Forecasts'!I$200-I$65,3)=0,"OK","ERROR")</f>
        <v>OK</v>
      </c>
      <c r="J66" s="87" t="str">
        <f ca="1">IF(ROUND('Fiscal Forecasts'!J$200-J$65,3)=0,"OK","ERROR")</f>
        <v>OK</v>
      </c>
      <c r="K66" s="87" t="str">
        <f ca="1">IF(ROUND('Fiscal Forecasts'!K$200-K$65,3)=0,"OK","ERROR")</f>
        <v>OK</v>
      </c>
      <c r="L66" s="87" t="str">
        <f ca="1">IF(ROUND('Fiscal Forecasts'!L$200-L$65,3)=0,"OK","ERROR")</f>
        <v>OK</v>
      </c>
      <c r="M66" s="87" t="str">
        <f ca="1">IF(ROUND('Fiscal Forecasts'!M$200-M$65,3)=0,"OK","ERROR")</f>
        <v>OK</v>
      </c>
      <c r="N66" s="87" t="str">
        <f ca="1">IF(ROUND('Fiscal Forecasts'!N$200-N$65,3)=0,"OK","ERROR")</f>
        <v>OK</v>
      </c>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row>
    <row r="67" spans="1:50" x14ac:dyDescent="0.25">
      <c r="A67" s="55" t="s">
        <v>1051</v>
      </c>
      <c r="B67" s="10" t="str">
        <f>$B$62</f>
        <v>Projected Years only</v>
      </c>
      <c r="C67" s="13"/>
      <c r="D67" s="36"/>
      <c r="E67" s="36"/>
      <c r="F67" s="36"/>
      <c r="G67" s="36"/>
      <c r="H67" s="36"/>
      <c r="I67" s="36"/>
      <c r="J67" s="19"/>
      <c r="K67" s="19"/>
      <c r="L67" s="19"/>
      <c r="M67" s="19"/>
      <c r="N67" s="19"/>
      <c r="O67" s="87" t="str">
        <f t="shared" ref="O67" ca="1" si="322">IF(ROUND(O$49-(O$65-N$65),3)=0,"OK","ERROR")</f>
        <v>OK</v>
      </c>
      <c r="P67" s="87" t="str">
        <f t="shared" ref="P67" ca="1" si="323">IF(ROUND(P$49-(P$65-O$65),3)=0,"OK","ERROR")</f>
        <v>OK</v>
      </c>
      <c r="Q67" s="87" t="str">
        <f t="shared" ref="Q67" ca="1" si="324">IF(ROUND(Q$49-(Q$65-P$65),3)=0,"OK","ERROR")</f>
        <v>OK</v>
      </c>
      <c r="R67" s="87" t="str">
        <f t="shared" ref="R67" ca="1" si="325">IF(ROUND(R$49-(R$65-Q$65),3)=0,"OK","ERROR")</f>
        <v>OK</v>
      </c>
      <c r="S67" s="87" t="str">
        <f t="shared" ref="S67" ca="1" si="326">IF(ROUND(S$49-(S$65-R$65),3)=0,"OK","ERROR")</f>
        <v>OK</v>
      </c>
      <c r="T67" s="87" t="str">
        <f t="shared" ref="T67" ca="1" si="327">IF(ROUND(T$49-(T$65-S$65),3)=0,"OK","ERROR")</f>
        <v>OK</v>
      </c>
      <c r="U67" s="87" t="str">
        <f t="shared" ref="U67" ca="1" si="328">IF(ROUND(U$49-(U$65-T$65),3)=0,"OK","ERROR")</f>
        <v>OK</v>
      </c>
      <c r="V67" s="87" t="str">
        <f t="shared" ref="V67" ca="1" si="329">IF(ROUND(V$49-(V$65-U$65),3)=0,"OK","ERROR")</f>
        <v>OK</v>
      </c>
      <c r="W67" s="87" t="str">
        <f t="shared" ref="W67" ca="1" si="330">IF(ROUND(W$49-(W$65-V$65),3)=0,"OK","ERROR")</f>
        <v>OK</v>
      </c>
      <c r="X67" s="87" t="str">
        <f t="shared" ref="X67" ca="1" si="331">IF(ROUND(X$49-(X$65-W$65),3)=0,"OK","ERROR")</f>
        <v>OK</v>
      </c>
      <c r="Y67" s="87" t="str">
        <f t="shared" ref="Y67" ca="1" si="332">IF(ROUND(Y$49-(Y$65-X$65),3)=0,"OK","ERROR")</f>
        <v>OK</v>
      </c>
      <c r="Z67" s="87" t="str">
        <f t="shared" ref="Z67" ca="1" si="333">IF(ROUND(Z$49-(Z$65-Y$65),3)=0,"OK","ERROR")</f>
        <v>OK</v>
      </c>
      <c r="AA67" s="87" t="str">
        <f t="shared" ref="AA67" ca="1" si="334">IF(ROUND(AA$49-(AA$65-Z$65),3)=0,"OK","ERROR")</f>
        <v>OK</v>
      </c>
      <c r="AB67" s="87" t="str">
        <f t="shared" ref="AB67" ca="1" si="335">IF(ROUND(AB$49-(AB$65-AA$65),3)=0,"OK","ERROR")</f>
        <v>OK</v>
      </c>
      <c r="AC67" s="87" t="str">
        <f t="shared" ref="AC67" ca="1" si="336">IF(ROUND(AC$49-(AC$65-AB$65),3)=0,"OK","ERROR")</f>
        <v>OK</v>
      </c>
      <c r="AD67" s="87" t="str">
        <f t="shared" ref="AD67" ca="1" si="337">IF(ROUND(AD$49-(AD$65-AC$65),3)=0,"OK","ERROR")</f>
        <v>OK</v>
      </c>
      <c r="AE67" s="87" t="str">
        <f t="shared" ref="AE67" ca="1" si="338">IF(ROUND(AE$49-(AE$65-AD$65),3)=0,"OK","ERROR")</f>
        <v>OK</v>
      </c>
      <c r="AF67" s="87" t="str">
        <f t="shared" ref="AF67" ca="1" si="339">IF(ROUND(AF$49-(AF$65-AE$65),3)=0,"OK","ERROR")</f>
        <v>OK</v>
      </c>
      <c r="AG67" s="87" t="str">
        <f t="shared" ref="AG67" ca="1" si="340">IF(ROUND(AG$49-(AG$65-AF$65),3)=0,"OK","ERROR")</f>
        <v>OK</v>
      </c>
      <c r="AH67" s="87" t="str">
        <f t="shared" ref="AH67" ca="1" si="341">IF(ROUND(AH$49-(AH$65-AG$65),3)=0,"OK","ERROR")</f>
        <v>OK</v>
      </c>
      <c r="AI67" s="87" t="str">
        <f t="shared" ref="AI67" ca="1" si="342">IF(ROUND(AI$49-(AI$65-AH$65),3)=0,"OK","ERROR")</f>
        <v>OK</v>
      </c>
      <c r="AJ67" s="87" t="str">
        <f t="shared" ref="AJ67" ca="1" si="343">IF(ROUND(AJ$49-(AJ$65-AI$65),3)=0,"OK","ERROR")</f>
        <v>OK</v>
      </c>
      <c r="AK67" s="87" t="str">
        <f t="shared" ref="AK67" ca="1" si="344">IF(ROUND(AK$49-(AK$65-AJ$65),3)=0,"OK","ERROR")</f>
        <v>OK</v>
      </c>
      <c r="AL67" s="87" t="str">
        <f t="shared" ref="AL67" ca="1" si="345">IF(ROUND(AL$49-(AL$65-AK$65),3)=0,"OK","ERROR")</f>
        <v>OK</v>
      </c>
      <c r="AM67" s="87" t="str">
        <f t="shared" ref="AM67" ca="1" si="346">IF(ROUND(AM$49-(AM$65-AL$65),3)=0,"OK","ERROR")</f>
        <v>OK</v>
      </c>
      <c r="AN67" s="87" t="str">
        <f t="shared" ref="AN67" ca="1" si="347">IF(ROUND(AN$49-(AN$65-AM$65),3)=0,"OK","ERROR")</f>
        <v>OK</v>
      </c>
      <c r="AO67" s="87" t="str">
        <f t="shared" ref="AO67" ca="1" si="348">IF(ROUND(AO$49-(AO$65-AN$65),3)=0,"OK","ERROR")</f>
        <v>OK</v>
      </c>
      <c r="AP67" s="87" t="str">
        <f t="shared" ref="AP67" ca="1" si="349">IF(ROUND(AP$49-(AP$65-AO$65),3)=0,"OK","ERROR")</f>
        <v>OK</v>
      </c>
      <c r="AQ67" s="87" t="str">
        <f t="shared" ref="AQ67" ca="1" si="350">IF(ROUND(AQ$49-(AQ$65-AP$65),3)=0,"OK","ERROR")</f>
        <v>OK</v>
      </c>
      <c r="AR67" s="87" t="str">
        <f t="shared" ref="AR67" ca="1" si="351">IF(ROUND(AR$49-(AR$65-AQ$65),3)=0,"OK","ERROR")</f>
        <v>OK</v>
      </c>
      <c r="AS67" s="87" t="str">
        <f t="shared" ref="AS67" ca="1" si="352">IF(ROUND(AS$49-(AS$65-AR$65),3)=0,"OK","ERROR")</f>
        <v>OK</v>
      </c>
      <c r="AT67" s="87" t="str">
        <f t="shared" ref="AT67" ca="1" si="353">IF(ROUND(AT$49-(AT$65-AS$65),3)=0,"OK","ERROR")</f>
        <v>OK</v>
      </c>
      <c r="AU67" s="87" t="str">
        <f t="shared" ref="AU67" ca="1" si="354">IF(ROUND(AU$49-(AU$65-AT$65),3)=0,"OK","ERROR")</f>
        <v>OK</v>
      </c>
      <c r="AV67" s="87" t="str">
        <f t="shared" ref="AV67" ca="1" si="355">IF(ROUND(AV$49-(AV$65-AU$65),3)=0,"OK","ERROR")</f>
        <v>OK</v>
      </c>
      <c r="AW67" s="87" t="str">
        <f t="shared" ref="AW67" ca="1" si="356">IF(ROUND(AW$49-(AW$65-AV$65),3)=0,"OK","ERROR")</f>
        <v>OK</v>
      </c>
      <c r="AX67" s="87" t="str">
        <f t="shared" ref="AX67" ca="1" si="357">IF(ROUND(AX$49-(AX$65-AW$65),3)=0,"OK","ERROR")</f>
        <v>OK</v>
      </c>
    </row>
    <row r="68" spans="1:50" x14ac:dyDescent="0.25">
      <c r="A68" s="9"/>
      <c r="B68" s="9"/>
      <c r="C68" s="13"/>
      <c r="D68" s="36"/>
      <c r="E68" s="36"/>
      <c r="F68" s="36"/>
      <c r="G68" s="36"/>
      <c r="H68" s="36"/>
      <c r="I68" s="36"/>
      <c r="J68" s="19"/>
      <c r="K68" s="19"/>
      <c r="L68" s="19"/>
      <c r="M68" s="19"/>
      <c r="N68" s="19"/>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row>
    <row r="69" spans="1:50" x14ac:dyDescent="0.25">
      <c r="A69" s="12" t="s">
        <v>815</v>
      </c>
      <c r="B69" s="9"/>
      <c r="C69" s="13"/>
      <c r="D69" s="36"/>
      <c r="E69" s="36"/>
      <c r="F69" s="36"/>
      <c r="G69" s="36"/>
      <c r="H69" s="36"/>
      <c r="I69" s="36"/>
      <c r="J69" s="36"/>
      <c r="K69" s="36"/>
      <c r="L69" s="36"/>
      <c r="M69" s="36"/>
      <c r="N69" s="36"/>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row>
    <row r="70" spans="1:50" x14ac:dyDescent="0.25">
      <c r="A70" s="9" t="s">
        <v>816</v>
      </c>
      <c r="B70" s="10" t="str">
        <f>$B$38</f>
        <v>From Fiscal Forecasts</v>
      </c>
      <c r="C70" s="13"/>
      <c r="D70" s="42">
        <f>'Fiscal Forecasts'!D$137</f>
        <v>110.248</v>
      </c>
      <c r="E70" s="42">
        <f>'Fiscal Forecasts'!E$137</f>
        <v>152.71700000000001</v>
      </c>
      <c r="F70" s="42">
        <f>'Fiscal Forecasts'!F$137</f>
        <v>162.56</v>
      </c>
      <c r="G70" s="42">
        <f>'Fiscal Forecasts'!G$137</f>
        <v>203.965</v>
      </c>
      <c r="H70" s="42">
        <f>'Fiscal Forecasts'!H$137</f>
        <v>226.755</v>
      </c>
      <c r="I70" s="42">
        <f>'Fiscal Forecasts'!I$137</f>
        <v>250.94300000000001</v>
      </c>
      <c r="J70" s="43">
        <f>'Fiscal Forecasts'!J$137</f>
        <v>277.57</v>
      </c>
      <c r="K70" s="43">
        <f>'Fiscal Forecasts'!K$137</f>
        <v>305.07600000000002</v>
      </c>
      <c r="L70" s="43">
        <f>'Fiscal Forecasts'!L$137</f>
        <v>325.91899999999998</v>
      </c>
      <c r="M70" s="43">
        <f>'Fiscal Forecasts'!M$137</f>
        <v>342.61099999999999</v>
      </c>
      <c r="N70" s="43">
        <f>'Fiscal Forecasts'!N$137</f>
        <v>354.2</v>
      </c>
      <c r="O70" s="47">
        <f t="shared" ref="O70:AX70" ca="1" si="358">SUM(N$70,O$106)</f>
        <v>377.30545066467715</v>
      </c>
      <c r="P70" s="47">
        <f t="shared" ca="1" si="358"/>
        <v>404.02401889583791</v>
      </c>
      <c r="Q70" s="47">
        <f t="shared" ca="1" si="358"/>
        <v>433.13999235448671</v>
      </c>
      <c r="R70" s="47">
        <f t="shared" ca="1" si="358"/>
        <v>464.2811833687274</v>
      </c>
      <c r="S70" s="47">
        <f t="shared" ca="1" si="358"/>
        <v>498.77134512412186</v>
      </c>
      <c r="T70" s="47">
        <f t="shared" ca="1" si="358"/>
        <v>536.53204123131138</v>
      </c>
      <c r="U70" s="47">
        <f t="shared" ca="1" si="358"/>
        <v>575.35669850630961</v>
      </c>
      <c r="V70" s="47">
        <f t="shared" ca="1" si="358"/>
        <v>616.70495153402817</v>
      </c>
      <c r="W70" s="47">
        <f t="shared" ca="1" si="358"/>
        <v>661.6047244276117</v>
      </c>
      <c r="X70" s="47">
        <f t="shared" ca="1" si="358"/>
        <v>710.49634400130151</v>
      </c>
      <c r="Y70" s="47">
        <f t="shared" ca="1" si="358"/>
        <v>763.2022214836494</v>
      </c>
      <c r="Z70" s="47">
        <f t="shared" ca="1" si="358"/>
        <v>820.01031183634905</v>
      </c>
      <c r="AA70" s="47">
        <f t="shared" ca="1" si="358"/>
        <v>881.2688209924338</v>
      </c>
      <c r="AB70" s="47">
        <f t="shared" ca="1" si="358"/>
        <v>947.18983023547696</v>
      </c>
      <c r="AC70" s="47">
        <f t="shared" ca="1" si="358"/>
        <v>1018.0499004245463</v>
      </c>
      <c r="AD70" s="47">
        <f t="shared" ca="1" si="358"/>
        <v>1094.0939449853618</v>
      </c>
      <c r="AE70" s="47">
        <f t="shared" ca="1" si="358"/>
        <v>1175.6651632037385</v>
      </c>
      <c r="AF70" s="47">
        <f t="shared" ca="1" si="358"/>
        <v>1263.0731013962506</v>
      </c>
      <c r="AG70" s="47">
        <f t="shared" ca="1" si="358"/>
        <v>1356.7273078756784</v>
      </c>
      <c r="AH70" s="47">
        <f t="shared" ca="1" si="358"/>
        <v>1457.0450454298398</v>
      </c>
      <c r="AI70" s="47">
        <f t="shared" ca="1" si="358"/>
        <v>1564.3871938244017</v>
      </c>
      <c r="AJ70" s="47">
        <f t="shared" ca="1" si="358"/>
        <v>1679.2185195091358</v>
      </c>
      <c r="AK70" s="47">
        <f t="shared" ca="1" si="358"/>
        <v>1802.0289609026017</v>
      </c>
      <c r="AL70" s="47">
        <f t="shared" ca="1" si="358"/>
        <v>1933.2492352056288</v>
      </c>
      <c r="AM70" s="47">
        <f t="shared" ca="1" si="358"/>
        <v>2073.4759703180234</v>
      </c>
      <c r="AN70" s="47">
        <f t="shared" ca="1" si="358"/>
        <v>2223.5376753857067</v>
      </c>
      <c r="AO70" s="47">
        <f t="shared" ca="1" si="358"/>
        <v>2384.3094304999345</v>
      </c>
      <c r="AP70" s="47">
        <f t="shared" ca="1" si="358"/>
        <v>2556.6827538515054</v>
      </c>
      <c r="AQ70" s="47">
        <f t="shared" ca="1" si="358"/>
        <v>2740.6318187299858</v>
      </c>
      <c r="AR70" s="47">
        <f t="shared" ca="1" si="358"/>
        <v>2937.391602862102</v>
      </c>
      <c r="AS70" s="47">
        <f t="shared" ca="1" si="358"/>
        <v>3147.7849731384977</v>
      </c>
      <c r="AT70" s="47">
        <f t="shared" ca="1" si="358"/>
        <v>3372.7278499981121</v>
      </c>
      <c r="AU70" s="47">
        <f t="shared" ca="1" si="358"/>
        <v>3613.0867996225179</v>
      </c>
      <c r="AV70" s="47">
        <f t="shared" ca="1" si="358"/>
        <v>3869.937158501783</v>
      </c>
      <c r="AW70" s="47">
        <f t="shared" ca="1" si="358"/>
        <v>4144.2769456792694</v>
      </c>
      <c r="AX70" s="47">
        <f t="shared" ca="1" si="358"/>
        <v>4437.1342723413736</v>
      </c>
    </row>
    <row r="71" spans="1:50" x14ac:dyDescent="0.25">
      <c r="A71" s="11" t="s">
        <v>568</v>
      </c>
      <c r="B71" s="10" t="str">
        <f>$B$38</f>
        <v>From Fiscal Forecasts</v>
      </c>
      <c r="C71" s="13"/>
      <c r="D71" s="42">
        <f>'Fiscal Forecasts'!D$147</f>
        <v>91.51</v>
      </c>
      <c r="E71" s="42">
        <f>'Fiscal Forecasts'!E$147</f>
        <v>126.34099999999999</v>
      </c>
      <c r="F71" s="42">
        <f>'Fiscal Forecasts'!F$147</f>
        <v>132.54300000000001</v>
      </c>
      <c r="G71" s="42">
        <f>'Fiscal Forecasts'!G$147</f>
        <v>168.98599999999999</v>
      </c>
      <c r="H71" s="42">
        <f>'Fiscal Forecasts'!H$147</f>
        <v>191.029</v>
      </c>
      <c r="I71" s="42">
        <f>'Fiscal Forecasts'!I$147</f>
        <v>216.34899999999999</v>
      </c>
      <c r="J71" s="43">
        <f>'Fiscal Forecasts'!J$147</f>
        <v>244.69399999999999</v>
      </c>
      <c r="K71" s="43">
        <f>'Fiscal Forecasts'!K$147</f>
        <v>266.68599999999998</v>
      </c>
      <c r="L71" s="43">
        <f>'Fiscal Forecasts'!L$147</f>
        <v>283.69200000000001</v>
      </c>
      <c r="M71" s="43">
        <f>'Fiscal Forecasts'!M$147</f>
        <v>295.63799999999998</v>
      </c>
      <c r="N71" s="43">
        <f>'Fiscal Forecasts'!N$147</f>
        <v>304.26799999999997</v>
      </c>
      <c r="O71" s="47">
        <f t="shared" ref="O71:AX71" ca="1" si="359">SUM(N$71,O$496)</f>
        <v>318.99823823542516</v>
      </c>
      <c r="P71" s="47">
        <f t="shared" ca="1" si="359"/>
        <v>337.49271480520537</v>
      </c>
      <c r="Q71" s="47">
        <f t="shared" ca="1" si="359"/>
        <v>358.82910900783685</v>
      </c>
      <c r="R71" s="47">
        <f t="shared" ca="1" si="359"/>
        <v>383.32263714238195</v>
      </c>
      <c r="S71" s="47">
        <f t="shared" ca="1" si="359"/>
        <v>411.42285527497398</v>
      </c>
      <c r="T71" s="47">
        <f t="shared" ca="1" si="359"/>
        <v>442.97711335402187</v>
      </c>
      <c r="U71" s="47">
        <f t="shared" ca="1" si="359"/>
        <v>475.74859171293417</v>
      </c>
      <c r="V71" s="47">
        <f t="shared" ca="1" si="359"/>
        <v>510.99168842880721</v>
      </c>
      <c r="W71" s="47">
        <f t="shared" ca="1" si="359"/>
        <v>549.58077952652764</v>
      </c>
      <c r="X71" s="47">
        <f t="shared" ca="1" si="359"/>
        <v>591.88014573550277</v>
      </c>
      <c r="Y71" s="47">
        <f t="shared" ca="1" si="359"/>
        <v>637.73047702423116</v>
      </c>
      <c r="Z71" s="47">
        <f t="shared" ca="1" si="359"/>
        <v>687.42706260798923</v>
      </c>
      <c r="AA71" s="47">
        <f t="shared" ca="1" si="359"/>
        <v>741.31072102668122</v>
      </c>
      <c r="AB71" s="47">
        <f t="shared" ca="1" si="359"/>
        <v>799.63736017685676</v>
      </c>
      <c r="AC71" s="47">
        <f t="shared" ca="1" si="359"/>
        <v>862.69476942684878</v>
      </c>
      <c r="AD71" s="47">
        <f t="shared" ca="1" si="359"/>
        <v>930.82177306591097</v>
      </c>
      <c r="AE71" s="47">
        <f t="shared" ca="1" si="359"/>
        <v>1004.3530025549226</v>
      </c>
      <c r="AF71" s="47">
        <f t="shared" ca="1" si="359"/>
        <v>1083.6554217402688</v>
      </c>
      <c r="AG71" s="47">
        <f t="shared" ca="1" si="359"/>
        <v>1169.1380913846792</v>
      </c>
      <c r="AH71" s="47">
        <f t="shared" ca="1" si="359"/>
        <v>1261.1970686757427</v>
      </c>
      <c r="AI71" s="47">
        <f t="shared" ca="1" si="359"/>
        <v>1360.283155465359</v>
      </c>
      <c r="AJ71" s="47">
        <f t="shared" ca="1" si="359"/>
        <v>1466.8897695921876</v>
      </c>
      <c r="AK71" s="47">
        <f t="shared" ca="1" si="359"/>
        <v>1581.5089261889441</v>
      </c>
      <c r="AL71" s="47">
        <f t="shared" ca="1" si="359"/>
        <v>1704.71841471072</v>
      </c>
      <c r="AM71" s="47">
        <f t="shared" ca="1" si="359"/>
        <v>1837.1323657670398</v>
      </c>
      <c r="AN71" s="47">
        <f t="shared" ca="1" si="359"/>
        <v>1979.4171336032568</v>
      </c>
      <c r="AO71" s="47">
        <f t="shared" ca="1" si="359"/>
        <v>2132.3380173087694</v>
      </c>
      <c r="AP71" s="47">
        <f t="shared" ca="1" si="359"/>
        <v>2296.6771314599873</v>
      </c>
      <c r="AQ71" s="47">
        <f t="shared" ca="1" si="359"/>
        <v>2473.1352440088463</v>
      </c>
      <c r="AR71" s="47">
        <f t="shared" ca="1" si="359"/>
        <v>2662.5357922856265</v>
      </c>
      <c r="AS71" s="47">
        <f t="shared" ca="1" si="359"/>
        <v>2865.7367598389005</v>
      </c>
      <c r="AT71" s="47">
        <f t="shared" ca="1" si="359"/>
        <v>3083.6581489011865</v>
      </c>
      <c r="AU71" s="47">
        <f t="shared" ca="1" si="359"/>
        <v>3317.226576001839</v>
      </c>
      <c r="AV71" s="47">
        <f t="shared" ca="1" si="359"/>
        <v>3567.5307895707738</v>
      </c>
      <c r="AW71" s="47">
        <f t="shared" ca="1" si="359"/>
        <v>3835.6172194530468</v>
      </c>
      <c r="AX71" s="47">
        <f t="shared" ca="1" si="359"/>
        <v>4122.5878119104536</v>
      </c>
    </row>
    <row r="72" spans="1:50" x14ac:dyDescent="0.25">
      <c r="A72" s="11" t="s">
        <v>569</v>
      </c>
      <c r="B72" s="10" t="str">
        <f t="shared" ref="B72:B80" si="360">$B$38</f>
        <v>From Fiscal Forecasts</v>
      </c>
      <c r="C72" s="13"/>
      <c r="D72" s="35">
        <f>'Fiscal Forecasts'!D$148</f>
        <v>0.251</v>
      </c>
      <c r="E72" s="35">
        <f>'Fiscal Forecasts'!E$148</f>
        <v>5.5E-2</v>
      </c>
      <c r="F72" s="35">
        <f>'Fiscal Forecasts'!F$148</f>
        <v>2.1000000000000001E-2</v>
      </c>
      <c r="G72" s="35">
        <f>'Fiscal Forecasts'!G$148</f>
        <v>0.20799999999999999</v>
      </c>
      <c r="H72" s="35">
        <f>'Fiscal Forecasts'!H$148</f>
        <v>0.96199999999999997</v>
      </c>
      <c r="I72" s="35">
        <f>'Fiscal Forecasts'!I$148</f>
        <v>0.84699999999999998</v>
      </c>
      <c r="J72" s="17">
        <f>'Fiscal Forecasts'!J$148</f>
        <v>5.6289999999999996</v>
      </c>
      <c r="K72" s="17">
        <f>'Fiscal Forecasts'!K$148</f>
        <v>5.2130000000000001</v>
      </c>
      <c r="L72" s="17">
        <f>'Fiscal Forecasts'!L$148</f>
        <v>6.266</v>
      </c>
      <c r="M72" s="17">
        <f>'Fiscal Forecasts'!M$148</f>
        <v>5.5540000000000003</v>
      </c>
      <c r="N72" s="17">
        <f>'Fiscal Forecasts'!N$148</f>
        <v>5.21</v>
      </c>
      <c r="O72" s="16">
        <f t="shared" ref="O72" ca="1" si="361">N$72*(1+O$29)</f>
        <v>5.3142000000000005</v>
      </c>
      <c r="P72" s="16">
        <f t="shared" ref="P72" ca="1" si="362">O$72*(1+P$29)</f>
        <v>5.420484000000001</v>
      </c>
      <c r="Q72" s="16">
        <f t="shared" ref="Q72" ca="1" si="363">P$72*(1+Q$29)</f>
        <v>5.5288936800000013</v>
      </c>
      <c r="R72" s="16">
        <f t="shared" ref="R72" ca="1" si="364">Q$72*(1+R$29)</f>
        <v>5.6394715536000017</v>
      </c>
      <c r="S72" s="16">
        <f t="shared" ref="S72" ca="1" si="365">R$72*(1+S$29)</f>
        <v>5.7522609846720023</v>
      </c>
      <c r="T72" s="16">
        <f t="shared" ref="T72" ca="1" si="366">S$72*(1+T$29)</f>
        <v>5.867306204365442</v>
      </c>
      <c r="U72" s="16">
        <f t="shared" ref="U72" ca="1" si="367">T$72*(1+U$29)</f>
        <v>5.9846523284527509</v>
      </c>
      <c r="V72" s="16">
        <f t="shared" ref="V72" ca="1" si="368">U$72*(1+V$29)</f>
        <v>6.104345375021806</v>
      </c>
      <c r="W72" s="16">
        <f t="shared" ref="W72" ca="1" si="369">V$72*(1+W$29)</f>
        <v>6.226432282522242</v>
      </c>
      <c r="X72" s="16">
        <f t="shared" ref="X72" ca="1" si="370">W$72*(1+X$29)</f>
        <v>6.3509609281726869</v>
      </c>
      <c r="Y72" s="16">
        <f t="shared" ref="Y72" ca="1" si="371">X$72*(1+Y$29)</f>
        <v>6.4779801467361411</v>
      </c>
      <c r="Z72" s="16">
        <f t="shared" ref="Z72" ca="1" si="372">Y$72*(1+Z$29)</f>
        <v>6.6075397496708641</v>
      </c>
      <c r="AA72" s="16">
        <f t="shared" ref="AA72" ca="1" si="373">Z$72*(1+AA$29)</f>
        <v>6.7396905446642812</v>
      </c>
      <c r="AB72" s="16">
        <f t="shared" ref="AB72" ca="1" si="374">AA$72*(1+AB$29)</f>
        <v>6.8744843555575672</v>
      </c>
      <c r="AC72" s="16">
        <f t="shared" ref="AC72" ca="1" si="375">AB$72*(1+AC$29)</f>
        <v>7.0119740426687187</v>
      </c>
      <c r="AD72" s="16">
        <f t="shared" ref="AD72" ca="1" si="376">AC$72*(1+AD$29)</f>
        <v>7.1522135235220929</v>
      </c>
      <c r="AE72" s="16">
        <f t="shared" ref="AE72" ca="1" si="377">AD$72*(1+AE$29)</f>
        <v>7.2952577939925352</v>
      </c>
      <c r="AF72" s="16">
        <f t="shared" ref="AF72" ca="1" si="378">AE$72*(1+AF$29)</f>
        <v>7.4411629498723864</v>
      </c>
      <c r="AG72" s="16">
        <f t="shared" ref="AG72" ca="1" si="379">AF$72*(1+AG$29)</f>
        <v>7.589986208869834</v>
      </c>
      <c r="AH72" s="16">
        <f t="shared" ref="AH72" ca="1" si="380">AG$72*(1+AH$29)</f>
        <v>7.7417859330472307</v>
      </c>
      <c r="AI72" s="16">
        <f t="shared" ref="AI72" ca="1" si="381">AH$72*(1+AI$29)</f>
        <v>7.8966216517081751</v>
      </c>
      <c r="AJ72" s="16">
        <f t="shared" ref="AJ72" ca="1" si="382">AI$72*(1+AJ$29)</f>
        <v>8.0545540847423389</v>
      </c>
      <c r="AK72" s="16">
        <f t="shared" ref="AK72" ca="1" si="383">AJ$72*(1+AK$29)</f>
        <v>8.2156451664371861</v>
      </c>
      <c r="AL72" s="16">
        <f t="shared" ref="AL72" ca="1" si="384">AK$72*(1+AL$29)</f>
        <v>8.3799580697659302</v>
      </c>
      <c r="AM72" s="16">
        <f t="shared" ref="AM72" ca="1" si="385">AL$72*(1+AM$29)</f>
        <v>8.5475572311612495</v>
      </c>
      <c r="AN72" s="16">
        <f t="shared" ref="AN72" ca="1" si="386">AM$72*(1+AN$29)</f>
        <v>8.7185083757844755</v>
      </c>
      <c r="AO72" s="16">
        <f t="shared" ref="AO72" ca="1" si="387">AN$72*(1+AO$29)</f>
        <v>8.8928785433001654</v>
      </c>
      <c r="AP72" s="16">
        <f t="shared" ref="AP72" ca="1" si="388">AO$72*(1+AP$29)</f>
        <v>9.0707361141661682</v>
      </c>
      <c r="AQ72" s="16">
        <f t="shared" ref="AQ72" ca="1" si="389">AP$72*(1+AQ$29)</f>
        <v>9.2521508364494913</v>
      </c>
      <c r="AR72" s="16">
        <f t="shared" ref="AR72" ca="1" si="390">AQ$72*(1+AR$29)</f>
        <v>9.4371938531784814</v>
      </c>
      <c r="AS72" s="16">
        <f t="shared" ref="AS72" ca="1" si="391">AR$72*(1+AS$29)</f>
        <v>9.6259377302420503</v>
      </c>
      <c r="AT72" s="16">
        <f t="shared" ref="AT72" ca="1" si="392">AS$72*(1+AT$29)</f>
        <v>9.8184564848468909</v>
      </c>
      <c r="AU72" s="16">
        <f t="shared" ref="AU72" ca="1" si="393">AT$72*(1+AU$29)</f>
        <v>10.014825614543829</v>
      </c>
      <c r="AV72" s="16">
        <f t="shared" ref="AV72" ca="1" si="394">AU$72*(1+AV$29)</f>
        <v>10.215122126834705</v>
      </c>
      <c r="AW72" s="16">
        <f t="shared" ref="AW72" ca="1" si="395">AV$72*(1+AW$29)</f>
        <v>10.419424569371399</v>
      </c>
      <c r="AX72" s="16">
        <f t="shared" ref="AX72" ca="1" si="396">AW$72*(1+AX$29)</f>
        <v>10.627813060758827</v>
      </c>
    </row>
    <row r="73" spans="1:50" x14ac:dyDescent="0.25">
      <c r="A73" s="11" t="s">
        <v>953</v>
      </c>
      <c r="B73" s="10" t="str">
        <f t="shared" si="360"/>
        <v>From Fiscal Forecasts</v>
      </c>
      <c r="C73" s="13"/>
      <c r="D73" s="35">
        <f>'Fiscal Forecasts'!D$149</f>
        <v>0.90300000000000002</v>
      </c>
      <c r="E73" s="35">
        <f>'Fiscal Forecasts'!E$149</f>
        <v>2.6749999999999998</v>
      </c>
      <c r="F73" s="35">
        <f>'Fiscal Forecasts'!F$149</f>
        <v>2.2170000000000001</v>
      </c>
      <c r="G73" s="35">
        <f>'Fiscal Forecasts'!G$149</f>
        <v>9.99</v>
      </c>
      <c r="H73" s="35">
        <f>'Fiscal Forecasts'!H$149</f>
        <v>3.093</v>
      </c>
      <c r="I73" s="35">
        <f>'Fiscal Forecasts'!I$149</f>
        <v>2.754</v>
      </c>
      <c r="J73" s="17">
        <f>'Fiscal Forecasts'!J$149</f>
        <v>6.6070000000000002</v>
      </c>
      <c r="K73" s="17">
        <f>'Fiscal Forecasts'!K$149</f>
        <v>6.3109999999999999</v>
      </c>
      <c r="L73" s="17">
        <f>'Fiscal Forecasts'!L$149</f>
        <v>7.3639999999999999</v>
      </c>
      <c r="M73" s="17">
        <f>'Fiscal Forecasts'!M$149</f>
        <v>6.6509999999999998</v>
      </c>
      <c r="N73" s="17">
        <f>'Fiscal Forecasts'!N$149</f>
        <v>6.335</v>
      </c>
      <c r="O73" s="16">
        <f ca="1">OFFSET(Assumptions!$B$55,0,$C$1)*O$386</f>
        <v>5.0315895179007981</v>
      </c>
      <c r="P73" s="16">
        <f ca="1">OFFSET(Assumptions!$B$55,0,$C$1)*P$386</f>
        <v>5.3550358988984526</v>
      </c>
      <c r="Q73" s="16">
        <f ca="1">OFFSET(Assumptions!$B$55,0,$C$1)*Q$386</f>
        <v>5.6942289441181542</v>
      </c>
      <c r="R73" s="16">
        <f ca="1">OFFSET(Assumptions!$B$55,0,$C$1)*R$386</f>
        <v>6.0480004580131039</v>
      </c>
      <c r="S73" s="16">
        <f ca="1">OFFSET(Assumptions!$B$55,0,$C$1)*S$386</f>
        <v>6.4162968384357102</v>
      </c>
      <c r="T73" s="16">
        <f ca="1">OFFSET(Assumptions!$B$55,0,$C$1)*T$386</f>
        <v>6.8008881981140856</v>
      </c>
      <c r="U73" s="16">
        <f ca="1">OFFSET(Assumptions!$B$55,0,$C$1)*U$386</f>
        <v>7.2004455517350774</v>
      </c>
      <c r="V73" s="16">
        <f ca="1">OFFSET(Assumptions!$B$55,0,$C$1)*V$386</f>
        <v>7.6176310531440548</v>
      </c>
      <c r="W73" s="16">
        <f ca="1">OFFSET(Assumptions!$B$55,0,$C$1)*W$386</f>
        <v>8.0566439143449884</v>
      </c>
      <c r="X73" s="16">
        <f ca="1">OFFSET(Assumptions!$B$55,0,$C$1)*X$386</f>
        <v>8.5219963453809839</v>
      </c>
      <c r="Y73" s="16">
        <f ca="1">OFFSET(Assumptions!$B$55,0,$C$1)*Y$386</f>
        <v>9.019648870953068</v>
      </c>
      <c r="Z73" s="16">
        <f ca="1">OFFSET(Assumptions!$B$55,0,$C$1)*Z$386</f>
        <v>9.5550643739194232</v>
      </c>
      <c r="AA73" s="16">
        <f ca="1">OFFSET(Assumptions!$B$55,0,$C$1)*AA$386</f>
        <v>10.131143780594822</v>
      </c>
      <c r="AB73" s="16">
        <f ca="1">OFFSET(Assumptions!$B$55,0,$C$1)*AB$386</f>
        <v>10.752665050399878</v>
      </c>
      <c r="AC73" s="16">
        <f ca="1">OFFSET(Assumptions!$B$55,0,$C$1)*AC$386</f>
        <v>11.420053177506327</v>
      </c>
      <c r="AD73" s="16">
        <f ca="1">OFFSET(Assumptions!$B$55,0,$C$1)*AD$386</f>
        <v>12.13265129774137</v>
      </c>
      <c r="AE73" s="16">
        <f ca="1">OFFSET(Assumptions!$B$55,0,$C$1)*AE$386</f>
        <v>12.891210738665336</v>
      </c>
      <c r="AF73" s="16">
        <f ca="1">OFFSET(Assumptions!$B$55,0,$C$1)*AF$386</f>
        <v>13.695852361173012</v>
      </c>
      <c r="AG73" s="16">
        <f ca="1">OFFSET(Assumptions!$B$55,0,$C$1)*AG$386</f>
        <v>14.545310947611675</v>
      </c>
      <c r="AH73" s="16">
        <f ca="1">OFFSET(Assumptions!$B$55,0,$C$1)*AH$386</f>
        <v>15.439507803274955</v>
      </c>
      <c r="AI73" s="16">
        <f ca="1">OFFSET(Assumptions!$B$55,0,$C$1)*AI$386</f>
        <v>16.377538316468563</v>
      </c>
      <c r="AJ73" s="16">
        <f ca="1">OFFSET(Assumptions!$B$55,0,$C$1)*AJ$386</f>
        <v>17.358468493636508</v>
      </c>
      <c r="AK73" s="16">
        <f ca="1">OFFSET(Assumptions!$B$55,0,$C$1)*AK$386</f>
        <v>18.376576699212809</v>
      </c>
      <c r="AL73" s="16">
        <f ca="1">OFFSET(Assumptions!$B$55,0,$C$1)*AL$386</f>
        <v>19.425908953866848</v>
      </c>
      <c r="AM73" s="16">
        <f ca="1">OFFSET(Assumptions!$B$55,0,$C$1)*AM$386</f>
        <v>20.503283405681259</v>
      </c>
      <c r="AN73" s="16">
        <f ca="1">OFFSET(Assumptions!$B$55,0,$C$1)*AN$386</f>
        <v>21.600915328781458</v>
      </c>
      <c r="AO73" s="16">
        <f ca="1">OFFSET(Assumptions!$B$55,0,$C$1)*AO$386</f>
        <v>22.714517536443882</v>
      </c>
      <c r="AP73" s="16">
        <f ca="1">OFFSET(Assumptions!$B$55,0,$C$1)*AP$386</f>
        <v>23.843493029849743</v>
      </c>
      <c r="AQ73" s="16">
        <f ca="1">OFFSET(Assumptions!$B$55,0,$C$1)*AQ$386</f>
        <v>24.989750168451767</v>
      </c>
      <c r="AR73" s="16">
        <f ca="1">OFFSET(Assumptions!$B$55,0,$C$1)*AR$386</f>
        <v>26.158098199646293</v>
      </c>
      <c r="AS73" s="16">
        <f ca="1">OFFSET(Assumptions!$B$55,0,$C$1)*AS$386</f>
        <v>27.349535812292334</v>
      </c>
      <c r="AT73" s="16">
        <f ca="1">OFFSET(Assumptions!$B$55,0,$C$1)*AT$386</f>
        <v>28.56820042588463</v>
      </c>
      <c r="AU73" s="16">
        <f ca="1">OFFSET(Assumptions!$B$55,0,$C$1)*AU$386</f>
        <v>29.818146687814419</v>
      </c>
      <c r="AV73" s="16">
        <f ca="1">OFFSET(Assumptions!$B$55,0,$C$1)*AV$386</f>
        <v>31.101799169442529</v>
      </c>
      <c r="AW73" s="16">
        <f ca="1">OFFSET(Assumptions!$B$55,0,$C$1)*AW$386</f>
        <v>32.424899152629585</v>
      </c>
      <c r="AX73" s="16">
        <f ca="1">OFFSET(Assumptions!$B$55,0,$C$1)*AX$386</f>
        <v>33.781354039888903</v>
      </c>
    </row>
    <row r="74" spans="1:50" x14ac:dyDescent="0.25">
      <c r="A74" s="11" t="s">
        <v>954</v>
      </c>
      <c r="B74" s="10" t="str">
        <f t="shared" si="360"/>
        <v>From Fiscal Forecasts</v>
      </c>
      <c r="C74" s="13"/>
      <c r="D74" s="35">
        <f>'Fiscal Forecasts'!D$150</f>
        <v>92.590999999999994</v>
      </c>
      <c r="E74" s="35">
        <f>'Fiscal Forecasts'!E$150</f>
        <v>101.77800000000001</v>
      </c>
      <c r="F74" s="35">
        <f>'Fiscal Forecasts'!F$150</f>
        <v>108.423</v>
      </c>
      <c r="G74" s="35">
        <f>'Fiscal Forecasts'!G$150</f>
        <v>121.13800000000001</v>
      </c>
      <c r="H74" s="35">
        <f>'Fiscal Forecasts'!H$150</f>
        <v>135.595</v>
      </c>
      <c r="I74" s="35">
        <f>'Fiscal Forecasts'!I$150</f>
        <v>154.9</v>
      </c>
      <c r="J74" s="17">
        <f>'Fiscal Forecasts'!J$150</f>
        <v>178.327</v>
      </c>
      <c r="K74" s="17">
        <f>'Fiscal Forecasts'!K$150</f>
        <v>184.34800000000001</v>
      </c>
      <c r="L74" s="17">
        <f>'Fiscal Forecasts'!L$150</f>
        <v>192.185</v>
      </c>
      <c r="M74" s="17">
        <f>'Fiscal Forecasts'!M$150</f>
        <v>198.71100000000001</v>
      </c>
      <c r="N74" s="17">
        <f>'Fiscal Forecasts'!N$150</f>
        <v>206.35</v>
      </c>
      <c r="O74" s="16">
        <f t="shared" ref="O74:AX74" ca="1" si="397">SUM(O$347,O$360,O$369,O$389,O$395)</f>
        <v>218.77331641887136</v>
      </c>
      <c r="P74" s="16">
        <f t="shared" ca="1" si="397"/>
        <v>230.34671003003237</v>
      </c>
      <c r="Q74" s="16">
        <f t="shared" ca="1" si="397"/>
        <v>242.32790853436109</v>
      </c>
      <c r="R74" s="16">
        <f t="shared" ca="1" si="397"/>
        <v>254.66895349034894</v>
      </c>
      <c r="S74" s="16">
        <f t="shared" ca="1" si="397"/>
        <v>267.4923542141272</v>
      </c>
      <c r="T74" s="16">
        <f t="shared" ca="1" si="397"/>
        <v>280.83361895950441</v>
      </c>
      <c r="U74" s="16">
        <f t="shared" ca="1" si="397"/>
        <v>294.67034573838203</v>
      </c>
      <c r="V74" s="16">
        <f t="shared" ca="1" si="397"/>
        <v>309.06219460679586</v>
      </c>
      <c r="W74" s="16">
        <f t="shared" ca="1" si="397"/>
        <v>324.08164493899403</v>
      </c>
      <c r="X74" s="16">
        <f t="shared" ca="1" si="397"/>
        <v>339.83991586505437</v>
      </c>
      <c r="Y74" s="16">
        <f t="shared" ca="1" si="397"/>
        <v>356.50162254622757</v>
      </c>
      <c r="Z74" s="16">
        <f t="shared" ca="1" si="397"/>
        <v>374.190711626694</v>
      </c>
      <c r="AA74" s="16">
        <f t="shared" ca="1" si="397"/>
        <v>392.99948962610051</v>
      </c>
      <c r="AB74" s="16">
        <f t="shared" ca="1" si="397"/>
        <v>413.03442269199837</v>
      </c>
      <c r="AC74" s="16">
        <f t="shared" ca="1" si="397"/>
        <v>434.30453374881137</v>
      </c>
      <c r="AD74" s="16">
        <f t="shared" ca="1" si="397"/>
        <v>456.80267297787293</v>
      </c>
      <c r="AE74" s="16">
        <f t="shared" ca="1" si="397"/>
        <v>480.54541633004959</v>
      </c>
      <c r="AF74" s="16">
        <f t="shared" ca="1" si="397"/>
        <v>505.53655465044147</v>
      </c>
      <c r="AG74" s="16">
        <f t="shared" ca="1" si="397"/>
        <v>531.74858368468199</v>
      </c>
      <c r="AH74" s="16">
        <f t="shared" ca="1" si="397"/>
        <v>559.17838318900658</v>
      </c>
      <c r="AI74" s="16">
        <f t="shared" ca="1" si="397"/>
        <v>587.81065659642013</v>
      </c>
      <c r="AJ74" s="16">
        <f t="shared" ca="1" si="397"/>
        <v>617.63589908005235</v>
      </c>
      <c r="AK74" s="16">
        <f t="shared" ca="1" si="397"/>
        <v>648.51535316784123</v>
      </c>
      <c r="AL74" s="16">
        <f t="shared" ca="1" si="397"/>
        <v>680.32497288164529</v>
      </c>
      <c r="AM74" s="16">
        <f t="shared" ca="1" si="397"/>
        <v>713.00498168384831</v>
      </c>
      <c r="AN74" s="16">
        <f t="shared" ca="1" si="397"/>
        <v>746.26289054734389</v>
      </c>
      <c r="AO74" s="16">
        <f t="shared" ca="1" si="397"/>
        <v>780.1412454881164</v>
      </c>
      <c r="AP74" s="16">
        <f t="shared" ca="1" si="397"/>
        <v>814.69831060769798</v>
      </c>
      <c r="AQ74" s="16">
        <f t="shared" ca="1" si="397"/>
        <v>849.90690623824969</v>
      </c>
      <c r="AR74" s="16">
        <f t="shared" ca="1" si="397"/>
        <v>885.89819988586942</v>
      </c>
      <c r="AS74" s="16">
        <f t="shared" ca="1" si="397"/>
        <v>922.69860167578622</v>
      </c>
      <c r="AT74" s="16">
        <f t="shared" ca="1" si="397"/>
        <v>960.42892844309699</v>
      </c>
      <c r="AU74" s="16">
        <f t="shared" ca="1" si="397"/>
        <v>999.17324868113326</v>
      </c>
      <c r="AV74" s="16">
        <f t="shared" ca="1" si="397"/>
        <v>1039.0107200772204</v>
      </c>
      <c r="AW74" s="16">
        <f t="shared" ca="1" si="397"/>
        <v>1080.0759949112082</v>
      </c>
      <c r="AX74" s="16">
        <f t="shared" ca="1" si="397"/>
        <v>1122.2360684794098</v>
      </c>
    </row>
    <row r="75" spans="1:50" x14ac:dyDescent="0.25">
      <c r="A75" s="11" t="s">
        <v>955</v>
      </c>
      <c r="B75" s="10" t="str">
        <f t="shared" si="360"/>
        <v>From Fiscal Forecasts</v>
      </c>
      <c r="C75" s="13"/>
      <c r="D75" s="35">
        <f>'Fiscal Forecasts'!D$151</f>
        <v>0.66900000000000004</v>
      </c>
      <c r="E75" s="35">
        <f>'Fiscal Forecasts'!E$151</f>
        <v>1.9E-2</v>
      </c>
      <c r="F75" s="35">
        <f>'Fiscal Forecasts'!F$151</f>
        <v>5.6000000000000001E-2</v>
      </c>
      <c r="G75" s="35">
        <f>'Fiscal Forecasts'!G$151</f>
        <v>0.55100000000000005</v>
      </c>
      <c r="H75" s="35">
        <f>'Fiscal Forecasts'!H$151</f>
        <v>2.5649999999999999</v>
      </c>
      <c r="I75" s="35">
        <f>'Fiscal Forecasts'!I$151</f>
        <v>3.278</v>
      </c>
      <c r="J75" s="17">
        <f>'Fiscal Forecasts'!J$151</f>
        <v>4.8579999999999997</v>
      </c>
      <c r="K75" s="17">
        <f>'Fiscal Forecasts'!K$151</f>
        <v>4.2329999999999997</v>
      </c>
      <c r="L75" s="17">
        <f>'Fiscal Forecasts'!L$151</f>
        <v>4.2619999999999996</v>
      </c>
      <c r="M75" s="17">
        <f>'Fiscal Forecasts'!M$151</f>
        <v>4.2910000000000004</v>
      </c>
      <c r="N75" s="17">
        <f>'Fiscal Forecasts'!N$151</f>
        <v>4.3239999999999998</v>
      </c>
      <c r="O75" s="16">
        <f t="shared" ref="O75" ca="1" si="398">N$75*(1+O$29)</f>
        <v>4.4104799999999997</v>
      </c>
      <c r="P75" s="16">
        <f t="shared" ref="P75" ca="1" si="399">O$75*(1+P$29)</f>
        <v>4.4986895999999996</v>
      </c>
      <c r="Q75" s="16">
        <f t="shared" ref="Q75" ca="1" si="400">P$75*(1+Q$29)</f>
        <v>4.588663392</v>
      </c>
      <c r="R75" s="16">
        <f t="shared" ref="R75" ca="1" si="401">Q$75*(1+R$29)</f>
        <v>4.6804366598399998</v>
      </c>
      <c r="S75" s="16">
        <f t="shared" ref="S75" ca="1" si="402">R$75*(1+S$29)</f>
        <v>4.7740453930367996</v>
      </c>
      <c r="T75" s="16">
        <f t="shared" ref="T75" ca="1" si="403">S$75*(1+T$29)</f>
        <v>4.8695263008975358</v>
      </c>
      <c r="U75" s="16">
        <f t="shared" ref="U75" ca="1" si="404">T$75*(1+U$29)</f>
        <v>4.9669168269154866</v>
      </c>
      <c r="V75" s="16">
        <f t="shared" ref="V75" ca="1" si="405">U$75*(1+V$29)</f>
        <v>5.0662551634537962</v>
      </c>
      <c r="W75" s="16">
        <f t="shared" ref="W75" ca="1" si="406">V$75*(1+W$29)</f>
        <v>5.1675802667228723</v>
      </c>
      <c r="X75" s="16">
        <f t="shared" ref="X75" ca="1" si="407">W$75*(1+X$29)</f>
        <v>5.2709318720573295</v>
      </c>
      <c r="Y75" s="16">
        <f t="shared" ref="Y75" ca="1" si="408">X$75*(1+Y$29)</f>
        <v>5.3763505094984758</v>
      </c>
      <c r="Z75" s="16">
        <f t="shared" ref="Z75" ca="1" si="409">Y$75*(1+Z$29)</f>
        <v>5.4838775196884457</v>
      </c>
      <c r="AA75" s="16">
        <f t="shared" ref="AA75" ca="1" si="410">Z$75*(1+AA$29)</f>
        <v>5.593555070082215</v>
      </c>
      <c r="AB75" s="16">
        <f t="shared" ref="AB75" ca="1" si="411">AA$75*(1+AB$29)</f>
        <v>5.7054261714838592</v>
      </c>
      <c r="AC75" s="16">
        <f t="shared" ref="AC75" ca="1" si="412">AB$75*(1+AC$29)</f>
        <v>5.8195346949135365</v>
      </c>
      <c r="AD75" s="16">
        <f t="shared" ref="AD75" ca="1" si="413">AC$75*(1+AD$29)</f>
        <v>5.9359253888118069</v>
      </c>
      <c r="AE75" s="16">
        <f t="shared" ref="AE75" ca="1" si="414">AD$75*(1+AE$29)</f>
        <v>6.0546438965880434</v>
      </c>
      <c r="AF75" s="16">
        <f t="shared" ref="AF75" ca="1" si="415">AE$75*(1+AF$29)</f>
        <v>6.1757367745198044</v>
      </c>
      <c r="AG75" s="16">
        <f t="shared" ref="AG75" ca="1" si="416">AF$75*(1+AG$29)</f>
        <v>6.2992515100102002</v>
      </c>
      <c r="AH75" s="16">
        <f t="shared" ref="AH75" ca="1" si="417">AG$75*(1+AH$29)</f>
        <v>6.4252365402104044</v>
      </c>
      <c r="AI75" s="16">
        <f t="shared" ref="AI75" ca="1" si="418">AH$75*(1+AI$29)</f>
        <v>6.5537412710146121</v>
      </c>
      <c r="AJ75" s="16">
        <f t="shared" ref="AJ75" ca="1" si="419">AI$75*(1+AJ$29)</f>
        <v>6.6848160964349042</v>
      </c>
      <c r="AK75" s="16">
        <f t="shared" ref="AK75" ca="1" si="420">AJ$75*(1+AK$29)</f>
        <v>6.8185124183636026</v>
      </c>
      <c r="AL75" s="16">
        <f t="shared" ref="AL75" ca="1" si="421">AK$75*(1+AL$29)</f>
        <v>6.9548826667308745</v>
      </c>
      <c r="AM75" s="16">
        <f t="shared" ref="AM75" ca="1" si="422">AL$75*(1+AM$29)</f>
        <v>7.0939803200654925</v>
      </c>
      <c r="AN75" s="16">
        <f t="shared" ref="AN75" ca="1" si="423">AM$75*(1+AN$29)</f>
        <v>7.2358599264668024</v>
      </c>
      <c r="AO75" s="16">
        <f t="shared" ref="AO75" ca="1" si="424">AN$75*(1+AO$29)</f>
        <v>7.3805771249961385</v>
      </c>
      <c r="AP75" s="16">
        <f t="shared" ref="AP75" ca="1" si="425">AO$75*(1+AP$29)</f>
        <v>7.5281886674960612</v>
      </c>
      <c r="AQ75" s="16">
        <f t="shared" ref="AQ75" ca="1" si="426">AP$75*(1+AQ$29)</f>
        <v>7.6787524408459822</v>
      </c>
      <c r="AR75" s="16">
        <f t="shared" ref="AR75" ca="1" si="427">AQ$75*(1+AR$29)</f>
        <v>7.8323274896629016</v>
      </c>
      <c r="AS75" s="16">
        <f t="shared" ref="AS75" ca="1" si="428">AR$75*(1+AS$29)</f>
        <v>7.9889740394561599</v>
      </c>
      <c r="AT75" s="16">
        <f t="shared" ref="AT75" ca="1" si="429">AS$75*(1+AT$29)</f>
        <v>8.1487535202452825</v>
      </c>
      <c r="AU75" s="16">
        <f t="shared" ref="AU75" ca="1" si="430">AT$75*(1+AU$29)</f>
        <v>8.3117285906501888</v>
      </c>
      <c r="AV75" s="16">
        <f t="shared" ref="AV75" ca="1" si="431">AU$75*(1+AV$29)</f>
        <v>8.4779631624631921</v>
      </c>
      <c r="AW75" s="16">
        <f t="shared" ref="AW75" ca="1" si="432">AV$75*(1+AW$29)</f>
        <v>8.6475224257124559</v>
      </c>
      <c r="AX75" s="16">
        <f t="shared" ref="AX75" ca="1" si="433">AW$75*(1+AX$29)</f>
        <v>8.8204728742267058</v>
      </c>
    </row>
    <row r="76" spans="1:50" x14ac:dyDescent="0.25">
      <c r="A76" s="11" t="s">
        <v>573</v>
      </c>
      <c r="B76" s="10" t="str">
        <f t="shared" si="360"/>
        <v>From Fiscal Forecasts</v>
      </c>
      <c r="C76" s="13"/>
      <c r="D76" s="35">
        <f>'Fiscal Forecasts'!D$152</f>
        <v>46.292999999999999</v>
      </c>
      <c r="E76" s="35">
        <f>'Fiscal Forecasts'!E$152</f>
        <v>46.895000000000003</v>
      </c>
      <c r="F76" s="35">
        <f>'Fiscal Forecasts'!F$152</f>
        <v>61.483999999999995</v>
      </c>
      <c r="G76" s="35">
        <f>'Fiscal Forecasts'!G$152</f>
        <v>65.254999999999995</v>
      </c>
      <c r="H76" s="35">
        <f>'Fiscal Forecasts'!H$152</f>
        <v>67.994000000000014</v>
      </c>
      <c r="I76" s="35">
        <f>'Fiscal Forecasts'!I$152</f>
        <v>78.811999999999998</v>
      </c>
      <c r="J76" s="17">
        <f>'Fiscal Forecasts'!J$152</f>
        <v>90.046999999999997</v>
      </c>
      <c r="K76" s="17">
        <f>'Fiscal Forecasts'!K$152</f>
        <v>93.933000000000007</v>
      </c>
      <c r="L76" s="17">
        <f>'Fiscal Forecasts'!L$152</f>
        <v>100.199</v>
      </c>
      <c r="M76" s="17">
        <f>'Fiscal Forecasts'!M$152</f>
        <v>104.995</v>
      </c>
      <c r="N76" s="17">
        <f>'Fiscal Forecasts'!N$152</f>
        <v>110.628</v>
      </c>
      <c r="O76" s="16">
        <f t="shared" ref="O76:AX76" ca="1" si="434">SUM(O$345,O$358,O$367,O$389,O$392,O$75-O$72)</f>
        <v>116.05313373620969</v>
      </c>
      <c r="P76" s="16">
        <f t="shared" ca="1" si="434"/>
        <v>123.46521684530585</v>
      </c>
      <c r="Q76" s="16">
        <f t="shared" ca="1" si="434"/>
        <v>131.23866826857744</v>
      </c>
      <c r="R76" s="16">
        <f t="shared" ca="1" si="434"/>
        <v>139.34664517870007</v>
      </c>
      <c r="S76" s="16">
        <f t="shared" ca="1" si="434"/>
        <v>147.78790886152663</v>
      </c>
      <c r="T76" s="16">
        <f t="shared" ca="1" si="434"/>
        <v>156.60311453609418</v>
      </c>
      <c r="U76" s="16">
        <f t="shared" ca="1" si="434"/>
        <v>165.76172529627132</v>
      </c>
      <c r="V76" s="16">
        <f t="shared" ca="1" si="434"/>
        <v>175.32488788026299</v>
      </c>
      <c r="W76" s="16">
        <f t="shared" ca="1" si="434"/>
        <v>185.38905791907945</v>
      </c>
      <c r="X76" s="16">
        <f t="shared" ca="1" si="434"/>
        <v>196.05788102399114</v>
      </c>
      <c r="Y76" s="16">
        <f t="shared" ca="1" si="434"/>
        <v>207.46827309152644</v>
      </c>
      <c r="Z76" s="16">
        <f t="shared" ca="1" si="434"/>
        <v>219.74571810487313</v>
      </c>
      <c r="AA76" s="16">
        <f t="shared" ca="1" si="434"/>
        <v>232.95684702995089</v>
      </c>
      <c r="AB76" s="16">
        <f t="shared" ca="1" si="434"/>
        <v>247.21140955823188</v>
      </c>
      <c r="AC76" s="16">
        <f t="shared" ca="1" si="434"/>
        <v>262.5191595972139</v>
      </c>
      <c r="AD76" s="16">
        <f t="shared" ca="1" si="434"/>
        <v>278.86499860117112</v>
      </c>
      <c r="AE76" s="16">
        <f t="shared" ca="1" si="434"/>
        <v>296.26617659181153</v>
      </c>
      <c r="AF76" s="16">
        <f t="shared" ca="1" si="434"/>
        <v>314.72546042638157</v>
      </c>
      <c r="AG76" s="16">
        <f t="shared" ca="1" si="434"/>
        <v>334.21377600101857</v>
      </c>
      <c r="AH76" s="16">
        <f t="shared" ca="1" si="434"/>
        <v>354.72930562885301</v>
      </c>
      <c r="AI76" s="16">
        <f t="shared" ca="1" si="434"/>
        <v>376.25125859417966</v>
      </c>
      <c r="AJ76" s="16">
        <f t="shared" ca="1" si="434"/>
        <v>398.75816902348902</v>
      </c>
      <c r="AK76" s="16">
        <f t="shared" ca="1" si="434"/>
        <v>422.11858990538212</v>
      </c>
      <c r="AL76" s="16">
        <f t="shared" ca="1" si="434"/>
        <v>446.19573665474786</v>
      </c>
      <c r="AM76" s="16">
        <f t="shared" ca="1" si="434"/>
        <v>470.91650533040672</v>
      </c>
      <c r="AN76" s="16">
        <f t="shared" ca="1" si="434"/>
        <v>496.10205530222009</v>
      </c>
      <c r="AO76" s="16">
        <f t="shared" ca="1" si="434"/>
        <v>521.65389061542703</v>
      </c>
      <c r="AP76" s="16">
        <f t="shared" ca="1" si="434"/>
        <v>547.55828548191664</v>
      </c>
      <c r="AQ76" s="16">
        <f t="shared" ca="1" si="434"/>
        <v>573.85906656259237</v>
      </c>
      <c r="AR76" s="16">
        <f t="shared" ca="1" si="434"/>
        <v>600.66669900582542</v>
      </c>
      <c r="AS76" s="16">
        <f t="shared" ca="1" si="434"/>
        <v>628.00411218881857</v>
      </c>
      <c r="AT76" s="16">
        <f t="shared" ca="1" si="434"/>
        <v>655.96633765018771</v>
      </c>
      <c r="AU76" s="16">
        <f t="shared" ca="1" si="434"/>
        <v>684.64650524954823</v>
      </c>
      <c r="AV76" s="16">
        <f t="shared" ca="1" si="434"/>
        <v>714.10029874903637</v>
      </c>
      <c r="AW76" s="16">
        <f t="shared" ca="1" si="434"/>
        <v>744.45959258150936</v>
      </c>
      <c r="AX76" s="16">
        <f t="shared" ca="1" si="434"/>
        <v>775.58441496644627</v>
      </c>
    </row>
    <row r="77" spans="1:50" x14ac:dyDescent="0.25">
      <c r="A77" s="11" t="s">
        <v>574</v>
      </c>
      <c r="B77" s="10" t="str">
        <f t="shared" si="360"/>
        <v>From Fiscal Forecasts</v>
      </c>
      <c r="C77" s="13"/>
      <c r="D77" s="35">
        <f>'Fiscal Forecasts'!D$153</f>
        <v>13.845000000000001</v>
      </c>
      <c r="E77" s="35">
        <f>'Fiscal Forecasts'!E$153</f>
        <v>14.555999999999999</v>
      </c>
      <c r="F77" s="35">
        <f>'Fiscal Forecasts'!F$153</f>
        <v>18.728000000000002</v>
      </c>
      <c r="G77" s="35">
        <f>'Fiscal Forecasts'!G$153</f>
        <v>26.103000000000002</v>
      </c>
      <c r="H77" s="35">
        <f>'Fiscal Forecasts'!H$153</f>
        <v>36.540999999999997</v>
      </c>
      <c r="I77" s="35">
        <f>'Fiscal Forecasts'!I$153</f>
        <v>40.387999999999998</v>
      </c>
      <c r="J77" s="17">
        <f>'Fiscal Forecasts'!J$153</f>
        <v>35.066000000000003</v>
      </c>
      <c r="K77" s="17">
        <f>'Fiscal Forecasts'!K$153</f>
        <v>29.248000000000001</v>
      </c>
      <c r="L77" s="17">
        <f>'Fiscal Forecasts'!L$153</f>
        <v>32.091999999999999</v>
      </c>
      <c r="M77" s="17">
        <f>'Fiscal Forecasts'!M$153</f>
        <v>33.713999999999999</v>
      </c>
      <c r="N77" s="17">
        <f>'Fiscal Forecasts'!N$153</f>
        <v>35.417999999999999</v>
      </c>
      <c r="O77" s="16">
        <f t="shared" ref="O77:AX77" ca="1" si="435">SUM(O$393:O$394)</f>
        <v>39.732809208735297</v>
      </c>
      <c r="P77" s="16">
        <f t="shared" ca="1" si="435"/>
        <v>41.132237635265035</v>
      </c>
      <c r="Q77" s="16">
        <f t="shared" ca="1" si="435"/>
        <v>42.568604006461086</v>
      </c>
      <c r="R77" s="16">
        <f t="shared" ca="1" si="435"/>
        <v>44.030100389982238</v>
      </c>
      <c r="S77" s="16">
        <f t="shared" ca="1" si="435"/>
        <v>45.552266345702797</v>
      </c>
      <c r="T77" s="16">
        <f t="shared" ca="1" si="435"/>
        <v>47.131331794512057</v>
      </c>
      <c r="U77" s="16">
        <f t="shared" ca="1" si="435"/>
        <v>48.763636667052502</v>
      </c>
      <c r="V77" s="16">
        <f t="shared" ca="1" si="435"/>
        <v>50.446841886408066</v>
      </c>
      <c r="W77" s="16">
        <f t="shared" ca="1" si="435"/>
        <v>52.173252212611843</v>
      </c>
      <c r="X77" s="16">
        <f t="shared" ca="1" si="435"/>
        <v>53.945235814245223</v>
      </c>
      <c r="Y77" s="16">
        <f t="shared" ca="1" si="435"/>
        <v>55.773218784745382</v>
      </c>
      <c r="Z77" s="16">
        <f t="shared" ca="1" si="435"/>
        <v>57.65506895499562</v>
      </c>
      <c r="AA77" s="16">
        <f t="shared" ca="1" si="435"/>
        <v>59.602106410235535</v>
      </c>
      <c r="AB77" s="16">
        <f t="shared" ca="1" si="435"/>
        <v>61.614888913984437</v>
      </c>
      <c r="AC77" s="16">
        <f t="shared" ca="1" si="435"/>
        <v>63.692772797651088</v>
      </c>
      <c r="AD77" s="16">
        <f t="shared" ca="1" si="435"/>
        <v>65.840930458496373</v>
      </c>
      <c r="AE77" s="16">
        <f t="shared" ca="1" si="435"/>
        <v>68.059764287018709</v>
      </c>
      <c r="AF77" s="16">
        <f t="shared" ca="1" si="435"/>
        <v>70.349327541294912</v>
      </c>
      <c r="AG77" s="16">
        <f t="shared" ca="1" si="435"/>
        <v>72.71072591019211</v>
      </c>
      <c r="AH77" s="16">
        <f t="shared" ca="1" si="435"/>
        <v>75.144691911066218</v>
      </c>
      <c r="AI77" s="16">
        <f t="shared" ca="1" si="435"/>
        <v>77.652486219812459</v>
      </c>
      <c r="AJ77" s="16">
        <f t="shared" ca="1" si="435"/>
        <v>80.240660260637696</v>
      </c>
      <c r="AK77" s="16">
        <f t="shared" ca="1" si="435"/>
        <v>82.908136574305018</v>
      </c>
      <c r="AL77" s="16">
        <f t="shared" ca="1" si="435"/>
        <v>85.661025330993695</v>
      </c>
      <c r="AM77" s="16">
        <f t="shared" ca="1" si="435"/>
        <v>88.505479464568566</v>
      </c>
      <c r="AN77" s="16">
        <f t="shared" ca="1" si="435"/>
        <v>91.322055799604314</v>
      </c>
      <c r="AO77" s="16">
        <f t="shared" ca="1" si="435"/>
        <v>94.249612029451583</v>
      </c>
      <c r="AP77" s="16">
        <f t="shared" ca="1" si="435"/>
        <v>97.343607767307702</v>
      </c>
      <c r="AQ77" s="16">
        <f t="shared" ca="1" si="435"/>
        <v>100.52762328159451</v>
      </c>
      <c r="AR77" s="16">
        <f t="shared" ca="1" si="435"/>
        <v>103.80749194016897</v>
      </c>
      <c r="AS77" s="16">
        <f t="shared" ca="1" si="435"/>
        <v>107.18229063549457</v>
      </c>
      <c r="AT77" s="16">
        <f t="shared" ca="1" si="435"/>
        <v>110.65894688235599</v>
      </c>
      <c r="AU77" s="16">
        <f t="shared" ca="1" si="435"/>
        <v>114.23109232845658</v>
      </c>
      <c r="AV77" s="16">
        <f t="shared" ca="1" si="435"/>
        <v>117.9038771151143</v>
      </c>
      <c r="AW77" s="16">
        <f t="shared" ca="1" si="435"/>
        <v>121.67418103663344</v>
      </c>
      <c r="AX77" s="16">
        <f t="shared" ca="1" si="435"/>
        <v>125.55182490092548</v>
      </c>
    </row>
    <row r="78" spans="1:50" x14ac:dyDescent="0.25">
      <c r="A78" s="9" t="s">
        <v>817</v>
      </c>
      <c r="B78" s="9"/>
      <c r="C78" s="13"/>
      <c r="D78" s="64">
        <f>SUM(D$71,D$72,D$76,D$77)-SUM(D$73,D$74,D$75)</f>
        <v>57.736000000000004</v>
      </c>
      <c r="E78" s="64">
        <f t="shared" ref="E78:AX78" si="436">SUM(E$71,E$72,E$76,E$77)-SUM(E$73,E$74,E$75)</f>
        <v>83.375</v>
      </c>
      <c r="F78" s="64">
        <f t="shared" si="436"/>
        <v>102.08000000000001</v>
      </c>
      <c r="G78" s="64">
        <f t="shared" si="436"/>
        <v>128.87299999999996</v>
      </c>
      <c r="H78" s="64">
        <f t="shared" si="436"/>
        <v>155.27300000000002</v>
      </c>
      <c r="I78" s="64">
        <f t="shared" si="436"/>
        <v>175.46399999999997</v>
      </c>
      <c r="J78" s="65">
        <f t="shared" si="436"/>
        <v>185.64400000000003</v>
      </c>
      <c r="K78" s="65">
        <f t="shared" si="436"/>
        <v>200.18799999999996</v>
      </c>
      <c r="L78" s="65">
        <f t="shared" si="436"/>
        <v>218.43800000000002</v>
      </c>
      <c r="M78" s="65">
        <f t="shared" si="436"/>
        <v>230.24799999999993</v>
      </c>
      <c r="N78" s="65">
        <f t="shared" si="436"/>
        <v>238.51499999999993</v>
      </c>
      <c r="O78" s="88">
        <f t="shared" ca="1" si="436"/>
        <v>251.88299524359803</v>
      </c>
      <c r="P78" s="88">
        <f t="shared" ca="1" si="436"/>
        <v>267.31021775684542</v>
      </c>
      <c r="Q78" s="88">
        <f t="shared" ca="1" si="436"/>
        <v>285.55447409239616</v>
      </c>
      <c r="R78" s="88">
        <f t="shared" ca="1" si="436"/>
        <v>306.94146365646213</v>
      </c>
      <c r="S78" s="88">
        <f t="shared" ca="1" si="436"/>
        <v>331.83259502127572</v>
      </c>
      <c r="T78" s="88">
        <f t="shared" ca="1" si="436"/>
        <v>360.07483243047761</v>
      </c>
      <c r="U78" s="88">
        <f t="shared" ca="1" si="436"/>
        <v>389.42089788767811</v>
      </c>
      <c r="V78" s="88">
        <f t="shared" ca="1" si="436"/>
        <v>421.12168274710626</v>
      </c>
      <c r="W78" s="88">
        <f t="shared" ca="1" si="436"/>
        <v>456.06365282067935</v>
      </c>
      <c r="X78" s="88">
        <f t="shared" ca="1" si="436"/>
        <v>494.60137941941923</v>
      </c>
      <c r="Y78" s="88">
        <f t="shared" ca="1" si="436"/>
        <v>536.55232712055999</v>
      </c>
      <c r="Z78" s="88">
        <f t="shared" ca="1" si="436"/>
        <v>582.20573589722699</v>
      </c>
      <c r="AA78" s="88">
        <f t="shared" ca="1" si="436"/>
        <v>631.88517653475446</v>
      </c>
      <c r="AB78" s="88">
        <f t="shared" ca="1" si="436"/>
        <v>685.84562909074862</v>
      </c>
      <c r="AC78" s="88">
        <f t="shared" ca="1" si="436"/>
        <v>744.37455424315135</v>
      </c>
      <c r="AD78" s="88">
        <f t="shared" ca="1" si="436"/>
        <v>807.80866598467424</v>
      </c>
      <c r="AE78" s="88">
        <f t="shared" ca="1" si="436"/>
        <v>876.48293026244221</v>
      </c>
      <c r="AF78" s="88">
        <f t="shared" ca="1" si="436"/>
        <v>950.76322887168374</v>
      </c>
      <c r="AG78" s="88">
        <f t="shared" ca="1" si="436"/>
        <v>1031.0594333624558</v>
      </c>
      <c r="AH78" s="88">
        <f t="shared" ca="1" si="436"/>
        <v>1117.7697246162172</v>
      </c>
      <c r="AI78" s="88">
        <f t="shared" ca="1" si="436"/>
        <v>1211.3415857471559</v>
      </c>
      <c r="AJ78" s="88">
        <f t="shared" ca="1" si="436"/>
        <v>1312.2639692909329</v>
      </c>
      <c r="AK78" s="88">
        <f t="shared" ca="1" si="436"/>
        <v>1421.040855549651</v>
      </c>
      <c r="AL78" s="88">
        <f t="shared" ca="1" si="436"/>
        <v>1538.2493702639842</v>
      </c>
      <c r="AM78" s="88">
        <f t="shared" ca="1" si="436"/>
        <v>1664.4996623835814</v>
      </c>
      <c r="AN78" s="88">
        <f t="shared" ca="1" si="436"/>
        <v>1800.4600872782735</v>
      </c>
      <c r="AO78" s="88">
        <f t="shared" ca="1" si="436"/>
        <v>1946.8980583473917</v>
      </c>
      <c r="AP78" s="88">
        <f t="shared" ca="1" si="436"/>
        <v>2104.5797685183343</v>
      </c>
      <c r="AQ78" s="88">
        <f t="shared" ca="1" si="436"/>
        <v>2274.1986758419353</v>
      </c>
      <c r="AR78" s="88">
        <f t="shared" ca="1" si="436"/>
        <v>2456.5585515096209</v>
      </c>
      <c r="AS78" s="88">
        <f t="shared" ca="1" si="436"/>
        <v>2652.511988865921</v>
      </c>
      <c r="AT78" s="88">
        <f t="shared" ca="1" si="436"/>
        <v>2862.9560075293502</v>
      </c>
      <c r="AU78" s="88">
        <f t="shared" ca="1" si="436"/>
        <v>3088.8158752347899</v>
      </c>
      <c r="AV78" s="88">
        <f t="shared" ca="1" si="436"/>
        <v>3331.159605152633</v>
      </c>
      <c r="AW78" s="88">
        <f t="shared" ca="1" si="436"/>
        <v>3591.0220011510119</v>
      </c>
      <c r="AX78" s="88">
        <f t="shared" ca="1" si="436"/>
        <v>3869.513969445059</v>
      </c>
    </row>
    <row r="79" spans="1:50" x14ac:dyDescent="0.25">
      <c r="A79" s="11" t="s">
        <v>576</v>
      </c>
      <c r="B79" s="10" t="str">
        <f t="shared" si="360"/>
        <v>From Fiscal Forecasts</v>
      </c>
      <c r="C79" s="13"/>
      <c r="D79" s="35">
        <f>'Fiscal Forecasts'!D$155</f>
        <v>6.931</v>
      </c>
      <c r="E79" s="35">
        <f>'Fiscal Forecasts'!E$155</f>
        <v>11.111000000000001</v>
      </c>
      <c r="F79" s="35">
        <f>'Fiscal Forecasts'!F$155</f>
        <v>11.836</v>
      </c>
      <c r="G79" s="35">
        <f>'Fiscal Forecasts'!G$155</f>
        <v>14.345000000000001</v>
      </c>
      <c r="H79" s="35">
        <f>'Fiscal Forecasts'!H$155</f>
        <v>48.11</v>
      </c>
      <c r="I79" s="35">
        <f>'Fiscal Forecasts'!I$155</f>
        <v>56.47</v>
      </c>
      <c r="J79" s="17">
        <f>'Fiscal Forecasts'!J$155</f>
        <v>62.162999999999997</v>
      </c>
      <c r="K79" s="17">
        <f>'Fiscal Forecasts'!K$155</f>
        <v>67.882999999999996</v>
      </c>
      <c r="L79" s="17">
        <f>'Fiscal Forecasts'!L$155</f>
        <v>73.34</v>
      </c>
      <c r="M79" s="17">
        <f>'Fiscal Forecasts'!M$155</f>
        <v>78.39</v>
      </c>
      <c r="N79" s="17">
        <f>'Fiscal Forecasts'!N$155</f>
        <v>82.649000000000001</v>
      </c>
      <c r="O79" s="16">
        <f t="shared" ref="O79" ca="1" si="437">N$79+O$80-N$80</f>
        <v>84.897385256197893</v>
      </c>
      <c r="P79" s="16">
        <f t="shared" ref="P79" ca="1" si="438">O$79+P$80-O$80</f>
        <v>87.211690841623067</v>
      </c>
      <c r="Q79" s="16">
        <f t="shared" ref="Q79" ca="1" si="439">P$79+Q$80-P$80</f>
        <v>89.533703289655847</v>
      </c>
      <c r="R79" s="16">
        <f t="shared" ref="R79" ca="1" si="440">Q$79+R$80-Q$80</f>
        <v>91.855565798909339</v>
      </c>
      <c r="S79" s="16">
        <f t="shared" ref="S79" ca="1" si="441">R$79+S$80-R$80</f>
        <v>94.251672901859934</v>
      </c>
      <c r="T79" s="16">
        <f t="shared" ref="T79" ca="1" si="442">S$79+T$80-S$80</f>
        <v>96.720856898926002</v>
      </c>
      <c r="U79" s="16">
        <f t="shared" ref="U79" ca="1" si="443">T$79+U$80-T$80</f>
        <v>99.2730599771794</v>
      </c>
      <c r="V79" s="16">
        <f t="shared" ref="V79" ca="1" si="444">U$79+V$80-U$80</f>
        <v>101.90899450098256</v>
      </c>
      <c r="W79" s="16">
        <f t="shared" ref="W79" ca="1" si="445">V$79+W$80-V$80</f>
        <v>104.61492127068855</v>
      </c>
      <c r="X79" s="16">
        <f t="shared" ref="X79" ca="1" si="446">W$79+X$80-W$80</f>
        <v>107.39522394933692</v>
      </c>
      <c r="Y79" s="16">
        <f t="shared" ref="Y79" ca="1" si="447">X$79+Y$80-X$80</f>
        <v>110.26446484662446</v>
      </c>
      <c r="Z79" s="16">
        <f t="shared" ref="Z79" ca="1" si="448">Y$79+Z$80-Y$80</f>
        <v>113.22313853605891</v>
      </c>
      <c r="AA79" s="16">
        <f t="shared" ref="AA79" ca="1" si="449">Z$79+AA$80-Z$80</f>
        <v>116.28334606432102</v>
      </c>
      <c r="AB79" s="16">
        <f t="shared" ref="AB79" ca="1" si="450">AA$79+AB$80-AA$80</f>
        <v>119.44183998976055</v>
      </c>
      <c r="AC79" s="16">
        <f t="shared" ref="AC79" ca="1" si="451">AB$79+AC$80-AB$80</f>
        <v>122.6985390835148</v>
      </c>
      <c r="AD79" s="16">
        <f t="shared" ref="AD79" ca="1" si="452">AC$79+AD$80-AC$80</f>
        <v>126.05577734863887</v>
      </c>
      <c r="AE79" s="16">
        <f t="shared" ref="AE79" ca="1" si="453">AD$79+AE$80-AD$80</f>
        <v>129.51263893925307</v>
      </c>
      <c r="AF79" s="16">
        <f t="shared" ref="AF79" ca="1" si="454">AE$79+AF$80-AE$80</f>
        <v>133.06993458564727</v>
      </c>
      <c r="AG79" s="16">
        <f t="shared" ref="AG79" ca="1" si="455">AF$79+AG$80-AF$80</f>
        <v>136.72804758386872</v>
      </c>
      <c r="AH79" s="16">
        <f t="shared" ref="AH79" ca="1" si="456">AG$79+AH$80-AG$80</f>
        <v>140.48525304881537</v>
      </c>
      <c r="AI79" s="16">
        <f t="shared" ref="AI79" ca="1" si="457">AH$79+AI$80-AH$80</f>
        <v>144.34511322765371</v>
      </c>
      <c r="AJ79" s="16">
        <f t="shared" ref="AJ79" ca="1" si="458">AI$79+AJ$80-AI$80</f>
        <v>148.31218223774604</v>
      </c>
      <c r="AK79" s="16">
        <f t="shared" ref="AK79" ca="1" si="459">AJ$79+AK$80-AJ$80</f>
        <v>152.38119387719229</v>
      </c>
      <c r="AL79" s="16">
        <f t="shared" ref="AL79" ca="1" si="460">AK$79+AL$80-AK$80</f>
        <v>156.55772993867345</v>
      </c>
      <c r="AM79" s="16">
        <f t="shared" ref="AM79" ca="1" si="461">AL$79+AM$80-AL$80</f>
        <v>160.84783259325903</v>
      </c>
      <c r="AN79" s="16">
        <f t="shared" ref="AN79" ca="1" si="462">AM$79+AN$80-AM$80</f>
        <v>165.25638010597203</v>
      </c>
      <c r="AO79" s="16">
        <f t="shared" ref="AO79" ca="1" si="463">AN$79+AO$80-AN$80</f>
        <v>169.78520522221237</v>
      </c>
      <c r="AP79" s="16">
        <f t="shared" ref="AP79" ca="1" si="464">AO$79+AP$80-AO$80</f>
        <v>174.448240842335</v>
      </c>
      <c r="AQ79" s="16">
        <f t="shared" ref="AQ79" ca="1" si="465">AP$79+AQ$80-AP$80</f>
        <v>179.25004297736018</v>
      </c>
      <c r="AR79" s="16">
        <f t="shared" ref="AR79" ca="1" si="466">AQ$79+AR$80-AQ$80</f>
        <v>184.20314289439921</v>
      </c>
      <c r="AS79" s="16">
        <f t="shared" ref="AS79" ca="1" si="467">AR$79+AS$80-AR$80</f>
        <v>189.31124468255692</v>
      </c>
      <c r="AT79" s="16">
        <f t="shared" ref="AT79" ca="1" si="468">AS$79+AT$80-AS$80</f>
        <v>194.5902436027512</v>
      </c>
      <c r="AU79" s="16">
        <f t="shared" ref="AU79" ca="1" si="469">AT$79+AU$80-AT$80</f>
        <v>200.03785736290374</v>
      </c>
      <c r="AV79" s="16">
        <f t="shared" ref="AV79" ca="1" si="470">AU$79+AV$80-AU$80</f>
        <v>205.66953038656681</v>
      </c>
      <c r="AW79" s="16">
        <f t="shared" ref="AW79" ca="1" si="471">AV$79+AW$80-AV$80</f>
        <v>211.49022620772854</v>
      </c>
      <c r="AX79" s="16">
        <f t="shared" ref="AX79" ca="1" si="472">AW$79+AX$80-AW$80</f>
        <v>217.49752631224703</v>
      </c>
    </row>
    <row r="80" spans="1:50" x14ac:dyDescent="0.25">
      <c r="A80" s="11" t="s">
        <v>1065</v>
      </c>
      <c r="B80" s="10" t="str">
        <f t="shared" si="360"/>
        <v>From Fiscal Forecasts</v>
      </c>
      <c r="C80" s="13"/>
      <c r="D80" s="35">
        <f>'Fiscal Forecasts'!D$156</f>
        <v>0</v>
      </c>
      <c r="E80" s="35">
        <f>'Fiscal Forecasts'!E$156</f>
        <v>0</v>
      </c>
      <c r="F80" s="35">
        <f>'Fiscal Forecasts'!F$156</f>
        <v>0</v>
      </c>
      <c r="G80" s="35">
        <f>'Fiscal Forecasts'!G$156</f>
        <v>0</v>
      </c>
      <c r="H80" s="35">
        <f>'Fiscal Forecasts'!H$156</f>
        <v>30.574000000000002</v>
      </c>
      <c r="I80" s="35">
        <f>'Fiscal Forecasts'!I$156</f>
        <v>33.290999999999997</v>
      </c>
      <c r="J80" s="17">
        <f>'Fiscal Forecasts'!J$156</f>
        <v>36.505000000000003</v>
      </c>
      <c r="K80" s="17">
        <f>'Fiscal Forecasts'!K$156</f>
        <v>40.314999999999998</v>
      </c>
      <c r="L80" s="17">
        <f>'Fiscal Forecasts'!L$156</f>
        <v>44.011000000000003</v>
      </c>
      <c r="M80" s="17">
        <f>'Fiscal Forecasts'!M$156</f>
        <v>48.152999999999999</v>
      </c>
      <c r="N80" s="17">
        <f>'Fiscal Forecasts'!N$156</f>
        <v>51.787999999999997</v>
      </c>
      <c r="O80" s="16">
        <f t="shared" ref="O80:AX80" ca="1" si="473">N$80+O$396-N$396</f>
        <v>54.036385256197882</v>
      </c>
      <c r="P80" s="16">
        <f t="shared" ca="1" si="473"/>
        <v>56.35069084162307</v>
      </c>
      <c r="Q80" s="16">
        <f t="shared" ca="1" si="473"/>
        <v>58.672703289655864</v>
      </c>
      <c r="R80" s="16">
        <f t="shared" ca="1" si="473"/>
        <v>60.994565798909349</v>
      </c>
      <c r="S80" s="16">
        <f t="shared" ca="1" si="473"/>
        <v>63.390672901859936</v>
      </c>
      <c r="T80" s="16">
        <f t="shared" ca="1" si="473"/>
        <v>65.859856898926012</v>
      </c>
      <c r="U80" s="16">
        <f t="shared" ca="1" si="473"/>
        <v>68.412059977179396</v>
      </c>
      <c r="V80" s="16">
        <f t="shared" ca="1" si="473"/>
        <v>71.047994500982568</v>
      </c>
      <c r="W80" s="16">
        <f t="shared" ca="1" si="473"/>
        <v>73.753921270688579</v>
      </c>
      <c r="X80" s="16">
        <f t="shared" ca="1" si="473"/>
        <v>76.534223949336933</v>
      </c>
      <c r="Y80" s="16">
        <f t="shared" ca="1" si="473"/>
        <v>79.403464846624473</v>
      </c>
      <c r="Z80" s="16">
        <f t="shared" ca="1" si="473"/>
        <v>82.362138536058922</v>
      </c>
      <c r="AA80" s="16">
        <f t="shared" ca="1" si="473"/>
        <v>85.422346064321033</v>
      </c>
      <c r="AB80" s="16">
        <f t="shared" ca="1" si="473"/>
        <v>88.580839989760577</v>
      </c>
      <c r="AC80" s="16">
        <f t="shared" ca="1" si="473"/>
        <v>91.837539083514812</v>
      </c>
      <c r="AD80" s="16">
        <f t="shared" ca="1" si="473"/>
        <v>95.19477734863888</v>
      </c>
      <c r="AE80" s="16">
        <f t="shared" ca="1" si="473"/>
        <v>98.651638939253061</v>
      </c>
      <c r="AF80" s="16">
        <f t="shared" ca="1" si="473"/>
        <v>102.20893458564726</v>
      </c>
      <c r="AG80" s="16">
        <f t="shared" ca="1" si="473"/>
        <v>105.8670475838687</v>
      </c>
      <c r="AH80" s="16">
        <f t="shared" ca="1" si="473"/>
        <v>109.62425304881535</v>
      </c>
      <c r="AI80" s="16">
        <f t="shared" ca="1" si="473"/>
        <v>113.48411322765369</v>
      </c>
      <c r="AJ80" s="16">
        <f t="shared" ca="1" si="473"/>
        <v>117.45118223774604</v>
      </c>
      <c r="AK80" s="16">
        <f t="shared" ca="1" si="473"/>
        <v>121.52019387719226</v>
      </c>
      <c r="AL80" s="16">
        <f t="shared" ca="1" si="473"/>
        <v>125.69672993867337</v>
      </c>
      <c r="AM80" s="16">
        <f t="shared" ca="1" si="473"/>
        <v>129.98683259325895</v>
      </c>
      <c r="AN80" s="16">
        <f t="shared" ca="1" si="473"/>
        <v>134.39538010597192</v>
      </c>
      <c r="AO80" s="16">
        <f t="shared" ca="1" si="473"/>
        <v>138.92420522221227</v>
      </c>
      <c r="AP80" s="16">
        <f t="shared" ca="1" si="473"/>
        <v>143.58724084233489</v>
      </c>
      <c r="AQ80" s="16">
        <f t="shared" ca="1" si="473"/>
        <v>148.38904297736008</v>
      </c>
      <c r="AR80" s="16">
        <f t="shared" ca="1" si="473"/>
        <v>153.34214289439907</v>
      </c>
      <c r="AS80" s="16">
        <f t="shared" ca="1" si="473"/>
        <v>158.45024468255676</v>
      </c>
      <c r="AT80" s="16">
        <f t="shared" ca="1" si="473"/>
        <v>163.72924360275104</v>
      </c>
      <c r="AU80" s="16">
        <f t="shared" ca="1" si="473"/>
        <v>169.1768573629036</v>
      </c>
      <c r="AV80" s="16">
        <f t="shared" ca="1" si="473"/>
        <v>174.80853038656664</v>
      </c>
      <c r="AW80" s="16">
        <f t="shared" ca="1" si="473"/>
        <v>180.62922620772838</v>
      </c>
      <c r="AX80" s="16">
        <f t="shared" ca="1" si="473"/>
        <v>186.63652631224684</v>
      </c>
    </row>
    <row r="81" spans="1:50" x14ac:dyDescent="0.25">
      <c r="A81" s="9" t="s">
        <v>751</v>
      </c>
      <c r="B81" s="9"/>
      <c r="C81" s="13"/>
      <c r="D81" s="64">
        <f>SUM(D$78,D$79)-SUM(D$77,D$80)</f>
        <v>50.822000000000003</v>
      </c>
      <c r="E81" s="64">
        <f t="shared" ref="E81:AX81" si="474">SUM(E$78,E$79)-SUM(E$77,E$80)</f>
        <v>79.930000000000007</v>
      </c>
      <c r="F81" s="64">
        <f t="shared" si="474"/>
        <v>95.188000000000017</v>
      </c>
      <c r="G81" s="64">
        <f t="shared" si="474"/>
        <v>117.11499999999995</v>
      </c>
      <c r="H81" s="64">
        <f t="shared" si="474"/>
        <v>136.26800000000003</v>
      </c>
      <c r="I81" s="64">
        <f t="shared" si="474"/>
        <v>158.25499999999997</v>
      </c>
      <c r="J81" s="65">
        <f t="shared" si="474"/>
        <v>176.23600000000002</v>
      </c>
      <c r="K81" s="65">
        <f t="shared" si="474"/>
        <v>198.50799999999998</v>
      </c>
      <c r="L81" s="65">
        <f t="shared" si="474"/>
        <v>215.67500000000001</v>
      </c>
      <c r="M81" s="65">
        <f t="shared" si="474"/>
        <v>226.77099999999993</v>
      </c>
      <c r="N81" s="65">
        <f t="shared" si="474"/>
        <v>233.95799999999994</v>
      </c>
      <c r="O81" s="88">
        <f t="shared" ca="1" si="474"/>
        <v>243.01118603486273</v>
      </c>
      <c r="P81" s="88">
        <f t="shared" ca="1" si="474"/>
        <v>257.03898012158038</v>
      </c>
      <c r="Q81" s="88">
        <f t="shared" ca="1" si="474"/>
        <v>273.84687008593505</v>
      </c>
      <c r="R81" s="88">
        <f t="shared" ca="1" si="474"/>
        <v>293.77236326647983</v>
      </c>
      <c r="S81" s="88">
        <f t="shared" ca="1" si="474"/>
        <v>317.14132867557294</v>
      </c>
      <c r="T81" s="88">
        <f t="shared" ca="1" si="474"/>
        <v>343.80450063596555</v>
      </c>
      <c r="U81" s="88">
        <f t="shared" ca="1" si="474"/>
        <v>371.51826122062562</v>
      </c>
      <c r="V81" s="88">
        <f t="shared" ca="1" si="474"/>
        <v>401.53584086069822</v>
      </c>
      <c r="W81" s="88">
        <f t="shared" ca="1" si="474"/>
        <v>434.75140060806746</v>
      </c>
      <c r="X81" s="88">
        <f t="shared" ca="1" si="474"/>
        <v>471.517143605174</v>
      </c>
      <c r="Y81" s="88">
        <f t="shared" ca="1" si="474"/>
        <v>511.6401083358146</v>
      </c>
      <c r="Z81" s="88">
        <f t="shared" ca="1" si="474"/>
        <v>555.41166694223148</v>
      </c>
      <c r="AA81" s="88">
        <f t="shared" ca="1" si="474"/>
        <v>603.14407012451886</v>
      </c>
      <c r="AB81" s="88">
        <f t="shared" ca="1" si="474"/>
        <v>655.09174017676412</v>
      </c>
      <c r="AC81" s="88">
        <f t="shared" ca="1" si="474"/>
        <v>711.54278144550017</v>
      </c>
      <c r="AD81" s="88">
        <f t="shared" ca="1" si="474"/>
        <v>772.82873552617787</v>
      </c>
      <c r="AE81" s="88">
        <f t="shared" ca="1" si="474"/>
        <v>839.28416597542355</v>
      </c>
      <c r="AF81" s="88">
        <f t="shared" ca="1" si="474"/>
        <v>911.27490133038884</v>
      </c>
      <c r="AG81" s="88">
        <f t="shared" ca="1" si="474"/>
        <v>989.20970745226384</v>
      </c>
      <c r="AH81" s="88">
        <f t="shared" ca="1" si="474"/>
        <v>1073.486032705151</v>
      </c>
      <c r="AI81" s="88">
        <f t="shared" ca="1" si="474"/>
        <v>1164.5500995273435</v>
      </c>
      <c r="AJ81" s="88">
        <f t="shared" ca="1" si="474"/>
        <v>1262.8843090302953</v>
      </c>
      <c r="AK81" s="88">
        <f t="shared" ca="1" si="474"/>
        <v>1368.9937189753462</v>
      </c>
      <c r="AL81" s="88">
        <f t="shared" ca="1" si="474"/>
        <v>1483.4493449329907</v>
      </c>
      <c r="AM81" s="88">
        <f t="shared" ca="1" si="474"/>
        <v>1606.8551829190128</v>
      </c>
      <c r="AN81" s="88">
        <f t="shared" ca="1" si="474"/>
        <v>1739.9990314786694</v>
      </c>
      <c r="AO81" s="88">
        <f t="shared" ca="1" si="474"/>
        <v>1883.5094463179403</v>
      </c>
      <c r="AP81" s="88">
        <f t="shared" ca="1" si="474"/>
        <v>2038.0971607510266</v>
      </c>
      <c r="AQ81" s="88">
        <f t="shared" ca="1" si="474"/>
        <v>2204.5320525603406</v>
      </c>
      <c r="AR81" s="88">
        <f t="shared" ca="1" si="474"/>
        <v>2383.612059569452</v>
      </c>
      <c r="AS81" s="88">
        <f t="shared" ca="1" si="474"/>
        <v>2576.1906982304267</v>
      </c>
      <c r="AT81" s="88">
        <f t="shared" ca="1" si="474"/>
        <v>2783.1580606469947</v>
      </c>
      <c r="AU81" s="88">
        <f t="shared" ca="1" si="474"/>
        <v>3005.4457829063335</v>
      </c>
      <c r="AV81" s="88">
        <f t="shared" ca="1" si="474"/>
        <v>3244.1167280375189</v>
      </c>
      <c r="AW81" s="88">
        <f t="shared" ca="1" si="474"/>
        <v>3500.2088201143783</v>
      </c>
      <c r="AX81" s="88">
        <f t="shared" ca="1" si="474"/>
        <v>3774.8231445441338</v>
      </c>
    </row>
    <row r="82" spans="1:50" x14ac:dyDescent="0.25">
      <c r="A82" s="9" t="s">
        <v>579</v>
      </c>
      <c r="B82" s="9"/>
      <c r="C82" s="13"/>
      <c r="D82" s="64">
        <f>SUM(D$81,D$73)-D$76</f>
        <v>5.4320000000000022</v>
      </c>
      <c r="E82" s="64">
        <f t="shared" ref="E82:AX82" si="475">SUM(E$81,E$73)-E$76</f>
        <v>35.71</v>
      </c>
      <c r="F82" s="64">
        <f t="shared" si="475"/>
        <v>35.921000000000021</v>
      </c>
      <c r="G82" s="64">
        <f t="shared" si="475"/>
        <v>61.849999999999952</v>
      </c>
      <c r="H82" s="64">
        <f t="shared" si="475"/>
        <v>71.367000000000004</v>
      </c>
      <c r="I82" s="64">
        <f t="shared" si="475"/>
        <v>82.19699999999996</v>
      </c>
      <c r="J82" s="65">
        <f t="shared" si="475"/>
        <v>92.796000000000021</v>
      </c>
      <c r="K82" s="65">
        <f t="shared" si="475"/>
        <v>110.88599999999998</v>
      </c>
      <c r="L82" s="65">
        <f t="shared" si="475"/>
        <v>122.84000000000002</v>
      </c>
      <c r="M82" s="65">
        <f t="shared" si="475"/>
        <v>128.42699999999994</v>
      </c>
      <c r="N82" s="65">
        <f t="shared" si="475"/>
        <v>129.66499999999996</v>
      </c>
      <c r="O82" s="88">
        <f t="shared" ca="1" si="475"/>
        <v>131.98964181655384</v>
      </c>
      <c r="P82" s="88">
        <f t="shared" ca="1" si="475"/>
        <v>138.92879917517297</v>
      </c>
      <c r="Q82" s="88">
        <f t="shared" ca="1" si="475"/>
        <v>148.30243076147576</v>
      </c>
      <c r="R82" s="88">
        <f t="shared" ca="1" si="475"/>
        <v>160.47371854579288</v>
      </c>
      <c r="S82" s="88">
        <f t="shared" ca="1" si="475"/>
        <v>175.769716652482</v>
      </c>
      <c r="T82" s="88">
        <f t="shared" ca="1" si="475"/>
        <v>194.00227429798545</v>
      </c>
      <c r="U82" s="88">
        <f t="shared" ca="1" si="475"/>
        <v>212.95698147608937</v>
      </c>
      <c r="V82" s="88">
        <f t="shared" ca="1" si="475"/>
        <v>233.82858403357929</v>
      </c>
      <c r="W82" s="88">
        <f t="shared" ca="1" si="475"/>
        <v>257.418986603333</v>
      </c>
      <c r="X82" s="88">
        <f t="shared" ca="1" si="475"/>
        <v>283.98125892656378</v>
      </c>
      <c r="Y82" s="88">
        <f t="shared" ca="1" si="475"/>
        <v>313.19148411524128</v>
      </c>
      <c r="Z82" s="88">
        <f t="shared" ca="1" si="475"/>
        <v>345.22101321127775</v>
      </c>
      <c r="AA82" s="88">
        <f t="shared" ca="1" si="475"/>
        <v>380.31836687516278</v>
      </c>
      <c r="AB82" s="88">
        <f t="shared" ca="1" si="475"/>
        <v>418.6329956689321</v>
      </c>
      <c r="AC82" s="88">
        <f t="shared" ca="1" si="475"/>
        <v>460.44367502579263</v>
      </c>
      <c r="AD82" s="88">
        <f t="shared" ca="1" si="475"/>
        <v>506.09638822274815</v>
      </c>
      <c r="AE82" s="88">
        <f t="shared" ca="1" si="475"/>
        <v>555.9092001222773</v>
      </c>
      <c r="AF82" s="88">
        <f t="shared" ca="1" si="475"/>
        <v>610.24529326518029</v>
      </c>
      <c r="AG82" s="88">
        <f t="shared" ca="1" si="475"/>
        <v>669.54124239885698</v>
      </c>
      <c r="AH82" s="88">
        <f t="shared" ca="1" si="475"/>
        <v>734.1962348795729</v>
      </c>
      <c r="AI82" s="88">
        <f t="shared" ca="1" si="475"/>
        <v>804.67637924963242</v>
      </c>
      <c r="AJ82" s="88">
        <f t="shared" ca="1" si="475"/>
        <v>881.48460850044285</v>
      </c>
      <c r="AK82" s="88">
        <f t="shared" ca="1" si="475"/>
        <v>965.25170576917685</v>
      </c>
      <c r="AL82" s="88">
        <f t="shared" ca="1" si="475"/>
        <v>1056.6795172321097</v>
      </c>
      <c r="AM82" s="88">
        <f t="shared" ca="1" si="475"/>
        <v>1156.4419609942875</v>
      </c>
      <c r="AN82" s="88">
        <f t="shared" ca="1" si="475"/>
        <v>1265.4978915052307</v>
      </c>
      <c r="AO82" s="88">
        <f t="shared" ca="1" si="475"/>
        <v>1384.5700732389573</v>
      </c>
      <c r="AP82" s="88">
        <f t="shared" ca="1" si="475"/>
        <v>1514.3823682989596</v>
      </c>
      <c r="AQ82" s="88">
        <f t="shared" ca="1" si="475"/>
        <v>1655.6627361661999</v>
      </c>
      <c r="AR82" s="88">
        <f t="shared" ca="1" si="475"/>
        <v>1809.1034587632728</v>
      </c>
      <c r="AS82" s="88">
        <f t="shared" ca="1" si="475"/>
        <v>1975.5361218539006</v>
      </c>
      <c r="AT82" s="88">
        <f t="shared" ca="1" si="475"/>
        <v>2155.7599234226918</v>
      </c>
      <c r="AU82" s="88">
        <f t="shared" ca="1" si="475"/>
        <v>2350.6174243445998</v>
      </c>
      <c r="AV82" s="88">
        <f t="shared" ca="1" si="475"/>
        <v>2561.1182284579249</v>
      </c>
      <c r="AW82" s="88">
        <f t="shared" ca="1" si="475"/>
        <v>2788.1741266854988</v>
      </c>
      <c r="AX82" s="88">
        <f t="shared" ca="1" si="475"/>
        <v>3033.0200836175763</v>
      </c>
    </row>
    <row r="83" spans="1:50" x14ac:dyDescent="0.25">
      <c r="A83" s="55" t="s">
        <v>818</v>
      </c>
      <c r="B83" s="10" t="str">
        <f>$B$42</f>
        <v>Outturn &amp; Forecast only</v>
      </c>
      <c r="C83" s="13"/>
      <c r="D83" s="87" t="str">
        <f>IF(ROUND('Fiscal Forecasts'!D$158-D$82,3)=0,"OK","ERROR")</f>
        <v>OK</v>
      </c>
      <c r="E83" s="87" t="str">
        <f>IF(ROUND('Fiscal Forecasts'!E$158-E$82,3)=0,"OK","ERROR")</f>
        <v>OK</v>
      </c>
      <c r="F83" s="87" t="str">
        <f>IF(ROUND('Fiscal Forecasts'!F$158-F$82,3)=0,"OK","ERROR")</f>
        <v>OK</v>
      </c>
      <c r="G83" s="87" t="str">
        <f>IF(ROUND('Fiscal Forecasts'!G$158-G$82,3)=0,"OK","ERROR")</f>
        <v>OK</v>
      </c>
      <c r="H83" s="87" t="str">
        <f>IF(ROUND('Fiscal Forecasts'!H$158-H$82,3)=0,"OK","ERROR")</f>
        <v>OK</v>
      </c>
      <c r="I83" s="87" t="str">
        <f>IF(ROUND('Fiscal Forecasts'!I$158-I$82,3)=0,"OK","ERROR")</f>
        <v>OK</v>
      </c>
      <c r="J83" s="87" t="str">
        <f>IF(ROUND('Fiscal Forecasts'!J$158-J$82,3)=0,"OK","ERROR")</f>
        <v>OK</v>
      </c>
      <c r="K83" s="87" t="str">
        <f>IF(ROUND('Fiscal Forecasts'!K$158-K$82,3)=0,"OK","ERROR")</f>
        <v>OK</v>
      </c>
      <c r="L83" s="87" t="str">
        <f>IF(ROUND('Fiscal Forecasts'!L$158-L$82,3)=0,"OK","ERROR")</f>
        <v>OK</v>
      </c>
      <c r="M83" s="87" t="str">
        <f>IF(ROUND('Fiscal Forecasts'!M$158-M$82,3)=0,"OK","ERROR")</f>
        <v>OK</v>
      </c>
      <c r="N83" s="87" t="str">
        <f>IF(ROUND('Fiscal Forecasts'!N$158-N$82,3)=0,"OK","ERROR")</f>
        <v>OK</v>
      </c>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row>
    <row r="84" spans="1:50" x14ac:dyDescent="0.25">
      <c r="A84" s="11" t="s">
        <v>819</v>
      </c>
      <c r="B84" s="10" t="str">
        <f t="shared" ref="B84" si="476">$B$38</f>
        <v>From Fiscal Forecasts</v>
      </c>
      <c r="C84" s="13"/>
      <c r="D84" s="35">
        <f>'Fiscal Forecasts'!D$160</f>
        <v>6.4809999999999999</v>
      </c>
      <c r="E84" s="35">
        <f>'Fiscal Forecasts'!E$160</f>
        <v>21.887999999999998</v>
      </c>
      <c r="F84" s="35">
        <f>'Fiscal Forecasts'!F$160</f>
        <v>30.420999999999999</v>
      </c>
      <c r="G84" s="35">
        <f>'Fiscal Forecasts'!G$160</f>
        <v>45.088000000000001</v>
      </c>
      <c r="H84" s="35">
        <f>'Fiscal Forecasts'!H$160</f>
        <v>53.109000000000002</v>
      </c>
      <c r="I84" s="35">
        <f>'Fiscal Forecasts'!I$160</f>
        <v>38.475999999999999</v>
      </c>
      <c r="J84" s="17">
        <f>'Fiscal Forecasts'!J$160</f>
        <v>33.716999999999999</v>
      </c>
      <c r="K84" s="17">
        <f>'Fiscal Forecasts'!K$160</f>
        <v>26.771999999999998</v>
      </c>
      <c r="L84" s="17">
        <f>'Fiscal Forecasts'!L$160</f>
        <v>20.100000000000001</v>
      </c>
      <c r="M84" s="17">
        <f>'Fiscal Forecasts'!M$160</f>
        <v>20.100000000000001</v>
      </c>
      <c r="N84" s="17">
        <f>'Fiscal Forecasts'!N$160</f>
        <v>20.100000000000001</v>
      </c>
      <c r="O84" s="16">
        <f t="shared" ref="O84" ca="1" si="477">N$84*(1+O$29)</f>
        <v>20.502000000000002</v>
      </c>
      <c r="P84" s="16">
        <f t="shared" ref="P84" ca="1" si="478">O$84*(1+P$29)</f>
        <v>20.912040000000005</v>
      </c>
      <c r="Q84" s="16">
        <f t="shared" ref="Q84" ca="1" si="479">P$84*(1+Q$29)</f>
        <v>21.330280800000004</v>
      </c>
      <c r="R84" s="16">
        <f t="shared" ref="R84" ca="1" si="480">Q$84*(1+R$29)</f>
        <v>21.756886416000004</v>
      </c>
      <c r="S84" s="16">
        <f t="shared" ref="S84" ca="1" si="481">R$84*(1+S$29)</f>
        <v>22.192024144320005</v>
      </c>
      <c r="T84" s="16">
        <f t="shared" ref="T84" ca="1" si="482">S$84*(1+T$29)</f>
        <v>22.635864627206406</v>
      </c>
      <c r="U84" s="16">
        <f t="shared" ref="U84" ca="1" si="483">T$84*(1+U$29)</f>
        <v>23.088581919750535</v>
      </c>
      <c r="V84" s="16">
        <f t="shared" ref="V84" ca="1" si="484">U$84*(1+V$29)</f>
        <v>23.550353558145545</v>
      </c>
      <c r="W84" s="16">
        <f t="shared" ref="W84" ca="1" si="485">V$84*(1+W$29)</f>
        <v>24.021360629308457</v>
      </c>
      <c r="X84" s="16">
        <f t="shared" ref="X84" ca="1" si="486">W$84*(1+X$29)</f>
        <v>24.501787841894625</v>
      </c>
      <c r="Y84" s="16">
        <f t="shared" ref="Y84" ca="1" si="487">X$84*(1+Y$29)</f>
        <v>24.99182359873252</v>
      </c>
      <c r="Z84" s="16">
        <f t="shared" ref="Z84" ca="1" si="488">Y$84*(1+Z$29)</f>
        <v>25.491660070707169</v>
      </c>
      <c r="AA84" s="16">
        <f t="shared" ref="AA84" ca="1" si="489">Z$84*(1+AA$29)</f>
        <v>26.001493272121312</v>
      </c>
      <c r="AB84" s="16">
        <f t="shared" ref="AB84" ca="1" si="490">AA$84*(1+AB$29)</f>
        <v>26.52152313756374</v>
      </c>
      <c r="AC84" s="16">
        <f t="shared" ref="AC84" ca="1" si="491">AB$84*(1+AC$29)</f>
        <v>27.051953600315017</v>
      </c>
      <c r="AD84" s="16">
        <f t="shared" ref="AD84" ca="1" si="492">AC$84*(1+AD$29)</f>
        <v>27.592992672321316</v>
      </c>
      <c r="AE84" s="16">
        <f t="shared" ref="AE84" ca="1" si="493">AD$84*(1+AE$29)</f>
        <v>28.144852525767742</v>
      </c>
      <c r="AF84" s="16">
        <f t="shared" ref="AF84" ca="1" si="494">AE$84*(1+AF$29)</f>
        <v>28.707749576283099</v>
      </c>
      <c r="AG84" s="16">
        <f t="shared" ref="AG84" ca="1" si="495">AF$84*(1+AG$29)</f>
        <v>29.281904567808763</v>
      </c>
      <c r="AH84" s="16">
        <f t="shared" ref="AH84" ca="1" si="496">AG$84*(1+AH$29)</f>
        <v>29.86754265916494</v>
      </c>
      <c r="AI84" s="16">
        <f t="shared" ref="AI84" ca="1" si="497">AH$84*(1+AI$29)</f>
        <v>30.46489351234824</v>
      </c>
      <c r="AJ84" s="16">
        <f t="shared" ref="AJ84" ca="1" si="498">AI$84*(1+AJ$29)</f>
        <v>31.074191382595206</v>
      </c>
      <c r="AK84" s="16">
        <f t="shared" ref="AK84" ca="1" si="499">AJ$84*(1+AK$29)</f>
        <v>31.69567521024711</v>
      </c>
      <c r="AL84" s="16">
        <f t="shared" ref="AL84" ca="1" si="500">AK$84*(1+AL$29)</f>
        <v>32.329588714452051</v>
      </c>
      <c r="AM84" s="16">
        <f t="shared" ref="AM84" ca="1" si="501">AL$84*(1+AM$29)</f>
        <v>32.976180488741093</v>
      </c>
      <c r="AN84" s="16">
        <f t="shared" ref="AN84" ca="1" si="502">AM$84*(1+AN$29)</f>
        <v>33.635704098515916</v>
      </c>
      <c r="AO84" s="16">
        <f t="shared" ref="AO84" ca="1" si="503">AN$84*(1+AO$29)</f>
        <v>34.308418180486235</v>
      </c>
      <c r="AP84" s="16">
        <f t="shared" ref="AP84" ca="1" si="504">AO$84*(1+AP$29)</f>
        <v>34.994586544095959</v>
      </c>
      <c r="AQ84" s="16">
        <f t="shared" ref="AQ84" ca="1" si="505">AP$84*(1+AQ$29)</f>
        <v>35.694478274977882</v>
      </c>
      <c r="AR84" s="16">
        <f t="shared" ref="AR84" ca="1" si="506">AQ$84*(1+AR$29)</f>
        <v>36.408367840477439</v>
      </c>
      <c r="AS84" s="16">
        <f t="shared" ref="AS84" ca="1" si="507">AR$84*(1+AS$29)</f>
        <v>37.136535197286989</v>
      </c>
      <c r="AT84" s="16">
        <f t="shared" ref="AT84" ca="1" si="508">AS$84*(1+AT$29)</f>
        <v>37.879265901232728</v>
      </c>
      <c r="AU84" s="16">
        <f t="shared" ref="AU84" ca="1" si="509">AT$84*(1+AU$29)</f>
        <v>38.63685121925738</v>
      </c>
      <c r="AV84" s="16">
        <f t="shared" ref="AV84" ca="1" si="510">AU$84*(1+AV$29)</f>
        <v>39.409588243642531</v>
      </c>
      <c r="AW84" s="16">
        <f t="shared" ref="AW84" ca="1" si="511">AV$84*(1+AW$29)</f>
        <v>40.19778000851538</v>
      </c>
      <c r="AX84" s="16">
        <f t="shared" ref="AX84" ca="1" si="512">AW$84*(1+AX$29)</f>
        <v>41.001735608685692</v>
      </c>
    </row>
    <row r="85" spans="1:50" x14ac:dyDescent="0.25">
      <c r="A85" s="55" t="s">
        <v>582</v>
      </c>
      <c r="B85" s="9"/>
      <c r="C85" s="13"/>
      <c r="D85" s="64">
        <f>SUM(D$71,D$72)-SUM(D$73,D$84)</f>
        <v>84.37700000000001</v>
      </c>
      <c r="E85" s="64">
        <f t="shared" ref="E85:AX85" si="513">SUM(E$71,E$72)-SUM(E$73,E$84)</f>
        <v>101.833</v>
      </c>
      <c r="F85" s="64">
        <f t="shared" si="513"/>
        <v>99.925999999999988</v>
      </c>
      <c r="G85" s="64">
        <f t="shared" si="513"/>
        <v>114.11599999999999</v>
      </c>
      <c r="H85" s="64">
        <f t="shared" si="513"/>
        <v>135.78899999999999</v>
      </c>
      <c r="I85" s="64">
        <f t="shared" si="513"/>
        <v>175.96600000000001</v>
      </c>
      <c r="J85" s="65">
        <f t="shared" si="513"/>
        <v>209.99899999999997</v>
      </c>
      <c r="K85" s="65">
        <f t="shared" si="513"/>
        <v>238.816</v>
      </c>
      <c r="L85" s="65">
        <f t="shared" si="513"/>
        <v>262.49400000000003</v>
      </c>
      <c r="M85" s="65">
        <f t="shared" si="513"/>
        <v>274.44099999999997</v>
      </c>
      <c r="N85" s="65">
        <f t="shared" si="513"/>
        <v>283.04299999999995</v>
      </c>
      <c r="O85" s="88">
        <f t="shared" ca="1" si="513"/>
        <v>298.7788487175244</v>
      </c>
      <c r="P85" s="88">
        <f t="shared" ca="1" si="513"/>
        <v>316.64612290630691</v>
      </c>
      <c r="Q85" s="88">
        <f t="shared" ca="1" si="513"/>
        <v>337.33349294371868</v>
      </c>
      <c r="R85" s="88">
        <f t="shared" ca="1" si="513"/>
        <v>361.15722182196885</v>
      </c>
      <c r="S85" s="88">
        <f t="shared" ca="1" si="513"/>
        <v>388.56679527689028</v>
      </c>
      <c r="T85" s="88">
        <f t="shared" ca="1" si="513"/>
        <v>419.40766673306683</v>
      </c>
      <c r="U85" s="88">
        <f t="shared" ca="1" si="513"/>
        <v>451.4442165699013</v>
      </c>
      <c r="V85" s="88">
        <f t="shared" ca="1" si="513"/>
        <v>485.92804919253933</v>
      </c>
      <c r="W85" s="88">
        <f t="shared" ca="1" si="513"/>
        <v>523.72920726539644</v>
      </c>
      <c r="X85" s="88">
        <f t="shared" ca="1" si="513"/>
        <v>565.20732247639978</v>
      </c>
      <c r="Y85" s="88">
        <f t="shared" ca="1" si="513"/>
        <v>610.19698470128174</v>
      </c>
      <c r="Z85" s="88">
        <f t="shared" ca="1" si="513"/>
        <v>658.98787791303357</v>
      </c>
      <c r="AA85" s="88">
        <f t="shared" ca="1" si="513"/>
        <v>711.91777451862936</v>
      </c>
      <c r="AB85" s="88">
        <f t="shared" ca="1" si="513"/>
        <v>769.23765634445067</v>
      </c>
      <c r="AC85" s="88">
        <f t="shared" ca="1" si="513"/>
        <v>831.23473669169618</v>
      </c>
      <c r="AD85" s="88">
        <f t="shared" ca="1" si="513"/>
        <v>898.24834261937031</v>
      </c>
      <c r="AE85" s="88">
        <f t="shared" ca="1" si="513"/>
        <v>970.61219708448198</v>
      </c>
      <c r="AF85" s="88">
        <f t="shared" ca="1" si="513"/>
        <v>1048.6929827526851</v>
      </c>
      <c r="AG85" s="88">
        <f t="shared" ca="1" si="513"/>
        <v>1132.9008620781285</v>
      </c>
      <c r="AH85" s="88">
        <f t="shared" ca="1" si="513"/>
        <v>1223.6318041463499</v>
      </c>
      <c r="AI85" s="88">
        <f t="shared" ca="1" si="513"/>
        <v>1321.3373452882502</v>
      </c>
      <c r="AJ85" s="88">
        <f t="shared" ca="1" si="513"/>
        <v>1426.5116638006982</v>
      </c>
      <c r="AK85" s="88">
        <f t="shared" ca="1" si="513"/>
        <v>1539.6523194459214</v>
      </c>
      <c r="AL85" s="88">
        <f t="shared" ca="1" si="513"/>
        <v>1661.3428751121671</v>
      </c>
      <c r="AM85" s="88">
        <f t="shared" ca="1" si="513"/>
        <v>1792.2004591037787</v>
      </c>
      <c r="AN85" s="88">
        <f t="shared" ca="1" si="513"/>
        <v>1932.8990225517439</v>
      </c>
      <c r="AO85" s="88">
        <f t="shared" ca="1" si="513"/>
        <v>2084.2079601351393</v>
      </c>
      <c r="AP85" s="88">
        <f t="shared" ca="1" si="513"/>
        <v>2246.9097880002078</v>
      </c>
      <c r="AQ85" s="88">
        <f t="shared" ca="1" si="513"/>
        <v>2421.7031664018659</v>
      </c>
      <c r="AR85" s="88">
        <f t="shared" ca="1" si="513"/>
        <v>2609.4065200986811</v>
      </c>
      <c r="AS85" s="88">
        <f t="shared" ca="1" si="513"/>
        <v>2810.8766265595632</v>
      </c>
      <c r="AT85" s="88">
        <f t="shared" ca="1" si="513"/>
        <v>3027.0291390589164</v>
      </c>
      <c r="AU85" s="88">
        <f t="shared" ca="1" si="513"/>
        <v>3258.7864037093113</v>
      </c>
      <c r="AV85" s="88">
        <f t="shared" ca="1" si="513"/>
        <v>3507.2345242845231</v>
      </c>
      <c r="AW85" s="88">
        <f t="shared" ca="1" si="513"/>
        <v>3773.4139648612736</v>
      </c>
      <c r="AX85" s="88">
        <f t="shared" ca="1" si="513"/>
        <v>4058.4325353226377</v>
      </c>
    </row>
    <row r="86" spans="1:50" x14ac:dyDescent="0.25">
      <c r="A86" s="9"/>
      <c r="B86" s="9"/>
      <c r="C86" s="13"/>
      <c r="D86" s="36"/>
      <c r="E86" s="36"/>
      <c r="F86" s="36"/>
      <c r="G86" s="36"/>
      <c r="H86" s="36"/>
      <c r="I86" s="36"/>
      <c r="J86" s="19"/>
      <c r="K86" s="19"/>
      <c r="L86" s="19"/>
      <c r="M86" s="19"/>
      <c r="N86" s="19"/>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row>
    <row r="87" spans="1:50" x14ac:dyDescent="0.25">
      <c r="A87" s="12" t="s">
        <v>957</v>
      </c>
      <c r="B87" s="9"/>
      <c r="C87" s="13"/>
      <c r="D87" s="36"/>
      <c r="E87" s="36"/>
      <c r="F87" s="36"/>
      <c r="G87" s="36"/>
      <c r="H87" s="36"/>
      <c r="I87" s="36"/>
      <c r="J87" s="19"/>
      <c r="K87" s="19"/>
      <c r="L87" s="19"/>
      <c r="M87" s="19"/>
      <c r="N87" s="19"/>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row>
    <row r="88" spans="1:50" x14ac:dyDescent="0.25">
      <c r="A88" s="11" t="s">
        <v>497</v>
      </c>
      <c r="B88" s="10" t="str">
        <f t="shared" ref="B88:B96" si="514">$B$38</f>
        <v>From Fiscal Forecasts</v>
      </c>
      <c r="C88" s="13"/>
      <c r="D88" s="35">
        <f>'Fiscal Forecasts'!D$74</f>
        <v>83.016999999999996</v>
      </c>
      <c r="E88" s="35">
        <f>'Fiscal Forecasts'!E$74</f>
        <v>83.156000000000006</v>
      </c>
      <c r="F88" s="35">
        <f>'Fiscal Forecasts'!F$74</f>
        <v>95.382000000000005</v>
      </c>
      <c r="G88" s="35">
        <f>'Fiscal Forecasts'!G$74</f>
        <v>102.712</v>
      </c>
      <c r="H88" s="35">
        <f>'Fiscal Forecasts'!H$74</f>
        <v>110.78700000000001</v>
      </c>
      <c r="I88" s="35">
        <f>'Fiscal Forecasts'!I$74</f>
        <v>116.042</v>
      </c>
      <c r="J88" s="17">
        <f>'Fiscal Forecasts'!J$74</f>
        <v>121.328</v>
      </c>
      <c r="K88" s="17">
        <f>'Fiscal Forecasts'!K$74</f>
        <v>122.887</v>
      </c>
      <c r="L88" s="17">
        <f>'Fiscal Forecasts'!L$74</f>
        <v>131.096</v>
      </c>
      <c r="M88" s="17">
        <f>'Fiscal Forecasts'!M$74</f>
        <v>138.239</v>
      </c>
      <c r="N88" s="17">
        <f>'Fiscal Forecasts'!N$74</f>
        <v>145.541</v>
      </c>
      <c r="O88" s="16">
        <f t="shared" ref="O88:AX88" ca="1" si="515">(O$469-O$377+O$139)</f>
        <v>151.32308620470843</v>
      </c>
      <c r="P88" s="16">
        <f t="shared" ca="1" si="515"/>
        <v>157.73205682806827</v>
      </c>
      <c r="Q88" s="16">
        <f t="shared" ca="1" si="515"/>
        <v>164.38187061400066</v>
      </c>
      <c r="R88" s="16">
        <f t="shared" ca="1" si="515"/>
        <v>171.06849077100668</v>
      </c>
      <c r="S88" s="16">
        <f t="shared" ca="1" si="515"/>
        <v>177.95062837075088</v>
      </c>
      <c r="T88" s="16">
        <f t="shared" ca="1" si="515"/>
        <v>185.04168890471689</v>
      </c>
      <c r="U88" s="16">
        <f t="shared" ca="1" si="515"/>
        <v>192.36846494070707</v>
      </c>
      <c r="V88" s="16">
        <f t="shared" ca="1" si="515"/>
        <v>199.93452464296311</v>
      </c>
      <c r="W88" s="16">
        <f t="shared" ca="1" si="515"/>
        <v>207.70165061804815</v>
      </c>
      <c r="X88" s="16">
        <f t="shared" ca="1" si="515"/>
        <v>215.68047460424231</v>
      </c>
      <c r="Y88" s="16">
        <f t="shared" ca="1" si="515"/>
        <v>223.91105210581432</v>
      </c>
      <c r="Z88" s="16">
        <f t="shared" ca="1" si="515"/>
        <v>232.39759172359868</v>
      </c>
      <c r="AA88" s="16">
        <f t="shared" ca="1" si="515"/>
        <v>241.17143337060332</v>
      </c>
      <c r="AB88" s="16">
        <f t="shared" ca="1" si="515"/>
        <v>250.22723943071654</v>
      </c>
      <c r="AC88" s="16">
        <f t="shared" ca="1" si="515"/>
        <v>259.5640905711254</v>
      </c>
      <c r="AD88" s="16">
        <f t="shared" ca="1" si="515"/>
        <v>269.18803430461469</v>
      </c>
      <c r="AE88" s="16">
        <f t="shared" ca="1" si="515"/>
        <v>279.09745097447029</v>
      </c>
      <c r="AF88" s="16">
        <f t="shared" ca="1" si="515"/>
        <v>289.29422274767808</v>
      </c>
      <c r="AG88" s="16">
        <f t="shared" ca="1" si="515"/>
        <v>299.77979023159196</v>
      </c>
      <c r="AH88" s="16">
        <f t="shared" ca="1" si="515"/>
        <v>310.54979015316752</v>
      </c>
      <c r="AI88" s="16">
        <f t="shared" ca="1" si="515"/>
        <v>321.61337542518072</v>
      </c>
      <c r="AJ88" s="16">
        <f t="shared" ca="1" si="515"/>
        <v>332.98319053833251</v>
      </c>
      <c r="AK88" s="16">
        <f t="shared" ca="1" si="515"/>
        <v>344.64721173897482</v>
      </c>
      <c r="AL88" s="16">
        <f t="shared" ca="1" si="515"/>
        <v>356.61859283307336</v>
      </c>
      <c r="AM88" s="16">
        <f t="shared" ca="1" si="515"/>
        <v>368.91445724108291</v>
      </c>
      <c r="AN88" s="16">
        <f t="shared" ca="1" si="515"/>
        <v>381.54919606219715</v>
      </c>
      <c r="AO88" s="16">
        <f t="shared" ca="1" si="515"/>
        <v>394.52876550014474</v>
      </c>
      <c r="AP88" s="16">
        <f t="shared" ca="1" si="515"/>
        <v>407.88985765203222</v>
      </c>
      <c r="AQ88" s="16">
        <f t="shared" ca="1" si="515"/>
        <v>421.64757762882516</v>
      </c>
      <c r="AR88" s="16">
        <f t="shared" ca="1" si="515"/>
        <v>435.83580491044768</v>
      </c>
      <c r="AS88" s="16">
        <f t="shared" ca="1" si="515"/>
        <v>450.46697174565395</v>
      </c>
      <c r="AT88" s="16">
        <f t="shared" ca="1" si="515"/>
        <v>465.58298378031543</v>
      </c>
      <c r="AU88" s="16">
        <f t="shared" ca="1" si="515"/>
        <v>481.18243962593448</v>
      </c>
      <c r="AV88" s="16">
        <f t="shared" ca="1" si="515"/>
        <v>497.30417422969617</v>
      </c>
      <c r="AW88" s="16">
        <f t="shared" ca="1" si="515"/>
        <v>513.96520745371288</v>
      </c>
      <c r="AX88" s="16">
        <f t="shared" ca="1" si="515"/>
        <v>531.16040960557393</v>
      </c>
    </row>
    <row r="89" spans="1:50" x14ac:dyDescent="0.25">
      <c r="A89" s="11" t="s">
        <v>498</v>
      </c>
      <c r="B89" s="10" t="str">
        <f t="shared" si="514"/>
        <v>From Fiscal Forecasts</v>
      </c>
      <c r="C89" s="13"/>
      <c r="D89" s="35">
        <f>'Fiscal Forecasts'!D$75</f>
        <v>5.1870000000000003</v>
      </c>
      <c r="E89" s="35">
        <f>'Fiscal Forecasts'!E$75</f>
        <v>5.2939999999999996</v>
      </c>
      <c r="F89" s="35">
        <f>'Fiscal Forecasts'!F$75</f>
        <v>6.4240000000000004</v>
      </c>
      <c r="G89" s="35">
        <f>'Fiscal Forecasts'!G$75</f>
        <v>7.8029999999999999</v>
      </c>
      <c r="H89" s="35">
        <f>'Fiscal Forecasts'!H$75</f>
        <v>7.6310000000000002</v>
      </c>
      <c r="I89" s="35">
        <f>'Fiscal Forecasts'!I$75</f>
        <v>7.484</v>
      </c>
      <c r="J89" s="17">
        <f>'Fiscal Forecasts'!J$75</f>
        <v>7.9989999999999997</v>
      </c>
      <c r="K89" s="17">
        <f>'Fiscal Forecasts'!K$75</f>
        <v>8.6050000000000004</v>
      </c>
      <c r="L89" s="17">
        <f>'Fiscal Forecasts'!L$75</f>
        <v>9.2100000000000009</v>
      </c>
      <c r="M89" s="17">
        <f>'Fiscal Forecasts'!M$75</f>
        <v>9.8490000000000002</v>
      </c>
      <c r="N89" s="17">
        <f>'Fiscal Forecasts'!N$75</f>
        <v>10.413</v>
      </c>
      <c r="O89" s="16">
        <f t="shared" ref="O89:AX89" ca="1" si="516">SUM(O$144,O$146,O$147,O$149)</f>
        <v>11.629242269584473</v>
      </c>
      <c r="P89" s="16">
        <f t="shared" ca="1" si="516"/>
        <v>12.368736307591281</v>
      </c>
      <c r="Q89" s="16">
        <f t="shared" ca="1" si="516"/>
        <v>13.193975489033054</v>
      </c>
      <c r="R89" s="16">
        <f t="shared" ca="1" si="516"/>
        <v>14.059544576801441</v>
      </c>
      <c r="S89" s="16">
        <f t="shared" ca="1" si="516"/>
        <v>14.998411187591932</v>
      </c>
      <c r="T89" s="16">
        <f t="shared" ca="1" si="516"/>
        <v>15.981711151790492</v>
      </c>
      <c r="U89" s="16">
        <f t="shared" ca="1" si="516"/>
        <v>17.046395343642004</v>
      </c>
      <c r="V89" s="16">
        <f t="shared" ca="1" si="516"/>
        <v>17.986026066772233</v>
      </c>
      <c r="W89" s="16">
        <f t="shared" ca="1" si="516"/>
        <v>18.701015409871296</v>
      </c>
      <c r="X89" s="16">
        <f t="shared" ca="1" si="516"/>
        <v>19.362503352039024</v>
      </c>
      <c r="Y89" s="16">
        <f t="shared" ca="1" si="516"/>
        <v>20.04760848348544</v>
      </c>
      <c r="Z89" s="16">
        <f t="shared" ca="1" si="516"/>
        <v>20.787917366282958</v>
      </c>
      <c r="AA89" s="16">
        <f t="shared" ca="1" si="516"/>
        <v>21.555859480521363</v>
      </c>
      <c r="AB89" s="16">
        <f t="shared" ca="1" si="516"/>
        <v>22.354342805656071</v>
      </c>
      <c r="AC89" s="16">
        <f t="shared" ca="1" si="516"/>
        <v>23.228060405907502</v>
      </c>
      <c r="AD89" s="16">
        <f t="shared" ca="1" si="516"/>
        <v>24.138433719056028</v>
      </c>
      <c r="AE89" s="16">
        <f t="shared" ca="1" si="516"/>
        <v>25.041149322323285</v>
      </c>
      <c r="AF89" s="16">
        <f t="shared" ca="1" si="516"/>
        <v>26.065057972400989</v>
      </c>
      <c r="AG89" s="16">
        <f t="shared" ca="1" si="516"/>
        <v>27.035049713483595</v>
      </c>
      <c r="AH89" s="16">
        <f t="shared" ca="1" si="516"/>
        <v>27.983705128440125</v>
      </c>
      <c r="AI89" s="16">
        <f t="shared" ca="1" si="516"/>
        <v>29.01834959864172</v>
      </c>
      <c r="AJ89" s="16">
        <f t="shared" ca="1" si="516"/>
        <v>30.090555382981798</v>
      </c>
      <c r="AK89" s="16">
        <f t="shared" ca="1" si="516"/>
        <v>31.145331788229868</v>
      </c>
      <c r="AL89" s="16">
        <f t="shared" ca="1" si="516"/>
        <v>32.295959384488341</v>
      </c>
      <c r="AM89" s="16">
        <f t="shared" ca="1" si="516"/>
        <v>33.428017803336949</v>
      </c>
      <c r="AN89" s="16">
        <f t="shared" ca="1" si="516"/>
        <v>34.663238065291829</v>
      </c>
      <c r="AO89" s="16">
        <f t="shared" ca="1" si="516"/>
        <v>35.94407160092728</v>
      </c>
      <c r="AP89" s="16">
        <f t="shared" ca="1" si="516"/>
        <v>37.272802373836313</v>
      </c>
      <c r="AQ89" s="16">
        <f t="shared" ca="1" si="516"/>
        <v>38.634972176308388</v>
      </c>
      <c r="AR89" s="16">
        <f t="shared" ca="1" si="516"/>
        <v>40.048313248050455</v>
      </c>
      <c r="AS89" s="16">
        <f t="shared" ca="1" si="516"/>
        <v>41.514029631370619</v>
      </c>
      <c r="AT89" s="16">
        <f t="shared" ca="1" si="516"/>
        <v>43.034103889741033</v>
      </c>
      <c r="AU89" s="16">
        <f t="shared" ca="1" si="516"/>
        <v>44.610955770861409</v>
      </c>
      <c r="AV89" s="16">
        <f t="shared" ca="1" si="516"/>
        <v>46.246067939252569</v>
      </c>
      <c r="AW89" s="16">
        <f t="shared" ca="1" si="516"/>
        <v>47.941939767360502</v>
      </c>
      <c r="AX89" s="16">
        <f t="shared" ca="1" si="516"/>
        <v>49.700373776711579</v>
      </c>
    </row>
    <row r="90" spans="1:50" x14ac:dyDescent="0.25">
      <c r="A90" s="11" t="s">
        <v>453</v>
      </c>
      <c r="B90" s="10" t="str">
        <f t="shared" si="514"/>
        <v>From Fiscal Forecasts</v>
      </c>
      <c r="C90" s="13"/>
      <c r="D90" s="35">
        <f>'Fiscal Forecasts'!D$76</f>
        <v>19.763999999999999</v>
      </c>
      <c r="E90" s="35">
        <f>'Fiscal Forecasts'!E$76</f>
        <v>18.289000000000001</v>
      </c>
      <c r="F90" s="35">
        <f>'Fiscal Forecasts'!F$76</f>
        <v>17.731999999999999</v>
      </c>
      <c r="G90" s="35">
        <f>'Fiscal Forecasts'!G$76</f>
        <v>17.834</v>
      </c>
      <c r="H90" s="35">
        <f>'Fiscal Forecasts'!H$76</f>
        <v>22.283999999999999</v>
      </c>
      <c r="I90" s="35">
        <f>'Fiscal Forecasts'!I$76</f>
        <v>24.359000000000002</v>
      </c>
      <c r="J90" s="17">
        <f>'Fiscal Forecasts'!J$76</f>
        <v>27.206</v>
      </c>
      <c r="K90" s="17">
        <f>'Fiscal Forecasts'!K$76</f>
        <v>27.605</v>
      </c>
      <c r="L90" s="17">
        <f>'Fiscal Forecasts'!L$76</f>
        <v>28.786999999999999</v>
      </c>
      <c r="M90" s="17">
        <f>'Fiscal Forecasts'!M$76</f>
        <v>29.917000000000002</v>
      </c>
      <c r="N90" s="17">
        <f>'Fiscal Forecasts'!N$76</f>
        <v>30.298999999999999</v>
      </c>
      <c r="O90" s="16">
        <f t="shared" ref="O90:AX90" ca="1" si="517">O$153</f>
        <v>31.56735456270901</v>
      </c>
      <c r="P90" s="16">
        <f t="shared" ca="1" si="517"/>
        <v>32.934532343443422</v>
      </c>
      <c r="Q90" s="16">
        <f t="shared" ca="1" si="517"/>
        <v>34.307728710474052</v>
      </c>
      <c r="R90" s="16">
        <f t="shared" ca="1" si="517"/>
        <v>35.68206494130991</v>
      </c>
      <c r="S90" s="16">
        <f t="shared" ca="1" si="517"/>
        <v>37.099769843327259</v>
      </c>
      <c r="T90" s="16">
        <f t="shared" ca="1" si="517"/>
        <v>38.559287094357934</v>
      </c>
      <c r="U90" s="16">
        <f t="shared" ca="1" si="517"/>
        <v>40.06743225450483</v>
      </c>
      <c r="V90" s="16">
        <f t="shared" ca="1" si="517"/>
        <v>41.623817976310463</v>
      </c>
      <c r="W90" s="16">
        <f t="shared" ca="1" si="517"/>
        <v>43.21846672611828</v>
      </c>
      <c r="X90" s="16">
        <f t="shared" ca="1" si="517"/>
        <v>44.856341318690966</v>
      </c>
      <c r="Y90" s="16">
        <f t="shared" ca="1" si="517"/>
        <v>46.546440577264988</v>
      </c>
      <c r="Z90" s="16">
        <f t="shared" ca="1" si="517"/>
        <v>48.288302695735538</v>
      </c>
      <c r="AA90" s="16">
        <f t="shared" ca="1" si="517"/>
        <v>50.088787761754809</v>
      </c>
      <c r="AB90" s="16">
        <f t="shared" ca="1" si="517"/>
        <v>51.94599848983767</v>
      </c>
      <c r="AC90" s="16">
        <f t="shared" ca="1" si="517"/>
        <v>53.85999906087806</v>
      </c>
      <c r="AD90" s="16">
        <f t="shared" ca="1" si="517"/>
        <v>55.832125928980993</v>
      </c>
      <c r="AE90" s="16">
        <f t="shared" ca="1" si="517"/>
        <v>57.861973603263891</v>
      </c>
      <c r="AF90" s="16">
        <f t="shared" ca="1" si="517"/>
        <v>59.950007883130603</v>
      </c>
      <c r="AG90" s="16">
        <f t="shared" ca="1" si="517"/>
        <v>62.096635009991509</v>
      </c>
      <c r="AH90" s="16">
        <f t="shared" ca="1" si="517"/>
        <v>64.300858081758705</v>
      </c>
      <c r="AI90" s="16">
        <f t="shared" ca="1" si="517"/>
        <v>66.565003203972211</v>
      </c>
      <c r="AJ90" s="16">
        <f t="shared" ca="1" si="517"/>
        <v>68.891574459877447</v>
      </c>
      <c r="AK90" s="16">
        <f t="shared" ca="1" si="517"/>
        <v>71.277927277462979</v>
      </c>
      <c r="AL90" s="16">
        <f t="shared" ca="1" si="517"/>
        <v>73.727253956691357</v>
      </c>
      <c r="AM90" s="16">
        <f t="shared" ca="1" si="517"/>
        <v>76.243014164721245</v>
      </c>
      <c r="AN90" s="16">
        <f t="shared" ca="1" si="517"/>
        <v>78.828133524719192</v>
      </c>
      <c r="AO90" s="16">
        <f t="shared" ca="1" si="517"/>
        <v>81.483596585041212</v>
      </c>
      <c r="AP90" s="16">
        <f t="shared" ca="1" si="517"/>
        <v>84.217445013673611</v>
      </c>
      <c r="AQ90" s="16">
        <f t="shared" ca="1" si="517"/>
        <v>87.032017477367674</v>
      </c>
      <c r="AR90" s="16">
        <f t="shared" ca="1" si="517"/>
        <v>89.934665536395912</v>
      </c>
      <c r="AS90" s="16">
        <f t="shared" ca="1" si="517"/>
        <v>92.927150510369501</v>
      </c>
      <c r="AT90" s="16">
        <f t="shared" ca="1" si="517"/>
        <v>96.018379042664492</v>
      </c>
      <c r="AU90" s="16">
        <f t="shared" ca="1" si="517"/>
        <v>99.20737351030327</v>
      </c>
      <c r="AV90" s="16">
        <f t="shared" ca="1" si="517"/>
        <v>102.50243930323768</v>
      </c>
      <c r="AW90" s="16">
        <f t="shared" ca="1" si="517"/>
        <v>105.90657699434824</v>
      </c>
      <c r="AX90" s="16">
        <f t="shared" ca="1" si="517"/>
        <v>109.41827107670997</v>
      </c>
    </row>
    <row r="91" spans="1:50" x14ac:dyDescent="0.25">
      <c r="A91" s="11" t="s">
        <v>499</v>
      </c>
      <c r="B91" s="10" t="str">
        <f t="shared" si="514"/>
        <v>From Fiscal Forecasts</v>
      </c>
      <c r="C91" s="13"/>
      <c r="D91" s="35">
        <f>'Fiscal Forecasts'!D$77</f>
        <v>2.528</v>
      </c>
      <c r="E91" s="35">
        <f>'Fiscal Forecasts'!E$77</f>
        <v>2.3069999999999999</v>
      </c>
      <c r="F91" s="35">
        <f>'Fiscal Forecasts'!F$77</f>
        <v>1.67</v>
      </c>
      <c r="G91" s="35">
        <f>'Fiscal Forecasts'!G$77</f>
        <v>1.9610000000000001</v>
      </c>
      <c r="H91" s="35">
        <f>'Fiscal Forecasts'!H$77</f>
        <v>3.6110000000000002</v>
      </c>
      <c r="I91" s="35">
        <f>'Fiscal Forecasts'!I$77</f>
        <v>5.2830000000000004</v>
      </c>
      <c r="J91" s="17">
        <f>'Fiscal Forecasts'!J$77</f>
        <v>6.0940000000000003</v>
      </c>
      <c r="K91" s="17">
        <f>'Fiscal Forecasts'!K$77</f>
        <v>5.6040000000000001</v>
      </c>
      <c r="L91" s="17">
        <f>'Fiscal Forecasts'!L$77</f>
        <v>4.6559999999999997</v>
      </c>
      <c r="M91" s="17">
        <f>'Fiscal Forecasts'!M$77</f>
        <v>4.6390000000000002</v>
      </c>
      <c r="N91" s="17">
        <f>'Fiscal Forecasts'!N$77</f>
        <v>4.9080000000000004</v>
      </c>
      <c r="O91" s="16">
        <f t="shared" ref="O91:AX91" ca="1" si="518">SUM(O$156,O$158,O$160:O$162,O$333)</f>
        <v>7.0140782614884447</v>
      </c>
      <c r="P91" s="16">
        <f t="shared" ca="1" si="518"/>
        <v>7.1755093010951052</v>
      </c>
      <c r="Q91" s="16">
        <f t="shared" ca="1" si="518"/>
        <v>7.3418774114684551</v>
      </c>
      <c r="R91" s="16">
        <f t="shared" ca="1" si="518"/>
        <v>7.5130315355683921</v>
      </c>
      <c r="S91" s="16">
        <f t="shared" ca="1" si="518"/>
        <v>7.6888673330721717</v>
      </c>
      <c r="T91" s="16">
        <f t="shared" ca="1" si="518"/>
        <v>7.8644863959396591</v>
      </c>
      <c r="U91" s="16">
        <f t="shared" ca="1" si="518"/>
        <v>8.0449884860398182</v>
      </c>
      <c r="V91" s="16">
        <f t="shared" ca="1" si="518"/>
        <v>8.2305023900427692</v>
      </c>
      <c r="W91" s="16">
        <f t="shared" ca="1" si="518"/>
        <v>8.4217429043601086</v>
      </c>
      <c r="X91" s="16">
        <f t="shared" ca="1" si="518"/>
        <v>8.6196251455694526</v>
      </c>
      <c r="Y91" s="16">
        <f t="shared" ca="1" si="518"/>
        <v>8.8252332528113833</v>
      </c>
      <c r="Z91" s="16">
        <f t="shared" ca="1" si="518"/>
        <v>9.0397670557351031</v>
      </c>
      <c r="AA91" s="16">
        <f t="shared" ca="1" si="518"/>
        <v>9.2641353415450443</v>
      </c>
      <c r="AB91" s="16">
        <f t="shared" ca="1" si="518"/>
        <v>9.4991359607720494</v>
      </c>
      <c r="AC91" s="16">
        <f t="shared" ca="1" si="518"/>
        <v>9.7453744518831158</v>
      </c>
      <c r="AD91" s="16">
        <f t="shared" ca="1" si="518"/>
        <v>9.995417282308642</v>
      </c>
      <c r="AE91" s="16">
        <f t="shared" ca="1" si="518"/>
        <v>10.255820810954575</v>
      </c>
      <c r="AF91" s="16">
        <f t="shared" ca="1" si="518"/>
        <v>10.526629098904962</v>
      </c>
      <c r="AG91" s="16">
        <f t="shared" ca="1" si="518"/>
        <v>10.807690210887632</v>
      </c>
      <c r="AH91" s="16">
        <f t="shared" ca="1" si="518"/>
        <v>11.098810326735277</v>
      </c>
      <c r="AI91" s="16">
        <f t="shared" ca="1" si="518"/>
        <v>11.399852805306125</v>
      </c>
      <c r="AJ91" s="16">
        <f t="shared" ca="1" si="518"/>
        <v>11.710590449453809</v>
      </c>
      <c r="AK91" s="16">
        <f t="shared" ca="1" si="518"/>
        <v>12.030365176218488</v>
      </c>
      <c r="AL91" s="16">
        <f t="shared" ca="1" si="518"/>
        <v>12.357989614476717</v>
      </c>
      <c r="AM91" s="16">
        <f t="shared" ca="1" si="518"/>
        <v>12.692514827483901</v>
      </c>
      <c r="AN91" s="16">
        <f t="shared" ca="1" si="518"/>
        <v>13.032891886428015</v>
      </c>
      <c r="AO91" s="16">
        <f t="shared" ca="1" si="518"/>
        <v>13.377904481184567</v>
      </c>
      <c r="AP91" s="16">
        <f t="shared" ca="1" si="518"/>
        <v>13.727052538488868</v>
      </c>
      <c r="AQ91" s="16">
        <f t="shared" ca="1" si="518"/>
        <v>14.080456729894275</v>
      </c>
      <c r="AR91" s="16">
        <f t="shared" ca="1" si="518"/>
        <v>14.438757770265763</v>
      </c>
      <c r="AS91" s="16">
        <f t="shared" ca="1" si="518"/>
        <v>14.80256110457209</v>
      </c>
      <c r="AT91" s="16">
        <f t="shared" ca="1" si="518"/>
        <v>15.172338690725656</v>
      </c>
      <c r="AU91" s="16">
        <f t="shared" ca="1" si="518"/>
        <v>15.548879132886348</v>
      </c>
      <c r="AV91" s="16">
        <f t="shared" ca="1" si="518"/>
        <v>15.932811334015645</v>
      </c>
      <c r="AW91" s="16">
        <f t="shared" ca="1" si="518"/>
        <v>16.324873977183021</v>
      </c>
      <c r="AX91" s="16">
        <f t="shared" ca="1" si="518"/>
        <v>16.725120191122461</v>
      </c>
    </row>
    <row r="92" spans="1:50" x14ac:dyDescent="0.25">
      <c r="A92" s="11" t="s">
        <v>500</v>
      </c>
      <c r="B92" s="10" t="str">
        <f t="shared" si="514"/>
        <v>From Fiscal Forecasts</v>
      </c>
      <c r="C92" s="13"/>
      <c r="D92" s="35">
        <f>'Fiscal Forecasts'!D$78</f>
        <v>4.5629999999999997</v>
      </c>
      <c r="E92" s="35">
        <f>'Fiscal Forecasts'!E$78</f>
        <v>4.5439999999999996</v>
      </c>
      <c r="F92" s="35">
        <f>'Fiscal Forecasts'!F$78</f>
        <v>4.8140000000000001</v>
      </c>
      <c r="G92" s="35">
        <f>'Fiscal Forecasts'!G$78</f>
        <v>4.8019999999999996</v>
      </c>
      <c r="H92" s="35">
        <f>'Fiscal Forecasts'!H$78</f>
        <v>4.9219999999999997</v>
      </c>
      <c r="I92" s="35">
        <f>'Fiscal Forecasts'!I$78</f>
        <v>6.5350000000000001</v>
      </c>
      <c r="J92" s="17">
        <f>'Fiscal Forecasts'!J$78</f>
        <v>6.6260000000000003</v>
      </c>
      <c r="K92" s="17">
        <f>'Fiscal Forecasts'!K$78</f>
        <v>6.0540000000000003</v>
      </c>
      <c r="L92" s="17">
        <f>'Fiscal Forecasts'!L$78</f>
        <v>6.3639999999999999</v>
      </c>
      <c r="M92" s="17">
        <f>'Fiscal Forecasts'!M$78</f>
        <v>6.4029999999999996</v>
      </c>
      <c r="N92" s="17">
        <f>'Fiscal Forecasts'!N$78</f>
        <v>6.6180000000000003</v>
      </c>
      <c r="O92" s="16">
        <f t="shared" ref="O92:AX92" ca="1" si="519">SUM(O$171,O$177)</f>
        <v>5.9660590184902471</v>
      </c>
      <c r="P92" s="16">
        <f t="shared" ca="1" si="519"/>
        <v>6.1878863765635987</v>
      </c>
      <c r="Q92" s="16">
        <f t="shared" ca="1" si="519"/>
        <v>6.4158960982170958</v>
      </c>
      <c r="R92" s="16">
        <f t="shared" ca="1" si="519"/>
        <v>6.6510608540211349</v>
      </c>
      <c r="S92" s="16">
        <f t="shared" ca="1" si="519"/>
        <v>6.8961036776299567</v>
      </c>
      <c r="T92" s="16">
        <f t="shared" ca="1" si="519"/>
        <v>7.145045731555669</v>
      </c>
      <c r="U92" s="16">
        <f t="shared" ca="1" si="519"/>
        <v>7.3975265033248876</v>
      </c>
      <c r="V92" s="16">
        <f t="shared" ca="1" si="519"/>
        <v>7.6524429822992754</v>
      </c>
      <c r="W92" s="16">
        <f t="shared" ca="1" si="519"/>
        <v>7.9079417688109501</v>
      </c>
      <c r="X92" s="16">
        <f t="shared" ca="1" si="519"/>
        <v>8.1716787628458647</v>
      </c>
      <c r="Y92" s="16">
        <f t="shared" ca="1" si="519"/>
        <v>8.4471699544902883</v>
      </c>
      <c r="Z92" s="16">
        <f t="shared" ca="1" si="519"/>
        <v>8.734252581070491</v>
      </c>
      <c r="AA92" s="16">
        <f t="shared" ca="1" si="519"/>
        <v>9.0340798907967859</v>
      </c>
      <c r="AB92" s="16">
        <f t="shared" ca="1" si="519"/>
        <v>9.3471668967514923</v>
      </c>
      <c r="AC92" s="16">
        <f t="shared" ca="1" si="519"/>
        <v>9.6741927384872177</v>
      </c>
      <c r="AD92" s="16">
        <f t="shared" ca="1" si="519"/>
        <v>10.005273409279848</v>
      </c>
      <c r="AE92" s="16">
        <f t="shared" ca="1" si="519"/>
        <v>10.34865168509992</v>
      </c>
      <c r="AF92" s="16">
        <f t="shared" ca="1" si="519"/>
        <v>10.704188991627102</v>
      </c>
      <c r="AG92" s="16">
        <f t="shared" ca="1" si="519"/>
        <v>11.071805343470183</v>
      </c>
      <c r="AH92" s="16">
        <f t="shared" ca="1" si="519"/>
        <v>11.451374597951377</v>
      </c>
      <c r="AI92" s="16">
        <f t="shared" ca="1" si="519"/>
        <v>11.843315803449286</v>
      </c>
      <c r="AJ92" s="16">
        <f t="shared" ca="1" si="519"/>
        <v>12.246805273671951</v>
      </c>
      <c r="AK92" s="16">
        <f t="shared" ca="1" si="519"/>
        <v>12.661547587085717</v>
      </c>
      <c r="AL92" s="16">
        <f t="shared" ca="1" si="519"/>
        <v>13.085700884056356</v>
      </c>
      <c r="AM92" s="16">
        <f t="shared" ca="1" si="519"/>
        <v>13.517563939686067</v>
      </c>
      <c r="AN92" s="16">
        <f t="shared" ca="1" si="519"/>
        <v>13.955933636071594</v>
      </c>
      <c r="AO92" s="16">
        <f t="shared" ca="1" si="519"/>
        <v>14.398494784659864</v>
      </c>
      <c r="AP92" s="16">
        <f t="shared" ca="1" si="519"/>
        <v>14.844691828983523</v>
      </c>
      <c r="AQ92" s="16">
        <f t="shared" ca="1" si="519"/>
        <v>15.29305254619111</v>
      </c>
      <c r="AR92" s="16">
        <f t="shared" ca="1" si="519"/>
        <v>15.745799358809386</v>
      </c>
      <c r="AS92" s="16">
        <f t="shared" ca="1" si="519"/>
        <v>16.202641519840782</v>
      </c>
      <c r="AT92" s="16">
        <f t="shared" ca="1" si="519"/>
        <v>16.663873100334886</v>
      </c>
      <c r="AU92" s="16">
        <f t="shared" ca="1" si="519"/>
        <v>17.130566015776004</v>
      </c>
      <c r="AV92" s="16">
        <f t="shared" ca="1" si="519"/>
        <v>17.602447643860135</v>
      </c>
      <c r="AW92" s="16">
        <f t="shared" ca="1" si="519"/>
        <v>18.080387770782757</v>
      </c>
      <c r="AX92" s="16">
        <f t="shared" ca="1" si="519"/>
        <v>18.56349662953231</v>
      </c>
    </row>
    <row r="93" spans="1:50" x14ac:dyDescent="0.25">
      <c r="A93" s="9" t="s">
        <v>501</v>
      </c>
      <c r="B93" s="9"/>
      <c r="C93" s="13"/>
      <c r="D93" s="64">
        <f>SUM(D$88:D$92)</f>
        <v>115.059</v>
      </c>
      <c r="E93" s="64">
        <f t="shared" ref="E93:AX93" si="520">SUM(E$88:E$92)</f>
        <v>113.59</v>
      </c>
      <c r="F93" s="64">
        <f t="shared" si="520"/>
        <v>126.02200000000002</v>
      </c>
      <c r="G93" s="64">
        <f t="shared" si="520"/>
        <v>135.11199999999999</v>
      </c>
      <c r="H93" s="64">
        <f t="shared" si="520"/>
        <v>149.23499999999999</v>
      </c>
      <c r="I93" s="64">
        <f t="shared" si="520"/>
        <v>159.70299999999997</v>
      </c>
      <c r="J93" s="65">
        <f t="shared" si="520"/>
        <v>169.25299999999999</v>
      </c>
      <c r="K93" s="65">
        <f t="shared" si="520"/>
        <v>170.755</v>
      </c>
      <c r="L93" s="65">
        <f t="shared" si="520"/>
        <v>180.11300000000003</v>
      </c>
      <c r="M93" s="65">
        <f t="shared" si="520"/>
        <v>189.047</v>
      </c>
      <c r="N93" s="65">
        <f t="shared" si="520"/>
        <v>197.779</v>
      </c>
      <c r="O93" s="88">
        <f t="shared" ca="1" si="520"/>
        <v>207.49982031698059</v>
      </c>
      <c r="P93" s="88">
        <f t="shared" ca="1" si="520"/>
        <v>216.3987211567617</v>
      </c>
      <c r="Q93" s="88">
        <f t="shared" ca="1" si="520"/>
        <v>225.64134832319334</v>
      </c>
      <c r="R93" s="88">
        <f t="shared" ca="1" si="520"/>
        <v>234.97419267870754</v>
      </c>
      <c r="S93" s="88">
        <f t="shared" ca="1" si="520"/>
        <v>244.6337804123722</v>
      </c>
      <c r="T93" s="88">
        <f t="shared" ca="1" si="520"/>
        <v>254.59221927836063</v>
      </c>
      <c r="U93" s="88">
        <f t="shared" ca="1" si="520"/>
        <v>264.92480752821865</v>
      </c>
      <c r="V93" s="88">
        <f t="shared" ca="1" si="520"/>
        <v>275.42731405838782</v>
      </c>
      <c r="W93" s="88">
        <f t="shared" ca="1" si="520"/>
        <v>285.95081742720873</v>
      </c>
      <c r="X93" s="88">
        <f t="shared" ca="1" si="520"/>
        <v>296.69062318338763</v>
      </c>
      <c r="Y93" s="88">
        <f t="shared" ca="1" si="520"/>
        <v>307.77750437386641</v>
      </c>
      <c r="Z93" s="88">
        <f t="shared" ca="1" si="520"/>
        <v>319.24783142242279</v>
      </c>
      <c r="AA93" s="88">
        <f t="shared" ca="1" si="520"/>
        <v>331.11429584522131</v>
      </c>
      <c r="AB93" s="88">
        <f t="shared" ca="1" si="520"/>
        <v>343.3738835837338</v>
      </c>
      <c r="AC93" s="88">
        <f t="shared" ca="1" si="520"/>
        <v>356.07171722828127</v>
      </c>
      <c r="AD93" s="88">
        <f t="shared" ca="1" si="520"/>
        <v>369.15928464424019</v>
      </c>
      <c r="AE93" s="88">
        <f t="shared" ca="1" si="520"/>
        <v>382.60504639611196</v>
      </c>
      <c r="AF93" s="88">
        <f t="shared" ca="1" si="520"/>
        <v>396.54010669374173</v>
      </c>
      <c r="AG93" s="88">
        <f t="shared" ca="1" si="520"/>
        <v>410.79097050942494</v>
      </c>
      <c r="AH93" s="88">
        <f t="shared" ca="1" si="520"/>
        <v>425.38453828805302</v>
      </c>
      <c r="AI93" s="88">
        <f t="shared" ca="1" si="520"/>
        <v>440.43989683655008</v>
      </c>
      <c r="AJ93" s="88">
        <f t="shared" ca="1" si="520"/>
        <v>455.92271610431754</v>
      </c>
      <c r="AK93" s="88">
        <f t="shared" ca="1" si="520"/>
        <v>471.76238356797182</v>
      </c>
      <c r="AL93" s="88">
        <f t="shared" ca="1" si="520"/>
        <v>488.08549667278612</v>
      </c>
      <c r="AM93" s="88">
        <f t="shared" ca="1" si="520"/>
        <v>504.79556797631102</v>
      </c>
      <c r="AN93" s="88">
        <f t="shared" ca="1" si="520"/>
        <v>522.02939317470771</v>
      </c>
      <c r="AO93" s="88">
        <f t="shared" ca="1" si="520"/>
        <v>539.73283295195768</v>
      </c>
      <c r="AP93" s="88">
        <f t="shared" ca="1" si="520"/>
        <v>557.95184940701461</v>
      </c>
      <c r="AQ93" s="88">
        <f t="shared" ca="1" si="520"/>
        <v>576.68807655858666</v>
      </c>
      <c r="AR93" s="88">
        <f t="shared" ca="1" si="520"/>
        <v>596.0033408239691</v>
      </c>
      <c r="AS93" s="88">
        <f t="shared" ca="1" si="520"/>
        <v>615.91335451180692</v>
      </c>
      <c r="AT93" s="88">
        <f t="shared" ca="1" si="520"/>
        <v>636.47167850378139</v>
      </c>
      <c r="AU93" s="88">
        <f t="shared" ca="1" si="520"/>
        <v>657.68021405576144</v>
      </c>
      <c r="AV93" s="88">
        <f t="shared" ca="1" si="520"/>
        <v>679.58794045006232</v>
      </c>
      <c r="AW93" s="88">
        <f t="shared" ca="1" si="520"/>
        <v>702.21898596338747</v>
      </c>
      <c r="AX93" s="88">
        <f t="shared" ca="1" si="520"/>
        <v>725.5676712796502</v>
      </c>
    </row>
    <row r="94" spans="1:50" x14ac:dyDescent="0.25">
      <c r="A94" s="11" t="s">
        <v>457</v>
      </c>
      <c r="B94" s="10" t="str">
        <f t="shared" si="514"/>
        <v>From Fiscal Forecasts</v>
      </c>
      <c r="C94" s="13"/>
      <c r="D94" s="35">
        <f>'Fiscal Forecasts'!D$80</f>
        <v>27.981999999999999</v>
      </c>
      <c r="E94" s="35">
        <f>'Fiscal Forecasts'!E$80</f>
        <v>42.945</v>
      </c>
      <c r="F94" s="35">
        <f>'Fiscal Forecasts'!F$80</f>
        <v>35.515000000000001</v>
      </c>
      <c r="G94" s="35">
        <f>'Fiscal Forecasts'!G$80</f>
        <v>44.273000000000003</v>
      </c>
      <c r="H94" s="35">
        <f>'Fiscal Forecasts'!H$80</f>
        <v>39.17</v>
      </c>
      <c r="I94" s="35">
        <f>'Fiscal Forecasts'!I$80</f>
        <v>42.335000000000001</v>
      </c>
      <c r="J94" s="17">
        <f>'Fiscal Forecasts'!J$80</f>
        <v>46.25</v>
      </c>
      <c r="K94" s="17">
        <f>'Fiscal Forecasts'!K$80</f>
        <v>47.412999999999997</v>
      </c>
      <c r="L94" s="17">
        <f>'Fiscal Forecasts'!L$80</f>
        <v>48.414999999999999</v>
      </c>
      <c r="M94" s="17">
        <f>'Fiscal Forecasts'!M$80</f>
        <v>49.828000000000003</v>
      </c>
      <c r="N94" s="17">
        <f>'Fiscal Forecasts'!N$80</f>
        <v>51.317</v>
      </c>
      <c r="O94" s="16">
        <f t="shared" ref="O94:AX94" ca="1" si="521">O$192</f>
        <v>52.77246139360777</v>
      </c>
      <c r="P94" s="16">
        <f t="shared" ca="1" si="521"/>
        <v>55.090449776530448</v>
      </c>
      <c r="Q94" s="16">
        <f t="shared" ca="1" si="521"/>
        <v>57.519436394808622</v>
      </c>
      <c r="R94" s="16">
        <f t="shared" ca="1" si="521"/>
        <v>60.034697516655434</v>
      </c>
      <c r="S94" s="16">
        <f t="shared" ca="1" si="521"/>
        <v>62.657185493921595</v>
      </c>
      <c r="T94" s="16">
        <f t="shared" ca="1" si="521"/>
        <v>65.342188620996737</v>
      </c>
      <c r="U94" s="16">
        <f t="shared" ca="1" si="521"/>
        <v>68.176445849089646</v>
      </c>
      <c r="V94" s="16">
        <f t="shared" ca="1" si="521"/>
        <v>71.071631410895932</v>
      </c>
      <c r="W94" s="16">
        <f t="shared" ca="1" si="521"/>
        <v>73.971904945279235</v>
      </c>
      <c r="X94" s="16">
        <f t="shared" ca="1" si="521"/>
        <v>76.889089262182225</v>
      </c>
      <c r="Y94" s="16">
        <f t="shared" ca="1" si="521"/>
        <v>80.062025328541694</v>
      </c>
      <c r="Z94" s="16">
        <f t="shared" ca="1" si="521"/>
        <v>83.276597737926551</v>
      </c>
      <c r="AA94" s="16">
        <f t="shared" ca="1" si="521"/>
        <v>86.612266108582389</v>
      </c>
      <c r="AB94" s="16">
        <f t="shared" ca="1" si="521"/>
        <v>90.020079172083669</v>
      </c>
      <c r="AC94" s="16">
        <f t="shared" ca="1" si="521"/>
        <v>93.61432448300944</v>
      </c>
      <c r="AD94" s="16">
        <f t="shared" ca="1" si="521"/>
        <v>97.376802208329053</v>
      </c>
      <c r="AE94" s="16">
        <f t="shared" ca="1" si="521"/>
        <v>101.31710664908437</v>
      </c>
      <c r="AF94" s="16">
        <f t="shared" ca="1" si="521"/>
        <v>105.45523553347195</v>
      </c>
      <c r="AG94" s="16">
        <f t="shared" ca="1" si="521"/>
        <v>109.82331781827521</v>
      </c>
      <c r="AH94" s="16">
        <f t="shared" ca="1" si="521"/>
        <v>114.38966940641642</v>
      </c>
      <c r="AI94" s="16">
        <f t="shared" ca="1" si="521"/>
        <v>119.18540750163083</v>
      </c>
      <c r="AJ94" s="16">
        <f t="shared" ca="1" si="521"/>
        <v>124.21168566536227</v>
      </c>
      <c r="AK94" s="16">
        <f t="shared" ca="1" si="521"/>
        <v>129.57780696362292</v>
      </c>
      <c r="AL94" s="16">
        <f t="shared" ca="1" si="521"/>
        <v>135.29162469431031</v>
      </c>
      <c r="AM94" s="16">
        <f t="shared" ca="1" si="521"/>
        <v>141.28556003778891</v>
      </c>
      <c r="AN94" s="16">
        <f t="shared" ca="1" si="521"/>
        <v>147.67596487157678</v>
      </c>
      <c r="AO94" s="16">
        <f t="shared" ca="1" si="521"/>
        <v>154.36910003599431</v>
      </c>
      <c r="AP94" s="16">
        <f t="shared" ca="1" si="521"/>
        <v>161.2891478793594</v>
      </c>
      <c r="AQ94" s="16">
        <f t="shared" ca="1" si="521"/>
        <v>168.38627027105582</v>
      </c>
      <c r="AR94" s="16">
        <f t="shared" ca="1" si="521"/>
        <v>175.60174724075921</v>
      </c>
      <c r="AS94" s="16">
        <f t="shared" ca="1" si="521"/>
        <v>183.03846654172591</v>
      </c>
      <c r="AT94" s="16">
        <f t="shared" ca="1" si="521"/>
        <v>190.63591956804021</v>
      </c>
      <c r="AU94" s="16">
        <f t="shared" ca="1" si="521"/>
        <v>198.40737030792502</v>
      </c>
      <c r="AV94" s="16">
        <f t="shared" ca="1" si="521"/>
        <v>206.41736657282269</v>
      </c>
      <c r="AW94" s="16">
        <f t="shared" ca="1" si="521"/>
        <v>214.59435867133811</v>
      </c>
      <c r="AX94" s="16">
        <f t="shared" ca="1" si="521"/>
        <v>223.22013504912238</v>
      </c>
    </row>
    <row r="95" spans="1:50" x14ac:dyDescent="0.25">
      <c r="A95" s="11" t="s">
        <v>502</v>
      </c>
      <c r="B95" s="10" t="str">
        <f t="shared" si="514"/>
        <v>From Fiscal Forecasts</v>
      </c>
      <c r="C95" s="13"/>
      <c r="D95" s="35">
        <f>'Fiscal Forecasts'!D$81</f>
        <v>72.078999999999994</v>
      </c>
      <c r="E95" s="35">
        <f>'Fiscal Forecasts'!E$81</f>
        <v>77.191999999999993</v>
      </c>
      <c r="F95" s="35">
        <f>'Fiscal Forecasts'!F$81</f>
        <v>84.256</v>
      </c>
      <c r="G95" s="35">
        <f>'Fiscal Forecasts'!G$81</f>
        <v>92.965000000000003</v>
      </c>
      <c r="H95" s="35">
        <f>'Fiscal Forecasts'!H$81</f>
        <v>99.414000000000001</v>
      </c>
      <c r="I95" s="35">
        <f>'Fiscal Forecasts'!I$81</f>
        <v>111.095</v>
      </c>
      <c r="J95" s="17">
        <f>'Fiscal Forecasts'!J$81+SUM(Allocation!C$12:C$22)</f>
        <v>117.63</v>
      </c>
      <c r="K95" s="17">
        <f>'Fiscal Forecasts'!K$81+SUM(Allocation!D$12:D$22)</f>
        <v>117.75399999999999</v>
      </c>
      <c r="L95" s="17">
        <f>'Fiscal Forecasts'!L$81+SUM(Allocation!E$12:E$22)</f>
        <v>120.57599999999999</v>
      </c>
      <c r="M95" s="17">
        <f>'Fiscal Forecasts'!M$81+SUM(Allocation!F$12:F$22)</f>
        <v>121.95500000000001</v>
      </c>
      <c r="N95" s="17">
        <f>'Fiscal Forecasts'!N$81+SUM(Allocation!G$12:G$22)</f>
        <v>124.11</v>
      </c>
      <c r="O95" s="16">
        <f t="shared" ref="O95:AX95" ca="1" si="522">SUM(O$210,O$225,O$239)-SUM(O$113,O$264,O$274,O$314,O$455-N$455,O$460-N$460)</f>
        <v>131.30833458684725</v>
      </c>
      <c r="P95" s="16">
        <f t="shared" ca="1" si="522"/>
        <v>138.52037058481841</v>
      </c>
      <c r="Q95" s="16">
        <f t="shared" ca="1" si="522"/>
        <v>146.1598345227043</v>
      </c>
      <c r="R95" s="16">
        <f t="shared" ca="1" si="522"/>
        <v>154.08129093441249</v>
      </c>
      <c r="S95" s="16">
        <f t="shared" ca="1" si="522"/>
        <v>162.06602699436857</v>
      </c>
      <c r="T95" s="16">
        <f t="shared" ca="1" si="522"/>
        <v>169.90291693504349</v>
      </c>
      <c r="U95" s="16">
        <f t="shared" ca="1" si="522"/>
        <v>176.99454716047171</v>
      </c>
      <c r="V95" s="16">
        <f t="shared" ca="1" si="522"/>
        <v>184.38860011106723</v>
      </c>
      <c r="W95" s="16">
        <f t="shared" ca="1" si="522"/>
        <v>192.07539353258909</v>
      </c>
      <c r="X95" s="16">
        <f t="shared" ca="1" si="522"/>
        <v>200.04593237912411</v>
      </c>
      <c r="Y95" s="16">
        <f t="shared" ca="1" si="522"/>
        <v>208.23245765895615</v>
      </c>
      <c r="Z95" s="16">
        <f t="shared" ca="1" si="522"/>
        <v>216.77236394922207</v>
      </c>
      <c r="AA95" s="16">
        <f t="shared" ca="1" si="522"/>
        <v>225.61137480175793</v>
      </c>
      <c r="AB95" s="16">
        <f t="shared" ca="1" si="522"/>
        <v>234.73349220528212</v>
      </c>
      <c r="AC95" s="16">
        <f t="shared" ca="1" si="522"/>
        <v>244.20390514628733</v>
      </c>
      <c r="AD95" s="16">
        <f t="shared" ca="1" si="522"/>
        <v>253.89407240444231</v>
      </c>
      <c r="AE95" s="16">
        <f t="shared" ca="1" si="522"/>
        <v>263.91474053234811</v>
      </c>
      <c r="AF95" s="16">
        <f t="shared" ca="1" si="522"/>
        <v>274.30266760440861</v>
      </c>
      <c r="AG95" s="16">
        <f t="shared" ca="1" si="522"/>
        <v>285.00484866829942</v>
      </c>
      <c r="AH95" s="16">
        <f t="shared" ca="1" si="522"/>
        <v>296.05775755140735</v>
      </c>
      <c r="AI95" s="16">
        <f t="shared" ca="1" si="522"/>
        <v>307.42038932289643</v>
      </c>
      <c r="AJ95" s="16">
        <f t="shared" ca="1" si="522"/>
        <v>319.14480915568254</v>
      </c>
      <c r="AK95" s="16">
        <f t="shared" ca="1" si="522"/>
        <v>331.26285421760468</v>
      </c>
      <c r="AL95" s="16">
        <f t="shared" ca="1" si="522"/>
        <v>343.6661109747169</v>
      </c>
      <c r="AM95" s="16">
        <f t="shared" ca="1" si="522"/>
        <v>356.4454881962651</v>
      </c>
      <c r="AN95" s="16">
        <f t="shared" ca="1" si="522"/>
        <v>369.90458114704899</v>
      </c>
      <c r="AO95" s="16">
        <f t="shared" ca="1" si="522"/>
        <v>383.94373060258636</v>
      </c>
      <c r="AP95" s="16">
        <f t="shared" ca="1" si="522"/>
        <v>398.58055672020731</v>
      </c>
      <c r="AQ95" s="16">
        <f t="shared" ca="1" si="522"/>
        <v>413.00641358092759</v>
      </c>
      <c r="AR95" s="16">
        <f t="shared" ca="1" si="522"/>
        <v>428.40374529024217</v>
      </c>
      <c r="AS95" s="16">
        <f t="shared" ca="1" si="522"/>
        <v>444.37086395772695</v>
      </c>
      <c r="AT95" s="16">
        <f t="shared" ca="1" si="522"/>
        <v>460.90539954257861</v>
      </c>
      <c r="AU95" s="16">
        <f t="shared" ca="1" si="522"/>
        <v>478.0650148116822</v>
      </c>
      <c r="AV95" s="16">
        <f t="shared" ca="1" si="522"/>
        <v>495.89491147769621</v>
      </c>
      <c r="AW95" s="16">
        <f t="shared" ca="1" si="522"/>
        <v>514.38318327902664</v>
      </c>
      <c r="AX95" s="16">
        <f t="shared" ca="1" si="522"/>
        <v>533.56034531545504</v>
      </c>
    </row>
    <row r="96" spans="1:50" x14ac:dyDescent="0.25">
      <c r="A96" s="11" t="s">
        <v>503</v>
      </c>
      <c r="B96" s="10" t="str">
        <f t="shared" si="514"/>
        <v>From Fiscal Forecasts</v>
      </c>
      <c r="C96" s="13"/>
      <c r="D96" s="35">
        <f>'Fiscal Forecasts'!D$82</f>
        <v>4.0250000000000004</v>
      </c>
      <c r="E96" s="35">
        <f>'Fiscal Forecasts'!E$82</f>
        <v>3.8490000000000002</v>
      </c>
      <c r="F96" s="35">
        <f>'Fiscal Forecasts'!F$82</f>
        <v>3.1469999999999998</v>
      </c>
      <c r="G96" s="35">
        <f>'Fiscal Forecasts'!G$82</f>
        <v>3.2509999999999999</v>
      </c>
      <c r="H96" s="35">
        <f>'Fiscal Forecasts'!H$82</f>
        <v>6.1260000000000003</v>
      </c>
      <c r="I96" s="35">
        <f>'Fiscal Forecasts'!I$82</f>
        <v>8.5790000000000006</v>
      </c>
      <c r="J96" s="17">
        <f>'Fiscal Forecasts'!J$82</f>
        <v>8.5350000000000001</v>
      </c>
      <c r="K96" s="17">
        <f>'Fiscal Forecasts'!K$82</f>
        <v>9.2810000000000006</v>
      </c>
      <c r="L96" s="17">
        <f>'Fiscal Forecasts'!L$82</f>
        <v>10.356999999999999</v>
      </c>
      <c r="M96" s="17">
        <f>'Fiscal Forecasts'!M$82</f>
        <v>10.997</v>
      </c>
      <c r="N96" s="17">
        <f>'Fiscal Forecasts'!N$82</f>
        <v>12.266999999999999</v>
      </c>
      <c r="O96" s="16">
        <f t="shared" ref="O96:AX96" ca="1" si="523">(2*N$70-SUM(O$93,O$104,O$105)+SUM(O$94,O$95,O$107,O$348-N$348))/(2/O$233-1)</f>
        <v>15.518967878057198</v>
      </c>
      <c r="P96" s="16">
        <f t="shared" ca="1" si="523"/>
        <v>16.634128586052025</v>
      </c>
      <c r="Q96" s="16">
        <f t="shared" ca="1" si="523"/>
        <v>17.885063398192774</v>
      </c>
      <c r="R96" s="16">
        <f t="shared" ca="1" si="523"/>
        <v>19.239095962435137</v>
      </c>
      <c r="S96" s="16">
        <f t="shared" ca="1" si="523"/>
        <v>20.717690204537774</v>
      </c>
      <c r="T96" s="16">
        <f t="shared" ca="1" si="523"/>
        <v>22.27156615985588</v>
      </c>
      <c r="U96" s="16">
        <f t="shared" ca="1" si="523"/>
        <v>23.918649991874023</v>
      </c>
      <c r="V96" s="16">
        <f t="shared" ca="1" si="523"/>
        <v>25.642882659917543</v>
      </c>
      <c r="W96" s="16">
        <f t="shared" ca="1" si="523"/>
        <v>27.497743991172975</v>
      </c>
      <c r="X96" s="16">
        <f t="shared" ca="1" si="523"/>
        <v>29.514802237204965</v>
      </c>
      <c r="Y96" s="16">
        <f t="shared" ca="1" si="523"/>
        <v>31.699709111601834</v>
      </c>
      <c r="Z96" s="16">
        <f t="shared" ca="1" si="523"/>
        <v>34.054837584100099</v>
      </c>
      <c r="AA96" s="16">
        <f t="shared" ca="1" si="523"/>
        <v>36.593867478641243</v>
      </c>
      <c r="AB96" s="16">
        <f t="shared" ca="1" si="523"/>
        <v>39.328844335789192</v>
      </c>
      <c r="AC96" s="16">
        <f t="shared" ca="1" si="523"/>
        <v>42.270273945737529</v>
      </c>
      <c r="AD96" s="16">
        <f t="shared" ca="1" si="523"/>
        <v>45.429368461704314</v>
      </c>
      <c r="AE96" s="16">
        <f t="shared" ca="1" si="523"/>
        <v>48.818772128019141</v>
      </c>
      <c r="AF96" s="16">
        <f t="shared" ca="1" si="523"/>
        <v>52.452519133560806</v>
      </c>
      <c r="AG96" s="16">
        <f t="shared" ca="1" si="523"/>
        <v>56.346070087761568</v>
      </c>
      <c r="AH96" s="16">
        <f t="shared" ca="1" si="523"/>
        <v>60.517201092218869</v>
      </c>
      <c r="AI96" s="16">
        <f t="shared" ca="1" si="523"/>
        <v>64.982642907942932</v>
      </c>
      <c r="AJ96" s="16">
        <f t="shared" ca="1" si="523"/>
        <v>69.760147818500599</v>
      </c>
      <c r="AK96" s="16">
        <f t="shared" ca="1" si="523"/>
        <v>74.870240949475317</v>
      </c>
      <c r="AL96" s="16">
        <f t="shared" ca="1" si="523"/>
        <v>80.33271748744022</v>
      </c>
      <c r="AM96" s="16">
        <f t="shared" ca="1" si="523"/>
        <v>86.169666532779274</v>
      </c>
      <c r="AN96" s="16">
        <f t="shared" ca="1" si="523"/>
        <v>92.411729485253247</v>
      </c>
      <c r="AO96" s="16">
        <f t="shared" ca="1" si="523"/>
        <v>99.095533871604175</v>
      </c>
      <c r="AP96" s="16">
        <f t="shared" ca="1" si="523"/>
        <v>106.25906427756959</v>
      </c>
      <c r="AQ96" s="16">
        <f t="shared" ca="1" si="523"/>
        <v>113.92093396028226</v>
      </c>
      <c r="AR96" s="16">
        <f t="shared" ca="1" si="523"/>
        <v>122.10714211536815</v>
      </c>
      <c r="AS96" s="16">
        <f t="shared" ca="1" si="523"/>
        <v>130.86193312592877</v>
      </c>
      <c r="AT96" s="16">
        <f t="shared" ca="1" si="523"/>
        <v>140.22269402569478</v>
      </c>
      <c r="AU96" s="16">
        <f t="shared" ca="1" si="523"/>
        <v>150.22774783101707</v>
      </c>
      <c r="AV96" s="16">
        <f t="shared" ca="1" si="523"/>
        <v>160.91884846738094</v>
      </c>
      <c r="AW96" s="16">
        <f t="shared" ca="1" si="523"/>
        <v>172.34057404869546</v>
      </c>
      <c r="AX96" s="16">
        <f t="shared" ca="1" si="523"/>
        <v>184.53648590229074</v>
      </c>
    </row>
    <row r="97" spans="1:50" x14ac:dyDescent="0.25">
      <c r="A97" s="9" t="s">
        <v>1052</v>
      </c>
      <c r="B97" s="9"/>
      <c r="C97" s="13"/>
      <c r="D97" s="64">
        <f>SUM(D$94:D$96)</f>
        <v>104.086</v>
      </c>
      <c r="E97" s="64">
        <f t="shared" ref="E97:I97" si="524">SUM(E$94:E$96)</f>
        <v>123.986</v>
      </c>
      <c r="F97" s="64">
        <f t="shared" si="524"/>
        <v>122.91800000000001</v>
      </c>
      <c r="G97" s="64">
        <f t="shared" si="524"/>
        <v>140.489</v>
      </c>
      <c r="H97" s="64">
        <f t="shared" si="524"/>
        <v>144.71</v>
      </c>
      <c r="I97" s="64">
        <f t="shared" si="524"/>
        <v>162.00900000000001</v>
      </c>
      <c r="J97" s="65">
        <f>SUM(J$94:J$96)</f>
        <v>172.41499999999999</v>
      </c>
      <c r="K97" s="65">
        <f t="shared" ref="K97:N97" si="525">SUM(K$94:K$96)</f>
        <v>174.44799999999998</v>
      </c>
      <c r="L97" s="65">
        <f t="shared" si="525"/>
        <v>179.34799999999998</v>
      </c>
      <c r="M97" s="65">
        <f t="shared" si="525"/>
        <v>182.78000000000003</v>
      </c>
      <c r="N97" s="65">
        <f t="shared" si="525"/>
        <v>187.69399999999999</v>
      </c>
      <c r="O97" s="88">
        <f ca="1">SUM(O$94:O$96)</f>
        <v>199.59976385851223</v>
      </c>
      <c r="P97" s="88">
        <f t="shared" ref="P97:AX97" ca="1" si="526">SUM(P$94:P$96)</f>
        <v>210.24494894740087</v>
      </c>
      <c r="Q97" s="88">
        <f t="shared" ca="1" si="526"/>
        <v>221.56433431570571</v>
      </c>
      <c r="R97" s="88">
        <f t="shared" ca="1" si="526"/>
        <v>233.35508441350305</v>
      </c>
      <c r="S97" s="88">
        <f t="shared" ca="1" si="526"/>
        <v>245.44090269282793</v>
      </c>
      <c r="T97" s="88">
        <f t="shared" ca="1" si="526"/>
        <v>257.51667171589611</v>
      </c>
      <c r="U97" s="88">
        <f t="shared" ca="1" si="526"/>
        <v>269.08964300143538</v>
      </c>
      <c r="V97" s="88">
        <f t="shared" ca="1" si="526"/>
        <v>281.1031141818807</v>
      </c>
      <c r="W97" s="88">
        <f t="shared" ca="1" si="526"/>
        <v>293.54504246904128</v>
      </c>
      <c r="X97" s="88">
        <f t="shared" ca="1" si="526"/>
        <v>306.44982387851127</v>
      </c>
      <c r="Y97" s="88">
        <f t="shared" ca="1" si="526"/>
        <v>319.99419209909968</v>
      </c>
      <c r="Z97" s="88">
        <f t="shared" ca="1" si="526"/>
        <v>334.1037992712487</v>
      </c>
      <c r="AA97" s="88">
        <f t="shared" ca="1" si="526"/>
        <v>348.81750838898159</v>
      </c>
      <c r="AB97" s="88">
        <f t="shared" ca="1" si="526"/>
        <v>364.082415713155</v>
      </c>
      <c r="AC97" s="88">
        <f t="shared" ca="1" si="526"/>
        <v>380.08850357503428</v>
      </c>
      <c r="AD97" s="88">
        <f t="shared" ca="1" si="526"/>
        <v>396.70024307447568</v>
      </c>
      <c r="AE97" s="88">
        <f t="shared" ca="1" si="526"/>
        <v>414.05061930945163</v>
      </c>
      <c r="AF97" s="88">
        <f t="shared" ca="1" si="526"/>
        <v>432.21042227144142</v>
      </c>
      <c r="AG97" s="88">
        <f t="shared" ca="1" si="526"/>
        <v>451.17423657433619</v>
      </c>
      <c r="AH97" s="88">
        <f t="shared" ca="1" si="526"/>
        <v>470.96462805004262</v>
      </c>
      <c r="AI97" s="88">
        <f t="shared" ca="1" si="526"/>
        <v>491.58843973247019</v>
      </c>
      <c r="AJ97" s="88">
        <f t="shared" ca="1" si="526"/>
        <v>513.11664263954538</v>
      </c>
      <c r="AK97" s="88">
        <f t="shared" ca="1" si="526"/>
        <v>535.71090213070283</v>
      </c>
      <c r="AL97" s="88">
        <f t="shared" ca="1" si="526"/>
        <v>559.29045315646749</v>
      </c>
      <c r="AM97" s="88">
        <f t="shared" ca="1" si="526"/>
        <v>583.90071476683329</v>
      </c>
      <c r="AN97" s="88">
        <f t="shared" ca="1" si="526"/>
        <v>609.992275503879</v>
      </c>
      <c r="AO97" s="88">
        <f t="shared" ca="1" si="526"/>
        <v>637.40836451018481</v>
      </c>
      <c r="AP97" s="88">
        <f t="shared" ca="1" si="526"/>
        <v>666.12876887713628</v>
      </c>
      <c r="AQ97" s="88">
        <f t="shared" ca="1" si="526"/>
        <v>695.31361781226565</v>
      </c>
      <c r="AR97" s="88">
        <f t="shared" ca="1" si="526"/>
        <v>726.11263464636954</v>
      </c>
      <c r="AS97" s="88">
        <f t="shared" ca="1" si="526"/>
        <v>758.27126362538161</v>
      </c>
      <c r="AT97" s="88">
        <f t="shared" ca="1" si="526"/>
        <v>791.76401313631357</v>
      </c>
      <c r="AU97" s="88">
        <f t="shared" ca="1" si="526"/>
        <v>826.70013295062427</v>
      </c>
      <c r="AV97" s="88">
        <f t="shared" ca="1" si="526"/>
        <v>863.23112651789984</v>
      </c>
      <c r="AW97" s="88">
        <f t="shared" ca="1" si="526"/>
        <v>901.31811599906018</v>
      </c>
      <c r="AX97" s="88">
        <f t="shared" ca="1" si="526"/>
        <v>941.31696626686812</v>
      </c>
    </row>
    <row r="98" spans="1:50" x14ac:dyDescent="0.25">
      <c r="A98" s="9" t="s">
        <v>1037</v>
      </c>
      <c r="B98" s="9"/>
      <c r="C98" s="13"/>
      <c r="D98" s="64">
        <f t="shared" ref="D98:O98" si="527">D$93-D$97</f>
        <v>10.972999999999999</v>
      </c>
      <c r="E98" s="64">
        <f t="shared" si="527"/>
        <v>-10.396000000000001</v>
      </c>
      <c r="F98" s="64">
        <f t="shared" si="527"/>
        <v>3.1040000000000134</v>
      </c>
      <c r="G98" s="64">
        <f t="shared" si="527"/>
        <v>-5.3770000000000095</v>
      </c>
      <c r="H98" s="64">
        <f t="shared" si="527"/>
        <v>4.5249999999999773</v>
      </c>
      <c r="I98" s="64">
        <f t="shared" si="527"/>
        <v>-2.30600000000004</v>
      </c>
      <c r="J98" s="65">
        <f t="shared" si="527"/>
        <v>-3.1620000000000061</v>
      </c>
      <c r="K98" s="65">
        <f t="shared" si="527"/>
        <v>-3.6929999999999836</v>
      </c>
      <c r="L98" s="65">
        <f t="shared" si="527"/>
        <v>0.7650000000000432</v>
      </c>
      <c r="M98" s="65">
        <f t="shared" si="527"/>
        <v>6.2669999999999675</v>
      </c>
      <c r="N98" s="65">
        <f t="shared" si="527"/>
        <v>10.085000000000008</v>
      </c>
      <c r="O98" s="88">
        <f t="shared" ca="1" si="527"/>
        <v>7.9000564584683559</v>
      </c>
      <c r="P98" s="88">
        <f t="shared" ref="P98:AX98" ca="1" si="528">P$93-P$97</f>
        <v>6.1537722093608238</v>
      </c>
      <c r="Q98" s="88">
        <f t="shared" ca="1" si="528"/>
        <v>4.0770140074876338</v>
      </c>
      <c r="R98" s="88">
        <f t="shared" ca="1" si="528"/>
        <v>1.6191082652044884</v>
      </c>
      <c r="S98" s="88">
        <f t="shared" ca="1" si="528"/>
        <v>-0.80712228045572942</v>
      </c>
      <c r="T98" s="88">
        <f t="shared" ca="1" si="528"/>
        <v>-2.9244524375354786</v>
      </c>
      <c r="U98" s="88">
        <f t="shared" ca="1" si="528"/>
        <v>-4.1648354732167263</v>
      </c>
      <c r="V98" s="88">
        <f t="shared" ca="1" si="528"/>
        <v>-5.675800123492877</v>
      </c>
      <c r="W98" s="88">
        <f t="shared" ca="1" si="528"/>
        <v>-7.5942250418325443</v>
      </c>
      <c r="X98" s="88">
        <f t="shared" ca="1" si="528"/>
        <v>-9.7592006951236385</v>
      </c>
      <c r="Y98" s="88">
        <f t="shared" ca="1" si="528"/>
        <v>-12.216687725233271</v>
      </c>
      <c r="Z98" s="88">
        <f t="shared" ca="1" si="528"/>
        <v>-14.855967848825912</v>
      </c>
      <c r="AA98" s="88">
        <f t="shared" ca="1" si="528"/>
        <v>-17.703212543760287</v>
      </c>
      <c r="AB98" s="88">
        <f t="shared" ca="1" si="528"/>
        <v>-20.708532129421201</v>
      </c>
      <c r="AC98" s="88">
        <f t="shared" ca="1" si="528"/>
        <v>-24.016786346753008</v>
      </c>
      <c r="AD98" s="88">
        <f t="shared" ca="1" si="528"/>
        <v>-27.540958430235492</v>
      </c>
      <c r="AE98" s="88">
        <f t="shared" ca="1" si="528"/>
        <v>-31.445572913339674</v>
      </c>
      <c r="AF98" s="88">
        <f t="shared" ca="1" si="528"/>
        <v>-35.670315577699682</v>
      </c>
      <c r="AG98" s="88">
        <f t="shared" ca="1" si="528"/>
        <v>-40.383266064911254</v>
      </c>
      <c r="AH98" s="88">
        <f t="shared" ca="1" si="528"/>
        <v>-45.580089761989598</v>
      </c>
      <c r="AI98" s="88">
        <f t="shared" ca="1" si="528"/>
        <v>-51.148542895920116</v>
      </c>
      <c r="AJ98" s="88">
        <f t="shared" ca="1" si="528"/>
        <v>-57.193926535227831</v>
      </c>
      <c r="AK98" s="88">
        <f t="shared" ca="1" si="528"/>
        <v>-63.94851856273101</v>
      </c>
      <c r="AL98" s="88">
        <f t="shared" ca="1" si="528"/>
        <v>-71.204956483681372</v>
      </c>
      <c r="AM98" s="88">
        <f t="shared" ca="1" si="528"/>
        <v>-79.105146790522269</v>
      </c>
      <c r="AN98" s="88">
        <f t="shared" ca="1" si="528"/>
        <v>-87.962882329171293</v>
      </c>
      <c r="AO98" s="88">
        <f t="shared" ca="1" si="528"/>
        <v>-97.675531558227135</v>
      </c>
      <c r="AP98" s="88">
        <f t="shared" ca="1" si="528"/>
        <v>-108.17691947012167</v>
      </c>
      <c r="AQ98" s="88">
        <f t="shared" ca="1" si="528"/>
        <v>-118.62554125367899</v>
      </c>
      <c r="AR98" s="88">
        <f t="shared" ca="1" si="528"/>
        <v>-130.10929382240045</v>
      </c>
      <c r="AS98" s="88">
        <f t="shared" ca="1" si="528"/>
        <v>-142.35790911357469</v>
      </c>
      <c r="AT98" s="88">
        <f t="shared" ca="1" si="528"/>
        <v>-155.29233463253217</v>
      </c>
      <c r="AU98" s="88">
        <f t="shared" ca="1" si="528"/>
        <v>-169.01991889486283</v>
      </c>
      <c r="AV98" s="88">
        <f t="shared" ca="1" si="528"/>
        <v>-183.64318606783752</v>
      </c>
      <c r="AW98" s="88">
        <f t="shared" ca="1" si="528"/>
        <v>-199.09913003567272</v>
      </c>
      <c r="AX98" s="88">
        <f t="shared" ca="1" si="528"/>
        <v>-215.74929498721792</v>
      </c>
    </row>
    <row r="99" spans="1:50" x14ac:dyDescent="0.25">
      <c r="A99" s="11" t="s">
        <v>1022</v>
      </c>
      <c r="B99" s="10" t="str">
        <f t="shared" ref="B99:B103" si="529">$B$38</f>
        <v>From Fiscal Forecasts</v>
      </c>
      <c r="C99" s="13"/>
      <c r="D99" s="35">
        <f>-'Fiscal Forecasts'!D$85</f>
        <v>8.4640000000000004</v>
      </c>
      <c r="E99" s="35">
        <f>-'Fiscal Forecasts'!E$85</f>
        <v>9.0709999999999997</v>
      </c>
      <c r="F99" s="35">
        <f>-'Fiscal Forecasts'!F$85</f>
        <v>9.3930000000000007</v>
      </c>
      <c r="G99" s="35">
        <f>-'Fiscal Forecasts'!G$85</f>
        <v>10.571999999999999</v>
      </c>
      <c r="H99" s="35">
        <f>-'Fiscal Forecasts'!H$85</f>
        <v>14.271000000000001</v>
      </c>
      <c r="I99" s="35">
        <f>-'Fiscal Forecasts'!I$85</f>
        <v>16.948</v>
      </c>
      <c r="J99" s="17">
        <f>-'Fiscal Forecasts'!J$85</f>
        <v>15.737</v>
      </c>
      <c r="K99" s="17">
        <f>-'Fiscal Forecasts'!K$85</f>
        <v>17.817</v>
      </c>
      <c r="L99" s="17">
        <f>-'Fiscal Forecasts'!L$85</f>
        <v>15.276999999999999</v>
      </c>
      <c r="M99" s="17">
        <f>-'Fiscal Forecasts'!M$85</f>
        <v>14.224</v>
      </c>
      <c r="N99" s="17">
        <f>-'Fiscal Forecasts'!N$85</f>
        <v>12.698</v>
      </c>
      <c r="O99" s="16">
        <f t="shared" ref="O99:AX99" ca="1" si="530">SUM(O$422-N$422,O$216)</f>
        <v>22.772641516543604</v>
      </c>
      <c r="P99" s="16">
        <f t="shared" ca="1" si="530"/>
        <v>22.946626761064962</v>
      </c>
      <c r="Q99" s="16">
        <f t="shared" ca="1" si="530"/>
        <v>23.041550576616011</v>
      </c>
      <c r="R99" s="16">
        <f t="shared" ca="1" si="530"/>
        <v>23.495128322445758</v>
      </c>
      <c r="S99" s="16">
        <f t="shared" ca="1" si="530"/>
        <v>24.310534295603972</v>
      </c>
      <c r="T99" s="16">
        <f t="shared" ca="1" si="530"/>
        <v>25.130622556036645</v>
      </c>
      <c r="U99" s="16">
        <f t="shared" ca="1" si="530"/>
        <v>24.627100629003209</v>
      </c>
      <c r="V99" s="16">
        <f t="shared" ca="1" si="530"/>
        <v>25.367614043447048</v>
      </c>
      <c r="W99" s="16">
        <f t="shared" ca="1" si="530"/>
        <v>26.803315504162924</v>
      </c>
      <c r="X99" s="16">
        <f t="shared" ca="1" si="530"/>
        <v>28.368241023780822</v>
      </c>
      <c r="Y99" s="16">
        <f t="shared" ca="1" si="530"/>
        <v>29.303094757604196</v>
      </c>
      <c r="Z99" s="16">
        <f t="shared" ca="1" si="530"/>
        <v>30.255723928001196</v>
      </c>
      <c r="AA99" s="16">
        <f t="shared" ca="1" si="530"/>
        <v>31.281531237337255</v>
      </c>
      <c r="AB99" s="16">
        <f t="shared" ca="1" si="530"/>
        <v>32.309313013470017</v>
      </c>
      <c r="AC99" s="16">
        <f t="shared" ca="1" si="530"/>
        <v>33.353679512838774</v>
      </c>
      <c r="AD99" s="16">
        <f t="shared" ca="1" si="530"/>
        <v>34.426157486337502</v>
      </c>
      <c r="AE99" s="16">
        <f t="shared" ca="1" si="530"/>
        <v>35.51166180172978</v>
      </c>
      <c r="AF99" s="16">
        <f t="shared" ca="1" si="530"/>
        <v>36.618309596013631</v>
      </c>
      <c r="AG99" s="16">
        <f t="shared" ca="1" si="530"/>
        <v>37.744225917393663</v>
      </c>
      <c r="AH99" s="16">
        <f t="shared" ca="1" si="530"/>
        <v>38.879462614544337</v>
      </c>
      <c r="AI99" s="16">
        <f t="shared" ca="1" si="530"/>
        <v>40.048975680221993</v>
      </c>
      <c r="AJ99" s="16">
        <f t="shared" ca="1" si="530"/>
        <v>41.25808298161121</v>
      </c>
      <c r="AK99" s="16">
        <f t="shared" ca="1" si="530"/>
        <v>42.460747294425765</v>
      </c>
      <c r="AL99" s="16">
        <f t="shared" ca="1" si="530"/>
        <v>43.707867321106292</v>
      </c>
      <c r="AM99" s="16">
        <f t="shared" ca="1" si="530"/>
        <v>45.002545958060502</v>
      </c>
      <c r="AN99" s="16">
        <f t="shared" ca="1" si="530"/>
        <v>46.340220391372974</v>
      </c>
      <c r="AO99" s="16">
        <f t="shared" ca="1" si="530"/>
        <v>47.707182946853102</v>
      </c>
      <c r="AP99" s="16">
        <f t="shared" ca="1" si="530"/>
        <v>49.16140764825964</v>
      </c>
      <c r="AQ99" s="16">
        <f t="shared" ca="1" si="530"/>
        <v>50.660436725695256</v>
      </c>
      <c r="AR99" s="16">
        <f t="shared" ca="1" si="530"/>
        <v>52.243018968646524</v>
      </c>
      <c r="AS99" s="16">
        <f t="shared" ca="1" si="530"/>
        <v>53.869098705797292</v>
      </c>
      <c r="AT99" s="16">
        <f t="shared" ca="1" si="530"/>
        <v>55.597378760530162</v>
      </c>
      <c r="AU99" s="16">
        <f t="shared" ca="1" si="530"/>
        <v>57.343783473309102</v>
      </c>
      <c r="AV99" s="16">
        <f t="shared" ca="1" si="530"/>
        <v>59.192456178884399</v>
      </c>
      <c r="AW99" s="16">
        <f t="shared" ca="1" si="530"/>
        <v>61.09592055347305</v>
      </c>
      <c r="AX99" s="16">
        <f t="shared" ca="1" si="530"/>
        <v>63.019830516315672</v>
      </c>
    </row>
    <row r="100" spans="1:50" x14ac:dyDescent="0.25">
      <c r="A100" s="11" t="s">
        <v>1058</v>
      </c>
      <c r="B100" s="10" t="str">
        <f t="shared" si="529"/>
        <v>From Fiscal Forecasts</v>
      </c>
      <c r="C100" s="13"/>
      <c r="D100" s="35">
        <f>-'Fiscal Forecasts'!D$86</f>
        <v>-3.8039999999999998</v>
      </c>
      <c r="E100" s="35">
        <f>-'Fiscal Forecasts'!E$86</f>
        <v>14.148999999999999</v>
      </c>
      <c r="F100" s="35">
        <f>-'Fiscal Forecasts'!F$86</f>
        <v>-4.1890000000000001</v>
      </c>
      <c r="G100" s="35">
        <f>-'Fiscal Forecasts'!G$86</f>
        <v>4.9859999999999998</v>
      </c>
      <c r="H100" s="35">
        <f>-'Fiscal Forecasts'!H$86</f>
        <v>4.9059999999999997</v>
      </c>
      <c r="I100" s="35">
        <f>-'Fiscal Forecasts'!I$86</f>
        <v>10.231999999999999</v>
      </c>
      <c r="J100" s="17">
        <f>-'Fiscal Forecasts'!J$86</f>
        <v>6.375</v>
      </c>
      <c r="K100" s="17">
        <f>-'Fiscal Forecasts'!K$86</f>
        <v>4.6929999999999996</v>
      </c>
      <c r="L100" s="17">
        <f>-'Fiscal Forecasts'!L$86</f>
        <v>-3.2610000000000001</v>
      </c>
      <c r="M100" s="17">
        <f>-'Fiscal Forecasts'!M$86</f>
        <v>-0.20200000000000001</v>
      </c>
      <c r="N100" s="17">
        <f>-'Fiscal Forecasts'!N$86</f>
        <v>-0.113</v>
      </c>
      <c r="O100" s="16">
        <f ca="1">SUM(O$364-N$364,O$373-N$373,O$389-N$389)-SUM(O$332,O$335:O$337)</f>
        <v>0.44299598136213714</v>
      </c>
      <c r="P100" s="16">
        <f t="shared" ref="P100" ca="1" si="531">SUM(P$364-O$364,P$373-O$373,P$389-O$389)-SUM(P$332,P$335:P$337)</f>
        <v>2.6586295489628187</v>
      </c>
      <c r="Q100" s="16">
        <f t="shared" ref="Q100" ca="1" si="532">SUM(Q$364-P$364,Q$373-P$373,Q$389-P$389)-SUM(Q$332,Q$335:Q$337)</f>
        <v>2.6715467162299671</v>
      </c>
      <c r="R100" s="16">
        <f t="shared" ref="R100" ca="1" si="533">SUM(R$364-Q$364,R$373-Q$373,R$389-Q$389)-SUM(R$332,R$335:R$337)</f>
        <v>2.6415092906725217</v>
      </c>
      <c r="S100" s="16">
        <f t="shared" ref="S100" ca="1" si="534">SUM(S$364-R$364,S$373-R$373,S$389-R$389)-SUM(S$332,S$335:S$337)</f>
        <v>2.7083744222903352</v>
      </c>
      <c r="T100" s="16">
        <f t="shared" ref="T100" ca="1" si="535">SUM(T$364-S$364,T$373-S$373,T$389-S$389)-SUM(T$332,T$335:T$337)</f>
        <v>2.8084627188123843</v>
      </c>
      <c r="U100" s="16">
        <f t="shared" ref="U100" ca="1" si="536">SUM(U$364-T$364,U$373-T$373,U$389-T$389)-SUM(U$332,U$335:U$337)</f>
        <v>2.8911232711777952</v>
      </c>
      <c r="V100" s="16">
        <f t="shared" ref="V100" ca="1" si="537">SUM(V$364-U$364,V$373-U$373,V$389-U$389)-SUM(V$332,V$335:V$337)</f>
        <v>2.9070445126947391</v>
      </c>
      <c r="W100" s="16">
        <f t="shared" ref="W100" ca="1" si="538">SUM(W$364-V$364,W$373-V$373,W$389-V$389)-SUM(W$332,W$335:W$337)</f>
        <v>2.8604986353606314</v>
      </c>
      <c r="X100" s="16">
        <f t="shared" ref="X100" ca="1" si="539">SUM(X$364-W$364,X$373-W$373,X$389-W$389)-SUM(X$332,X$335:X$337)</f>
        <v>2.8541430095589178</v>
      </c>
      <c r="Y100" s="16">
        <f t="shared" ref="Y100" ca="1" si="540">SUM(Y$364-X$364,Y$373-X$373,Y$389-X$389)-SUM(Y$332,Y$335:Y$337)</f>
        <v>2.9568814614335768</v>
      </c>
      <c r="Z100" s="16">
        <f t="shared" ref="Z100" ca="1" si="541">SUM(Z$364-Y$364,Z$373-Y$373,Z$389-Y$389)-SUM(Z$332,Z$335:Z$337)</f>
        <v>3.130661939074427</v>
      </c>
      <c r="AA100" s="16">
        <f t="shared" ref="AA100" ca="1" si="542">SUM(AA$364-Z$364,AA$373-Z$373,AA$389-Z$389)-SUM(AA$332,AA$335:AA$337)</f>
        <v>3.3327254098819221</v>
      </c>
      <c r="AB100" s="16">
        <f t="shared" ref="AB100" ca="1" si="543">SUM(AB$364-AA$364,AB$373-AA$373,AB$389-AA$389)-SUM(AB$332,AB$335:AB$337)</f>
        <v>3.5737112178317325</v>
      </c>
      <c r="AC100" s="16">
        <f t="shared" ref="AC100" ca="1" si="544">SUM(AC$364-AB$364,AC$373-AB$373,AC$389-AB$389)-SUM(AC$332,AC$335:AC$337)</f>
        <v>3.7701350861921306</v>
      </c>
      <c r="AD100" s="16">
        <f t="shared" ref="AD100" ca="1" si="545">SUM(AD$364-AC$364,AD$373-AC$373,AD$389-AC$389)-SUM(AD$332,AD$335:AD$337)</f>
        <v>3.9602490909501427</v>
      </c>
      <c r="AE100" s="16">
        <f t="shared" ref="AE100" ca="1" si="546">SUM(AE$364-AD$364,AE$373-AD$373,AE$389-AD$389)-SUM(AE$332,AE$335:AE$337)</f>
        <v>4.0979422479128651</v>
      </c>
      <c r="AF100" s="16">
        <f t="shared" ref="AF100" ca="1" si="547">SUM(AF$364-AE$364,AF$373-AE$373,AF$389-AE$389)-SUM(AF$332,AF$335:AF$337)</f>
        <v>4.2023197901169347</v>
      </c>
      <c r="AG100" s="16">
        <f t="shared" ref="AG100" ca="1" si="548">SUM(AG$364-AF$364,AG$373-AF$373,AG$389-AF$389)-SUM(AG$332,AG$335:AG$337)</f>
        <v>4.2115651724435672</v>
      </c>
      <c r="AH100" s="16">
        <f t="shared" ref="AH100" ca="1" si="549">SUM(AH$364-AG$364,AH$373-AG$373,AH$389-AG$389)-SUM(AH$332,AH$335:AH$337)</f>
        <v>4.1471822156148583</v>
      </c>
      <c r="AI100" s="16">
        <f t="shared" ref="AI100" ca="1" si="550">SUM(AI$364-AH$364,AI$373-AH$373,AI$389-AH$389)-SUM(AI$332,AI$335:AI$337)</f>
        <v>4.0353027714759833</v>
      </c>
      <c r="AJ100" s="16">
        <f t="shared" ref="AJ100" ca="1" si="551">SUM(AJ$364-AI$364,AJ$373-AI$373,AJ$389-AI$389)-SUM(AJ$332,AJ$335:AJ$337)</f>
        <v>3.8629877220712316</v>
      </c>
      <c r="AK100" s="16">
        <f t="shared" ref="AK100" ca="1" si="552">SUM(AK$364-AJ$364,AK$373-AJ$373,AK$389-AJ$389)-SUM(AK$332,AK$335:AK$337)</f>
        <v>3.5061982162642167</v>
      </c>
      <c r="AL100" s="16">
        <f t="shared" ref="AL100" ca="1" si="553">SUM(AL$364-AK$364,AL$373-AK$373,AL$389-AK$389)-SUM(AL$332,AL$335:AL$337)</f>
        <v>3.0410255094607663</v>
      </c>
      <c r="AM100" s="16">
        <f t="shared" ref="AM100" ca="1" si="554">SUM(AM$364-AL$364,AM$373-AL$373,AM$389-AL$389)-SUM(AM$332,AM$335:AM$337)</f>
        <v>2.4786674221850404</v>
      </c>
      <c r="AN100" s="16">
        <f t="shared" ref="AN100" ca="1" si="555">SUM(AN$364-AM$364,AN$373-AM$373,AN$389-AM$389)-SUM(AN$332,AN$335:AN$337)</f>
        <v>1.7563084593479772</v>
      </c>
      <c r="AO100" s="16">
        <f t="shared" ref="AO100" ca="1" si="556">SUM(AO$364-AN$364,AO$373-AN$373,AO$389-AN$389)-SUM(AO$332,AO$335:AO$337)</f>
        <v>0.94740849698602148</v>
      </c>
      <c r="AP100" s="16">
        <f t="shared" ref="AP100" ca="1" si="557">SUM(AP$364-AO$364,AP$373-AO$373,AP$389-AO$389)-SUM(AP$332,AP$335:AP$337)</f>
        <v>0.12877477509204738</v>
      </c>
      <c r="AQ100" s="16">
        <f t="shared" ref="AQ100" ca="1" si="558">SUM(AQ$364-AP$364,AQ$373-AP$373,AQ$389-AP$389)-SUM(AQ$332,AQ$335:AQ$337)</f>
        <v>-0.64623076246877531</v>
      </c>
      <c r="AR100" s="16">
        <f t="shared" ref="AR100" ca="1" si="559">SUM(AR$364-AQ$364,AR$373-AQ$373,AR$389-AQ$389)-SUM(AR$332,AR$335:AR$337)</f>
        <v>-1.3473824702668935</v>
      </c>
      <c r="AS100" s="16">
        <f t="shared" ref="AS100" ca="1" si="560">SUM(AS$364-AR$364,AS$373-AR$373,AS$389-AR$389)-SUM(AS$332,AS$335:AS$337)</f>
        <v>-2.0456104597889393</v>
      </c>
      <c r="AT100" s="16">
        <f t="shared" ref="AT100" ca="1" si="561">SUM(AT$364-AS$364,AT$373-AS$373,AT$389-AS$389)-SUM(AT$332,AT$335:AT$337)</f>
        <v>-2.6637486996847244</v>
      </c>
      <c r="AU100" s="16">
        <f t="shared" ref="AU100" ca="1" si="562">SUM(AU$364-AT$364,AU$373-AT$373,AU$389-AT$389)-SUM(AU$332,AU$335:AU$337)</f>
        <v>-3.2358901044745494</v>
      </c>
      <c r="AV100" s="16">
        <f t="shared" ref="AV100" ca="1" si="563">SUM(AV$364-AU$364,AV$373-AU$373,AV$389-AU$389)-SUM(AV$332,AV$335:AV$337)</f>
        <v>-3.7712119413287937</v>
      </c>
      <c r="AW100" s="16">
        <f t="shared" ref="AW100" ca="1" si="564">SUM(AW$364-AV$364,AW$373-AV$373,AW$389-AV$389)-SUM(AW$332,AW$335:AW$337)</f>
        <v>-4.2251096530135328</v>
      </c>
      <c r="AX100" s="16">
        <f t="shared" ref="AX100" ca="1" si="565">SUM(AX$364-AW$364,AX$373-AW$373,AX$389-AW$389)-SUM(AX$332,AX$335:AX$337)</f>
        <v>-4.8420769344683308</v>
      </c>
    </row>
    <row r="101" spans="1:50" x14ac:dyDescent="0.25">
      <c r="A101" s="11" t="s">
        <v>1059</v>
      </c>
      <c r="B101" s="10" t="str">
        <f t="shared" si="529"/>
        <v>From Fiscal Forecasts</v>
      </c>
      <c r="C101" s="13"/>
      <c r="D101" s="35">
        <f>-'Fiscal Forecasts'!D$87</f>
        <v>0.79100000000000004</v>
      </c>
      <c r="E101" s="35">
        <f>-'Fiscal Forecasts'!E$87</f>
        <v>0.85499999999999998</v>
      </c>
      <c r="F101" s="35">
        <f>-'Fiscal Forecasts'!F$87</f>
        <v>0.89800000000000002</v>
      </c>
      <c r="G101" s="35">
        <f>-'Fiscal Forecasts'!G$87</f>
        <v>0.71</v>
      </c>
      <c r="H101" s="35">
        <f>-'Fiscal Forecasts'!H$87</f>
        <v>0.86799999999999999</v>
      </c>
      <c r="I101" s="35">
        <f>-'Fiscal Forecasts'!I$87</f>
        <v>0.86</v>
      </c>
      <c r="J101" s="17">
        <f>-'Fiscal Forecasts'!J$87</f>
        <v>0.91400000000000003</v>
      </c>
      <c r="K101" s="17">
        <f>-'Fiscal Forecasts'!K$87</f>
        <v>0.74299999999999999</v>
      </c>
      <c r="L101" s="17">
        <f>-'Fiscal Forecasts'!L$87</f>
        <v>0.621</v>
      </c>
      <c r="M101" s="17">
        <f>-'Fiscal Forecasts'!M$87</f>
        <v>0.59199999999999997</v>
      </c>
      <c r="N101" s="17">
        <f>-'Fiscal Forecasts'!N$87</f>
        <v>0.622</v>
      </c>
      <c r="O101" s="16">
        <f t="shared" ref="O101:AX101" ca="1" si="566">SUM(O$431-N$431,O$217,O$218)</f>
        <v>1.3746399694552671</v>
      </c>
      <c r="P101" s="16">
        <f t="shared" ca="1" si="566"/>
        <v>1.1272136342748895</v>
      </c>
      <c r="Q101" s="16">
        <f t="shared" ca="1" si="566"/>
        <v>1.1685843084892698</v>
      </c>
      <c r="R101" s="16">
        <f t="shared" ca="1" si="566"/>
        <v>1.2093887309136364</v>
      </c>
      <c r="S101" s="16">
        <f t="shared" ca="1" si="566"/>
        <v>1.2568350436513942</v>
      </c>
      <c r="T101" s="16">
        <f t="shared" ca="1" si="566"/>
        <v>1.30548218240976</v>
      </c>
      <c r="U101" s="16">
        <f t="shared" ca="1" si="566"/>
        <v>1.356301896917024</v>
      </c>
      <c r="V101" s="16">
        <f t="shared" ca="1" si="566"/>
        <v>1.4086445983406262</v>
      </c>
      <c r="W101" s="16">
        <f t="shared" ca="1" si="566"/>
        <v>1.4612320718384564</v>
      </c>
      <c r="X101" s="16">
        <f t="shared" ca="1" si="566"/>
        <v>1.5154414392162652</v>
      </c>
      <c r="Y101" s="16">
        <f t="shared" ca="1" si="566"/>
        <v>1.5722588621618361</v>
      </c>
      <c r="Z101" s="16">
        <f t="shared" ca="1" si="566"/>
        <v>1.6306838704660906</v>
      </c>
      <c r="AA101" s="16">
        <f t="shared" ca="1" si="566"/>
        <v>1.6917617868333048</v>
      </c>
      <c r="AB101" s="16">
        <f t="shared" ca="1" si="566"/>
        <v>1.754334485399943</v>
      </c>
      <c r="AC101" s="16">
        <f t="shared" ca="1" si="566"/>
        <v>1.8186276699420576</v>
      </c>
      <c r="AD101" s="16">
        <f t="shared" ca="1" si="566"/>
        <v>1.8848556283032973</v>
      </c>
      <c r="AE101" s="16">
        <f t="shared" ca="1" si="566"/>
        <v>1.9527691297638592</v>
      </c>
      <c r="AF101" s="16">
        <f t="shared" ca="1" si="566"/>
        <v>2.0225062836498551</v>
      </c>
      <c r="AG101" s="16">
        <f t="shared" ca="1" si="566"/>
        <v>2.0940431653297518</v>
      </c>
      <c r="AH101" s="16">
        <f t="shared" ca="1" si="566"/>
        <v>2.1671982210394258</v>
      </c>
      <c r="AI101" s="16">
        <f t="shared" ca="1" si="566"/>
        <v>2.242413348330591</v>
      </c>
      <c r="AJ101" s="16">
        <f t="shared" ca="1" si="566"/>
        <v>2.3198397552515262</v>
      </c>
      <c r="AK101" s="16">
        <f t="shared" ca="1" si="566"/>
        <v>2.3986803980196614</v>
      </c>
      <c r="AL101" s="16">
        <f t="shared" ca="1" si="566"/>
        <v>2.4798115894641195</v>
      </c>
      <c r="AM101" s="16">
        <f t="shared" ca="1" si="566"/>
        <v>2.5633725684546862</v>
      </c>
      <c r="AN101" s="16">
        <f t="shared" ca="1" si="566"/>
        <v>2.6493655941938115</v>
      </c>
      <c r="AO101" s="16">
        <f t="shared" ca="1" si="566"/>
        <v>2.7376044102325796</v>
      </c>
      <c r="AP101" s="16">
        <f t="shared" ca="1" si="566"/>
        <v>2.8292019555581089</v>
      </c>
      <c r="AQ101" s="16">
        <f t="shared" ca="1" si="566"/>
        <v>2.9235656574255335</v>
      </c>
      <c r="AR101" s="16">
        <f t="shared" ca="1" si="566"/>
        <v>3.0214879119776019</v>
      </c>
      <c r="AS101" s="16">
        <f t="shared" ca="1" si="566"/>
        <v>3.1224006049747288</v>
      </c>
      <c r="AT101" s="16">
        <f t="shared" ca="1" si="566"/>
        <v>3.2274577002201172</v>
      </c>
      <c r="AU101" s="16">
        <f t="shared" ca="1" si="566"/>
        <v>3.3353150918775603</v>
      </c>
      <c r="AV101" s="16">
        <f t="shared" ca="1" si="566"/>
        <v>3.4475159168141354</v>
      </c>
      <c r="AW101" s="16">
        <f t="shared" ca="1" si="566"/>
        <v>3.5633955693432959</v>
      </c>
      <c r="AX101" s="16">
        <f t="shared" ca="1" si="566"/>
        <v>3.6823819761458427</v>
      </c>
    </row>
    <row r="102" spans="1:50" x14ac:dyDescent="0.25">
      <c r="A102" s="11" t="s">
        <v>1060</v>
      </c>
      <c r="B102" s="10" t="str">
        <f t="shared" si="529"/>
        <v>From Fiscal Forecasts</v>
      </c>
      <c r="C102" s="13"/>
      <c r="D102" s="35">
        <f>-'Fiscal Forecasts'!D$88</f>
        <v>1.9019999999999999</v>
      </c>
      <c r="E102" s="35">
        <f>-'Fiscal Forecasts'!E$88</f>
        <v>1.29</v>
      </c>
      <c r="F102" s="35">
        <f>-'Fiscal Forecasts'!F$88</f>
        <v>5.6630000000000003</v>
      </c>
      <c r="G102" s="35">
        <f>-'Fiscal Forecasts'!G$88</f>
        <v>12.958</v>
      </c>
      <c r="H102" s="35">
        <f>-'Fiscal Forecasts'!H$88</f>
        <v>8.2149999999999999</v>
      </c>
      <c r="I102" s="35">
        <f>-'Fiscal Forecasts'!I$88</f>
        <v>-0.151</v>
      </c>
      <c r="J102" s="17">
        <f>-'Fiscal Forecasts'!J$88</f>
        <v>-6.0140000000000002</v>
      </c>
      <c r="K102" s="17">
        <f>-'Fiscal Forecasts'!K$88</f>
        <v>-2.7429999999999999</v>
      </c>
      <c r="L102" s="17">
        <f>-'Fiscal Forecasts'!L$88</f>
        <v>3.83</v>
      </c>
      <c r="M102" s="17">
        <f>-'Fiscal Forecasts'!M$88</f>
        <v>4.2050000000000001</v>
      </c>
      <c r="N102" s="17">
        <f>-'Fiscal Forecasts'!N$88</f>
        <v>3.948</v>
      </c>
      <c r="O102" s="16">
        <f ca="1">SUM(O$398-N$398,O$403,-O$405)</f>
        <v>3.9332919199282981</v>
      </c>
      <c r="P102" s="16">
        <f t="shared" ref="P102" ca="1" si="567">SUM(P$398-O$398,P$403,-P$405)</f>
        <v>3.4007547455271263</v>
      </c>
      <c r="Q102" s="16">
        <f t="shared" ref="Q102" ca="1" si="568">SUM(Q$398-P$398,Q$403,-Q$405)</f>
        <v>3.4667279823311179</v>
      </c>
      <c r="R102" s="16">
        <f t="shared" ref="R102" ca="1" si="569">SUM(R$398-Q$398,R$403,-R$405)</f>
        <v>3.514939550224653</v>
      </c>
      <c r="S102" s="16">
        <f t="shared" ref="S102" ca="1" si="570">SUM(S$398-R$398,S$403,-S$405)</f>
        <v>3.6390489197081997</v>
      </c>
      <c r="T102" s="16">
        <f t="shared" ref="T102" ca="1" si="571">SUM(T$398-S$398,T$403,-T$405)</f>
        <v>3.7645708239923112</v>
      </c>
      <c r="U102" s="16">
        <f t="shared" ref="U102" ca="1" si="572">SUM(U$398-T$398,U$403,-U$405)</f>
        <v>3.8934674421369646</v>
      </c>
      <c r="V102" s="16">
        <f t="shared" ref="V102" ca="1" si="573">SUM(V$398-U$398,V$403,-V$405)</f>
        <v>4.0297195519466875</v>
      </c>
      <c r="W102" s="16">
        <f t="shared" ref="W102" ca="1" si="574">SUM(W$398-V$398,W$403,-W$405)</f>
        <v>4.1600963354058766</v>
      </c>
      <c r="X102" s="16">
        <f t="shared" ref="X102" ca="1" si="575">SUM(X$398-W$398,X$403,-X$405)</f>
        <v>4.3055430460389772</v>
      </c>
      <c r="Y102" s="16">
        <f t="shared" ref="Y102" ca="1" si="576">SUM(Y$398-X$398,Y$403,-Y$405)</f>
        <v>4.4822901039895857</v>
      </c>
      <c r="Z102" s="16">
        <f t="shared" ref="Z102" ca="1" si="577">SUM(Z$398-Y$398,Z$403,-Z$405)</f>
        <v>4.6691863088901346</v>
      </c>
      <c r="AA102" s="16">
        <f t="shared" ref="AA102" ca="1" si="578">SUM(AA$398-Z$398,AA$403,-AA$405)</f>
        <v>4.8803745139342674</v>
      </c>
      <c r="AB102" s="16">
        <f t="shared" ref="AB102" ca="1" si="579">SUM(AB$398-AA$398,AB$403,-AB$405)</f>
        <v>5.1012309783571474</v>
      </c>
      <c r="AC102" s="16">
        <f t="shared" ref="AC102" ca="1" si="580">SUM(AC$398-AB$398,AC$403,-AC$405)</f>
        <v>5.3221009811473534</v>
      </c>
      <c r="AD102" s="16">
        <f t="shared" ref="AD102" ca="1" si="581">SUM(AD$398-AC$398,AD$403,-AD$405)</f>
        <v>5.5476312019533518</v>
      </c>
      <c r="AE102" s="16">
        <f t="shared" ref="AE102" ca="1" si="582">SUM(AE$398-AD$398,AE$403,-AE$405)</f>
        <v>5.7740731907974316</v>
      </c>
      <c r="AF102" s="16">
        <f t="shared" ref="AF102" ca="1" si="583">SUM(AF$398-AE$398,AF$403,-AF$405)</f>
        <v>6.0000547979528545</v>
      </c>
      <c r="AG102" s="16">
        <f t="shared" ref="AG102" ca="1" si="584">SUM(AG$398-AF$398,AG$403,-AG$405)</f>
        <v>6.2229867222175397</v>
      </c>
      <c r="AH102" s="16">
        <f t="shared" ref="AH102" ca="1" si="585">SUM(AH$398-AG$398,AH$403,-AH$405)</f>
        <v>6.4439342865796894</v>
      </c>
      <c r="AI102" s="16">
        <f t="shared" ref="AI102" ca="1" si="586">SUM(AI$398-AH$398,AI$403,-AI$405)</f>
        <v>6.6640213381349218</v>
      </c>
      <c r="AJ102" s="16">
        <f t="shared" ref="AJ102" ca="1" si="587">SUM(AJ$398-AI$398,AJ$403,-AJ$405)</f>
        <v>6.8885896082384424</v>
      </c>
      <c r="AK102" s="16">
        <f t="shared" ref="AK102" ca="1" si="588">SUM(AK$398-AJ$398,AK$403,-AK$405)</f>
        <v>7.0939394379010379</v>
      </c>
      <c r="AL102" s="16">
        <f t="shared" ref="AL102" ca="1" si="589">SUM(AL$398-AK$398,AL$403,-AL$405)</f>
        <v>7.292237725696106</v>
      </c>
      <c r="AM102" s="16">
        <f t="shared" ref="AM102" ca="1" si="590">SUM(AM$398-AL$398,AM$403,-AM$405)</f>
        <v>7.4898424877318188</v>
      </c>
      <c r="AN102" s="16">
        <f t="shared" ref="AN102" ca="1" si="591">SUM(AN$398-AM$398,AN$403,-AN$405)</f>
        <v>7.677919175465366</v>
      </c>
      <c r="AO102" s="16">
        <f t="shared" ref="AO102" ca="1" si="592">SUM(AO$398-AN$398,AO$403,-AO$405)</f>
        <v>7.9448339129179182</v>
      </c>
      <c r="AP102" s="16">
        <f t="shared" ref="AP102" ca="1" si="593">SUM(AP$398-AO$398,AP$403,-AP$405)</f>
        <v>8.2241930308926712</v>
      </c>
      <c r="AQ102" s="16">
        <f t="shared" ref="AQ102" ca="1" si="594">SUM(AQ$398-AP$398,AQ$403,-AQ$405)</f>
        <v>8.4345043321578395</v>
      </c>
      <c r="AR102" s="16">
        <f t="shared" ref="AR102" ca="1" si="595">SUM(AR$398-AQ$398,AR$403,-AR$405)</f>
        <v>8.6697943253331982</v>
      </c>
      <c r="AS102" s="16">
        <f t="shared" ref="AS102" ca="1" si="596">SUM(AS$398-AR$398,AS$403,-AS$405)</f>
        <v>8.9105640798241001</v>
      </c>
      <c r="AT102" s="16">
        <f t="shared" ref="AT102" ca="1" si="597">SUM(AT$398-AS$398,AT$403,-AT$405)</f>
        <v>9.1792950632682988</v>
      </c>
      <c r="AU102" s="16">
        <f t="shared" ref="AU102" ca="1" si="598">SUM(AU$398-AT$398,AU$403,-AU$405)</f>
        <v>9.4529100465660143</v>
      </c>
      <c r="AV102" s="16">
        <f t="shared" ref="AV102" ca="1" si="599">SUM(AV$398-AU$398,AV$403,-AV$405)</f>
        <v>9.7492205892249508</v>
      </c>
      <c r="AW102" s="16">
        <f t="shared" ref="AW102" ca="1" si="600">SUM(AW$398-AV$398,AW$403,-AW$405)</f>
        <v>10.06212309571019</v>
      </c>
      <c r="AX102" s="16">
        <f t="shared" ref="AX102" ca="1" si="601">SUM(AX$398-AW$398,AX$403,-AX$405)</f>
        <v>10.357557382059445</v>
      </c>
    </row>
    <row r="103" spans="1:50" x14ac:dyDescent="0.25">
      <c r="A103" s="11" t="s">
        <v>1061</v>
      </c>
      <c r="B103" s="10" t="str">
        <f t="shared" si="529"/>
        <v>From Fiscal Forecasts</v>
      </c>
      <c r="C103" s="13"/>
      <c r="D103" s="35">
        <f>-'Fiscal Forecasts'!D$89</f>
        <v>-0.13600000000000001</v>
      </c>
      <c r="E103" s="35">
        <f>-'Fiscal Forecasts'!E$89</f>
        <v>0.28599999999999998</v>
      </c>
      <c r="F103" s="35">
        <f>-'Fiscal Forecasts'!F$89</f>
        <v>0.39200000000000002</v>
      </c>
      <c r="G103" s="35">
        <f>-'Fiscal Forecasts'!G$89</f>
        <v>0.44800000000000001</v>
      </c>
      <c r="H103" s="35">
        <f>-'Fiscal Forecasts'!H$89</f>
        <v>0.20200000000000001</v>
      </c>
      <c r="I103" s="35">
        <f>-'Fiscal Forecasts'!I$89</f>
        <v>0.39700000000000002</v>
      </c>
      <c r="J103" s="17">
        <f>-'Fiscal Forecasts'!J$89</f>
        <v>0.45600000000000002</v>
      </c>
      <c r="K103" s="17">
        <f>-'Fiscal Forecasts'!K$89</f>
        <v>0.26600000000000001</v>
      </c>
      <c r="L103" s="17">
        <f>-'Fiscal Forecasts'!L$89</f>
        <v>0.193</v>
      </c>
      <c r="M103" s="17">
        <f>-'Fiscal Forecasts'!M$89</f>
        <v>0.26800000000000002</v>
      </c>
      <c r="N103" s="17">
        <f>-'Fiscal Forecasts'!N$89</f>
        <v>8.7999999999999995E-2</v>
      </c>
      <c r="O103" s="16">
        <f t="shared" ref="O103:AX103" ca="1" si="602">SUM(O$426-N$426,-O$342)</f>
        <v>1.6665424429798388</v>
      </c>
      <c r="P103" s="16">
        <f t="shared" ca="1" si="602"/>
        <v>1.776823532826705</v>
      </c>
      <c r="Q103" s="16">
        <f t="shared" ca="1" si="602"/>
        <v>1.8670567070071822</v>
      </c>
      <c r="R103" s="16">
        <f t="shared" ca="1" si="602"/>
        <v>0.9106532869955104</v>
      </c>
      <c r="S103" s="16">
        <f t="shared" ca="1" si="602"/>
        <v>0.74221848781724709</v>
      </c>
      <c r="T103" s="16">
        <f t="shared" ca="1" si="602"/>
        <v>0.76238408606389962</v>
      </c>
      <c r="U103" s="16">
        <f t="shared" ca="1" si="602"/>
        <v>0.78635804849583191</v>
      </c>
      <c r="V103" s="16">
        <f t="shared" ca="1" si="602"/>
        <v>0.81027740450432917</v>
      </c>
      <c r="W103" s="16">
        <f t="shared" ca="1" si="602"/>
        <v>0.82815626078181737</v>
      </c>
      <c r="X103" s="16">
        <f t="shared" ca="1" si="602"/>
        <v>0.84755525964234391</v>
      </c>
      <c r="Y103" s="16">
        <f t="shared" ca="1" si="602"/>
        <v>0.87266986735347341</v>
      </c>
      <c r="Z103" s="16">
        <f t="shared" ca="1" si="602"/>
        <v>0.89761478358511848</v>
      </c>
      <c r="AA103" s="16">
        <f t="shared" ca="1" si="602"/>
        <v>0.92719296315463129</v>
      </c>
      <c r="AB103" s="16">
        <f t="shared" ca="1" si="602"/>
        <v>0.95499924135559322</v>
      </c>
      <c r="AC103" s="16">
        <f t="shared" ca="1" si="602"/>
        <v>0.98235809080387482</v>
      </c>
      <c r="AD103" s="16">
        <f t="shared" ca="1" si="602"/>
        <v>1.0102697505825491</v>
      </c>
      <c r="AE103" s="16">
        <f t="shared" ca="1" si="602"/>
        <v>1.0373789687314066</v>
      </c>
      <c r="AF103" s="16">
        <f t="shared" ca="1" si="602"/>
        <v>1.0644043972574777</v>
      </c>
      <c r="AG103" s="16">
        <f t="shared" ca="1" si="602"/>
        <v>1.0911656666675538</v>
      </c>
      <c r="AH103" s="16">
        <f t="shared" ca="1" si="602"/>
        <v>1.1167883840156145</v>
      </c>
      <c r="AI103" s="16">
        <f t="shared" ca="1" si="602"/>
        <v>1.1434686645639045</v>
      </c>
      <c r="AJ103" s="16">
        <f t="shared" ca="1" si="602"/>
        <v>1.171602141323044</v>
      </c>
      <c r="AK103" s="16">
        <f t="shared" ca="1" si="602"/>
        <v>1.1971040648635345</v>
      </c>
      <c r="AL103" s="16">
        <f t="shared" ca="1" si="602"/>
        <v>1.2244876363843655</v>
      </c>
      <c r="AM103" s="16">
        <f t="shared" ca="1" si="602"/>
        <v>1.253919950664073</v>
      </c>
      <c r="AN103" s="16">
        <f t="shared" ca="1" si="602"/>
        <v>1.2848937164602332</v>
      </c>
      <c r="AO103" s="16">
        <f t="shared" ca="1" si="602"/>
        <v>1.3161275616733761</v>
      </c>
      <c r="AP103" s="16">
        <f t="shared" ca="1" si="602"/>
        <v>1.3526231896539325</v>
      </c>
      <c r="AQ103" s="16">
        <f t="shared" ca="1" si="602"/>
        <v>1.3904399432586505</v>
      </c>
      <c r="AR103" s="16">
        <f t="shared" ca="1" si="602"/>
        <v>1.4328603675844955</v>
      </c>
      <c r="AS103" s="16">
        <f t="shared" ca="1" si="602"/>
        <v>1.4761772850324739</v>
      </c>
      <c r="AT103" s="16">
        <f t="shared" ca="1" si="602"/>
        <v>1.5254222009618064</v>
      </c>
      <c r="AU103" s="16">
        <f t="shared" ca="1" si="602"/>
        <v>1.573002754134498</v>
      </c>
      <c r="AV103" s="16">
        <f t="shared" ca="1" si="602"/>
        <v>1.6262673481666021</v>
      </c>
      <c r="AW103" s="16">
        <f t="shared" ca="1" si="602"/>
        <v>1.6808119101588352</v>
      </c>
      <c r="AX103" s="16">
        <f t="shared" ca="1" si="602"/>
        <v>1.7335594022241916</v>
      </c>
    </row>
    <row r="104" spans="1:50" x14ac:dyDescent="0.25">
      <c r="A104" s="9" t="s">
        <v>1053</v>
      </c>
      <c r="B104" s="9"/>
      <c r="C104" s="13"/>
      <c r="D104" s="64">
        <f>-SUM(D$99:D$103)</f>
        <v>-7.2170000000000005</v>
      </c>
      <c r="E104" s="64">
        <f t="shared" ref="E104:AX104" si="603">-SUM(E$99:E$103)</f>
        <v>-25.651</v>
      </c>
      <c r="F104" s="64">
        <f t="shared" si="603"/>
        <v>-12.157</v>
      </c>
      <c r="G104" s="64">
        <f t="shared" si="603"/>
        <v>-29.673999999999999</v>
      </c>
      <c r="H104" s="64">
        <f t="shared" si="603"/>
        <v>-28.462</v>
      </c>
      <c r="I104" s="64">
        <f t="shared" si="603"/>
        <v>-28.285999999999998</v>
      </c>
      <c r="J104" s="65">
        <f t="shared" si="603"/>
        <v>-17.468000000000004</v>
      </c>
      <c r="K104" s="65">
        <f t="shared" si="603"/>
        <v>-20.775999999999996</v>
      </c>
      <c r="L104" s="65">
        <f t="shared" si="603"/>
        <v>-16.66</v>
      </c>
      <c r="M104" s="65">
        <f t="shared" si="603"/>
        <v>-19.087000000000003</v>
      </c>
      <c r="N104" s="65">
        <f t="shared" si="603"/>
        <v>-17.243000000000002</v>
      </c>
      <c r="O104" s="88">
        <f t="shared" ca="1" si="603"/>
        <v>-30.190111830269146</v>
      </c>
      <c r="P104" s="88">
        <f t="shared" ca="1" si="603"/>
        <v>-31.910048222656499</v>
      </c>
      <c r="Q104" s="88">
        <f t="shared" ca="1" si="603"/>
        <v>-32.215466290673547</v>
      </c>
      <c r="R104" s="88">
        <f t="shared" ca="1" si="603"/>
        <v>-31.771619181252085</v>
      </c>
      <c r="S104" s="88">
        <f t="shared" ca="1" si="603"/>
        <v>-32.65701116907114</v>
      </c>
      <c r="T104" s="88">
        <f t="shared" ca="1" si="603"/>
        <v>-33.771522367314994</v>
      </c>
      <c r="U104" s="88">
        <f t="shared" ca="1" si="603"/>
        <v>-33.554351287730832</v>
      </c>
      <c r="V104" s="88">
        <f t="shared" ca="1" si="603"/>
        <v>-34.523300110933427</v>
      </c>
      <c r="W104" s="88">
        <f t="shared" ca="1" si="603"/>
        <v>-36.113298807549704</v>
      </c>
      <c r="X104" s="88">
        <f t="shared" ca="1" si="603"/>
        <v>-37.890923778237322</v>
      </c>
      <c r="Y104" s="88">
        <f t="shared" ca="1" si="603"/>
        <v>-39.18719505254267</v>
      </c>
      <c r="Z104" s="88">
        <f t="shared" ca="1" si="603"/>
        <v>-40.58387083001697</v>
      </c>
      <c r="AA104" s="88">
        <f t="shared" ca="1" si="603"/>
        <v>-42.113585911141378</v>
      </c>
      <c r="AB104" s="88">
        <f t="shared" ca="1" si="603"/>
        <v>-43.693588936414429</v>
      </c>
      <c r="AC104" s="88">
        <f t="shared" ca="1" si="603"/>
        <v>-45.246901340924197</v>
      </c>
      <c r="AD104" s="88">
        <f t="shared" ca="1" si="603"/>
        <v>-46.829163158126846</v>
      </c>
      <c r="AE104" s="88">
        <f t="shared" ca="1" si="603"/>
        <v>-48.373825338935333</v>
      </c>
      <c r="AF104" s="88">
        <f t="shared" ca="1" si="603"/>
        <v>-49.907594864990749</v>
      </c>
      <c r="AG104" s="88">
        <f t="shared" ca="1" si="603"/>
        <v>-51.363986644052083</v>
      </c>
      <c r="AH104" s="88">
        <f t="shared" ca="1" si="603"/>
        <v>-52.754565721793931</v>
      </c>
      <c r="AI104" s="88">
        <f t="shared" ca="1" si="603"/>
        <v>-54.134181802727397</v>
      </c>
      <c r="AJ104" s="88">
        <f t="shared" ca="1" si="603"/>
        <v>-55.501102208495453</v>
      </c>
      <c r="AK104" s="88">
        <f t="shared" ca="1" si="603"/>
        <v>-56.656669411474212</v>
      </c>
      <c r="AL104" s="88">
        <f t="shared" ca="1" si="603"/>
        <v>-57.74542978211165</v>
      </c>
      <c r="AM104" s="88">
        <f t="shared" ca="1" si="603"/>
        <v>-58.788348387096121</v>
      </c>
      <c r="AN104" s="88">
        <f t="shared" ca="1" si="603"/>
        <v>-59.708707336840362</v>
      </c>
      <c r="AO104" s="88">
        <f t="shared" ca="1" si="603"/>
        <v>-60.653157328662992</v>
      </c>
      <c r="AP104" s="88">
        <f t="shared" ca="1" si="603"/>
        <v>-61.696200599456404</v>
      </c>
      <c r="AQ104" s="88">
        <f t="shared" ca="1" si="603"/>
        <v>-62.762715896068507</v>
      </c>
      <c r="AR104" s="88">
        <f t="shared" ca="1" si="603"/>
        <v>-64.019779103274928</v>
      </c>
      <c r="AS104" s="88">
        <f t="shared" ca="1" si="603"/>
        <v>-65.332630215839657</v>
      </c>
      <c r="AT104" s="88">
        <f t="shared" ca="1" si="603"/>
        <v>-66.865805025295671</v>
      </c>
      <c r="AU104" s="88">
        <f t="shared" ca="1" si="603"/>
        <v>-68.469121261412624</v>
      </c>
      <c r="AV104" s="88">
        <f t="shared" ca="1" si="603"/>
        <v>-70.244248091761293</v>
      </c>
      <c r="AW104" s="88">
        <f t="shared" ca="1" si="603"/>
        <v>-72.177141475671846</v>
      </c>
      <c r="AX104" s="88">
        <f t="shared" ca="1" si="603"/>
        <v>-73.951252342276817</v>
      </c>
    </row>
    <row r="105" spans="1:50" x14ac:dyDescent="0.25">
      <c r="A105" s="11" t="s">
        <v>513</v>
      </c>
      <c r="B105" s="10" t="str">
        <f t="shared" ref="B105:B107" si="604">$B$38</f>
        <v>From Fiscal Forecasts</v>
      </c>
      <c r="C105" s="13"/>
      <c r="D105" s="35">
        <f>'Fiscal Forecasts'!D$92</f>
        <v>0.437</v>
      </c>
      <c r="E105" s="35">
        <f>'Fiscal Forecasts'!E$92</f>
        <v>1.2090000000000001</v>
      </c>
      <c r="F105" s="35">
        <f>'Fiscal Forecasts'!F$92</f>
        <v>0.23400000000000001</v>
      </c>
      <c r="G105" s="35">
        <f>'Fiscal Forecasts'!G$92</f>
        <v>0.80500000000000005</v>
      </c>
      <c r="H105" s="35">
        <f>'Fiscal Forecasts'!H$92</f>
        <v>-5.8999999999999997E-2</v>
      </c>
      <c r="I105" s="35">
        <f>'Fiscal Forecasts'!I$92</f>
        <v>-2.4E-2</v>
      </c>
      <c r="J105" s="17">
        <f>'Fiscal Forecasts'!J$92</f>
        <v>8.8999999999999996E-2</v>
      </c>
      <c r="K105" s="17">
        <f>'Fiscal Forecasts'!K$92</f>
        <v>9.0999999999999998E-2</v>
      </c>
      <c r="L105" s="17">
        <f>'Fiscal Forecasts'!L$92</f>
        <v>9.1999999999999998E-2</v>
      </c>
      <c r="M105" s="17">
        <f>'Fiscal Forecasts'!M$92</f>
        <v>9.1999999999999998E-2</v>
      </c>
      <c r="N105" s="17">
        <f>'Fiscal Forecasts'!N$92</f>
        <v>9.2999999999999999E-2</v>
      </c>
      <c r="O105" s="16">
        <f ca="1">O$434-N$434</f>
        <v>0.18867999999999974</v>
      </c>
      <c r="P105" s="16">
        <f t="shared" ref="P105" ca="1" si="605">P$434-O$434</f>
        <v>0.19245360000000034</v>
      </c>
      <c r="Q105" s="16">
        <f t="shared" ref="Q105" ca="1" si="606">Q$434-P$434</f>
        <v>0.19630267199999984</v>
      </c>
      <c r="R105" s="16">
        <f t="shared" ref="R105" ca="1" si="607">R$434-Q$434</f>
        <v>0.20022872544000059</v>
      </c>
      <c r="S105" s="16">
        <f t="shared" ref="S105" ca="1" si="608">S$434-R$434</f>
        <v>0.20423329994880035</v>
      </c>
      <c r="T105" s="16">
        <f t="shared" ref="T105" ca="1" si="609">T$434-S$434</f>
        <v>0.20831796594777607</v>
      </c>
      <c r="U105" s="16">
        <f t="shared" ref="U105" ca="1" si="610">U$434-T$434</f>
        <v>0.21248432526673255</v>
      </c>
      <c r="V105" s="16">
        <f t="shared" ref="V105" ca="1" si="611">V$434-U$434</f>
        <v>0.21673401177206664</v>
      </c>
      <c r="W105" s="16">
        <f t="shared" ref="W105" ca="1" si="612">W$434-V$434</f>
        <v>0.22106869200750801</v>
      </c>
      <c r="X105" s="16">
        <f t="shared" ref="X105" ca="1" si="613">X$434-W$434</f>
        <v>0.22549006584765863</v>
      </c>
      <c r="Y105" s="16">
        <f t="shared" ref="Y105" ca="1" si="614">Y$434-X$434</f>
        <v>0.22999986716461152</v>
      </c>
      <c r="Z105" s="16">
        <f t="shared" ref="Z105" ca="1" si="615">Z$434-Y$434</f>
        <v>0.23459986450790282</v>
      </c>
      <c r="AA105" s="16">
        <f t="shared" ref="AA105" ca="1" si="616">AA$434-Z$434</f>
        <v>0.23929186179806194</v>
      </c>
      <c r="AB105" s="16">
        <f t="shared" ref="AB105" ca="1" si="617">AB$434-AA$434</f>
        <v>0.24407769903402254</v>
      </c>
      <c r="AC105" s="16">
        <f t="shared" ref="AC105" ca="1" si="618">AC$434-AB$434</f>
        <v>0.24895925301470356</v>
      </c>
      <c r="AD105" s="16">
        <f t="shared" ref="AD105" ca="1" si="619">AD$434-AC$434</f>
        <v>0.2539384380749965</v>
      </c>
      <c r="AE105" s="16">
        <f t="shared" ref="AE105" ca="1" si="620">AE$434-AD$434</f>
        <v>0.25901720683649643</v>
      </c>
      <c r="AF105" s="16">
        <f t="shared" ref="AF105" ca="1" si="621">AF$434-AE$434</f>
        <v>0.26419755097322728</v>
      </c>
      <c r="AG105" s="16">
        <f t="shared" ref="AG105" ca="1" si="622">AG$434-AF$434</f>
        <v>0.26948150199269172</v>
      </c>
      <c r="AH105" s="16">
        <f t="shared" ref="AH105" ca="1" si="623">AH$434-AG$434</f>
        <v>0.27487113203254587</v>
      </c>
      <c r="AI105" s="16">
        <f t="shared" ref="AI105" ca="1" si="624">AI$434-AH$434</f>
        <v>0.28036855467319555</v>
      </c>
      <c r="AJ105" s="16">
        <f t="shared" ref="AJ105" ca="1" si="625">AJ$434-AI$434</f>
        <v>0.28597592576666031</v>
      </c>
      <c r="AK105" s="16">
        <f t="shared" ref="AK105" ca="1" si="626">AK$434-AJ$434</f>
        <v>0.29169544428199323</v>
      </c>
      <c r="AL105" s="16">
        <f t="shared" ref="AL105" ca="1" si="627">AL$434-AK$434</f>
        <v>0.29752935316763285</v>
      </c>
      <c r="AM105" s="16">
        <f t="shared" ref="AM105" ca="1" si="628">AM$434-AL$434</f>
        <v>0.30347994023098579</v>
      </c>
      <c r="AN105" s="16">
        <f t="shared" ref="AN105" ca="1" si="629">AN$434-AM$434</f>
        <v>0.309549539035606</v>
      </c>
      <c r="AO105" s="16">
        <f t="shared" ref="AO105" ca="1" si="630">AO$434-AN$434</f>
        <v>0.31574052981631695</v>
      </c>
      <c r="AP105" s="16">
        <f t="shared" ref="AP105" ca="1" si="631">AP$434-AO$434</f>
        <v>0.32205534041264272</v>
      </c>
      <c r="AQ105" s="16">
        <f t="shared" ref="AQ105" ca="1" si="632">AQ$434-AP$434</f>
        <v>0.32849644722089621</v>
      </c>
      <c r="AR105" s="16">
        <f t="shared" ref="AR105" ca="1" si="633">AR$434-AQ$434</f>
        <v>0.33506637616531521</v>
      </c>
      <c r="AS105" s="16">
        <f t="shared" ref="AS105" ca="1" si="634">AS$434-AR$434</f>
        <v>0.34176770368862108</v>
      </c>
      <c r="AT105" s="16">
        <f t="shared" ref="AT105" ca="1" si="635">AT$434-AS$434</f>
        <v>0.34860305776239287</v>
      </c>
      <c r="AU105" s="16">
        <f t="shared" ref="AU105" ca="1" si="636">AU$434-AT$434</f>
        <v>0.35557511891764193</v>
      </c>
      <c r="AV105" s="16">
        <f t="shared" ref="AV105" ca="1" si="637">AV$434-AU$434</f>
        <v>0.36268662129599605</v>
      </c>
      <c r="AW105" s="16">
        <f t="shared" ref="AW105" ca="1" si="638">AW$434-AV$434</f>
        <v>0.36994035372191547</v>
      </c>
      <c r="AX105" s="16">
        <f t="shared" ref="AX105" ca="1" si="639">AX$434-AW$434</f>
        <v>0.37733916079635321</v>
      </c>
    </row>
    <row r="106" spans="1:50" x14ac:dyDescent="0.25">
      <c r="A106" s="11" t="s">
        <v>1054</v>
      </c>
      <c r="B106" s="10" t="str">
        <f t="shared" si="604"/>
        <v>From Fiscal Forecasts</v>
      </c>
      <c r="C106" s="13"/>
      <c r="D106" s="35">
        <f>SUM('Fiscal Forecasts'!D$93:D$96)</f>
        <v>-2.5789999999999997</v>
      </c>
      <c r="E106" s="35">
        <f>SUM('Fiscal Forecasts'!E$93:E$96)</f>
        <v>36.155999999999999</v>
      </c>
      <c r="F106" s="35">
        <f>SUM('Fiscal Forecasts'!F$93:F$96)</f>
        <v>7.3529999999999998</v>
      </c>
      <c r="G106" s="35">
        <f>SUM('Fiscal Forecasts'!G$93:G$96)</f>
        <v>33.409000000000006</v>
      </c>
      <c r="H106" s="35">
        <f>SUM('Fiscal Forecasts'!H$93:H$96)</f>
        <v>24.929000000000002</v>
      </c>
      <c r="I106" s="35">
        <f>SUM('Fiscal Forecasts'!I$93:I$96)</f>
        <v>28.588000000000001</v>
      </c>
      <c r="J106" s="17">
        <f>SUM('Fiscal Forecasts'!J$93:J$96)</f>
        <v>25.192000000000004</v>
      </c>
      <c r="K106" s="17">
        <f>SUM('Fiscal Forecasts'!K$93:K$96)</f>
        <v>26.640000000000004</v>
      </c>
      <c r="L106" s="17">
        <f>SUM('Fiscal Forecasts'!L$93:L$96)</f>
        <v>20.073999999999998</v>
      </c>
      <c r="M106" s="17">
        <f>SUM('Fiscal Forecasts'!M$93:M$96)</f>
        <v>15.950000000000001</v>
      </c>
      <c r="N106" s="17">
        <f>SUM('Fiscal Forecasts'!N$93:N$96)</f>
        <v>11.384</v>
      </c>
      <c r="O106" s="16">
        <f t="shared" ref="O106:AX106" ca="1" si="640">O$348-N$348-SUM(O$98,O$104,O$105)</f>
        <v>23.105450664677182</v>
      </c>
      <c r="P106" s="16">
        <f t="shared" ca="1" si="640"/>
        <v>26.718568231160788</v>
      </c>
      <c r="Q106" s="16">
        <f t="shared" ca="1" si="640"/>
        <v>29.115973458648785</v>
      </c>
      <c r="R106" s="16">
        <f t="shared" ca="1" si="640"/>
        <v>31.141191014240665</v>
      </c>
      <c r="S106" s="16">
        <f t="shared" ca="1" si="640"/>
        <v>34.490161755394489</v>
      </c>
      <c r="T106" s="16">
        <f t="shared" ca="1" si="640"/>
        <v>37.760696107189538</v>
      </c>
      <c r="U106" s="16">
        <f t="shared" ca="1" si="640"/>
        <v>38.824657274998238</v>
      </c>
      <c r="V106" s="16">
        <f t="shared" ca="1" si="640"/>
        <v>41.348253027718535</v>
      </c>
      <c r="W106" s="16">
        <f t="shared" ca="1" si="640"/>
        <v>44.899772893583581</v>
      </c>
      <c r="X106" s="16">
        <f t="shared" ca="1" si="640"/>
        <v>48.891619573689795</v>
      </c>
      <c r="Y106" s="16">
        <f t="shared" ca="1" si="640"/>
        <v>52.705877482347901</v>
      </c>
      <c r="Z106" s="16">
        <f t="shared" ca="1" si="640"/>
        <v>56.808090352699594</v>
      </c>
      <c r="AA106" s="16">
        <f t="shared" ca="1" si="640"/>
        <v>61.258509156084777</v>
      </c>
      <c r="AB106" s="16">
        <f t="shared" ca="1" si="640"/>
        <v>65.921009243043159</v>
      </c>
      <c r="AC106" s="16">
        <f t="shared" ca="1" si="640"/>
        <v>70.860070189069376</v>
      </c>
      <c r="AD106" s="16">
        <f t="shared" ca="1" si="640"/>
        <v>76.044044560815422</v>
      </c>
      <c r="AE106" s="16">
        <f t="shared" ca="1" si="640"/>
        <v>81.571218218376856</v>
      </c>
      <c r="AF106" s="16">
        <f t="shared" ca="1" si="640"/>
        <v>87.407938192512162</v>
      </c>
      <c r="AG106" s="16">
        <f t="shared" ca="1" si="640"/>
        <v>93.6542064794277</v>
      </c>
      <c r="AH106" s="16">
        <f t="shared" ca="1" si="640"/>
        <v>100.31773755416131</v>
      </c>
      <c r="AI106" s="16">
        <f t="shared" ca="1" si="640"/>
        <v>107.34214839456189</v>
      </c>
      <c r="AJ106" s="16">
        <f t="shared" ca="1" si="640"/>
        <v>114.83132568473411</v>
      </c>
      <c r="AK106" s="16">
        <f t="shared" ca="1" si="640"/>
        <v>122.81044139346595</v>
      </c>
      <c r="AL106" s="16">
        <f t="shared" ca="1" si="640"/>
        <v>131.22027430302694</v>
      </c>
      <c r="AM106" s="16">
        <f t="shared" ca="1" si="640"/>
        <v>140.22673511239475</v>
      </c>
      <c r="AN106" s="16">
        <f t="shared" ca="1" si="640"/>
        <v>150.06170506768325</v>
      </c>
      <c r="AO106" s="16">
        <f t="shared" ca="1" si="640"/>
        <v>160.77175511422774</v>
      </c>
      <c r="AP106" s="16">
        <f t="shared" ca="1" si="640"/>
        <v>172.3733233515708</v>
      </c>
      <c r="AQ106" s="16">
        <f t="shared" ca="1" si="640"/>
        <v>183.94906487848024</v>
      </c>
      <c r="AR106" s="16">
        <f t="shared" ca="1" si="640"/>
        <v>196.75978413211632</v>
      </c>
      <c r="AS106" s="16">
        <f t="shared" ca="1" si="640"/>
        <v>210.39337027639584</v>
      </c>
      <c r="AT106" s="16">
        <f t="shared" ca="1" si="640"/>
        <v>224.94287685961424</v>
      </c>
      <c r="AU106" s="16">
        <f t="shared" ca="1" si="640"/>
        <v>240.35894962440568</v>
      </c>
      <c r="AV106" s="16">
        <f t="shared" ca="1" si="640"/>
        <v>256.85035887926495</v>
      </c>
      <c r="AW106" s="16">
        <f t="shared" ca="1" si="640"/>
        <v>274.33978717748619</v>
      </c>
      <c r="AX106" s="16">
        <f t="shared" ca="1" si="640"/>
        <v>292.85732666210441</v>
      </c>
    </row>
    <row r="107" spans="1:50" x14ac:dyDescent="0.25">
      <c r="A107" s="11" t="s">
        <v>1062</v>
      </c>
      <c r="B107" s="10" t="str">
        <f t="shared" si="604"/>
        <v>From Fiscal Forecasts</v>
      </c>
      <c r="C107" s="13"/>
      <c r="D107" s="35">
        <f>-'Fiscal Forecasts'!D$97</f>
        <v>0.504</v>
      </c>
      <c r="E107" s="35">
        <f>-'Fiscal Forecasts'!E$97</f>
        <v>0.47899999999999998</v>
      </c>
      <c r="F107" s="35">
        <f>-'Fiscal Forecasts'!F$97</f>
        <v>0.373</v>
      </c>
      <c r="G107" s="35">
        <f>-'Fiscal Forecasts'!G$97</f>
        <v>0.30399999999999999</v>
      </c>
      <c r="H107" s="35">
        <f>-'Fiscal Forecasts'!H$97</f>
        <v>0.372</v>
      </c>
      <c r="I107" s="35">
        <f>-'Fiscal Forecasts'!I$97</f>
        <v>0.505</v>
      </c>
      <c r="J107" s="17">
        <f>-'Fiscal Forecasts'!J$97</f>
        <v>0.438</v>
      </c>
      <c r="K107" s="17">
        <f>-'Fiscal Forecasts'!K$97</f>
        <v>0.46200000000000002</v>
      </c>
      <c r="L107" s="17">
        <f>-'Fiscal Forecasts'!L$97</f>
        <v>0.46300000000000002</v>
      </c>
      <c r="M107" s="17">
        <f>-'Fiscal Forecasts'!M$97</f>
        <v>0.504</v>
      </c>
      <c r="N107" s="17">
        <f>-'Fiscal Forecasts'!N$97</f>
        <v>0.52600000000000002</v>
      </c>
      <c r="O107" s="16">
        <f t="shared" ref="O107:AX107" ca="1" si="641">O$38-O$40</f>
        <v>0.47594838048883154</v>
      </c>
      <c r="P107" s="16">
        <f t="shared" ca="1" si="641"/>
        <v>0.49698307716776036</v>
      </c>
      <c r="Q107" s="16">
        <f t="shared" ca="1" si="641"/>
        <v>0.51808782143172649</v>
      </c>
      <c r="R107" s="16">
        <f t="shared" ca="1" si="641"/>
        <v>0.53919120290386291</v>
      </c>
      <c r="S107" s="16">
        <f t="shared" ca="1" si="641"/>
        <v>0.56096939262876588</v>
      </c>
      <c r="T107" s="16">
        <f t="shared" ca="1" si="641"/>
        <v>0.58341177739845396</v>
      </c>
      <c r="U107" s="16">
        <f t="shared" ca="1" si="641"/>
        <v>0.60660872163614643</v>
      </c>
      <c r="V107" s="16">
        <f t="shared" ca="1" si="641"/>
        <v>0.63056670001328874</v>
      </c>
      <c r="W107" s="16">
        <f t="shared" ca="1" si="641"/>
        <v>0.65516083710331463</v>
      </c>
      <c r="X107" s="16">
        <f t="shared" ca="1" si="641"/>
        <v>0.68043097596885138</v>
      </c>
      <c r="Y107" s="16">
        <f t="shared" ca="1" si="641"/>
        <v>0.70650947327418145</v>
      </c>
      <c r="Z107" s="16">
        <f t="shared" ca="1" si="641"/>
        <v>0.73340082419219232</v>
      </c>
      <c r="AA107" s="16">
        <f t="shared" ca="1" si="641"/>
        <v>0.76121501499610122</v>
      </c>
      <c r="AB107" s="16">
        <f t="shared" ca="1" si="641"/>
        <v>0.78992252972633703</v>
      </c>
      <c r="AC107" s="16">
        <f t="shared" ca="1" si="641"/>
        <v>0.81952263009470638</v>
      </c>
      <c r="AD107" s="16">
        <f t="shared" ca="1" si="641"/>
        <v>0.85003652982796229</v>
      </c>
      <c r="AE107" s="16">
        <f t="shared" ca="1" si="641"/>
        <v>0.88145590481350444</v>
      </c>
      <c r="AF107" s="16">
        <f t="shared" ca="1" si="641"/>
        <v>0.91378812376955443</v>
      </c>
      <c r="AG107" s="16">
        <f t="shared" ca="1" si="641"/>
        <v>0.94703667046944873</v>
      </c>
      <c r="AH107" s="16">
        <f t="shared" ca="1" si="641"/>
        <v>0.98118586745245939</v>
      </c>
      <c r="AI107" s="16">
        <f t="shared" ca="1" si="641"/>
        <v>1.0162680919418521</v>
      </c>
      <c r="AJ107" s="16">
        <f t="shared" ca="1" si="641"/>
        <v>1.05232473625762</v>
      </c>
      <c r="AK107" s="16">
        <f t="shared" ca="1" si="641"/>
        <v>1.0893079359516471</v>
      </c>
      <c r="AL107" s="16">
        <f t="shared" ca="1" si="641"/>
        <v>1.1272684238730049</v>
      </c>
      <c r="AM107" s="16">
        <f t="shared" ca="1" si="641"/>
        <v>1.1662611172446089</v>
      </c>
      <c r="AN107" s="16">
        <f t="shared" ca="1" si="641"/>
        <v>1.2063303545607893</v>
      </c>
      <c r="AO107" s="16">
        <f t="shared" ca="1" si="641"/>
        <v>1.2474927936232734</v>
      </c>
      <c r="AP107" s="16">
        <f t="shared" ca="1" si="641"/>
        <v>1.2898750704021198</v>
      </c>
      <c r="AQ107" s="16">
        <f t="shared" ca="1" si="641"/>
        <v>1.333518594428758</v>
      </c>
      <c r="AR107" s="16">
        <f t="shared" ca="1" si="641"/>
        <v>1.378537262244919</v>
      </c>
      <c r="AS107" s="16">
        <f t="shared" ca="1" si="641"/>
        <v>1.4249647402736045</v>
      </c>
      <c r="AT107" s="16">
        <f t="shared" ca="1" si="641"/>
        <v>1.4729455003573162</v>
      </c>
      <c r="AU107" s="16">
        <f t="shared" ca="1" si="641"/>
        <v>1.5224587987697713</v>
      </c>
      <c r="AV107" s="16">
        <f t="shared" ca="1" si="641"/>
        <v>1.5736450096978736</v>
      </c>
      <c r="AW107" s="16">
        <f t="shared" ca="1" si="641"/>
        <v>1.6265492466445914</v>
      </c>
      <c r="AX107" s="16">
        <f t="shared" ca="1" si="641"/>
        <v>1.6811495277628812</v>
      </c>
    </row>
    <row r="108" spans="1:50" x14ac:dyDescent="0.25">
      <c r="A108" s="9" t="s">
        <v>1055</v>
      </c>
      <c r="B108" s="9"/>
      <c r="C108" s="13"/>
      <c r="D108" s="64">
        <f>(D$105+D$106-D$107)</f>
        <v>-2.6459999999999999</v>
      </c>
      <c r="E108" s="64">
        <f t="shared" ref="E108:AX108" si="642">(E$105+E$106-E$107)</f>
        <v>36.886000000000003</v>
      </c>
      <c r="F108" s="64">
        <f t="shared" si="642"/>
        <v>7.2139999999999995</v>
      </c>
      <c r="G108" s="64">
        <f t="shared" si="642"/>
        <v>33.910000000000004</v>
      </c>
      <c r="H108" s="64">
        <f t="shared" si="642"/>
        <v>24.498000000000001</v>
      </c>
      <c r="I108" s="64">
        <f t="shared" si="642"/>
        <v>28.059000000000001</v>
      </c>
      <c r="J108" s="65">
        <f t="shared" si="642"/>
        <v>24.843000000000004</v>
      </c>
      <c r="K108" s="65">
        <f t="shared" si="642"/>
        <v>26.269000000000005</v>
      </c>
      <c r="L108" s="65">
        <f t="shared" si="642"/>
        <v>19.702999999999996</v>
      </c>
      <c r="M108" s="65">
        <f t="shared" si="642"/>
        <v>15.538000000000002</v>
      </c>
      <c r="N108" s="65">
        <f t="shared" si="642"/>
        <v>10.951000000000001</v>
      </c>
      <c r="O108" s="88">
        <f t="shared" ca="1" si="642"/>
        <v>22.818182284188353</v>
      </c>
      <c r="P108" s="88">
        <f t="shared" ca="1" si="642"/>
        <v>26.414038753993026</v>
      </c>
      <c r="Q108" s="88">
        <f t="shared" ca="1" si="642"/>
        <v>28.794188309217056</v>
      </c>
      <c r="R108" s="88">
        <f t="shared" ca="1" si="642"/>
        <v>30.802228536776806</v>
      </c>
      <c r="S108" s="88">
        <f t="shared" ca="1" si="642"/>
        <v>34.133425662714529</v>
      </c>
      <c r="T108" s="88">
        <f t="shared" ca="1" si="642"/>
        <v>37.385602295738863</v>
      </c>
      <c r="U108" s="88">
        <f t="shared" ca="1" si="642"/>
        <v>38.430532878628824</v>
      </c>
      <c r="V108" s="88">
        <f t="shared" ca="1" si="642"/>
        <v>40.934420339477313</v>
      </c>
      <c r="W108" s="88">
        <f t="shared" ca="1" si="642"/>
        <v>44.46568074848777</v>
      </c>
      <c r="X108" s="88">
        <f t="shared" ca="1" si="642"/>
        <v>48.4366786635686</v>
      </c>
      <c r="Y108" s="88">
        <f t="shared" ca="1" si="642"/>
        <v>52.229367876238328</v>
      </c>
      <c r="Z108" s="88">
        <f t="shared" ca="1" si="642"/>
        <v>56.309289393015298</v>
      </c>
      <c r="AA108" s="88">
        <f t="shared" ca="1" si="642"/>
        <v>60.736586002886732</v>
      </c>
      <c r="AB108" s="88">
        <f t="shared" ca="1" si="642"/>
        <v>65.375164412350841</v>
      </c>
      <c r="AC108" s="88">
        <f t="shared" ca="1" si="642"/>
        <v>70.289506811989369</v>
      </c>
      <c r="AD108" s="88">
        <f t="shared" ca="1" si="642"/>
        <v>75.447946469062458</v>
      </c>
      <c r="AE108" s="88">
        <f t="shared" ca="1" si="642"/>
        <v>80.948779520399839</v>
      </c>
      <c r="AF108" s="88">
        <f t="shared" ca="1" si="642"/>
        <v>86.758347619715835</v>
      </c>
      <c r="AG108" s="88">
        <f t="shared" ca="1" si="642"/>
        <v>92.976651310950942</v>
      </c>
      <c r="AH108" s="88">
        <f t="shared" ca="1" si="642"/>
        <v>99.611422818741403</v>
      </c>
      <c r="AI108" s="88">
        <f t="shared" ca="1" si="642"/>
        <v>106.60624885729324</v>
      </c>
      <c r="AJ108" s="88">
        <f t="shared" ca="1" si="642"/>
        <v>114.06497687424316</v>
      </c>
      <c r="AK108" s="88">
        <f t="shared" ca="1" si="642"/>
        <v>122.0128289017963</v>
      </c>
      <c r="AL108" s="88">
        <f t="shared" ca="1" si="642"/>
        <v>130.39053523232158</v>
      </c>
      <c r="AM108" s="88">
        <f t="shared" ca="1" si="642"/>
        <v>139.36395393538115</v>
      </c>
      <c r="AN108" s="88">
        <f t="shared" ca="1" si="642"/>
        <v>149.16492425215807</v>
      </c>
      <c r="AO108" s="88">
        <f t="shared" ca="1" si="642"/>
        <v>159.84000285042077</v>
      </c>
      <c r="AP108" s="88">
        <f t="shared" ca="1" si="642"/>
        <v>171.40550362158132</v>
      </c>
      <c r="AQ108" s="88">
        <f t="shared" ca="1" si="642"/>
        <v>182.94404273127236</v>
      </c>
      <c r="AR108" s="88">
        <f t="shared" ca="1" si="642"/>
        <v>195.71631324603672</v>
      </c>
      <c r="AS108" s="88">
        <f t="shared" ca="1" si="642"/>
        <v>209.31017323981087</v>
      </c>
      <c r="AT108" s="88">
        <f t="shared" ca="1" si="642"/>
        <v>223.81853441701932</v>
      </c>
      <c r="AU108" s="88">
        <f t="shared" ca="1" si="642"/>
        <v>239.19206594455355</v>
      </c>
      <c r="AV108" s="88">
        <f t="shared" ca="1" si="642"/>
        <v>255.63940049086307</v>
      </c>
      <c r="AW108" s="88">
        <f t="shared" ca="1" si="642"/>
        <v>273.08317828456353</v>
      </c>
      <c r="AX108" s="88">
        <f t="shared" ca="1" si="642"/>
        <v>291.55351629513785</v>
      </c>
    </row>
    <row r="109" spans="1:50" x14ac:dyDescent="0.25">
      <c r="A109" s="9" t="s">
        <v>520</v>
      </c>
      <c r="B109" s="9"/>
      <c r="C109" s="13"/>
      <c r="D109" s="64">
        <f t="shared" ref="D109:AX109" si="643">SUM(D$98,D$104,D$108)</f>
        <v>1.1099999999999985</v>
      </c>
      <c r="E109" s="64">
        <f t="shared" si="643"/>
        <v>0.83900000000000574</v>
      </c>
      <c r="F109" s="64">
        <f t="shared" si="643"/>
        <v>-1.8389999999999871</v>
      </c>
      <c r="G109" s="64">
        <f t="shared" si="643"/>
        <v>-1.1410000000000053</v>
      </c>
      <c r="H109" s="64">
        <f t="shared" si="643"/>
        <v>0.56099999999997863</v>
      </c>
      <c r="I109" s="64">
        <f t="shared" si="643"/>
        <v>-2.5330000000000368</v>
      </c>
      <c r="J109" s="65">
        <f t="shared" si="643"/>
        <v>4.2129999999999939</v>
      </c>
      <c r="K109" s="65">
        <f t="shared" si="643"/>
        <v>1.8000000000000256</v>
      </c>
      <c r="L109" s="65">
        <f t="shared" si="643"/>
        <v>3.8080000000000389</v>
      </c>
      <c r="M109" s="65">
        <f t="shared" si="643"/>
        <v>2.7179999999999662</v>
      </c>
      <c r="N109" s="65">
        <f t="shared" si="643"/>
        <v>3.7930000000000064</v>
      </c>
      <c r="O109" s="88">
        <f t="shared" ca="1" si="643"/>
        <v>0.52812691238756315</v>
      </c>
      <c r="P109" s="88">
        <f t="shared" ca="1" si="643"/>
        <v>0.65776274069735052</v>
      </c>
      <c r="Q109" s="88">
        <f t="shared" ca="1" si="643"/>
        <v>0.65573602603114267</v>
      </c>
      <c r="R109" s="88">
        <f t="shared" ca="1" si="643"/>
        <v>0.64971762072920924</v>
      </c>
      <c r="S109" s="88">
        <f t="shared" ca="1" si="643"/>
        <v>0.66929221318765997</v>
      </c>
      <c r="T109" s="88">
        <f t="shared" ca="1" si="643"/>
        <v>0.68962749088839104</v>
      </c>
      <c r="U109" s="88">
        <f t="shared" ca="1" si="643"/>
        <v>0.71134611768126632</v>
      </c>
      <c r="V109" s="88">
        <f t="shared" ca="1" si="643"/>
        <v>0.73532010505100942</v>
      </c>
      <c r="W109" s="88">
        <f t="shared" ca="1" si="643"/>
        <v>0.75815689910552209</v>
      </c>
      <c r="X109" s="88">
        <f t="shared" ca="1" si="643"/>
        <v>0.78655419020763873</v>
      </c>
      <c r="Y109" s="88">
        <f t="shared" ca="1" si="643"/>
        <v>0.82548509846238716</v>
      </c>
      <c r="Z109" s="88">
        <f t="shared" ca="1" si="643"/>
        <v>0.86945071417241593</v>
      </c>
      <c r="AA109" s="88">
        <f t="shared" ca="1" si="643"/>
        <v>0.91978754798506657</v>
      </c>
      <c r="AB109" s="88">
        <f t="shared" ca="1" si="643"/>
        <v>0.97304334651521174</v>
      </c>
      <c r="AC109" s="88">
        <f t="shared" ca="1" si="643"/>
        <v>1.0258191243121644</v>
      </c>
      <c r="AD109" s="88">
        <f t="shared" ca="1" si="643"/>
        <v>1.0778248807001205</v>
      </c>
      <c r="AE109" s="88">
        <f t="shared" ca="1" si="643"/>
        <v>1.1293812681248312</v>
      </c>
      <c r="AF109" s="88">
        <f t="shared" ca="1" si="643"/>
        <v>1.1804371770253965</v>
      </c>
      <c r="AG109" s="88">
        <f t="shared" ca="1" si="643"/>
        <v>1.2293986019875973</v>
      </c>
      <c r="AH109" s="88">
        <f t="shared" ca="1" si="643"/>
        <v>1.2767673349578672</v>
      </c>
      <c r="AI109" s="88">
        <f t="shared" ca="1" si="643"/>
        <v>1.3235241586457249</v>
      </c>
      <c r="AJ109" s="88">
        <f t="shared" ca="1" si="643"/>
        <v>1.3699481305198731</v>
      </c>
      <c r="AK109" s="88">
        <f t="shared" ca="1" si="643"/>
        <v>1.4076409275910748</v>
      </c>
      <c r="AL109" s="88">
        <f t="shared" ca="1" si="643"/>
        <v>1.4401489665285681</v>
      </c>
      <c r="AM109" s="88">
        <f t="shared" ca="1" si="643"/>
        <v>1.4704587577627706</v>
      </c>
      <c r="AN109" s="88">
        <f t="shared" ca="1" si="643"/>
        <v>1.4933345861464318</v>
      </c>
      <c r="AO109" s="88">
        <f t="shared" ca="1" si="643"/>
        <v>1.5113139635306538</v>
      </c>
      <c r="AP109" s="88">
        <f t="shared" ca="1" si="643"/>
        <v>1.5323835520032389</v>
      </c>
      <c r="AQ109" s="88">
        <f t="shared" ca="1" si="643"/>
        <v>1.5557855815248729</v>
      </c>
      <c r="AR109" s="88">
        <f t="shared" ca="1" si="643"/>
        <v>1.5872403203613601</v>
      </c>
      <c r="AS109" s="88">
        <f t="shared" ca="1" si="643"/>
        <v>1.6196339103965158</v>
      </c>
      <c r="AT109" s="88">
        <f t="shared" ca="1" si="643"/>
        <v>1.6603947591914618</v>
      </c>
      <c r="AU109" s="88">
        <f t="shared" ca="1" si="643"/>
        <v>1.7030257882780973</v>
      </c>
      <c r="AV109" s="88">
        <f t="shared" ca="1" si="643"/>
        <v>1.7519663312642706</v>
      </c>
      <c r="AW109" s="88">
        <f t="shared" ca="1" si="643"/>
        <v>1.806906773218941</v>
      </c>
      <c r="AX109" s="88">
        <f t="shared" ca="1" si="643"/>
        <v>1.8529689656431287</v>
      </c>
    </row>
    <row r="110" spans="1:50" x14ac:dyDescent="0.25">
      <c r="A110" s="12" t="s">
        <v>1036</v>
      </c>
      <c r="B110" s="9"/>
      <c r="C110" s="13"/>
      <c r="D110" s="36"/>
      <c r="E110" s="36"/>
      <c r="F110" s="36"/>
      <c r="G110" s="36"/>
      <c r="H110" s="36"/>
      <c r="I110" s="36"/>
      <c r="J110" s="19"/>
      <c r="K110" s="19"/>
      <c r="L110" s="19"/>
      <c r="M110" s="19"/>
      <c r="N110" s="19"/>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row>
    <row r="111" spans="1:50" x14ac:dyDescent="0.25">
      <c r="A111" s="9" t="s">
        <v>1056</v>
      </c>
      <c r="B111" s="9"/>
      <c r="C111" s="13"/>
      <c r="D111" s="42">
        <f t="shared" ref="D111:AX111" si="644">SUM(D$338,D$342,-D$38)</f>
        <v>-7.3769999999999989</v>
      </c>
      <c r="E111" s="42">
        <f t="shared" si="644"/>
        <v>-7.1269999999999998</v>
      </c>
      <c r="F111" s="42">
        <f t="shared" si="644"/>
        <v>20.545999999999999</v>
      </c>
      <c r="G111" s="42">
        <f t="shared" si="644"/>
        <v>-7.6029999999999998</v>
      </c>
      <c r="H111" s="42">
        <f t="shared" si="644"/>
        <v>14.132000000000001</v>
      </c>
      <c r="I111" s="42">
        <f t="shared" si="644"/>
        <v>4.3490000000000002</v>
      </c>
      <c r="J111" s="43">
        <f t="shared" si="644"/>
        <v>8.9680000000000017</v>
      </c>
      <c r="K111" s="43">
        <f t="shared" si="644"/>
        <v>5.41</v>
      </c>
      <c r="L111" s="43">
        <f t="shared" si="644"/>
        <v>5.6450000000000005</v>
      </c>
      <c r="M111" s="43">
        <f t="shared" si="644"/>
        <v>6.0649999999999995</v>
      </c>
      <c r="N111" s="43">
        <f t="shared" si="644"/>
        <v>6.6349999999999998</v>
      </c>
      <c r="O111" s="47">
        <f t="shared" ca="1" si="644"/>
        <v>6.9959289272691398</v>
      </c>
      <c r="P111" s="47">
        <f t="shared" ca="1" si="644"/>
        <v>7.4209550470773529</v>
      </c>
      <c r="Q111" s="47">
        <f t="shared" ca="1" si="644"/>
        <v>7.8738453318985044</v>
      </c>
      <c r="R111" s="47">
        <f t="shared" ca="1" si="644"/>
        <v>8.3542890879857321</v>
      </c>
      <c r="S111" s="47">
        <f t="shared" ca="1" si="644"/>
        <v>8.8620585989321459</v>
      </c>
      <c r="T111" s="47">
        <f t="shared" ca="1" si="644"/>
        <v>9.3996655234351856</v>
      </c>
      <c r="U111" s="47">
        <f t="shared" ca="1" si="644"/>
        <v>9.9689984051791978</v>
      </c>
      <c r="V111" s="47">
        <f t="shared" ca="1" si="644"/>
        <v>10.566756810551883</v>
      </c>
      <c r="W111" s="47">
        <f t="shared" ca="1" si="644"/>
        <v>11.192960743722153</v>
      </c>
      <c r="X111" s="47">
        <f t="shared" ca="1" si="644"/>
        <v>11.85217288293061</v>
      </c>
      <c r="Y111" s="47">
        <f t="shared" ca="1" si="644"/>
        <v>12.551525251783273</v>
      </c>
      <c r="Z111" s="47">
        <f t="shared" ca="1" si="644"/>
        <v>13.298962523336453</v>
      </c>
      <c r="AA111" s="47">
        <f t="shared" ca="1" si="644"/>
        <v>14.10038846877894</v>
      </c>
      <c r="AB111" s="47">
        <f t="shared" ca="1" si="644"/>
        <v>14.961148112469569</v>
      </c>
      <c r="AC111" s="47">
        <f t="shared" ca="1" si="644"/>
        <v>15.885455369527868</v>
      </c>
      <c r="AD111" s="47">
        <f t="shared" ca="1" si="644"/>
        <v>16.827048697850405</v>
      </c>
      <c r="AE111" s="47">
        <f t="shared" ca="1" si="644"/>
        <v>17.82698424979009</v>
      </c>
      <c r="AF111" s="47">
        <f t="shared" ca="1" si="644"/>
        <v>18.886586339338209</v>
      </c>
      <c r="AG111" s="47">
        <f t="shared" ca="1" si="644"/>
        <v>20.004073453641361</v>
      </c>
      <c r="AH111" s="47">
        <f t="shared" ca="1" si="644"/>
        <v>21.177326441608756</v>
      </c>
      <c r="AI111" s="47">
        <f t="shared" ca="1" si="644"/>
        <v>22.406418218504985</v>
      </c>
      <c r="AJ111" s="47">
        <f t="shared" ca="1" si="644"/>
        <v>23.690046032283842</v>
      </c>
      <c r="AK111" s="47">
        <f t="shared" ca="1" si="644"/>
        <v>25.023083331901251</v>
      </c>
      <c r="AL111" s="47">
        <f t="shared" ca="1" si="644"/>
        <v>26.400299295671214</v>
      </c>
      <c r="AM111" s="47">
        <f t="shared" ca="1" si="644"/>
        <v>27.815189223858248</v>
      </c>
      <c r="AN111" s="47">
        <f t="shared" ca="1" si="644"/>
        <v>29.261955348938955</v>
      </c>
      <c r="AO111" s="47">
        <f t="shared" ca="1" si="644"/>
        <v>30.73393742485646</v>
      </c>
      <c r="AP111" s="47">
        <f t="shared" ca="1" si="644"/>
        <v>32.227992312077951</v>
      </c>
      <c r="AQ111" s="47">
        <f t="shared" ca="1" si="644"/>
        <v>33.746158004508807</v>
      </c>
      <c r="AR111" s="47">
        <f t="shared" ca="1" si="644"/>
        <v>35.291631458616443</v>
      </c>
      <c r="AS111" s="47">
        <f t="shared" ca="1" si="644"/>
        <v>36.868697251002843</v>
      </c>
      <c r="AT111" s="47">
        <f t="shared" ca="1" si="644"/>
        <v>38.480758473390196</v>
      </c>
      <c r="AU111" s="47">
        <f t="shared" ca="1" si="644"/>
        <v>40.13337633262482</v>
      </c>
      <c r="AV111" s="47">
        <f t="shared" ca="1" si="644"/>
        <v>41.83103604575814</v>
      </c>
      <c r="AW111" s="47">
        <f t="shared" ca="1" si="644"/>
        <v>43.579028012124674</v>
      </c>
      <c r="AX111" s="47">
        <f t="shared" ca="1" si="644"/>
        <v>45.378387833312232</v>
      </c>
    </row>
    <row r="112" spans="1:50" x14ac:dyDescent="0.25">
      <c r="A112" s="11" t="s">
        <v>459</v>
      </c>
      <c r="B112" s="10"/>
      <c r="C112" s="13"/>
      <c r="D112" s="35">
        <f t="shared" ref="D112:AX112" si="645">D$216</f>
        <v>4.5540000000000003</v>
      </c>
      <c r="E112" s="35">
        <f t="shared" si="645"/>
        <v>5.2940000000000005</v>
      </c>
      <c r="F112" s="35">
        <f t="shared" si="645"/>
        <v>5.5660000000000007</v>
      </c>
      <c r="G112" s="35">
        <f t="shared" si="645"/>
        <v>6.1520000000000001</v>
      </c>
      <c r="H112" s="35">
        <f t="shared" si="645"/>
        <v>6.6009999999999991</v>
      </c>
      <c r="I112" s="35">
        <f t="shared" si="645"/>
        <v>7.6210000000000004</v>
      </c>
      <c r="J112" s="17">
        <f t="shared" si="645"/>
        <v>8.06</v>
      </c>
      <c r="K112" s="17">
        <f t="shared" si="645"/>
        <v>8.4239999999999995</v>
      </c>
      <c r="L112" s="17">
        <f t="shared" si="645"/>
        <v>8.7170000000000005</v>
      </c>
      <c r="M112" s="17">
        <f t="shared" si="645"/>
        <v>9.0640000000000001</v>
      </c>
      <c r="N112" s="17">
        <f t="shared" si="645"/>
        <v>9.2050000000000001</v>
      </c>
      <c r="O112" s="16">
        <f t="shared" ca="1" si="645"/>
        <v>9.2325310268739607</v>
      </c>
      <c r="P112" s="16">
        <f t="shared" ca="1" si="645"/>
        <v>9.6774417565613771</v>
      </c>
      <c r="Q112" s="16">
        <f t="shared" ca="1" si="645"/>
        <v>10.109637143349952</v>
      </c>
      <c r="R112" s="16">
        <f t="shared" ca="1" si="645"/>
        <v>10.528977546213886</v>
      </c>
      <c r="S112" s="16">
        <f t="shared" ca="1" si="645"/>
        <v>10.951126859704049</v>
      </c>
      <c r="T112" s="16">
        <f t="shared" ca="1" si="645"/>
        <v>11.387733921659549</v>
      </c>
      <c r="U112" s="16">
        <f t="shared" ca="1" si="645"/>
        <v>11.838533310233444</v>
      </c>
      <c r="V112" s="16">
        <f t="shared" ca="1" si="645"/>
        <v>12.248186614718604</v>
      </c>
      <c r="W112" s="16">
        <f t="shared" ca="1" si="645"/>
        <v>12.669621082624019</v>
      </c>
      <c r="X112" s="16">
        <f t="shared" ca="1" si="645"/>
        <v>13.114697137954774</v>
      </c>
      <c r="Y112" s="16">
        <f t="shared" ca="1" si="645"/>
        <v>13.585681880357196</v>
      </c>
      <c r="Z112" s="16">
        <f t="shared" ca="1" si="645"/>
        <v>14.071282706539755</v>
      </c>
      <c r="AA112" s="16">
        <f t="shared" ca="1" si="645"/>
        <v>14.571591736505447</v>
      </c>
      <c r="AB112" s="16">
        <f t="shared" ca="1" si="645"/>
        <v>15.088510806484038</v>
      </c>
      <c r="AC112" s="16">
        <f t="shared" ca="1" si="645"/>
        <v>15.621549273751505</v>
      </c>
      <c r="AD112" s="16">
        <f t="shared" ca="1" si="645"/>
        <v>16.170710411558503</v>
      </c>
      <c r="AE112" s="16">
        <f t="shared" ca="1" si="645"/>
        <v>16.736374339616383</v>
      </c>
      <c r="AF112" s="16">
        <f t="shared" ca="1" si="645"/>
        <v>17.318414860615206</v>
      </c>
      <c r="AG112" s="16">
        <f t="shared" ca="1" si="645"/>
        <v>17.916975277126514</v>
      </c>
      <c r="AH112" s="16">
        <f t="shared" ca="1" si="645"/>
        <v>18.532132594190241</v>
      </c>
      <c r="AI112" s="16">
        <f t="shared" ca="1" si="645"/>
        <v>19.16363550245746</v>
      </c>
      <c r="AJ112" s="16">
        <f t="shared" ca="1" si="645"/>
        <v>19.812057293241427</v>
      </c>
      <c r="AK112" s="16">
        <f t="shared" ca="1" si="645"/>
        <v>20.478126246518023</v>
      </c>
      <c r="AL112" s="16">
        <f t="shared" ca="1" si="645"/>
        <v>21.161040048779125</v>
      </c>
      <c r="AM112" s="16">
        <f t="shared" ca="1" si="645"/>
        <v>21.86168793120337</v>
      </c>
      <c r="AN112" s="16">
        <f t="shared" ca="1" si="645"/>
        <v>22.581031277553926</v>
      </c>
      <c r="AO112" s="16">
        <f t="shared" ca="1" si="645"/>
        <v>23.319850410512011</v>
      </c>
      <c r="AP112" s="16">
        <f t="shared" ca="1" si="645"/>
        <v>24.078451261287753</v>
      </c>
      <c r="AQ112" s="16">
        <f t="shared" ca="1" si="645"/>
        <v>24.859026544772853</v>
      </c>
      <c r="AR112" s="16">
        <f t="shared" ca="1" si="645"/>
        <v>25.662307558019833</v>
      </c>
      <c r="AS112" s="16">
        <f t="shared" ca="1" si="645"/>
        <v>26.490269338191588</v>
      </c>
      <c r="AT112" s="16">
        <f t="shared" ca="1" si="645"/>
        <v>27.343511219688779</v>
      </c>
      <c r="AU112" s="16">
        <f t="shared" ca="1" si="645"/>
        <v>28.224533543182204</v>
      </c>
      <c r="AV112" s="16">
        <f t="shared" ca="1" si="645"/>
        <v>29.133003267268222</v>
      </c>
      <c r="AW112" s="16">
        <f t="shared" ca="1" si="645"/>
        <v>30.071351349894783</v>
      </c>
      <c r="AX112" s="16">
        <f t="shared" ca="1" si="645"/>
        <v>31.040375272719878</v>
      </c>
    </row>
    <row r="113" spans="1:50" x14ac:dyDescent="0.25">
      <c r="A113" s="11" t="s">
        <v>1082</v>
      </c>
      <c r="B113" s="10" t="str">
        <f>$B$38</f>
        <v>From Fiscal Forecasts</v>
      </c>
      <c r="C113" s="13"/>
      <c r="D113" s="35">
        <f>-'Fiscal Forecasts'!D$104</f>
        <v>-1.5799999999999996</v>
      </c>
      <c r="E113" s="35">
        <f>-'Fiscal Forecasts'!E$104</f>
        <v>2.726</v>
      </c>
      <c r="F113" s="35">
        <f>-'Fiscal Forecasts'!F$104</f>
        <v>1.0489999999999999</v>
      </c>
      <c r="G113" s="35">
        <f>-'Fiscal Forecasts'!G$104</f>
        <v>-0.26900000000000002</v>
      </c>
      <c r="H113" s="35">
        <f>-'Fiscal Forecasts'!H$104</f>
        <v>0.73399999999999999</v>
      </c>
      <c r="I113" s="35">
        <f>-'Fiscal Forecasts'!I$104</f>
        <v>1.1950000000000001</v>
      </c>
      <c r="J113" s="17">
        <f>-'Fiscal Forecasts'!J$104</f>
        <v>0.84399999999999997</v>
      </c>
      <c r="K113" s="17">
        <f>-'Fiscal Forecasts'!K$104</f>
        <v>1.556</v>
      </c>
      <c r="L113" s="17">
        <f>-'Fiscal Forecasts'!L$104</f>
        <v>0.83</v>
      </c>
      <c r="M113" s="17">
        <f>-'Fiscal Forecasts'!M$104</f>
        <v>0.81299999999999994</v>
      </c>
      <c r="N113" s="17">
        <f>-'Fiscal Forecasts'!N$104</f>
        <v>0.81</v>
      </c>
      <c r="O113" s="16">
        <f ca="1">SUM(O$217,O$218)</f>
        <v>0.80974081415171884</v>
      </c>
      <c r="P113" s="16">
        <f t="shared" ref="P113:AX113" ca="1" si="646">SUM(P$217,P$218)</f>
        <v>0.92051210395688599</v>
      </c>
      <c r="Q113" s="16">
        <f t="shared" ca="1" si="646"/>
        <v>0.96119444197877169</v>
      </c>
      <c r="R113" s="16">
        <f t="shared" ca="1" si="646"/>
        <v>1.0020122561416067</v>
      </c>
      <c r="S113" s="16">
        <f t="shared" ca="1" si="646"/>
        <v>1.0428274345850534</v>
      </c>
      <c r="T113" s="16">
        <f t="shared" ca="1" si="646"/>
        <v>1.0849477317976481</v>
      </c>
      <c r="U113" s="16">
        <f t="shared" ca="1" si="646"/>
        <v>1.1283526212122061</v>
      </c>
      <c r="V113" s="16">
        <f t="shared" ca="1" si="646"/>
        <v>1.1732168729272296</v>
      </c>
      <c r="W113" s="16">
        <f t="shared" ca="1" si="646"/>
        <v>1.2195530093373299</v>
      </c>
      <c r="X113" s="16">
        <f t="shared" ca="1" si="646"/>
        <v>1.2671195140378853</v>
      </c>
      <c r="Y113" s="16">
        <f t="shared" ca="1" si="646"/>
        <v>1.315993445850631</v>
      </c>
      <c r="Z113" s="16">
        <f t="shared" ca="1" si="646"/>
        <v>1.3664307903330473</v>
      </c>
      <c r="AA113" s="16">
        <f t="shared" ca="1" si="646"/>
        <v>1.4184402414133457</v>
      </c>
      <c r="AB113" s="16">
        <f t="shared" ca="1" si="646"/>
        <v>1.4722345189996422</v>
      </c>
      <c r="AC113" s="16">
        <f t="shared" ca="1" si="646"/>
        <v>1.5277565374936684</v>
      </c>
      <c r="AD113" s="16">
        <f t="shared" ca="1" si="646"/>
        <v>1.5850048690027234</v>
      </c>
      <c r="AE113" s="16">
        <f t="shared" ca="1" si="646"/>
        <v>1.6440205421195015</v>
      </c>
      <c r="AF113" s="16">
        <f t="shared" ca="1" si="646"/>
        <v>1.7047874575216446</v>
      </c>
      <c r="AG113" s="16">
        <f t="shared" ca="1" si="646"/>
        <v>1.7673198667427041</v>
      </c>
      <c r="AH113" s="16">
        <f t="shared" ca="1" si="646"/>
        <v>1.8316245076047952</v>
      </c>
      <c r="AI113" s="16">
        <f t="shared" ca="1" si="646"/>
        <v>1.8976710589786725</v>
      </c>
      <c r="AJ113" s="16">
        <f t="shared" ca="1" si="646"/>
        <v>1.9655221403145322</v>
      </c>
      <c r="AK113" s="16">
        <f t="shared" ca="1" si="646"/>
        <v>2.035257806788791</v>
      </c>
      <c r="AL113" s="16">
        <f t="shared" ca="1" si="646"/>
        <v>2.1067854857493571</v>
      </c>
      <c r="AM113" s="16">
        <f t="shared" ca="1" si="646"/>
        <v>2.1802032975041312</v>
      </c>
      <c r="AN113" s="16">
        <f t="shared" ca="1" si="646"/>
        <v>2.2556174551856354</v>
      </c>
      <c r="AO113" s="16">
        <f t="shared" ca="1" si="646"/>
        <v>2.3331137120443781</v>
      </c>
      <c r="AP113" s="16">
        <f t="shared" ca="1" si="646"/>
        <v>2.41272428524664</v>
      </c>
      <c r="AQ113" s="16">
        <f t="shared" ca="1" si="646"/>
        <v>2.4946940961914938</v>
      </c>
      <c r="AR113" s="16">
        <f t="shared" ca="1" si="646"/>
        <v>2.5791032333432828</v>
      </c>
      <c r="AS113" s="16">
        <f t="shared" ca="1" si="646"/>
        <v>2.6661719792989444</v>
      </c>
      <c r="AT113" s="16">
        <f t="shared" ca="1" si="646"/>
        <v>2.7559654468966346</v>
      </c>
      <c r="AU113" s="16">
        <f t="shared" ca="1" si="646"/>
        <v>2.8487630531596198</v>
      </c>
      <c r="AV113" s="16">
        <f t="shared" ca="1" si="646"/>
        <v>2.9445246785037011</v>
      </c>
      <c r="AW113" s="16">
        <f t="shared" ca="1" si="646"/>
        <v>3.0435218148457039</v>
      </c>
      <c r="AX113" s="16">
        <f t="shared" ca="1" si="646"/>
        <v>3.1458417143483342</v>
      </c>
    </row>
    <row r="114" spans="1:50" x14ac:dyDescent="0.25">
      <c r="A114" s="11" t="s">
        <v>526</v>
      </c>
      <c r="B114" s="10" t="str">
        <f>$B$38</f>
        <v>From Fiscal Forecasts</v>
      </c>
      <c r="C114" s="13"/>
      <c r="D114" s="35">
        <f>-'Fiscal Forecasts'!D$105</f>
        <v>0.76300000000000001</v>
      </c>
      <c r="E114" s="35">
        <f>-'Fiscal Forecasts'!E$105</f>
        <v>1.2789999999999999</v>
      </c>
      <c r="F114" s="35">
        <f>-'Fiscal Forecasts'!F$105</f>
        <v>1.0389999999999999</v>
      </c>
      <c r="G114" s="35">
        <f>-'Fiscal Forecasts'!G$105</f>
        <v>0.85799999999999998</v>
      </c>
      <c r="H114" s="35">
        <f>-'Fiscal Forecasts'!H$105</f>
        <v>0.73799999999999999</v>
      </c>
      <c r="I114" s="35">
        <f>-'Fiscal Forecasts'!I$105</f>
        <v>0.71899999999999997</v>
      </c>
      <c r="J114" s="17">
        <f>-'Fiscal Forecasts'!J$105</f>
        <v>0.61199999999999999</v>
      </c>
      <c r="K114" s="17">
        <f>-'Fiscal Forecasts'!K$105</f>
        <v>0.68100000000000005</v>
      </c>
      <c r="L114" s="17">
        <f>-'Fiscal Forecasts'!L$105</f>
        <v>0.67400000000000004</v>
      </c>
      <c r="M114" s="17">
        <f>-'Fiscal Forecasts'!M$105</f>
        <v>0.65</v>
      </c>
      <c r="N114" s="17">
        <f>-'Fiscal Forecasts'!N$105</f>
        <v>0.66300000000000003</v>
      </c>
      <c r="O114" s="16">
        <f t="shared" ref="O114:AX114" si="647">O$403</f>
        <v>0.59908734355342375</v>
      </c>
      <c r="P114" s="16">
        <f t="shared" si="647"/>
        <v>0.61319598051257074</v>
      </c>
      <c r="Q114" s="16">
        <f t="shared" si="647"/>
        <v>0.62974995353311924</v>
      </c>
      <c r="R114" s="16">
        <f t="shared" si="647"/>
        <v>0.64518792892745702</v>
      </c>
      <c r="S114" s="16">
        <f t="shared" si="647"/>
        <v>0.65933015253806015</v>
      </c>
      <c r="T114" s="16">
        <f t="shared" si="647"/>
        <v>0.67239862514432691</v>
      </c>
      <c r="U114" s="16">
        <f t="shared" si="647"/>
        <v>0.68465828502678294</v>
      </c>
      <c r="V114" s="16">
        <f t="shared" si="647"/>
        <v>0.69703452915375852</v>
      </c>
      <c r="W114" s="16">
        <f t="shared" si="647"/>
        <v>0.70932870854437469</v>
      </c>
      <c r="X114" s="16">
        <f t="shared" si="647"/>
        <v>0.72222633104253953</v>
      </c>
      <c r="Y114" s="16">
        <f t="shared" si="647"/>
        <v>0.73537089628857999</v>
      </c>
      <c r="Z114" s="16">
        <f t="shared" si="647"/>
        <v>0.74873042354600106</v>
      </c>
      <c r="AA114" s="16">
        <f t="shared" si="647"/>
        <v>0.76251391930167212</v>
      </c>
      <c r="AB114" s="16">
        <f t="shared" si="647"/>
        <v>0.77710090552342614</v>
      </c>
      <c r="AC114" s="16">
        <f t="shared" si="647"/>
        <v>0.79202526932763051</v>
      </c>
      <c r="AD114" s="16">
        <f t="shared" si="647"/>
        <v>0.80729501624665856</v>
      </c>
      <c r="AE114" s="16">
        <f t="shared" si="647"/>
        <v>0.82271662995191253</v>
      </c>
      <c r="AF114" s="16">
        <f t="shared" si="647"/>
        <v>0.83776008887002451</v>
      </c>
      <c r="AG114" s="16">
        <f t="shared" si="647"/>
        <v>0.85207669186267154</v>
      </c>
      <c r="AH114" s="16">
        <f t="shared" si="647"/>
        <v>0.86568408036178868</v>
      </c>
      <c r="AI114" s="16">
        <f t="shared" si="647"/>
        <v>0.87822136009323659</v>
      </c>
      <c r="AJ114" s="16">
        <f t="shared" si="647"/>
        <v>0.88936364545335045</v>
      </c>
      <c r="AK114" s="16">
        <f t="shared" si="647"/>
        <v>0.89900506542196523</v>
      </c>
      <c r="AL114" s="16">
        <f t="shared" si="647"/>
        <v>0.90701022295504352</v>
      </c>
      <c r="AM114" s="16">
        <f t="shared" si="647"/>
        <v>0.91317314059713262</v>
      </c>
      <c r="AN114" s="16">
        <f t="shared" si="647"/>
        <v>1.0292723399477397</v>
      </c>
      <c r="AO114" s="16">
        <f t="shared" si="647"/>
        <v>1.0815596066337083</v>
      </c>
      <c r="AP114" s="16">
        <f t="shared" si="647"/>
        <v>1.0909969742093337</v>
      </c>
      <c r="AQ114" s="16">
        <f t="shared" si="647"/>
        <v>1.1017058892821119</v>
      </c>
      <c r="AR114" s="16">
        <f t="shared" si="647"/>
        <v>1.113789524240977</v>
      </c>
      <c r="AS114" s="16">
        <f t="shared" si="647"/>
        <v>1.127449946599218</v>
      </c>
      <c r="AT114" s="16">
        <f t="shared" si="647"/>
        <v>1.143336070787913</v>
      </c>
      <c r="AU114" s="16">
        <f t="shared" si="647"/>
        <v>1.1615898641842208</v>
      </c>
      <c r="AV114" s="16">
        <f t="shared" si="647"/>
        <v>1.1825585395371088</v>
      </c>
      <c r="AW114" s="16">
        <f t="shared" si="647"/>
        <v>1.2064738793150762</v>
      </c>
      <c r="AX114" s="16">
        <f t="shared" si="647"/>
        <v>1.2325463697940795</v>
      </c>
    </row>
    <row r="115" spans="1:50" x14ac:dyDescent="0.25">
      <c r="A115" s="11" t="s">
        <v>1066</v>
      </c>
      <c r="B115" s="10" t="str">
        <f>$B$38</f>
        <v>From Fiscal Forecasts</v>
      </c>
      <c r="C115" s="13"/>
      <c r="D115" s="35">
        <f>-'Fiscal Forecasts'!D$106</f>
        <v>4.1000000000000002E-2</v>
      </c>
      <c r="E115" s="35">
        <f>-'Fiscal Forecasts'!E$106</f>
        <v>5.2999999999999999E-2</v>
      </c>
      <c r="F115" s="35">
        <f>-'Fiscal Forecasts'!F$106</f>
        <v>1E-3</v>
      </c>
      <c r="G115" s="35">
        <f>-'Fiscal Forecasts'!G$106</f>
        <v>3.7999999999999999E-2</v>
      </c>
      <c r="H115" s="35">
        <f>-'Fiscal Forecasts'!H$106</f>
        <v>9.7000000000000003E-2</v>
      </c>
      <c r="I115" s="35">
        <f>-'Fiscal Forecasts'!I$106</f>
        <v>0.123</v>
      </c>
      <c r="J115" s="17">
        <f>-'Fiscal Forecasts'!J$106</f>
        <v>-3.1E-2</v>
      </c>
      <c r="K115" s="17">
        <f>-'Fiscal Forecasts'!K$106</f>
        <v>-4.7E-2</v>
      </c>
      <c r="L115" s="17">
        <f>-'Fiscal Forecasts'!L$106</f>
        <v>-3.1E-2</v>
      </c>
      <c r="M115" s="17">
        <f>-'Fiscal Forecasts'!M$106</f>
        <v>1.0999999999999999E-2</v>
      </c>
      <c r="N115" s="17">
        <f>-'Fiscal Forecasts'!N$106</f>
        <v>0.01</v>
      </c>
      <c r="O115" s="16">
        <f ca="1">IF(O$6=OFFSET(Assumptions!$B$8,0,$C$1),OFFSET(Assumptions!$B$9,0,$C$1),N$115)</f>
        <v>0</v>
      </c>
      <c r="P115" s="16">
        <f ca="1">IF(P$6=OFFSET(Assumptions!$B$8,0,$C$1),OFFSET(Assumptions!$B$9,0,$C$1),O$115)</f>
        <v>0</v>
      </c>
      <c r="Q115" s="16">
        <f ca="1">IF(Q$6=OFFSET(Assumptions!$B$8,0,$C$1),OFFSET(Assumptions!$B$9,0,$C$1),P$115)</f>
        <v>0</v>
      </c>
      <c r="R115" s="16">
        <f ca="1">IF(R$6=OFFSET(Assumptions!$B$8,0,$C$1),OFFSET(Assumptions!$B$9,0,$C$1),Q$115)</f>
        <v>0</v>
      </c>
      <c r="S115" s="16">
        <f ca="1">IF(S$6=OFFSET(Assumptions!$B$8,0,$C$1),OFFSET(Assumptions!$B$9,0,$C$1),R$115)</f>
        <v>0</v>
      </c>
      <c r="T115" s="16">
        <f ca="1">IF(T$6=OFFSET(Assumptions!$B$8,0,$C$1),OFFSET(Assumptions!$B$9,0,$C$1),S$115)</f>
        <v>0</v>
      </c>
      <c r="U115" s="16">
        <f ca="1">IF(U$6=OFFSET(Assumptions!$B$8,0,$C$1),OFFSET(Assumptions!$B$9,0,$C$1),T$115)</f>
        <v>0</v>
      </c>
      <c r="V115" s="16">
        <f ca="1">IF(V$6=OFFSET(Assumptions!$B$8,0,$C$1),OFFSET(Assumptions!$B$9,0,$C$1),U$115)</f>
        <v>0</v>
      </c>
      <c r="W115" s="16">
        <f ca="1">IF(W$6=OFFSET(Assumptions!$B$8,0,$C$1),OFFSET(Assumptions!$B$9,0,$C$1),V$115)</f>
        <v>0</v>
      </c>
      <c r="X115" s="16">
        <f ca="1">IF(X$6=OFFSET(Assumptions!$B$8,0,$C$1),OFFSET(Assumptions!$B$9,0,$C$1),W$115)</f>
        <v>0</v>
      </c>
      <c r="Y115" s="16">
        <f ca="1">IF(Y$6=OFFSET(Assumptions!$B$8,0,$C$1),OFFSET(Assumptions!$B$9,0,$C$1),X$115)</f>
        <v>0</v>
      </c>
      <c r="Z115" s="16">
        <f ca="1">IF(Z$6=OFFSET(Assumptions!$B$8,0,$C$1),OFFSET(Assumptions!$B$9,0,$C$1),Y$115)</f>
        <v>0</v>
      </c>
      <c r="AA115" s="16">
        <f ca="1">IF(AA$6=OFFSET(Assumptions!$B$8,0,$C$1),OFFSET(Assumptions!$B$9,0,$C$1),Z$115)</f>
        <v>0</v>
      </c>
      <c r="AB115" s="16">
        <f ca="1">IF(AB$6=OFFSET(Assumptions!$B$8,0,$C$1),OFFSET(Assumptions!$B$9,0,$C$1),AA$115)</f>
        <v>0</v>
      </c>
      <c r="AC115" s="16">
        <f ca="1">IF(AC$6=OFFSET(Assumptions!$B$8,0,$C$1),OFFSET(Assumptions!$B$9,0,$C$1),AB$115)</f>
        <v>0</v>
      </c>
      <c r="AD115" s="16">
        <f ca="1">IF(AD$6=OFFSET(Assumptions!$B$8,0,$C$1),OFFSET(Assumptions!$B$9,0,$C$1),AC$115)</f>
        <v>0</v>
      </c>
      <c r="AE115" s="16">
        <f ca="1">IF(AE$6=OFFSET(Assumptions!$B$8,0,$C$1),OFFSET(Assumptions!$B$9,0,$C$1),AD$115)</f>
        <v>0</v>
      </c>
      <c r="AF115" s="16">
        <f ca="1">IF(AF$6=OFFSET(Assumptions!$B$8,0,$C$1),OFFSET(Assumptions!$B$9,0,$C$1),AE$115)</f>
        <v>0</v>
      </c>
      <c r="AG115" s="16">
        <f ca="1">IF(AG$6=OFFSET(Assumptions!$B$8,0,$C$1),OFFSET(Assumptions!$B$9,0,$C$1),AF$115)</f>
        <v>0</v>
      </c>
      <c r="AH115" s="16">
        <f ca="1">IF(AH$6=OFFSET(Assumptions!$B$8,0,$C$1),OFFSET(Assumptions!$B$9,0,$C$1),AG$115)</f>
        <v>0</v>
      </c>
      <c r="AI115" s="16">
        <f ca="1">IF(AI$6=OFFSET(Assumptions!$B$8,0,$C$1),OFFSET(Assumptions!$B$9,0,$C$1),AH$115)</f>
        <v>0</v>
      </c>
      <c r="AJ115" s="16">
        <f ca="1">IF(AJ$6=OFFSET(Assumptions!$B$8,0,$C$1),OFFSET(Assumptions!$B$9,0,$C$1),AI$115)</f>
        <v>0</v>
      </c>
      <c r="AK115" s="16">
        <f ca="1">IF(AK$6=OFFSET(Assumptions!$B$8,0,$C$1),OFFSET(Assumptions!$B$9,0,$C$1),AJ$115)</f>
        <v>0</v>
      </c>
      <c r="AL115" s="16">
        <f ca="1">IF(AL$6=OFFSET(Assumptions!$B$8,0,$C$1),OFFSET(Assumptions!$B$9,0,$C$1),AK$115)</f>
        <v>0</v>
      </c>
      <c r="AM115" s="16">
        <f ca="1">IF(AM$6=OFFSET(Assumptions!$B$8,0,$C$1),OFFSET(Assumptions!$B$9,0,$C$1),AL$115)</f>
        <v>0</v>
      </c>
      <c r="AN115" s="16">
        <f ca="1">IF(AN$6=OFFSET(Assumptions!$B$8,0,$C$1),OFFSET(Assumptions!$B$9,0,$C$1),AM$115)</f>
        <v>0</v>
      </c>
      <c r="AO115" s="16">
        <f ca="1">IF(AO$6=OFFSET(Assumptions!$B$8,0,$C$1),OFFSET(Assumptions!$B$9,0,$C$1),AN$115)</f>
        <v>0</v>
      </c>
      <c r="AP115" s="16">
        <f ca="1">IF(AP$6=OFFSET(Assumptions!$B$8,0,$C$1),OFFSET(Assumptions!$B$9,0,$C$1),AO$115)</f>
        <v>0</v>
      </c>
      <c r="AQ115" s="16">
        <f ca="1">IF(AQ$6=OFFSET(Assumptions!$B$8,0,$C$1),OFFSET(Assumptions!$B$9,0,$C$1),AP$115)</f>
        <v>0</v>
      </c>
      <c r="AR115" s="16">
        <f ca="1">IF(AR$6=OFFSET(Assumptions!$B$8,0,$C$1),OFFSET(Assumptions!$B$9,0,$C$1),AQ$115)</f>
        <v>0</v>
      </c>
      <c r="AS115" s="16">
        <f ca="1">IF(AS$6=OFFSET(Assumptions!$B$8,0,$C$1),OFFSET(Assumptions!$B$9,0,$C$1),AR$115)</f>
        <v>0</v>
      </c>
      <c r="AT115" s="16">
        <f ca="1">IF(AT$6=OFFSET(Assumptions!$B$8,0,$C$1),OFFSET(Assumptions!$B$9,0,$C$1),AS$115)</f>
        <v>0</v>
      </c>
      <c r="AU115" s="16">
        <f ca="1">IF(AU$6=OFFSET(Assumptions!$B$8,0,$C$1),OFFSET(Assumptions!$B$9,0,$C$1),AT$115)</f>
        <v>0</v>
      </c>
      <c r="AV115" s="16">
        <f ca="1">IF(AV$6=OFFSET(Assumptions!$B$8,0,$C$1),OFFSET(Assumptions!$B$9,0,$C$1),AU$115)</f>
        <v>0</v>
      </c>
      <c r="AW115" s="16">
        <f ca="1">IF(AW$6=OFFSET(Assumptions!$B$8,0,$C$1),OFFSET(Assumptions!$B$9,0,$C$1),AV$115)</f>
        <v>0</v>
      </c>
      <c r="AX115" s="16">
        <f ca="1">IF(AX$6=OFFSET(Assumptions!$B$8,0,$C$1),OFFSET(Assumptions!$B$9,0,$C$1),AW$115)</f>
        <v>0</v>
      </c>
    </row>
    <row r="116" spans="1:50" x14ac:dyDescent="0.25">
      <c r="A116" s="11" t="s">
        <v>528</v>
      </c>
      <c r="B116" s="10" t="str">
        <f>$B$38</f>
        <v>From Fiscal Forecasts</v>
      </c>
      <c r="C116" s="13"/>
      <c r="D116" s="35">
        <f>-'Fiscal Forecasts'!D$107</f>
        <v>1.768</v>
      </c>
      <c r="E116" s="35">
        <f>-'Fiscal Forecasts'!E$107</f>
        <v>2.351</v>
      </c>
      <c r="F116" s="35">
        <f>-'Fiscal Forecasts'!F$107</f>
        <v>1.8680000000000001</v>
      </c>
      <c r="G116" s="35">
        <f>-'Fiscal Forecasts'!G$107</f>
        <v>1.696</v>
      </c>
      <c r="H116" s="35">
        <f>-'Fiscal Forecasts'!H$107</f>
        <v>3.5249999999999999</v>
      </c>
      <c r="I116" s="35">
        <f>-'Fiscal Forecasts'!I$107</f>
        <v>3.8380000000000001</v>
      </c>
      <c r="J116" s="17">
        <f>-'Fiscal Forecasts'!J$107</f>
        <v>4.0350000000000001</v>
      </c>
      <c r="K116" s="17">
        <f>-'Fiscal Forecasts'!K$107</f>
        <v>3.0369999999999999</v>
      </c>
      <c r="L116" s="17">
        <f>-'Fiscal Forecasts'!L$107</f>
        <v>3.3239999999999998</v>
      </c>
      <c r="M116" s="17">
        <f>-'Fiscal Forecasts'!M$107</f>
        <v>3.6920000000000002</v>
      </c>
      <c r="N116" s="17">
        <f>-'Fiscal Forecasts'!N$107</f>
        <v>3.85</v>
      </c>
      <c r="O116" s="16">
        <f ca="1">O$455-N$455</f>
        <v>4.2940415667566612</v>
      </c>
      <c r="P116" s="16">
        <f t="shared" ref="P116" ca="1" si="648">P$455-O$455</f>
        <v>4.6745198695422658</v>
      </c>
      <c r="Q116" s="16">
        <f t="shared" ref="Q116" ca="1" si="649">Q$455-P$455</f>
        <v>4.9931983149520676</v>
      </c>
      <c r="R116" s="16">
        <f t="shared" ref="R116" ca="1" si="650">R$455-Q$455</f>
        <v>5.2719906953987135</v>
      </c>
      <c r="S116" s="16">
        <f t="shared" ref="S116" ca="1" si="651">S$455-R$455</f>
        <v>5.5463118745630595</v>
      </c>
      <c r="T116" s="16">
        <f t="shared" ref="T116" ca="1" si="652">T$455-S$455</f>
        <v>5.8402675851831418</v>
      </c>
      <c r="U116" s="16">
        <f t="shared" ref="U116" ca="1" si="653">U$455-T$455</f>
        <v>6.0898671107307507</v>
      </c>
      <c r="V116" s="16">
        <f t="shared" ref="V116" ca="1" si="654">V$455-U$455</f>
        <v>6.3129879384634364</v>
      </c>
      <c r="W116" s="16">
        <f t="shared" ref="W116" ca="1" si="655">W$455-V$455</f>
        <v>6.5465401488230697</v>
      </c>
      <c r="X116" s="16">
        <f t="shared" ref="X116" ca="1" si="656">X$455-W$455</f>
        <v>6.7831238224722483</v>
      </c>
      <c r="Y116" s="16">
        <f t="shared" ref="Y116" ca="1" si="657">Y$455-X$455</f>
        <v>7.0647247515690026</v>
      </c>
      <c r="Z116" s="16">
        <f t="shared" ref="Z116" ca="1" si="658">Z$455-Y$455</f>
        <v>7.348416812107871</v>
      </c>
      <c r="AA116" s="16">
        <f t="shared" ref="AA116" ca="1" si="659">AA$455-Z$455</f>
        <v>7.6517825672796391</v>
      </c>
      <c r="AB116" s="16">
        <f t="shared" ref="AB116" ca="1" si="660">AB$455-AA$455</f>
        <v>7.9789882123671987</v>
      </c>
      <c r="AC116" s="16">
        <f t="shared" ref="AC116" ca="1" si="661">AC$455-AB$455</f>
        <v>8.3141475830352363</v>
      </c>
      <c r="AD116" s="16">
        <f t="shared" ref="AD116" ca="1" si="662">AD$455-AC$455</f>
        <v>8.7007841520460829</v>
      </c>
      <c r="AE116" s="16">
        <f t="shared" ref="AE116" ca="1" si="663">AE$455-AD$455</f>
        <v>9.1074102310931551</v>
      </c>
      <c r="AF116" s="16">
        <f t="shared" ref="AF116" ca="1" si="664">AF$455-AE$455</f>
        <v>9.5372868000302162</v>
      </c>
      <c r="AG116" s="16">
        <f t="shared" ref="AG116" ca="1" si="665">AG$455-AF$455</f>
        <v>10.004161386895419</v>
      </c>
      <c r="AH116" s="16">
        <f t="shared" ref="AH116" ca="1" si="666">AH$455-AG$455</f>
        <v>10.495642239223628</v>
      </c>
      <c r="AI116" s="16">
        <f t="shared" ref="AI116" ca="1" si="667">AI$455-AH$455</f>
        <v>11.04348568397441</v>
      </c>
      <c r="AJ116" s="16">
        <f t="shared" ref="AJ116" ca="1" si="668">AJ$455-AI$455</f>
        <v>11.628480950410818</v>
      </c>
      <c r="AK116" s="16">
        <f t="shared" ref="AK116" ca="1" si="669">AK$455-AJ$455</f>
        <v>12.256707767926912</v>
      </c>
      <c r="AL116" s="16">
        <f t="shared" ref="AL116" ca="1" si="670">AL$455-AK$455</f>
        <v>12.939525888809953</v>
      </c>
      <c r="AM116" s="16">
        <f t="shared" ref="AM116" ca="1" si="671">AM$455-AL$455</f>
        <v>13.680136444343873</v>
      </c>
      <c r="AN116" s="16">
        <f t="shared" ref="AN116" ca="1" si="672">AN$455-AM$455</f>
        <v>14.243974932804349</v>
      </c>
      <c r="AO116" s="16">
        <f t="shared" ref="AO116" ca="1" si="673">AO$455-AN$455</f>
        <v>14.65628236643272</v>
      </c>
      <c r="AP116" s="16">
        <f t="shared" ref="AP116" ca="1" si="674">AP$455-AO$455</f>
        <v>15.023534539964089</v>
      </c>
      <c r="AQ116" s="16">
        <f t="shared" ref="AQ116" ca="1" si="675">AQ$455-AP$455</f>
        <v>16.226690816072505</v>
      </c>
      <c r="AR116" s="16">
        <f t="shared" ref="AR116" ca="1" si="676">AR$455-AQ$455</f>
        <v>17.020120634240584</v>
      </c>
      <c r="AS116" s="16">
        <f t="shared" ref="AS116" ca="1" si="677">AS$455-AR$455</f>
        <v>17.852346463468109</v>
      </c>
      <c r="AT116" s="16">
        <f t="shared" ref="AT116" ca="1" si="678">AT$455-AS$455</f>
        <v>18.725265296330406</v>
      </c>
      <c r="AU116" s="16">
        <f t="shared" ref="AU116" ca="1" si="679">AU$455-AT$455</f>
        <v>19.64086688186751</v>
      </c>
      <c r="AV116" s="16">
        <f t="shared" ref="AV116" ca="1" si="680">AV$455-AU$455</f>
        <v>20.601238261058825</v>
      </c>
      <c r="AW116" s="16">
        <f t="shared" ref="AW116" ca="1" si="681">AW$455-AV$455</f>
        <v>21.608568524067152</v>
      </c>
      <c r="AX116" s="16">
        <f t="shared" ref="AX116" ca="1" si="682">AX$455-AW$455</f>
        <v>22.665153800095425</v>
      </c>
    </row>
    <row r="117" spans="1:50" x14ac:dyDescent="0.25">
      <c r="A117" s="11" t="s">
        <v>529</v>
      </c>
      <c r="B117" s="10" t="str">
        <f>$B$38</f>
        <v>From Fiscal Forecasts</v>
      </c>
      <c r="C117" s="13"/>
      <c r="D117" s="35">
        <f>-'Fiscal Forecasts'!D$108</f>
        <v>0</v>
      </c>
      <c r="E117" s="35">
        <f>-'Fiscal Forecasts'!E$108</f>
        <v>0</v>
      </c>
      <c r="F117" s="35">
        <f>-'Fiscal Forecasts'!F$108</f>
        <v>0</v>
      </c>
      <c r="G117" s="35">
        <f>-'Fiscal Forecasts'!G$108</f>
        <v>0</v>
      </c>
      <c r="H117" s="35">
        <f>-'Fiscal Forecasts'!H$108</f>
        <v>-0.39500000000000002</v>
      </c>
      <c r="I117" s="35">
        <f>-'Fiscal Forecasts'!I$108</f>
        <v>-0.61399999999999999</v>
      </c>
      <c r="J117" s="17">
        <f>-'Fiscal Forecasts'!J$108</f>
        <v>-1.2769999999999999</v>
      </c>
      <c r="K117" s="17">
        <f>-'Fiscal Forecasts'!K$108</f>
        <v>-1.145</v>
      </c>
      <c r="L117" s="17">
        <f>-'Fiscal Forecasts'!L$108</f>
        <v>-0.88600000000000001</v>
      </c>
      <c r="M117" s="17">
        <f>-'Fiscal Forecasts'!M$108</f>
        <v>-0.64300000000000002</v>
      </c>
      <c r="N117" s="17">
        <f>-'Fiscal Forecasts'!N$108</f>
        <v>-0.64900000000000002</v>
      </c>
      <c r="O117" s="16">
        <f ca="1">O$449-N$449</f>
        <v>-0.40904000000000007</v>
      </c>
      <c r="P117" s="16">
        <f t="shared" ref="P117" ca="1" si="683">P$449-O$449</f>
        <v>-0.37950079999999975</v>
      </c>
      <c r="Q117" s="16">
        <f t="shared" ref="Q117" ca="1" si="684">Q$449-P$449</f>
        <v>-0.34937081599999997</v>
      </c>
      <c r="R117" s="16">
        <f t="shared" ref="R117" ca="1" si="685">R$449-Q$449</f>
        <v>-0.3186382323200001</v>
      </c>
      <c r="S117" s="16">
        <f t="shared" ref="S117" ca="1" si="686">S$449-R$449</f>
        <v>-0.2872909969663997</v>
      </c>
      <c r="T117" s="16">
        <f t="shared" ref="T117" ca="1" si="687">T$449-S$449</f>
        <v>-0.25531681690572761</v>
      </c>
      <c r="U117" s="16">
        <f t="shared" ref="U117" ca="1" si="688">U$449-T$449</f>
        <v>-0.2227031532438426</v>
      </c>
      <c r="V117" s="16">
        <f t="shared" ref="V117" ca="1" si="689">V$449-U$449</f>
        <v>-0.18943721630871924</v>
      </c>
      <c r="W117" s="16">
        <f t="shared" ref="W117" ca="1" si="690">W$449-V$449</f>
        <v>-0.15550596063489364</v>
      </c>
      <c r="X117" s="16">
        <f t="shared" ref="X117" ca="1" si="691">X$449-W$449</f>
        <v>-0.12089607984759154</v>
      </c>
      <c r="Y117" s="16">
        <f t="shared" ref="Y117" ca="1" si="692">Y$449-X$449</f>
        <v>-8.5594001444543322E-2</v>
      </c>
      <c r="Z117" s="16">
        <f t="shared" ref="Z117" ca="1" si="693">Z$449-Y$449</f>
        <v>-4.9585881473434235E-2</v>
      </c>
      <c r="AA117" s="16">
        <f t="shared" ref="AA117" ca="1" si="694">AA$449-Z$449</f>
        <v>-1.2857599102902961E-2</v>
      </c>
      <c r="AB117" s="16">
        <f t="shared" ref="AB117" ca="1" si="695">AB$449-AA$449</f>
        <v>2.4605248915039013E-2</v>
      </c>
      <c r="AC117" s="16">
        <f t="shared" ref="AC117" ca="1" si="696">AC$449-AB$449</f>
        <v>6.2817353893339867E-2</v>
      </c>
      <c r="AD117" s="16">
        <f t="shared" ref="AD117" ca="1" si="697">AD$449-AC$449</f>
        <v>0.10179370097120666</v>
      </c>
      <c r="AE117" s="16">
        <f t="shared" ref="AE117" ca="1" si="698">AE$449-AD$449</f>
        <v>0.14154957499063103</v>
      </c>
      <c r="AF117" s="16">
        <f t="shared" ref="AF117" ca="1" si="699">AF$449-AE$449</f>
        <v>0.18210056649044359</v>
      </c>
      <c r="AG117" s="16">
        <f t="shared" ref="AG117" ca="1" si="700">AG$449-AF$449</f>
        <v>0.22346257782025236</v>
      </c>
      <c r="AH117" s="16">
        <f t="shared" ref="AH117" ca="1" si="701">AH$449-AG$449</f>
        <v>0.26565182937665766</v>
      </c>
      <c r="AI117" s="16">
        <f t="shared" ref="AI117" ca="1" si="702">AI$449-AH$449</f>
        <v>0.30868486596419098</v>
      </c>
      <c r="AJ117" s="16">
        <f t="shared" ref="AJ117" ca="1" si="703">AJ$449-AI$449</f>
        <v>0.35257856328347481</v>
      </c>
      <c r="AK117" s="16">
        <f t="shared" ref="AK117" ca="1" si="704">AK$449-AJ$449</f>
        <v>0.39735013454914414</v>
      </c>
      <c r="AL117" s="16">
        <f t="shared" ref="AL117" ca="1" si="705">AL$449-AK$449</f>
        <v>0.44301713724012703</v>
      </c>
      <c r="AM117" s="16">
        <f t="shared" ref="AM117" ca="1" si="706">AM$449-AL$449</f>
        <v>0.48959747998492942</v>
      </c>
      <c r="AN117" s="16">
        <f t="shared" ref="AN117" ca="1" si="707">AN$449-AM$449</f>
        <v>0.53710942958462748</v>
      </c>
      <c r="AO117" s="16">
        <f t="shared" ref="AO117" ca="1" si="708">AO$449-AN$449</f>
        <v>0.58557161817632064</v>
      </c>
      <c r="AP117" s="16">
        <f t="shared" ref="AP117" ca="1" si="709">AP$449-AO$449</f>
        <v>0.63500305053984718</v>
      </c>
      <c r="AQ117" s="16">
        <f t="shared" ref="AQ117" ca="1" si="710">AQ$449-AP$449</f>
        <v>0.6854231115506435</v>
      </c>
      <c r="AR117" s="16">
        <f t="shared" ref="AR117" ca="1" si="711">AR$449-AQ$449</f>
        <v>0.73685157378165744</v>
      </c>
      <c r="AS117" s="16">
        <f t="shared" ref="AS117" ca="1" si="712">AS$449-AR$449</f>
        <v>0.78930860525728974</v>
      </c>
      <c r="AT117" s="16">
        <f t="shared" ref="AT117" ca="1" si="713">AT$449-AS$449</f>
        <v>0.84281477736243637</v>
      </c>
      <c r="AU117" s="16">
        <f t="shared" ref="AU117" ca="1" si="714">AU$449-AT$449</f>
        <v>0.89739107290968434</v>
      </c>
      <c r="AV117" s="16">
        <f t="shared" ref="AV117" ca="1" si="715">AV$449-AU$449</f>
        <v>0.95305889436787794</v>
      </c>
      <c r="AW117" s="16">
        <f t="shared" ref="AW117" ca="1" si="716">AW$449-AV$449</f>
        <v>1.0098400722552352</v>
      </c>
      <c r="AX117" s="16">
        <f t="shared" ref="AX117" ca="1" si="717">AX$449-AW$449</f>
        <v>1.0677568737003398</v>
      </c>
    </row>
    <row r="118" spans="1:50" x14ac:dyDescent="0.25">
      <c r="A118" s="11" t="s">
        <v>530</v>
      </c>
      <c r="B118" s="10" t="str">
        <f t="shared" ref="B118" si="718">$B$38</f>
        <v>From Fiscal Forecasts</v>
      </c>
      <c r="C118" s="13"/>
      <c r="D118" s="35">
        <f>-'Fiscal Forecasts'!D$109</f>
        <v>-0.57099999999999995</v>
      </c>
      <c r="E118" s="35">
        <f>-'Fiscal Forecasts'!E$109</f>
        <v>0.80400000000000005</v>
      </c>
      <c r="F118" s="35">
        <f>-'Fiscal Forecasts'!F$109</f>
        <v>-0.73299999999999998</v>
      </c>
      <c r="G118" s="35">
        <f>-'Fiscal Forecasts'!G$109</f>
        <v>-0.79</v>
      </c>
      <c r="H118" s="35">
        <f>-'Fiscal Forecasts'!H$109</f>
        <v>-6.0999999999999999E-2</v>
      </c>
      <c r="I118" s="35">
        <f>-'Fiscal Forecasts'!I$109</f>
        <v>-6.0999999999999999E-2</v>
      </c>
      <c r="J118" s="17">
        <f>-'Fiscal Forecasts'!J$109</f>
        <v>0.05</v>
      </c>
      <c r="K118" s="17">
        <f>-'Fiscal Forecasts'!K$109</f>
        <v>4.9000000000000002E-2</v>
      </c>
      <c r="L118" s="17">
        <f>-'Fiscal Forecasts'!L$109</f>
        <v>4.8000000000000001E-2</v>
      </c>
      <c r="M118" s="17">
        <f>-'Fiscal Forecasts'!M$109</f>
        <v>4.5999999999999999E-2</v>
      </c>
      <c r="N118" s="17">
        <f>-'Fiscal Forecasts'!N$109</f>
        <v>4.4999999999999998E-2</v>
      </c>
      <c r="O118" s="16">
        <f ca="1">O$460-N$460</f>
        <v>-0.19022764830508443</v>
      </c>
      <c r="P118" s="16">
        <f t="shared" ref="P118" ca="1" si="719">P$460-O$460</f>
        <v>-0.19206557203389885</v>
      </c>
      <c r="Q118" s="16">
        <f t="shared" ref="Q118" ca="1" si="720">Q$460-P$460</f>
        <v>-0.19448453389830522</v>
      </c>
      <c r="R118" s="16">
        <f t="shared" ref="R118" ca="1" si="721">R$460-Q$460</f>
        <v>-0.19883866525423732</v>
      </c>
      <c r="S118" s="16">
        <f t="shared" ref="S118" ca="1" si="722">S$460-R$460</f>
        <v>-0.20029004237288106</v>
      </c>
      <c r="T118" s="16">
        <f t="shared" ref="T118" ca="1" si="723">T$460-S$460</f>
        <v>-0.2007738347457626</v>
      </c>
      <c r="U118" s="16">
        <f t="shared" ref="U118" ca="1" si="724">U$460-T$460</f>
        <v>-0.19400074152542324</v>
      </c>
      <c r="V118" s="16">
        <f t="shared" ref="V118" ca="1" si="725">V$460-U$460</f>
        <v>-0.1915817796610173</v>
      </c>
      <c r="W118" s="16">
        <f t="shared" ref="W118" ca="1" si="726">W$460-V$460</f>
        <v>-0.18867902542372894</v>
      </c>
      <c r="X118" s="16">
        <f t="shared" ref="X118" ca="1" si="727">X$460-W$460</f>
        <v>-0.18529247881355948</v>
      </c>
      <c r="Y118" s="16">
        <f t="shared" ref="Y118" ca="1" si="728">Y$460-X$460</f>
        <v>-0.18045455508474584</v>
      </c>
      <c r="Z118" s="16">
        <f t="shared" ref="Z118" ca="1" si="729">Z$460-Y$460</f>
        <v>-0.17610042372881374</v>
      </c>
      <c r="AA118" s="16">
        <f t="shared" ref="AA118" ca="1" si="730">AA$460-Z$460</f>
        <v>-0.17029491525423701</v>
      </c>
      <c r="AB118" s="16">
        <f t="shared" ref="AB118" ca="1" si="731">AB$460-AA$460</f>
        <v>-0.16400561440677985</v>
      </c>
      <c r="AC118" s="16">
        <f t="shared" ref="AC118" ca="1" si="732">AC$460-AB$460</f>
        <v>-0.15723252118644071</v>
      </c>
      <c r="AD118" s="16">
        <f t="shared" ref="AD118" ca="1" si="733">AD$460-AC$460</f>
        <v>-0.15094322033898289</v>
      </c>
      <c r="AE118" s="16">
        <f t="shared" ref="AE118" ca="1" si="734">AE$460-AD$460</f>
        <v>-0.1432025423728811</v>
      </c>
      <c r="AF118" s="16">
        <f t="shared" ref="AF118" ca="1" si="735">AF$460-AE$460</f>
        <v>-0.1364294491525424</v>
      </c>
      <c r="AG118" s="16">
        <f t="shared" ref="AG118" ca="1" si="736">AG$460-AF$460</f>
        <v>-0.12820497881355952</v>
      </c>
      <c r="AH118" s="16">
        <f t="shared" ref="AH118" ca="1" si="737">AH$460-AG$460</f>
        <v>-0.12046430084745774</v>
      </c>
      <c r="AI118" s="16">
        <f t="shared" ref="AI118" ca="1" si="738">AI$460-AH$460</f>
        <v>-0.11272362288135596</v>
      </c>
      <c r="AJ118" s="16">
        <f t="shared" ref="AJ118" ca="1" si="739">AJ$460-AI$460</f>
        <v>-0.10449915254237274</v>
      </c>
      <c r="AK118" s="16">
        <f t="shared" ref="AK118" ca="1" si="740">AK$460-AJ$460</f>
        <v>-9.7242266949152611E-2</v>
      </c>
      <c r="AL118" s="16">
        <f t="shared" ref="AL118" ca="1" si="741">AL$460-AK$460</f>
        <v>-8.9501588983050939E-2</v>
      </c>
      <c r="AM118" s="16">
        <f t="shared" ref="AM118" ca="1" si="742">AM$460-AL$460</f>
        <v>-8.2244703389830476E-2</v>
      </c>
      <c r="AN118" s="16">
        <f t="shared" ref="AN118" ca="1" si="743">AN$460-AM$460</f>
        <v>-7.5471610169491554E-2</v>
      </c>
      <c r="AO118" s="16">
        <f t="shared" ref="AO118" ca="1" si="744">AO$460-AN$460</f>
        <v>-6.8698516949152466E-2</v>
      </c>
      <c r="AP118" s="16">
        <f t="shared" ref="AP118" ca="1" si="745">AP$460-AO$460</f>
        <v>-6.1925423728813545E-2</v>
      </c>
      <c r="AQ118" s="16">
        <f t="shared" ref="AQ118" ca="1" si="746">AQ$460-AP$460</f>
        <v>-5.5636122881355943E-2</v>
      </c>
      <c r="AR118" s="16">
        <f t="shared" ref="AR118" ca="1" si="747">AR$460-AQ$460</f>
        <v>-4.9346822033898285E-2</v>
      </c>
      <c r="AS118" s="16">
        <f t="shared" ref="AS118" ca="1" si="748">AS$460-AR$460</f>
        <v>-4.4025105932203379E-2</v>
      </c>
      <c r="AT118" s="16">
        <f t="shared" ref="AT118" ca="1" si="749">AT$460-AS$460</f>
        <v>-3.87033898305085E-2</v>
      </c>
      <c r="AU118" s="16">
        <f t="shared" ref="AU118" ca="1" si="750">AU$460-AT$460</f>
        <v>-3.6284427966101707E-2</v>
      </c>
      <c r="AV118" s="16">
        <f t="shared" ref="AV118" ca="1" si="751">AV$460-AU$460</f>
        <v>-3.3865466101694941E-2</v>
      </c>
      <c r="AW118" s="16">
        <f t="shared" ref="AW118" ca="1" si="752">AW$460-AV$460</f>
        <v>-3.1446504237288134E-2</v>
      </c>
      <c r="AX118" s="16">
        <f t="shared" ref="AX118" ca="1" si="753">AX$460-AW$460</f>
        <v>-2.9027542372881354E-2</v>
      </c>
    </row>
    <row r="119" spans="1:50" x14ac:dyDescent="0.25">
      <c r="A119" s="9" t="s">
        <v>1038</v>
      </c>
      <c r="B119" s="9"/>
      <c r="C119" s="13"/>
      <c r="D119" s="64">
        <f t="shared" ref="D119:AX119" si="754">-SUM(D$112:D$118)</f>
        <v>-4.9750000000000005</v>
      </c>
      <c r="E119" s="64">
        <f t="shared" si="754"/>
        <v>-12.507</v>
      </c>
      <c r="F119" s="64">
        <f t="shared" si="754"/>
        <v>-8.7899999999999991</v>
      </c>
      <c r="G119" s="64">
        <f t="shared" si="754"/>
        <v>-7.6849999999999996</v>
      </c>
      <c r="H119" s="64">
        <f t="shared" si="754"/>
        <v>-11.238999999999999</v>
      </c>
      <c r="I119" s="64">
        <f t="shared" si="754"/>
        <v>-12.820999999999998</v>
      </c>
      <c r="J119" s="65">
        <f t="shared" si="754"/>
        <v>-12.293000000000001</v>
      </c>
      <c r="K119" s="65">
        <f t="shared" si="754"/>
        <v>-12.555</v>
      </c>
      <c r="L119" s="65">
        <f t="shared" si="754"/>
        <v>-12.676</v>
      </c>
      <c r="M119" s="65">
        <f t="shared" si="754"/>
        <v>-13.632999999999999</v>
      </c>
      <c r="N119" s="65">
        <f t="shared" si="754"/>
        <v>-13.933999999999999</v>
      </c>
      <c r="O119" s="88">
        <f t="shared" ca="1" si="754"/>
        <v>-14.336133103030678</v>
      </c>
      <c r="P119" s="88">
        <f t="shared" ca="1" si="754"/>
        <v>-15.3141033385392</v>
      </c>
      <c r="Q119" s="88">
        <f t="shared" ca="1" si="754"/>
        <v>-16.149924503915603</v>
      </c>
      <c r="R119" s="88">
        <f t="shared" ca="1" si="754"/>
        <v>-16.930691529107424</v>
      </c>
      <c r="S119" s="88">
        <f t="shared" ca="1" si="754"/>
        <v>-17.712015282050938</v>
      </c>
      <c r="T119" s="88">
        <f t="shared" ca="1" si="754"/>
        <v>-18.529257212133178</v>
      </c>
      <c r="U119" s="88">
        <f t="shared" ca="1" si="754"/>
        <v>-19.324707432433918</v>
      </c>
      <c r="V119" s="88">
        <f t="shared" ca="1" si="754"/>
        <v>-20.050406959293291</v>
      </c>
      <c r="W119" s="88">
        <f t="shared" ca="1" si="754"/>
        <v>-20.800857963270172</v>
      </c>
      <c r="X119" s="88">
        <f t="shared" ca="1" si="754"/>
        <v>-21.5809782468463</v>
      </c>
      <c r="Y119" s="88">
        <f t="shared" ca="1" si="754"/>
        <v>-22.43572241753612</v>
      </c>
      <c r="Z119" s="88">
        <f t="shared" ca="1" si="754"/>
        <v>-23.309174427324429</v>
      </c>
      <c r="AA119" s="88">
        <f t="shared" ca="1" si="754"/>
        <v>-24.221175950142964</v>
      </c>
      <c r="AB119" s="88">
        <f t="shared" ca="1" si="754"/>
        <v>-25.177434077882562</v>
      </c>
      <c r="AC119" s="88">
        <f t="shared" ca="1" si="754"/>
        <v>-26.161063496314942</v>
      </c>
      <c r="AD119" s="88">
        <f t="shared" ca="1" si="754"/>
        <v>-27.214644929486191</v>
      </c>
      <c r="AE119" s="88">
        <f t="shared" ca="1" si="754"/>
        <v>-28.308868775398704</v>
      </c>
      <c r="AF119" s="88">
        <f t="shared" ca="1" si="754"/>
        <v>-29.443920324374993</v>
      </c>
      <c r="AG119" s="88">
        <f t="shared" ca="1" si="754"/>
        <v>-30.635790821634</v>
      </c>
      <c r="AH119" s="88">
        <f t="shared" ca="1" si="754"/>
        <v>-31.870270949909653</v>
      </c>
      <c r="AI119" s="88">
        <f t="shared" ca="1" si="754"/>
        <v>-33.178974848586613</v>
      </c>
      <c r="AJ119" s="88">
        <f t="shared" ca="1" si="754"/>
        <v>-34.543503440161231</v>
      </c>
      <c r="AK119" s="88">
        <f t="shared" ca="1" si="754"/>
        <v>-35.969204754255685</v>
      </c>
      <c r="AL119" s="88">
        <f t="shared" ca="1" si="754"/>
        <v>-37.467877194550553</v>
      </c>
      <c r="AM119" s="88">
        <f t="shared" ca="1" si="754"/>
        <v>-39.042553590243607</v>
      </c>
      <c r="AN119" s="88">
        <f t="shared" ca="1" si="754"/>
        <v>-40.57153382490678</v>
      </c>
      <c r="AO119" s="88">
        <f t="shared" ca="1" si="754"/>
        <v>-41.907679196849983</v>
      </c>
      <c r="AP119" s="88">
        <f t="shared" ca="1" si="754"/>
        <v>-43.178784687518849</v>
      </c>
      <c r="AQ119" s="88">
        <f t="shared" ca="1" si="754"/>
        <v>-45.311904334988249</v>
      </c>
      <c r="AR119" s="88">
        <f t="shared" ca="1" si="754"/>
        <v>-47.062825701592438</v>
      </c>
      <c r="AS119" s="88">
        <f t="shared" ca="1" si="754"/>
        <v>-48.881521226882938</v>
      </c>
      <c r="AT119" s="88">
        <f t="shared" ca="1" si="754"/>
        <v>-50.772189421235659</v>
      </c>
      <c r="AU119" s="88">
        <f t="shared" ca="1" si="754"/>
        <v>-52.736859987337134</v>
      </c>
      <c r="AV119" s="88">
        <f t="shared" ca="1" si="754"/>
        <v>-54.780518174634047</v>
      </c>
      <c r="AW119" s="88">
        <f t="shared" ca="1" si="754"/>
        <v>-56.908309136140666</v>
      </c>
      <c r="AX119" s="88">
        <f t="shared" ca="1" si="754"/>
        <v>-59.122646488285177</v>
      </c>
    </row>
    <row r="120" spans="1:50" x14ac:dyDescent="0.25">
      <c r="A120" s="11" t="s">
        <v>532</v>
      </c>
      <c r="B120" s="10" t="str">
        <f t="shared" ref="B120:B125" si="755">$B$38</f>
        <v>From Fiscal Forecasts</v>
      </c>
      <c r="C120" s="13"/>
      <c r="D120" s="35">
        <f>'Fiscal Forecasts'!D$111</f>
        <v>4.1879999999999997</v>
      </c>
      <c r="E120" s="35">
        <f>'Fiscal Forecasts'!E$111</f>
        <v>0.63100000000000001</v>
      </c>
      <c r="F120" s="35">
        <f>'Fiscal Forecasts'!F$111</f>
        <v>1.4810000000000001</v>
      </c>
      <c r="G120" s="35">
        <f>'Fiscal Forecasts'!G$111</f>
        <v>5.0270000000000001</v>
      </c>
      <c r="H120" s="35">
        <f>'Fiscal Forecasts'!H$111</f>
        <v>1.155</v>
      </c>
      <c r="I120" s="35">
        <f>'Fiscal Forecasts'!I$111</f>
        <v>3.3050000000000002</v>
      </c>
      <c r="J120" s="17">
        <f>'Fiscal Forecasts'!J$111</f>
        <v>-2.56</v>
      </c>
      <c r="K120" s="17">
        <f>'Fiscal Forecasts'!K$111</f>
        <v>1.3380000000000001</v>
      </c>
      <c r="L120" s="17">
        <f>'Fiscal Forecasts'!L$111</f>
        <v>-0.01</v>
      </c>
      <c r="M120" s="17">
        <f>'Fiscal Forecasts'!M$111</f>
        <v>1.1919999999999999</v>
      </c>
      <c r="N120" s="17">
        <f>'Fiscal Forecasts'!N$111</f>
        <v>1.5449999999999999</v>
      </c>
      <c r="O120" s="16">
        <f ca="1">O$355-N$355</f>
        <v>4.2506681198090348</v>
      </c>
      <c r="P120" s="16">
        <f t="shared" ref="P120" ca="1" si="756">P$355-O$355</f>
        <v>1.8682886848487072</v>
      </c>
      <c r="Q120" s="16">
        <f t="shared" ref="Q120" ca="1" si="757">Q$355-P$355</f>
        <v>1.9220071165113097</v>
      </c>
      <c r="R120" s="16">
        <f t="shared" ref="R120" ca="1" si="758">R$355-Q$355</f>
        <v>1.9496630640772494</v>
      </c>
      <c r="S120" s="16">
        <f t="shared" ref="S120" ca="1" si="759">S$355-R$355</f>
        <v>2.0048204420337612</v>
      </c>
      <c r="T120" s="16">
        <f t="shared" ref="T120" ca="1" si="760">T$355-S$355</f>
        <v>2.0608224846377396</v>
      </c>
      <c r="U120" s="16">
        <f t="shared" ref="U120" ca="1" si="761">U$355-T$355</f>
        <v>2.1204772619095635</v>
      </c>
      <c r="V120" s="16">
        <f t="shared" ref="V120" ca="1" si="762">V$355-U$355</f>
        <v>2.182359432650955</v>
      </c>
      <c r="W120" s="16">
        <f t="shared" ref="W120" ca="1" si="763">W$355-V$355</f>
        <v>2.2414206928793945</v>
      </c>
      <c r="X120" s="16">
        <f t="shared" ref="X120" ca="1" si="764">X$355-W$355</f>
        <v>2.3060667359533795</v>
      </c>
      <c r="Y120" s="16">
        <f t="shared" ref="Y120" ca="1" si="765">Y$355-X$355</f>
        <v>2.3810229786561479</v>
      </c>
      <c r="Z120" s="16">
        <f t="shared" ref="Z120" ca="1" si="766">Z$355-Y$355</f>
        <v>2.4600221702912819</v>
      </c>
      <c r="AA120" s="16">
        <f t="shared" ref="AA120" ca="1" si="767">AA$355-Z$355</f>
        <v>2.5461718764132968</v>
      </c>
      <c r="AB120" s="16">
        <f t="shared" ref="AB120" ca="1" si="768">AB$355-AA$355</f>
        <v>2.6345515030923536</v>
      </c>
      <c r="AC120" s="16">
        <f t="shared" ref="AC120" ca="1" si="769">AC$355-AB$355</f>
        <v>2.7235710728418923</v>
      </c>
      <c r="AD120" s="16">
        <f t="shared" ref="AD120" ca="1" si="770">AD$355-AC$355</f>
        <v>2.8134684595470532</v>
      </c>
      <c r="AE120" s="16">
        <f t="shared" ref="AE120" ca="1" si="771">AE$355-AD$355</f>
        <v>2.9039034741953884</v>
      </c>
      <c r="AF120" s="16">
        <f t="shared" ref="AF120" ca="1" si="772">AF$355-AE$355</f>
        <v>2.9951364085828232</v>
      </c>
      <c r="AG120" s="16">
        <f t="shared" ref="AG120" ca="1" si="773">AG$355-AF$355</f>
        <v>3.0861147851163935</v>
      </c>
      <c r="AH120" s="16">
        <f t="shared" ref="AH120" ca="1" si="774">AH$355-AG$355</f>
        <v>3.176749918239608</v>
      </c>
      <c r="AI120" s="16">
        <f t="shared" ref="AI120" ca="1" si="775">AI$355-AH$355</f>
        <v>3.2686873939420309</v>
      </c>
      <c r="AJ120" s="16">
        <f t="shared" ref="AJ120" ca="1" si="776">AJ$355-AI$355</f>
        <v>3.3622397723485591</v>
      </c>
      <c r="AK120" s="16">
        <f t="shared" ref="AK120" ca="1" si="777">AK$355-AJ$355</f>
        <v>3.4503586514757245</v>
      </c>
      <c r="AL120" s="16">
        <f t="shared" ref="AL120" ca="1" si="778">AL$355-AK$355</f>
        <v>3.5371963769196384</v>
      </c>
      <c r="AM120" s="16">
        <f t="shared" ref="AM120" ca="1" si="779">AM$355-AL$355</f>
        <v>3.6247960770865717</v>
      </c>
      <c r="AN120" s="16">
        <f t="shared" ref="AN120" ca="1" si="780">AN$355-AM$355</f>
        <v>3.7096548593611516</v>
      </c>
      <c r="AO120" s="16">
        <f t="shared" ref="AO120" ca="1" si="781">AO$355-AN$355</f>
        <v>3.7928479385598592</v>
      </c>
      <c r="AP120" s="16">
        <f t="shared" ref="AP120" ca="1" si="782">AP$355-AO$355</f>
        <v>3.8817458524278265</v>
      </c>
      <c r="AQ120" s="16">
        <f t="shared" ref="AQ120" ca="1" si="783">AQ$355-AP$355</f>
        <v>3.9741847758779301</v>
      </c>
      <c r="AR120" s="16">
        <f t="shared" ref="AR120" ca="1" si="784">AR$355-AQ$355</f>
        <v>4.0754089672124678</v>
      </c>
      <c r="AS120" s="16">
        <f t="shared" ref="AS120" ca="1" si="785">AS$355-AR$355</f>
        <v>4.1792266116330268</v>
      </c>
      <c r="AT120" s="16">
        <f t="shared" ref="AT120" ca="1" si="786">AT$355-AS$355</f>
        <v>4.2926850734557433</v>
      </c>
      <c r="AU120" s="16">
        <f t="shared" ref="AU120" ca="1" si="787">AU$355-AT$355</f>
        <v>4.408516284496983</v>
      </c>
      <c r="AV120" s="16">
        <f t="shared" ref="AV120" ca="1" si="788">AV$355-AU$355</f>
        <v>4.5326188213012983</v>
      </c>
      <c r="AW120" s="16">
        <f t="shared" ref="AW120" ca="1" si="789">AW$355-AV$355</f>
        <v>4.6631264439470783</v>
      </c>
      <c r="AX120" s="16">
        <f t="shared" ref="AX120" ca="1" si="790">AX$355-AW$355</f>
        <v>4.7891298129319466</v>
      </c>
    </row>
    <row r="121" spans="1:50" x14ac:dyDescent="0.25">
      <c r="A121" s="11" t="s">
        <v>533</v>
      </c>
      <c r="B121" s="10" t="str">
        <f t="shared" si="755"/>
        <v>From Fiscal Forecasts</v>
      </c>
      <c r="C121" s="13"/>
      <c r="D121" s="35">
        <f>'Fiscal Forecasts'!D$112</f>
        <v>3.6999999999999998E-2</v>
      </c>
      <c r="E121" s="35">
        <f>'Fiscal Forecasts'!E$112</f>
        <v>2.1000000000000001E-2</v>
      </c>
      <c r="F121" s="35">
        <f>'Fiscal Forecasts'!F$112</f>
        <v>1.1259999999999999</v>
      </c>
      <c r="G121" s="35">
        <f>'Fiscal Forecasts'!G$112</f>
        <v>0.19700000000000001</v>
      </c>
      <c r="H121" s="35">
        <f>'Fiscal Forecasts'!H$112</f>
        <v>0.183</v>
      </c>
      <c r="I121" s="35">
        <f>'Fiscal Forecasts'!I$112</f>
        <v>0.21099999999999999</v>
      </c>
      <c r="J121" s="17">
        <f>'Fiscal Forecasts'!J$112</f>
        <v>-1.05</v>
      </c>
      <c r="K121" s="17">
        <f>'Fiscal Forecasts'!K$112</f>
        <v>-1.0189999999999999</v>
      </c>
      <c r="L121" s="17">
        <f>'Fiscal Forecasts'!L$112</f>
        <v>-6.7000000000000004E-2</v>
      </c>
      <c r="M121" s="17">
        <f>'Fiscal Forecasts'!M$112</f>
        <v>-0.34699999999999998</v>
      </c>
      <c r="N121" s="17">
        <f>'Fiscal Forecasts'!N$112</f>
        <v>-3.6999999999999998E-2</v>
      </c>
      <c r="O121" s="16">
        <f t="shared" ref="O121:AX121" ca="1" si="791">O$405-O$333</f>
        <v>0.36370410207035364</v>
      </c>
      <c r="P121" s="16">
        <f t="shared" ca="1" si="791"/>
        <v>0.38826196032728721</v>
      </c>
      <c r="Q121" s="16">
        <f t="shared" ca="1" si="791"/>
        <v>0.41122095503493639</v>
      </c>
      <c r="R121" s="16">
        <f t="shared" ca="1" si="791"/>
        <v>0.4321928485983344</v>
      </c>
      <c r="S121" s="16">
        <f t="shared" ca="1" si="791"/>
        <v>0.4509271729246408</v>
      </c>
      <c r="T121" s="16">
        <f t="shared" ca="1" si="791"/>
        <v>0.4666150267194526</v>
      </c>
      <c r="U121" s="16">
        <f t="shared" ca="1" si="791"/>
        <v>0.47675105834115733</v>
      </c>
      <c r="V121" s="16">
        <f t="shared" ca="1" si="791"/>
        <v>0.48348322489412265</v>
      </c>
      <c r="W121" s="16">
        <f t="shared" ca="1" si="791"/>
        <v>0.49018085413164386</v>
      </c>
      <c r="X121" s="16">
        <f t="shared" ca="1" si="791"/>
        <v>0.49698358729107389</v>
      </c>
      <c r="Y121" s="16">
        <f t="shared" ca="1" si="791"/>
        <v>0.50397178199931036</v>
      </c>
      <c r="Z121" s="16">
        <f t="shared" ca="1" si="791"/>
        <v>0.5111191052120676</v>
      </c>
      <c r="AA121" s="16">
        <f t="shared" ca="1" si="791"/>
        <v>0.51847397879553281</v>
      </c>
      <c r="AB121" s="16">
        <f t="shared" ca="1" si="791"/>
        <v>0.52624240992351923</v>
      </c>
      <c r="AC121" s="16">
        <f t="shared" ca="1" si="791"/>
        <v>0.53450070916523373</v>
      </c>
      <c r="AD121" s="16">
        <f t="shared" ca="1" si="791"/>
        <v>0.54332570800945568</v>
      </c>
      <c r="AE121" s="16">
        <f t="shared" ca="1" si="791"/>
        <v>0.55287450364394686</v>
      </c>
      <c r="AF121" s="16">
        <f t="shared" ca="1" si="791"/>
        <v>0.56316781306052477</v>
      </c>
      <c r="AG121" s="16">
        <f t="shared" ca="1" si="791"/>
        <v>0.57421417659457619</v>
      </c>
      <c r="AH121" s="16">
        <f t="shared" ca="1" si="791"/>
        <v>0.58608396613079006</v>
      </c>
      <c r="AI121" s="16">
        <f t="shared" ca="1" si="791"/>
        <v>0.59881283895168824</v>
      </c>
      <c r="AJ121" s="16">
        <f t="shared" ca="1" si="791"/>
        <v>0.61248628962950058</v>
      </c>
      <c r="AK121" s="16">
        <f t="shared" ca="1" si="791"/>
        <v>0.62728669079857102</v>
      </c>
      <c r="AL121" s="16">
        <f t="shared" ca="1" si="791"/>
        <v>0.64336012777806606</v>
      </c>
      <c r="AM121" s="16">
        <f t="shared" ca="1" si="791"/>
        <v>0.66053872077765463</v>
      </c>
      <c r="AN121" s="16">
        <f t="shared" ca="1" si="791"/>
        <v>0.66307221633989599</v>
      </c>
      <c r="AO121" s="16">
        <f t="shared" ca="1" si="791"/>
        <v>0.65323301688235924</v>
      </c>
      <c r="AP121" s="16">
        <f t="shared" ca="1" si="791"/>
        <v>0.64955188813635911</v>
      </c>
      <c r="AQ121" s="16">
        <f t="shared" ca="1" si="791"/>
        <v>0.64629151473603752</v>
      </c>
      <c r="AR121" s="16">
        <f t="shared" ca="1" si="791"/>
        <v>0.64241909870963387</v>
      </c>
      <c r="AS121" s="16">
        <f t="shared" ca="1" si="791"/>
        <v>0.63777866152243656</v>
      </c>
      <c r="AT121" s="16">
        <f t="shared" ca="1" si="791"/>
        <v>0.63179417976188557</v>
      </c>
      <c r="AU121" s="16">
        <f t="shared" ca="1" si="791"/>
        <v>0.62452751427191533</v>
      </c>
      <c r="AV121" s="16">
        <f t="shared" ca="1" si="791"/>
        <v>0.61587410878216198</v>
      </c>
      <c r="AW121" s="16">
        <f t="shared" ca="1" si="791"/>
        <v>0.60562776889989134</v>
      </c>
      <c r="AX121" s="16">
        <f t="shared" ca="1" si="791"/>
        <v>0.609983882018862</v>
      </c>
    </row>
    <row r="122" spans="1:50" x14ac:dyDescent="0.25">
      <c r="A122" s="11" t="s">
        <v>534</v>
      </c>
      <c r="B122" s="10" t="str">
        <f t="shared" si="755"/>
        <v>From Fiscal Forecasts</v>
      </c>
      <c r="C122" s="13"/>
      <c r="D122" s="35">
        <f>'Fiscal Forecasts'!D$113</f>
        <v>0.17499999999999999</v>
      </c>
      <c r="E122" s="35">
        <f>'Fiscal Forecasts'!E$113</f>
        <v>0.254</v>
      </c>
      <c r="F122" s="35">
        <f>'Fiscal Forecasts'!F$113</f>
        <v>0.42099999999999999</v>
      </c>
      <c r="G122" s="35">
        <f>'Fiscal Forecasts'!G$113</f>
        <v>0.874</v>
      </c>
      <c r="H122" s="35">
        <f>'Fiscal Forecasts'!H$113</f>
        <v>-2.7E-2</v>
      </c>
      <c r="I122" s="35">
        <f>'Fiscal Forecasts'!I$113</f>
        <v>-0.18</v>
      </c>
      <c r="J122" s="17">
        <f>'Fiscal Forecasts'!J$113</f>
        <v>0.54400000000000004</v>
      </c>
      <c r="K122" s="17">
        <f>'Fiscal Forecasts'!K$113</f>
        <v>0.112</v>
      </c>
      <c r="L122" s="17">
        <f>'Fiscal Forecasts'!L$113</f>
        <v>4.2000000000000003E-2</v>
      </c>
      <c r="M122" s="17">
        <f>'Fiscal Forecasts'!M$113</f>
        <v>-7.0999999999999994E-2</v>
      </c>
      <c r="N122" s="17">
        <f>'Fiscal Forecasts'!N$113</f>
        <v>-9.2999999999999999E-2</v>
      </c>
      <c r="O122" s="16">
        <f ca="1">O$412-N$412</f>
        <v>6.7900000000000293E-2</v>
      </c>
      <c r="P122" s="16">
        <f t="shared" ref="P122" ca="1" si="792">P$412-O$412</f>
        <v>6.9258000000000042E-2</v>
      </c>
      <c r="Q122" s="16">
        <f t="shared" ref="Q122" ca="1" si="793">Q$412-P$412</f>
        <v>7.0643159999999927E-2</v>
      </c>
      <c r="R122" s="16">
        <f t="shared" ref="R122" ca="1" si="794">R$412-Q$412</f>
        <v>7.2056023200000041E-2</v>
      </c>
      <c r="S122" s="16">
        <f t="shared" ref="S122" ca="1" si="795">S$412-R$412</f>
        <v>7.3497143663999953E-2</v>
      </c>
      <c r="T122" s="16">
        <f t="shared" ref="T122" ca="1" si="796">T$412-S$412</f>
        <v>7.4967086537280014E-2</v>
      </c>
      <c r="U122" s="16">
        <f t="shared" ref="U122" ca="1" si="797">U$412-T$412</f>
        <v>7.646642826802541E-2</v>
      </c>
      <c r="V122" s="16">
        <f t="shared" ref="V122" ca="1" si="798">V$412-U$412</f>
        <v>7.7995756833386665E-2</v>
      </c>
      <c r="W122" s="16">
        <f t="shared" ref="W122" ca="1" si="799">W$412-V$412</f>
        <v>7.9555671970053865E-2</v>
      </c>
      <c r="X122" s="16">
        <f t="shared" ref="X122" ca="1" si="800">X$412-W$412</f>
        <v>8.1146785409455191E-2</v>
      </c>
      <c r="Y122" s="16">
        <f t="shared" ref="Y122" ca="1" si="801">Y$412-X$412</f>
        <v>8.2769721117643691E-2</v>
      </c>
      <c r="Z122" s="16">
        <f t="shared" ref="Z122" ca="1" si="802">Z$412-Y$412</f>
        <v>8.4425115539996654E-2</v>
      </c>
      <c r="AA122" s="16">
        <f t="shared" ref="AA122" ca="1" si="803">AA$412-Z$412</f>
        <v>8.6113617850797297E-2</v>
      </c>
      <c r="AB122" s="16">
        <f t="shared" ref="AB122" ca="1" si="804">AB$412-AA$412</f>
        <v>8.783589020781335E-2</v>
      </c>
      <c r="AC122" s="16">
        <f t="shared" ref="AC122" ca="1" si="805">AC$412-AB$412</f>
        <v>8.9592608011969332E-2</v>
      </c>
      <c r="AD122" s="16">
        <f t="shared" ref="AD122" ca="1" si="806">AD$412-AC$412</f>
        <v>9.138446017220847E-2</v>
      </c>
      <c r="AE122" s="16">
        <f t="shared" ref="AE122" ca="1" si="807">AE$412-AD$412</f>
        <v>9.3212149375652587E-2</v>
      </c>
      <c r="AF122" s="16">
        <f t="shared" ref="AF122" ca="1" si="808">AF$412-AE$412</f>
        <v>9.5076392363165674E-2</v>
      </c>
      <c r="AG122" s="16">
        <f t="shared" ref="AG122" ca="1" si="809">AG$412-AF$412</f>
        <v>9.6977920210429502E-2</v>
      </c>
      <c r="AH122" s="16">
        <f t="shared" ref="AH122" ca="1" si="810">AH$412-AG$412</f>
        <v>9.8917478614637844E-2</v>
      </c>
      <c r="AI122" s="16">
        <f t="shared" ref="AI122" ca="1" si="811">AI$412-AH$412</f>
        <v>0.1008958281869301</v>
      </c>
      <c r="AJ122" s="16">
        <f t="shared" ref="AJ122" ca="1" si="812">AJ$412-AI$412</f>
        <v>0.10291374475066917</v>
      </c>
      <c r="AK122" s="16">
        <f t="shared" ref="AK122" ca="1" si="813">AK$412-AJ$412</f>
        <v>0.10497201964568248</v>
      </c>
      <c r="AL122" s="16">
        <f t="shared" ref="AL122" ca="1" si="814">AL$412-AK$412</f>
        <v>0.10707146003859602</v>
      </c>
      <c r="AM122" s="16">
        <f t="shared" ref="AM122" ca="1" si="815">AM$412-AL$412</f>
        <v>0.10921288923936778</v>
      </c>
      <c r="AN122" s="16">
        <f t="shared" ref="AN122" ca="1" si="816">AN$412-AM$412</f>
        <v>0.11139714702415571</v>
      </c>
      <c r="AO122" s="16">
        <f t="shared" ref="AO122" ca="1" si="817">AO$412-AN$412</f>
        <v>0.11362508996463916</v>
      </c>
      <c r="AP122" s="16">
        <f t="shared" ref="AP122" ca="1" si="818">AP$412-AO$412</f>
        <v>0.11589759176393155</v>
      </c>
      <c r="AQ122" s="16">
        <f t="shared" ref="AQ122" ca="1" si="819">AQ$412-AP$412</f>
        <v>0.11821554359921027</v>
      </c>
      <c r="AR122" s="16">
        <f t="shared" ref="AR122" ca="1" si="820">AR$412-AQ$412</f>
        <v>0.12057985447119357</v>
      </c>
      <c r="AS122" s="16">
        <f t="shared" ref="AS122" ca="1" si="821">AS$412-AR$412</f>
        <v>0.12299145156061719</v>
      </c>
      <c r="AT122" s="16">
        <f t="shared" ref="AT122" ca="1" si="822">AT$412-AS$412</f>
        <v>0.12545128059183064</v>
      </c>
      <c r="AU122" s="16">
        <f t="shared" ref="AU122" ca="1" si="823">AU$412-AT$412</f>
        <v>0.12796030620366672</v>
      </c>
      <c r="AV122" s="16">
        <f t="shared" ref="AV122" ca="1" si="824">AV$412-AU$412</f>
        <v>0.13051951232774073</v>
      </c>
      <c r="AW122" s="16">
        <f t="shared" ref="AW122" ca="1" si="825">AW$412-AV$412</f>
        <v>0.13312990257429469</v>
      </c>
      <c r="AX122" s="16">
        <f t="shared" ref="AX122" ca="1" si="826">AX$412-AW$412</f>
        <v>0.13579250062578119</v>
      </c>
    </row>
    <row r="123" spans="1:50" x14ac:dyDescent="0.25">
      <c r="A123" s="11" t="s">
        <v>535</v>
      </c>
      <c r="B123" s="10" t="str">
        <f t="shared" si="755"/>
        <v>From Fiscal Forecasts</v>
      </c>
      <c r="C123" s="13"/>
      <c r="D123" s="35">
        <f>'Fiscal Forecasts'!D$114</f>
        <v>3.5999999999999997E-2</v>
      </c>
      <c r="E123" s="35">
        <f>'Fiscal Forecasts'!E$114</f>
        <v>0.108</v>
      </c>
      <c r="F123" s="35">
        <f>'Fiscal Forecasts'!F$114</f>
        <v>6.3E-2</v>
      </c>
      <c r="G123" s="35">
        <f>'Fiscal Forecasts'!G$114</f>
        <v>0.30299999999999999</v>
      </c>
      <c r="H123" s="35">
        <f>'Fiscal Forecasts'!H$114</f>
        <v>0.113</v>
      </c>
      <c r="I123" s="35">
        <f>'Fiscal Forecasts'!I$114</f>
        <v>0.30499999999999999</v>
      </c>
      <c r="J123" s="17">
        <f>'Fiscal Forecasts'!J$114</f>
        <v>0.58199999999999996</v>
      </c>
      <c r="K123" s="17">
        <f>'Fiscal Forecasts'!K$114</f>
        <v>-0.17799999999999999</v>
      </c>
      <c r="L123" s="17">
        <f>'Fiscal Forecasts'!L$114</f>
        <v>0.109</v>
      </c>
      <c r="M123" s="17">
        <f>'Fiscal Forecasts'!M$114</f>
        <v>0.107</v>
      </c>
      <c r="N123" s="17">
        <f>'Fiscal Forecasts'!N$114</f>
        <v>1.4999999999999999E-2</v>
      </c>
      <c r="O123" s="16">
        <f ca="1">O$416-N$416</f>
        <v>0.10667999999999989</v>
      </c>
      <c r="P123" s="16">
        <f t="shared" ref="P123" ca="1" si="827">P$416-O$416</f>
        <v>0.1088136000000004</v>
      </c>
      <c r="Q123" s="16">
        <f t="shared" ref="Q123" ca="1" si="828">Q$416-P$416</f>
        <v>0.11098987200000021</v>
      </c>
      <c r="R123" s="16">
        <f t="shared" ref="R123" ca="1" si="829">R$416-Q$416</f>
        <v>0.11320966943999977</v>
      </c>
      <c r="S123" s="16">
        <f t="shared" ref="S123" ca="1" si="830">S$416-R$416</f>
        <v>0.11547386282880012</v>
      </c>
      <c r="T123" s="16">
        <f t="shared" ref="T123" ca="1" si="831">T$416-S$416</f>
        <v>0.11778334008537605</v>
      </c>
      <c r="U123" s="16">
        <f t="shared" ref="U123" ca="1" si="832">U$416-T$416</f>
        <v>0.12013900688708379</v>
      </c>
      <c r="V123" s="16">
        <f t="shared" ref="V123" ca="1" si="833">V$416-U$416</f>
        <v>0.12254178702482577</v>
      </c>
      <c r="W123" s="16">
        <f t="shared" ref="W123" ca="1" si="834">W$416-V$416</f>
        <v>0.12499262276532175</v>
      </c>
      <c r="X123" s="16">
        <f t="shared" ref="X123" ca="1" si="835">X$416-W$416</f>
        <v>0.12749247522062834</v>
      </c>
      <c r="Y123" s="16">
        <f t="shared" ref="Y123" ca="1" si="836">Y$416-X$416</f>
        <v>0.13004232472504107</v>
      </c>
      <c r="Z123" s="16">
        <f t="shared" ref="Z123" ca="1" si="837">Z$416-Y$416</f>
        <v>0.1326431712195415</v>
      </c>
      <c r="AA123" s="16">
        <f t="shared" ref="AA123" ca="1" si="838">AA$416-Z$416</f>
        <v>0.13529603464393247</v>
      </c>
      <c r="AB123" s="16">
        <f t="shared" ref="AB123" ca="1" si="839">AB$416-AA$416</f>
        <v>0.13800195533681148</v>
      </c>
      <c r="AC123" s="16">
        <f t="shared" ref="AC123" ca="1" si="840">AC$416-AB$416</f>
        <v>0.14076199444354742</v>
      </c>
      <c r="AD123" s="16">
        <f t="shared" ref="AD123" ca="1" si="841">AD$416-AC$416</f>
        <v>0.14357723433241887</v>
      </c>
      <c r="AE123" s="16">
        <f t="shared" ref="AE123" ca="1" si="842">AE$416-AD$416</f>
        <v>0.14644877901906739</v>
      </c>
      <c r="AF123" s="16">
        <f t="shared" ref="AF123" ca="1" si="843">AF$416-AE$416</f>
        <v>0.14937775459944813</v>
      </c>
      <c r="AG123" s="16">
        <f t="shared" ref="AG123" ca="1" si="844">AG$416-AF$416</f>
        <v>0.15236530969143747</v>
      </c>
      <c r="AH123" s="16">
        <f t="shared" ref="AH123" ca="1" si="845">AH$416-AG$416</f>
        <v>0.15541261588526556</v>
      </c>
      <c r="AI123" s="16">
        <f t="shared" ref="AI123" ca="1" si="846">AI$416-AH$416</f>
        <v>0.15852086820297107</v>
      </c>
      <c r="AJ123" s="16">
        <f t="shared" ref="AJ123" ca="1" si="847">AJ$416-AI$416</f>
        <v>0.16169128556703072</v>
      </c>
      <c r="AK123" s="16">
        <f t="shared" ref="AK123" ca="1" si="848">AK$416-AJ$416</f>
        <v>0.16492511127837162</v>
      </c>
      <c r="AL123" s="16">
        <f t="shared" ref="AL123" ca="1" si="849">AL$416-AK$416</f>
        <v>0.16822361350393855</v>
      </c>
      <c r="AM123" s="16">
        <f t="shared" ref="AM123" ca="1" si="850">AM$416-AL$416</f>
        <v>0.17158808577401707</v>
      </c>
      <c r="AN123" s="16">
        <f t="shared" ref="AN123" ca="1" si="851">AN$416-AM$416</f>
        <v>0.17501984748949795</v>
      </c>
      <c r="AO123" s="16">
        <f t="shared" ref="AO123" ca="1" si="852">AO$416-AN$416</f>
        <v>0.17852024443928727</v>
      </c>
      <c r="AP123" s="16">
        <f t="shared" ref="AP123" ca="1" si="853">AP$416-AO$416</f>
        <v>0.18209064932807451</v>
      </c>
      <c r="AQ123" s="16">
        <f t="shared" ref="AQ123" ca="1" si="854">AQ$416-AP$416</f>
        <v>0.18573246231463436</v>
      </c>
      <c r="AR123" s="16">
        <f t="shared" ref="AR123" ca="1" si="855">AR$416-AQ$416</f>
        <v>0.18944711156092886</v>
      </c>
      <c r="AS123" s="16">
        <f t="shared" ref="AS123" ca="1" si="856">AS$416-AR$416</f>
        <v>0.1932360537921447</v>
      </c>
      <c r="AT123" s="16">
        <f t="shared" ref="AT123" ca="1" si="857">AT$416-AS$416</f>
        <v>0.19710077486798738</v>
      </c>
      <c r="AU123" s="16">
        <f t="shared" ref="AU123" ca="1" si="858">AU$416-AT$416</f>
        <v>0.20104279036534933</v>
      </c>
      <c r="AV123" s="16">
        <f t="shared" ref="AV123" ca="1" si="859">AV$416-AU$416</f>
        <v>0.20506364617265582</v>
      </c>
      <c r="AW123" s="16">
        <f t="shared" ref="AW123" ca="1" si="860">AW$416-AV$416</f>
        <v>0.2091649190961089</v>
      </c>
      <c r="AX123" s="16">
        <f t="shared" ref="AX123" ca="1" si="861">AX$416-AW$416</f>
        <v>0.2133482174780319</v>
      </c>
    </row>
    <row r="124" spans="1:50" x14ac:dyDescent="0.25">
      <c r="A124" s="11" t="s">
        <v>1063</v>
      </c>
      <c r="B124" s="10" t="str">
        <f t="shared" si="755"/>
        <v>From Fiscal Forecasts</v>
      </c>
      <c r="C124" s="13"/>
      <c r="D124" s="35">
        <f>-'Fiscal Forecasts'!D$115</f>
        <v>9.7000000000000003E-2</v>
      </c>
      <c r="E124" s="35">
        <f>-'Fiscal Forecasts'!E$115</f>
        <v>6.8000000000000005E-2</v>
      </c>
      <c r="F124" s="35">
        <f>-'Fiscal Forecasts'!F$115</f>
        <v>-0.04</v>
      </c>
      <c r="G124" s="35">
        <f>-'Fiscal Forecasts'!G$115</f>
        <v>0.81899999999999995</v>
      </c>
      <c r="H124" s="35">
        <f>-'Fiscal Forecasts'!H$115</f>
        <v>0.24399999999999999</v>
      </c>
      <c r="I124" s="35">
        <f>-'Fiscal Forecasts'!I$115</f>
        <v>-0.158</v>
      </c>
      <c r="J124" s="17">
        <f>-'Fiscal Forecasts'!J$115</f>
        <v>0.183</v>
      </c>
      <c r="K124" s="17">
        <f>-'Fiscal Forecasts'!K$115</f>
        <v>7.0000000000000001E-3</v>
      </c>
      <c r="L124" s="17">
        <f>-'Fiscal Forecasts'!L$115</f>
        <v>9.0999999999999998E-2</v>
      </c>
      <c r="M124" s="17">
        <f>-'Fiscal Forecasts'!M$115</f>
        <v>2.4E-2</v>
      </c>
      <c r="N124" s="17">
        <f>-'Fiscal Forecasts'!N$115</f>
        <v>6.4000000000000001E-2</v>
      </c>
      <c r="O124" s="16">
        <f ca="1">O$445-N$445</f>
        <v>0.17458000000000018</v>
      </c>
      <c r="P124" s="16">
        <f t="shared" ref="P124" ca="1" si="862">P$445-O$445</f>
        <v>0.17807160000000044</v>
      </c>
      <c r="Q124" s="16">
        <f t="shared" ref="Q124" ca="1" si="863">Q$445-P$445</f>
        <v>0.18163303199999969</v>
      </c>
      <c r="R124" s="16">
        <f t="shared" ref="R124" ca="1" si="864">R$445-Q$445</f>
        <v>0.18526569263999981</v>
      </c>
      <c r="S124" s="16">
        <f t="shared" ref="S124" ca="1" si="865">S$445-R$445</f>
        <v>0.18897100649280052</v>
      </c>
      <c r="T124" s="16">
        <f t="shared" ref="T124" ca="1" si="866">T$445-S$445</f>
        <v>0.19275042662265562</v>
      </c>
      <c r="U124" s="16">
        <f t="shared" ref="U124" ca="1" si="867">U$445-T$445</f>
        <v>0.1966054351551092</v>
      </c>
      <c r="V124" s="16">
        <f t="shared" ref="V124" ca="1" si="868">V$445-U$445</f>
        <v>0.20053754385821243</v>
      </c>
      <c r="W124" s="16">
        <f t="shared" ref="W124" ca="1" si="869">W$445-V$445</f>
        <v>0.20454829473537561</v>
      </c>
      <c r="X124" s="16">
        <f t="shared" ref="X124" ca="1" si="870">X$445-W$445</f>
        <v>0.20863926063008353</v>
      </c>
      <c r="Y124" s="16">
        <f t="shared" ref="Y124" ca="1" si="871">Y$445-X$445</f>
        <v>0.21281204584268476</v>
      </c>
      <c r="Z124" s="16">
        <f t="shared" ref="Z124" ca="1" si="872">Z$445-Y$445</f>
        <v>0.21706828675953815</v>
      </c>
      <c r="AA124" s="16">
        <f t="shared" ref="AA124" ca="1" si="873">AA$445-Z$445</f>
        <v>0.22140965249472977</v>
      </c>
      <c r="AB124" s="16">
        <f t="shared" ref="AB124" ca="1" si="874">AB$445-AA$445</f>
        <v>0.22583784554462483</v>
      </c>
      <c r="AC124" s="16">
        <f t="shared" ref="AC124" ca="1" si="875">AC$445-AB$445</f>
        <v>0.23035460245551675</v>
      </c>
      <c r="AD124" s="16">
        <f t="shared" ref="AD124" ca="1" si="876">AD$445-AC$445</f>
        <v>0.23496169450462734</v>
      </c>
      <c r="AE124" s="16">
        <f t="shared" ref="AE124" ca="1" si="877">AE$445-AD$445</f>
        <v>0.23966092839471997</v>
      </c>
      <c r="AF124" s="16">
        <f t="shared" ref="AF124" ca="1" si="878">AF$445-AE$445</f>
        <v>0.24445414696261381</v>
      </c>
      <c r="AG124" s="16">
        <f t="shared" ref="AG124" ca="1" si="879">AG$445-AF$445</f>
        <v>0.24934322990186697</v>
      </c>
      <c r="AH124" s="16">
        <f t="shared" ref="AH124" ca="1" si="880">AH$445-AG$445</f>
        <v>0.25433009449990429</v>
      </c>
      <c r="AI124" s="16">
        <f t="shared" ref="AI124" ca="1" si="881">AI$445-AH$445</f>
        <v>0.25941669638990206</v>
      </c>
      <c r="AJ124" s="16">
        <f t="shared" ref="AJ124" ca="1" si="882">AJ$445-AI$445</f>
        <v>0.26460503031769989</v>
      </c>
      <c r="AK124" s="16">
        <f t="shared" ref="AK124" ca="1" si="883">AK$445-AJ$445</f>
        <v>0.2698971309240541</v>
      </c>
      <c r="AL124" s="16">
        <f t="shared" ref="AL124" ca="1" si="884">AL$445-AK$445</f>
        <v>0.27529507354253546</v>
      </c>
      <c r="AM124" s="16">
        <f t="shared" ref="AM124" ca="1" si="885">AM$445-AL$445</f>
        <v>0.28080097501338486</v>
      </c>
      <c r="AN124" s="16">
        <f t="shared" ref="AN124" ca="1" si="886">AN$445-AM$445</f>
        <v>0.28641699451365277</v>
      </c>
      <c r="AO124" s="16">
        <f t="shared" ref="AO124" ca="1" si="887">AO$445-AN$445</f>
        <v>0.29214533440392643</v>
      </c>
      <c r="AP124" s="16">
        <f t="shared" ref="AP124" ca="1" si="888">AP$445-AO$445</f>
        <v>0.29798824109200694</v>
      </c>
      <c r="AQ124" s="16">
        <f t="shared" ref="AQ124" ca="1" si="889">AQ$445-AP$445</f>
        <v>0.30394800591384374</v>
      </c>
      <c r="AR124" s="16">
        <f t="shared" ref="AR124" ca="1" si="890">AR$445-AQ$445</f>
        <v>0.31002696603212243</v>
      </c>
      <c r="AS124" s="16">
        <f t="shared" ref="AS124" ca="1" si="891">AS$445-AR$445</f>
        <v>0.3162275053527619</v>
      </c>
      <c r="AT124" s="16">
        <f t="shared" ref="AT124" ca="1" si="892">AT$445-AS$445</f>
        <v>0.32255205545981802</v>
      </c>
      <c r="AU124" s="16">
        <f t="shared" ref="AU124" ca="1" si="893">AU$445-AT$445</f>
        <v>0.32900309656901605</v>
      </c>
      <c r="AV124" s="16">
        <f t="shared" ref="AV124" ca="1" si="894">AV$445-AU$445</f>
        <v>0.33558315850039655</v>
      </c>
      <c r="AW124" s="16">
        <f t="shared" ref="AW124" ca="1" si="895">AW$445-AV$445</f>
        <v>0.34229482167040359</v>
      </c>
      <c r="AX124" s="16">
        <f t="shared" ref="AX124" ca="1" si="896">AX$445-AW$445</f>
        <v>0.34914071810381309</v>
      </c>
    </row>
    <row r="125" spans="1:50" x14ac:dyDescent="0.25">
      <c r="A125" s="11" t="s">
        <v>1064</v>
      </c>
      <c r="B125" s="10" t="str">
        <f t="shared" si="755"/>
        <v>From Fiscal Forecasts</v>
      </c>
      <c r="C125" s="13"/>
      <c r="D125" s="35">
        <f>-'Fiscal Forecasts'!D$116</f>
        <v>2.5710000000000002</v>
      </c>
      <c r="E125" s="35">
        <f>-'Fiscal Forecasts'!E$116</f>
        <v>0.95599999999999996</v>
      </c>
      <c r="F125" s="35">
        <f>-'Fiscal Forecasts'!F$116</f>
        <v>1.8320000000000001</v>
      </c>
      <c r="G125" s="35">
        <f>-'Fiscal Forecasts'!G$116</f>
        <v>1.849</v>
      </c>
      <c r="H125" s="35">
        <f>-'Fiscal Forecasts'!H$116</f>
        <v>3.2770000000000001</v>
      </c>
      <c r="I125" s="35">
        <f>-'Fiscal Forecasts'!I$116</f>
        <v>1.3859999999999999</v>
      </c>
      <c r="J125" s="17">
        <f>-'Fiscal Forecasts'!J$116</f>
        <v>-3.661</v>
      </c>
      <c r="K125" s="17">
        <f>-'Fiscal Forecasts'!K$116</f>
        <v>-0.70799999999999996</v>
      </c>
      <c r="L125" s="17">
        <f>-'Fiscal Forecasts'!L$116</f>
        <v>-0.61799999999999999</v>
      </c>
      <c r="M125" s="17">
        <f>-'Fiscal Forecasts'!M$116</f>
        <v>-0.40500000000000003</v>
      </c>
      <c r="N125" s="17">
        <f>-'Fiscal Forecasts'!N$116</f>
        <v>8.1000000000000003E-2</v>
      </c>
      <c r="O125" s="16">
        <f ca="1">SUM(O$441-N$441,O$466-N$466)</f>
        <v>3.718791663911027</v>
      </c>
      <c r="P125" s="16">
        <f t="shared" ref="P125" ca="1" si="897">SUM(P$441-O$441,P$466-O$466)</f>
        <v>1.2797699340212745</v>
      </c>
      <c r="Q125" s="16">
        <f t="shared" ref="Q125" ca="1" si="898">SUM(Q$441-P$441,Q$466-P$466)</f>
        <v>1.3151647248139184</v>
      </c>
      <c r="R125" s="16">
        <f t="shared" ref="R125" ca="1" si="899">SUM(R$441-Q$441,R$466-Q$466)</f>
        <v>1.3409838115198305</v>
      </c>
      <c r="S125" s="16">
        <f t="shared" ref="S125" ca="1" si="900">SUM(S$441-R$441,S$466-R$466)</f>
        <v>1.3767502621035916</v>
      </c>
      <c r="T125" s="16">
        <f t="shared" ref="T125" ca="1" si="901">SUM(T$441-S$441,T$466-S$466)</f>
        <v>1.41377593063498</v>
      </c>
      <c r="U125" s="16">
        <f t="shared" ref="U125" ca="1" si="902">SUM(U$441-T$441,U$466-T$466)</f>
        <v>1.451731324753986</v>
      </c>
      <c r="V125" s="16">
        <f t="shared" ref="V125" ca="1" si="903">SUM(V$441-U$441,V$466-U$466)</f>
        <v>1.4918287672580881</v>
      </c>
      <c r="W125" s="16">
        <f t="shared" ref="W125" ca="1" si="904">SUM(W$441-V$441,W$466-V$466)</f>
        <v>1.5329383227687678</v>
      </c>
      <c r="X125" s="16">
        <f t="shared" ref="X125" ca="1" si="905">SUM(X$441-W$441,X$466-W$466)</f>
        <v>1.5781866588582147</v>
      </c>
      <c r="Y125" s="16">
        <f t="shared" ref="Y125" ca="1" si="906">SUM(Y$441-X$441,Y$466-X$466)</f>
        <v>1.6298801328271821</v>
      </c>
      <c r="Z125" s="16">
        <f t="shared" ref="Z125" ca="1" si="907">SUM(Z$441-Y$441,Z$466-Y$466)</f>
        <v>1.6855814794021633</v>
      </c>
      <c r="AA125" s="16">
        <f t="shared" ref="AA125" ca="1" si="908">SUM(AA$441-Z$441,AA$466-Z$466)</f>
        <v>1.7452989710194622</v>
      </c>
      <c r="AB125" s="16">
        <f t="shared" ref="AB125" ca="1" si="909">SUM(AB$441-AA$441,AB$466-AA$466)</f>
        <v>1.8080945817768779</v>
      </c>
      <c r="AC125" s="16">
        <f t="shared" ref="AC125" ca="1" si="910">SUM(AC$441-AB$441,AC$466-AB$466)</f>
        <v>1.8715373588186175</v>
      </c>
      <c r="AD125" s="16">
        <f t="shared" ref="AD125" ca="1" si="911">SUM(AD$441-AC$441,AD$466-AC$466)</f>
        <v>1.9352517398477396</v>
      </c>
      <c r="AE125" s="16">
        <f t="shared" ref="AE125" ca="1" si="912">SUM(AE$441-AD$441,AE$466-AD$466)</f>
        <v>1.9997267162209056</v>
      </c>
      <c r="AF125" s="16">
        <f t="shared" ref="AF125" ca="1" si="913">SUM(AF$441-AE$441,AF$466-AE$466)</f>
        <v>2.0647888432655428</v>
      </c>
      <c r="AG125" s="16">
        <f t="shared" ref="AG125" ca="1" si="914">SUM(AG$441-AF$441,AG$466-AF$466)</f>
        <v>2.1294734490347231</v>
      </c>
      <c r="AH125" s="16">
        <f t="shared" ref="AH125" ca="1" si="915">SUM(AH$441-AG$441,AH$466-AG$466)</f>
        <v>2.1942639744422223</v>
      </c>
      <c r="AI125" s="16">
        <f t="shared" ref="AI125" ca="1" si="916">SUM(AI$441-AH$441,AI$466-AH$466)</f>
        <v>2.2593957238502753</v>
      </c>
      <c r="AJ125" s="16">
        <f t="shared" ref="AJ125" ca="1" si="917">SUM(AJ$441-AI$441,AJ$466-AI$466)</f>
        <v>2.3249725174092077</v>
      </c>
      <c r="AK125" s="16">
        <f t="shared" ref="AK125" ca="1" si="918">SUM(AK$441-AJ$441,AK$466-AJ$466)</f>
        <v>2.3864371227737848</v>
      </c>
      <c r="AL125" s="16">
        <f t="shared" ref="AL125" ca="1" si="919">SUM(AL$441-AK$441,AL$466-AK$466)</f>
        <v>2.4451712916237973</v>
      </c>
      <c r="AM125" s="16">
        <f t="shared" ref="AM125" ca="1" si="920">SUM(AM$441-AL$441,AM$466-AL$466)</f>
        <v>2.5030981073196692</v>
      </c>
      <c r="AN125" s="16">
        <f t="shared" ref="AN125" ca="1" si="921">SUM(AN$441-AM$441,AN$466-AM$466)</f>
        <v>2.557000383131669</v>
      </c>
      <c r="AO125" s="16">
        <f t="shared" ref="AO125" ca="1" si="922">SUM(AO$441-AN$441,AO$466-AN$466)</f>
        <v>2.608769067841898</v>
      </c>
      <c r="AP125" s="16">
        <f t="shared" ref="AP125" ca="1" si="923">SUM(AP$441-AO$441,AP$466-AO$466)</f>
        <v>2.6626158009792142</v>
      </c>
      <c r="AQ125" s="16">
        <f t="shared" ref="AQ125" ca="1" si="924">SUM(AQ$441-AP$441,AQ$466-AP$466)</f>
        <v>2.7188540628463116</v>
      </c>
      <c r="AR125" s="16">
        <f t="shared" ref="AR125" ca="1" si="925">SUM(AR$441-AQ$441,AR$466-AQ$466)</f>
        <v>2.7806007567763658</v>
      </c>
      <c r="AS125" s="16">
        <f t="shared" ref="AS125" ca="1" si="926">SUM(AS$441-AR$441,AS$466-AR$466)</f>
        <v>2.8440239159997205</v>
      </c>
      <c r="AT125" s="16">
        <f t="shared" ref="AT125" ca="1" si="927">SUM(AT$441-AS$441,AT$466-AS$466)</f>
        <v>2.9129838434082984</v>
      </c>
      <c r="AU125" s="16">
        <f t="shared" ref="AU125" ca="1" si="928">SUM(AU$441-AT$441,AU$466-AT$466)</f>
        <v>2.9848680368020126</v>
      </c>
      <c r="AV125" s="16">
        <f t="shared" ref="AV125" ca="1" si="929">SUM(AV$441-AU$441,AV$466-AU$466)</f>
        <v>3.061079608421899</v>
      </c>
      <c r="AW125" s="16">
        <f t="shared" ref="AW125" ca="1" si="930">SUM(AW$441-AV$441,AW$466-AV$466)</f>
        <v>3.1423872223930047</v>
      </c>
      <c r="AX125" s="16">
        <f t="shared" ref="AX125" ca="1" si="931">SUM(AX$441-AW$441,AX$466-AW$466)</f>
        <v>3.2198351232098403</v>
      </c>
    </row>
    <row r="126" spans="1:50" x14ac:dyDescent="0.25">
      <c r="A126" s="9" t="s">
        <v>538</v>
      </c>
      <c r="B126" s="9"/>
      <c r="C126" s="13"/>
      <c r="D126" s="64">
        <f t="shared" ref="D126:AX126" si="932">SUM(D$120:D$123)-SUM(D$124:D$125)</f>
        <v>1.7679999999999989</v>
      </c>
      <c r="E126" s="64">
        <f t="shared" si="932"/>
        <v>-1.0000000000000009E-2</v>
      </c>
      <c r="F126" s="64">
        <f t="shared" si="932"/>
        <v>1.2990000000000002</v>
      </c>
      <c r="G126" s="64">
        <f t="shared" si="932"/>
        <v>3.7329999999999997</v>
      </c>
      <c r="H126" s="64">
        <f t="shared" si="932"/>
        <v>-2.0969999999999995</v>
      </c>
      <c r="I126" s="64">
        <f t="shared" si="932"/>
        <v>2.4130000000000003</v>
      </c>
      <c r="J126" s="65">
        <f t="shared" si="932"/>
        <v>0.99399999999999977</v>
      </c>
      <c r="K126" s="65">
        <f t="shared" si="932"/>
        <v>0.95400000000000018</v>
      </c>
      <c r="L126" s="65">
        <f t="shared" si="932"/>
        <v>0.60099999999999998</v>
      </c>
      <c r="M126" s="65">
        <f t="shared" si="932"/>
        <v>1.262</v>
      </c>
      <c r="N126" s="65">
        <f t="shared" si="932"/>
        <v>1.2849999999999999</v>
      </c>
      <c r="O126" s="88">
        <f t="shared" ca="1" si="932"/>
        <v>0.89558055796836156</v>
      </c>
      <c r="P126" s="88">
        <f t="shared" ca="1" si="932"/>
        <v>0.97678071115471976</v>
      </c>
      <c r="Q126" s="88">
        <f t="shared" ca="1" si="932"/>
        <v>1.0180633467323283</v>
      </c>
      <c r="R126" s="88">
        <f t="shared" ca="1" si="932"/>
        <v>1.0408721011557533</v>
      </c>
      <c r="S126" s="88">
        <f t="shared" ca="1" si="932"/>
        <v>1.07899735285481</v>
      </c>
      <c r="T126" s="88">
        <f t="shared" ca="1" si="932"/>
        <v>1.1136615807222126</v>
      </c>
      <c r="U126" s="88">
        <f t="shared" ca="1" si="932"/>
        <v>1.1454969954967349</v>
      </c>
      <c r="V126" s="88">
        <f t="shared" ca="1" si="932"/>
        <v>1.1740138902869894</v>
      </c>
      <c r="W126" s="88">
        <f t="shared" ca="1" si="932"/>
        <v>1.1986632242422703</v>
      </c>
      <c r="X126" s="88">
        <f t="shared" ca="1" si="932"/>
        <v>1.2248636643862385</v>
      </c>
      <c r="Y126" s="88">
        <f t="shared" ca="1" si="932"/>
        <v>1.2551146278282763</v>
      </c>
      <c r="Z126" s="88">
        <f t="shared" ca="1" si="932"/>
        <v>1.285559796101186</v>
      </c>
      <c r="AA126" s="88">
        <f t="shared" ca="1" si="932"/>
        <v>1.3193468841893674</v>
      </c>
      <c r="AB126" s="88">
        <f t="shared" ca="1" si="932"/>
        <v>1.3526993312389948</v>
      </c>
      <c r="AC126" s="88">
        <f t="shared" ca="1" si="932"/>
        <v>1.3865344231885084</v>
      </c>
      <c r="AD126" s="88">
        <f t="shared" ca="1" si="932"/>
        <v>1.4215424277087694</v>
      </c>
      <c r="AE126" s="88">
        <f t="shared" ca="1" si="932"/>
        <v>1.4570512616184299</v>
      </c>
      <c r="AF126" s="88">
        <f t="shared" ca="1" si="932"/>
        <v>1.493515378377805</v>
      </c>
      <c r="AG126" s="88">
        <f t="shared" ca="1" si="932"/>
        <v>1.5308555126762466</v>
      </c>
      <c r="AH126" s="88">
        <f t="shared" ca="1" si="932"/>
        <v>1.5685699099281747</v>
      </c>
      <c r="AI126" s="88">
        <f t="shared" ca="1" si="932"/>
        <v>1.6081045090434429</v>
      </c>
      <c r="AJ126" s="88">
        <f t="shared" ca="1" si="932"/>
        <v>1.6497535445688518</v>
      </c>
      <c r="AK126" s="88">
        <f t="shared" ca="1" si="932"/>
        <v>1.6912082195005107</v>
      </c>
      <c r="AL126" s="88">
        <f t="shared" ca="1" si="932"/>
        <v>1.735385213073906</v>
      </c>
      <c r="AM126" s="88">
        <f t="shared" ca="1" si="932"/>
        <v>1.7822366905445568</v>
      </c>
      <c r="AN126" s="88">
        <f t="shared" ca="1" si="932"/>
        <v>1.8157266925693794</v>
      </c>
      <c r="AO126" s="88">
        <f t="shared" ca="1" si="932"/>
        <v>1.83731188760032</v>
      </c>
      <c r="AP126" s="88">
        <f t="shared" ca="1" si="932"/>
        <v>1.8686819395849703</v>
      </c>
      <c r="AQ126" s="88">
        <f t="shared" ca="1" si="932"/>
        <v>1.9016222277676569</v>
      </c>
      <c r="AR126" s="88">
        <f t="shared" ca="1" si="932"/>
        <v>1.9372273091457357</v>
      </c>
      <c r="AS126" s="88">
        <f t="shared" ca="1" si="932"/>
        <v>1.9729813571557431</v>
      </c>
      <c r="AT126" s="88">
        <f t="shared" ca="1" si="932"/>
        <v>2.0114954098093305</v>
      </c>
      <c r="AU126" s="88">
        <f t="shared" ca="1" si="932"/>
        <v>2.0481757619668857</v>
      </c>
      <c r="AV126" s="88">
        <f t="shared" ca="1" si="932"/>
        <v>2.0874133216615611</v>
      </c>
      <c r="AW126" s="88">
        <f t="shared" ca="1" si="932"/>
        <v>2.126366990453965</v>
      </c>
      <c r="AX126" s="88">
        <f t="shared" ca="1" si="932"/>
        <v>2.1792785717409684</v>
      </c>
    </row>
    <row r="127" spans="1:50" x14ac:dyDescent="0.25">
      <c r="A127" s="9" t="s">
        <v>1039</v>
      </c>
      <c r="B127" s="9"/>
      <c r="C127" s="13"/>
      <c r="D127" s="64">
        <f t="shared" ref="D127:AX127" si="933">SUM(D$98,D$111,D$119,D$126)</f>
        <v>0.38899999999999846</v>
      </c>
      <c r="E127" s="64">
        <f t="shared" si="933"/>
        <v>-30.040000000000003</v>
      </c>
      <c r="F127" s="64">
        <f t="shared" si="933"/>
        <v>16.159000000000013</v>
      </c>
      <c r="G127" s="64">
        <f t="shared" si="933"/>
        <v>-16.932000000000009</v>
      </c>
      <c r="H127" s="64">
        <f t="shared" si="933"/>
        <v>5.3209999999999802</v>
      </c>
      <c r="I127" s="64">
        <f t="shared" si="933"/>
        <v>-8.3650000000000375</v>
      </c>
      <c r="J127" s="65">
        <f t="shared" si="933"/>
        <v>-5.4930000000000057</v>
      </c>
      <c r="K127" s="65">
        <f t="shared" si="933"/>
        <v>-9.8839999999999826</v>
      </c>
      <c r="L127" s="65">
        <f t="shared" si="933"/>
        <v>-5.6649999999999565</v>
      </c>
      <c r="M127" s="65">
        <f t="shared" si="933"/>
        <v>-3.900000000003212E-2</v>
      </c>
      <c r="N127" s="65">
        <f t="shared" si="933"/>
        <v>4.0710000000000068</v>
      </c>
      <c r="O127" s="88">
        <f t="shared" ca="1" si="933"/>
        <v>1.4554328406751806</v>
      </c>
      <c r="P127" s="88">
        <f t="shared" ca="1" si="933"/>
        <v>-0.76259537094630314</v>
      </c>
      <c r="Q127" s="88">
        <f t="shared" ca="1" si="933"/>
        <v>-3.1810018177971364</v>
      </c>
      <c r="R127" s="88">
        <f t="shared" ca="1" si="933"/>
        <v>-5.9164220747614502</v>
      </c>
      <c r="S127" s="88">
        <f t="shared" ca="1" si="933"/>
        <v>-8.5780816107197122</v>
      </c>
      <c r="T127" s="88">
        <f t="shared" ca="1" si="933"/>
        <v>-10.940382545511259</v>
      </c>
      <c r="U127" s="88">
        <f t="shared" ca="1" si="933"/>
        <v>-12.375047504974711</v>
      </c>
      <c r="V127" s="88">
        <f t="shared" ca="1" si="933"/>
        <v>-13.985436381947295</v>
      </c>
      <c r="W127" s="88">
        <f t="shared" ca="1" si="933"/>
        <v>-16.003459037138292</v>
      </c>
      <c r="X127" s="88">
        <f t="shared" ca="1" si="933"/>
        <v>-18.263142394653091</v>
      </c>
      <c r="Y127" s="88">
        <f t="shared" ca="1" si="933"/>
        <v>-20.845770263157839</v>
      </c>
      <c r="Z127" s="88">
        <f t="shared" ca="1" si="933"/>
        <v>-23.580619956712702</v>
      </c>
      <c r="AA127" s="88">
        <f t="shared" ca="1" si="933"/>
        <v>-26.504653140934945</v>
      </c>
      <c r="AB127" s="88">
        <f t="shared" ca="1" si="933"/>
        <v>-29.572118763595199</v>
      </c>
      <c r="AC127" s="88">
        <f t="shared" ca="1" si="933"/>
        <v>-32.905860050351578</v>
      </c>
      <c r="AD127" s="88">
        <f t="shared" ca="1" si="933"/>
        <v>-36.507012234162502</v>
      </c>
      <c r="AE127" s="88">
        <f t="shared" ca="1" si="933"/>
        <v>-40.470406177329856</v>
      </c>
      <c r="AF127" s="88">
        <f t="shared" ca="1" si="933"/>
        <v>-44.734134184358659</v>
      </c>
      <c r="AG127" s="88">
        <f t="shared" ca="1" si="933"/>
        <v>-49.484127920227643</v>
      </c>
      <c r="AH127" s="88">
        <f t="shared" ca="1" si="933"/>
        <v>-54.704464360362323</v>
      </c>
      <c r="AI127" s="88">
        <f t="shared" ca="1" si="933"/>
        <v>-60.312995016958297</v>
      </c>
      <c r="AJ127" s="88">
        <f t="shared" ca="1" si="933"/>
        <v>-66.397630398536364</v>
      </c>
      <c r="AK127" s="88">
        <f t="shared" ca="1" si="933"/>
        <v>-73.203431765584938</v>
      </c>
      <c r="AL127" s="88">
        <f t="shared" ca="1" si="933"/>
        <v>-80.537149169486796</v>
      </c>
      <c r="AM127" s="88">
        <f t="shared" ca="1" si="933"/>
        <v>-88.550274466363078</v>
      </c>
      <c r="AN127" s="88">
        <f t="shared" ca="1" si="933"/>
        <v>-97.456734112569734</v>
      </c>
      <c r="AO127" s="88">
        <f t="shared" ca="1" si="933"/>
        <v>-107.01196144262033</v>
      </c>
      <c r="AP127" s="88">
        <f t="shared" ca="1" si="933"/>
        <v>-117.2590299059776</v>
      </c>
      <c r="AQ127" s="88">
        <f t="shared" ca="1" si="933"/>
        <v>-128.28966535639077</v>
      </c>
      <c r="AR127" s="88">
        <f t="shared" ca="1" si="933"/>
        <v>-139.9432607562307</v>
      </c>
      <c r="AS127" s="88">
        <f t="shared" ca="1" si="933"/>
        <v>-152.39775173229907</v>
      </c>
      <c r="AT127" s="88">
        <f t="shared" ca="1" si="933"/>
        <v>-165.57227017056832</v>
      </c>
      <c r="AU127" s="88">
        <f t="shared" ca="1" si="933"/>
        <v>-179.57522678760824</v>
      </c>
      <c r="AV127" s="88">
        <f t="shared" ca="1" si="933"/>
        <v>-194.50525487505186</v>
      </c>
      <c r="AW127" s="88">
        <f t="shared" ca="1" si="933"/>
        <v>-210.30204416923476</v>
      </c>
      <c r="AX127" s="88">
        <f t="shared" ca="1" si="933"/>
        <v>-227.3142750704499</v>
      </c>
    </row>
    <row r="128" spans="1:50" x14ac:dyDescent="0.25">
      <c r="A128" s="55" t="s">
        <v>1057</v>
      </c>
      <c r="B128" s="9"/>
      <c r="C128" s="13"/>
      <c r="D128" s="87" t="str">
        <f t="shared" ref="D128:AX128" ca="1" si="934">IF(ROUND(D$39-D$127,3)=0,"OK","ERROR")</f>
        <v>OK</v>
      </c>
      <c r="E128" s="87" t="str">
        <f t="shared" ca="1" si="934"/>
        <v>OK</v>
      </c>
      <c r="F128" s="87" t="str">
        <f t="shared" ca="1" si="934"/>
        <v>OK</v>
      </c>
      <c r="G128" s="87" t="str">
        <f t="shared" ca="1" si="934"/>
        <v>OK</v>
      </c>
      <c r="H128" s="87" t="str">
        <f t="shared" ca="1" si="934"/>
        <v>OK</v>
      </c>
      <c r="I128" s="87" t="str">
        <f t="shared" ca="1" si="934"/>
        <v>OK</v>
      </c>
      <c r="J128" s="87" t="str">
        <f t="shared" ca="1" si="934"/>
        <v>OK</v>
      </c>
      <c r="K128" s="87" t="str">
        <f t="shared" ca="1" si="934"/>
        <v>OK</v>
      </c>
      <c r="L128" s="87" t="str">
        <f t="shared" ca="1" si="934"/>
        <v>OK</v>
      </c>
      <c r="M128" s="87" t="str">
        <f t="shared" ca="1" si="934"/>
        <v>OK</v>
      </c>
      <c r="N128" s="87" t="str">
        <f t="shared" ca="1" si="934"/>
        <v>OK</v>
      </c>
      <c r="O128" s="87" t="str">
        <f t="shared" ca="1" si="934"/>
        <v>OK</v>
      </c>
      <c r="P128" s="87" t="str">
        <f t="shared" ca="1" si="934"/>
        <v>OK</v>
      </c>
      <c r="Q128" s="87" t="str">
        <f t="shared" ca="1" si="934"/>
        <v>OK</v>
      </c>
      <c r="R128" s="87" t="str">
        <f t="shared" ca="1" si="934"/>
        <v>OK</v>
      </c>
      <c r="S128" s="87" t="str">
        <f t="shared" ca="1" si="934"/>
        <v>OK</v>
      </c>
      <c r="T128" s="87" t="str">
        <f t="shared" ca="1" si="934"/>
        <v>OK</v>
      </c>
      <c r="U128" s="87" t="str">
        <f t="shared" ca="1" si="934"/>
        <v>OK</v>
      </c>
      <c r="V128" s="87" t="str">
        <f t="shared" ca="1" si="934"/>
        <v>OK</v>
      </c>
      <c r="W128" s="87" t="str">
        <f t="shared" ca="1" si="934"/>
        <v>OK</v>
      </c>
      <c r="X128" s="87" t="str">
        <f t="shared" ca="1" si="934"/>
        <v>OK</v>
      </c>
      <c r="Y128" s="87" t="str">
        <f t="shared" ca="1" si="934"/>
        <v>OK</v>
      </c>
      <c r="Z128" s="87" t="str">
        <f t="shared" ca="1" si="934"/>
        <v>OK</v>
      </c>
      <c r="AA128" s="87" t="str">
        <f t="shared" ca="1" si="934"/>
        <v>OK</v>
      </c>
      <c r="AB128" s="87" t="str">
        <f t="shared" ca="1" si="934"/>
        <v>OK</v>
      </c>
      <c r="AC128" s="87" t="str">
        <f t="shared" ca="1" si="934"/>
        <v>OK</v>
      </c>
      <c r="AD128" s="87" t="str">
        <f t="shared" ca="1" si="934"/>
        <v>OK</v>
      </c>
      <c r="AE128" s="87" t="str">
        <f t="shared" ca="1" si="934"/>
        <v>OK</v>
      </c>
      <c r="AF128" s="87" t="str">
        <f t="shared" ca="1" si="934"/>
        <v>OK</v>
      </c>
      <c r="AG128" s="87" t="str">
        <f t="shared" ca="1" si="934"/>
        <v>OK</v>
      </c>
      <c r="AH128" s="87" t="str">
        <f t="shared" ca="1" si="934"/>
        <v>OK</v>
      </c>
      <c r="AI128" s="87" t="str">
        <f t="shared" ca="1" si="934"/>
        <v>OK</v>
      </c>
      <c r="AJ128" s="87" t="str">
        <f t="shared" ca="1" si="934"/>
        <v>OK</v>
      </c>
      <c r="AK128" s="87" t="str">
        <f t="shared" ca="1" si="934"/>
        <v>OK</v>
      </c>
      <c r="AL128" s="87" t="str">
        <f t="shared" ca="1" si="934"/>
        <v>OK</v>
      </c>
      <c r="AM128" s="87" t="str">
        <f t="shared" ca="1" si="934"/>
        <v>OK</v>
      </c>
      <c r="AN128" s="87" t="str">
        <f t="shared" ca="1" si="934"/>
        <v>OK</v>
      </c>
      <c r="AO128" s="87" t="str">
        <f t="shared" ca="1" si="934"/>
        <v>OK</v>
      </c>
      <c r="AP128" s="87" t="str">
        <f t="shared" ca="1" si="934"/>
        <v>OK</v>
      </c>
      <c r="AQ128" s="87" t="str">
        <f t="shared" ca="1" si="934"/>
        <v>OK</v>
      </c>
      <c r="AR128" s="87" t="str">
        <f t="shared" ca="1" si="934"/>
        <v>OK</v>
      </c>
      <c r="AS128" s="87" t="str">
        <f t="shared" ca="1" si="934"/>
        <v>OK</v>
      </c>
      <c r="AT128" s="87" t="str">
        <f t="shared" ca="1" si="934"/>
        <v>OK</v>
      </c>
      <c r="AU128" s="87" t="str">
        <f t="shared" ca="1" si="934"/>
        <v>OK</v>
      </c>
      <c r="AV128" s="87" t="str">
        <f t="shared" ca="1" si="934"/>
        <v>OK</v>
      </c>
      <c r="AW128" s="87" t="str">
        <f t="shared" ca="1" si="934"/>
        <v>OK</v>
      </c>
      <c r="AX128" s="87" t="str">
        <f t="shared" ca="1" si="934"/>
        <v>OK</v>
      </c>
    </row>
    <row r="129" spans="1:50" x14ac:dyDescent="0.25">
      <c r="A129" s="9"/>
      <c r="B129" s="9"/>
      <c r="C129" s="13"/>
      <c r="D129" s="36"/>
      <c r="E129" s="36"/>
      <c r="F129" s="36"/>
      <c r="G129" s="36"/>
      <c r="H129" s="36"/>
      <c r="I129" s="36"/>
      <c r="J129" s="19"/>
      <c r="K129" s="19"/>
      <c r="L129" s="19"/>
      <c r="M129" s="19"/>
      <c r="N129" s="19"/>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row>
    <row r="130" spans="1:50" x14ac:dyDescent="0.25">
      <c r="A130" s="12" t="s">
        <v>768</v>
      </c>
      <c r="B130" s="9"/>
      <c r="C130" s="13"/>
      <c r="D130" s="40"/>
      <c r="E130" s="40"/>
      <c r="F130" s="40"/>
      <c r="G130" s="40"/>
      <c r="H130" s="40"/>
      <c r="I130" s="40"/>
    </row>
    <row r="131" spans="1:50" x14ac:dyDescent="0.25">
      <c r="A131" s="9" t="s">
        <v>617</v>
      </c>
      <c r="B131" s="9"/>
      <c r="C131" s="13"/>
      <c r="D131" s="40"/>
      <c r="E131" s="40"/>
      <c r="F131" s="40"/>
      <c r="G131" s="40"/>
      <c r="H131" s="40"/>
      <c r="I131" s="40"/>
    </row>
    <row r="132" spans="1:50" x14ac:dyDescent="0.25">
      <c r="A132" s="11" t="s">
        <v>769</v>
      </c>
      <c r="B132" s="10" t="str">
        <f>$B$38</f>
        <v>From Fiscal Forecasts</v>
      </c>
      <c r="C132" s="13"/>
      <c r="D132" s="35">
        <f>'Fiscal Forecasts'!D$220</f>
        <v>32.878999999999998</v>
      </c>
      <c r="E132" s="35">
        <f>'Fiscal Forecasts'!E$220</f>
        <v>34.963000000000001</v>
      </c>
      <c r="F132" s="35">
        <f>'Fiscal Forecasts'!F$220</f>
        <v>38.164000000000001</v>
      </c>
      <c r="G132" s="35">
        <f>'Fiscal Forecasts'!G$220</f>
        <v>42.448</v>
      </c>
      <c r="H132" s="35">
        <f>'Fiscal Forecasts'!H$220</f>
        <v>47.386000000000003</v>
      </c>
      <c r="I132" s="35">
        <f>'Fiscal Forecasts'!I$220</f>
        <v>52.283000000000001</v>
      </c>
      <c r="J132" s="17">
        <f>'Fiscal Forecasts'!J$220</f>
        <v>52.734000000000002</v>
      </c>
      <c r="K132" s="17">
        <f>'Fiscal Forecasts'!K$220</f>
        <v>55.243000000000002</v>
      </c>
      <c r="L132" s="17">
        <f>'Fiscal Forecasts'!L$220</f>
        <v>58.265999999999998</v>
      </c>
      <c r="M132" s="17">
        <f>'Fiscal Forecasts'!M$220</f>
        <v>61.514000000000003</v>
      </c>
      <c r="N132" s="17">
        <f>'Fiscal Forecasts'!N$220</f>
        <v>65.031999999999996</v>
      </c>
      <c r="O132" s="16">
        <f ca="1">N$132*(1+O$17)*(1+IF(O$6&lt;OFFSET(Assumptions!$B$8,0,$C$1)+OFFSET(Assumptions!$B$27,0,$C$1)="Yes",OFFSET(Assumptions!$B$28,0,$C$1),1)*O$26)</f>
        <v>67.778194195112633</v>
      </c>
      <c r="P132" s="16">
        <f ca="1">O$132*(1+P$17)*(1+IF(P$6&lt;OFFSET(Assumptions!$B$8,0,$C$1)+OFFSET(Assumptions!$B$27,0,$C$1)="Yes",OFFSET(Assumptions!$B$28,0,$C$1),1)*P$26)</f>
        <v>70.602872044583876</v>
      </c>
      <c r="Q132" s="16">
        <f ca="1">P$132*(1+Q$17)*(1+IF(Q$6&lt;OFFSET(Assumptions!$B$8,0,$C$1)+OFFSET(Assumptions!$B$27,0,$C$1)="Yes",OFFSET(Assumptions!$B$28,0,$C$1),1)*Q$26)</f>
        <v>73.513453523137628</v>
      </c>
      <c r="R132" s="16">
        <f ca="1">Q$132*(1+R$17)*(1+IF(R$6&lt;OFFSET(Assumptions!$B$8,0,$C$1)+OFFSET(Assumptions!$B$27,0,$C$1)="Yes",OFFSET(Assumptions!$B$28,0,$C$1),1)*R$26)</f>
        <v>76.507892668118345</v>
      </c>
      <c r="S132" s="16">
        <f ca="1">R$132*(1+S$17)*(1+IF(S$6&lt;OFFSET(Assumptions!$B$8,0,$C$1)+OFFSET(Assumptions!$B$27,0,$C$1)="Yes",OFFSET(Assumptions!$B$28,0,$C$1),1)*S$26)</f>
        <v>79.598082925313378</v>
      </c>
      <c r="T132" s="16">
        <f ca="1">S$132*(1+T$17)*(1+IF(T$6&lt;OFFSET(Assumptions!$B$8,0,$C$1)+OFFSET(Assumptions!$B$27,0,$C$1)="Yes",OFFSET(Assumptions!$B$28,0,$C$1),1)*T$26)</f>
        <v>82.782518346234099</v>
      </c>
      <c r="U132" s="16">
        <f ca="1">T$132*(1+U$17)*(1+IF(U$6&lt;OFFSET(Assumptions!$B$8,0,$C$1)+OFFSET(Assumptions!$B$27,0,$C$1)="Yes",OFFSET(Assumptions!$B$28,0,$C$1),1)*U$26)</f>
        <v>86.074021082939794</v>
      </c>
      <c r="V132" s="16">
        <f ca="1">U$132*(1+V$17)*(1+IF(V$6&lt;OFFSET(Assumptions!$B$8,0,$C$1)+OFFSET(Assumptions!$B$27,0,$C$1)="Yes",OFFSET(Assumptions!$B$28,0,$C$1),1)*V$26)</f>
        <v>89.473509851213194</v>
      </c>
      <c r="W132" s="16">
        <f ca="1">V$132*(1+W$17)*(1+IF(W$6&lt;OFFSET(Assumptions!$B$8,0,$C$1)+OFFSET(Assumptions!$B$27,0,$C$1)="Yes",OFFSET(Assumptions!$B$28,0,$C$1),1)*W$26)</f>
        <v>92.963265601334712</v>
      </c>
      <c r="X132" s="16">
        <f ca="1">W$132*(1+X$17)*(1+IF(X$6&lt;OFFSET(Assumptions!$B$8,0,$C$1)+OFFSET(Assumptions!$B$27,0,$C$1)="Yes",OFFSET(Assumptions!$B$28,0,$C$1),1)*X$26)</f>
        <v>96.548941817156901</v>
      </c>
      <c r="Y132" s="16">
        <f ca="1">X$132*(1+Y$17)*(1+IF(Y$6&lt;OFFSET(Assumptions!$B$8,0,$C$1)+OFFSET(Assumptions!$B$27,0,$C$1)="Yes",OFFSET(Assumptions!$B$28,0,$C$1),1)*Y$26)</f>
        <v>100.24931908970254</v>
      </c>
      <c r="Z132" s="16">
        <f ca="1">Y$132*(1+Z$17)*(1+IF(Z$6&lt;OFFSET(Assumptions!$B$8,0,$C$1)+OFFSET(Assumptions!$B$27,0,$C$1)="Yes",OFFSET(Assumptions!$B$28,0,$C$1),1)*Z$26)</f>
        <v>104.06503525616733</v>
      </c>
      <c r="AA132" s="16">
        <f ca="1">Z$132*(1+AA$17)*(1+IF(AA$6&lt;OFFSET(Assumptions!$B$8,0,$C$1)+OFFSET(Assumptions!$B$27,0,$C$1)="Yes",OFFSET(Assumptions!$B$28,0,$C$1),1)*AA$26)</f>
        <v>108.01169668761405</v>
      </c>
      <c r="AB132" s="16">
        <f ca="1">AA$132*(1+AB$17)*(1+IF(AB$6&lt;OFFSET(Assumptions!$B$8,0,$C$1)+OFFSET(Assumptions!$B$27,0,$C$1)="Yes",OFFSET(Assumptions!$B$28,0,$C$1),1)*AB$26)</f>
        <v>112.08511525216163</v>
      </c>
      <c r="AC132" s="16">
        <f ca="1">AB$132*(1+AC$17)*(1+IF(AC$6&lt;OFFSET(Assumptions!$B$8,0,$C$1)+OFFSET(Assumptions!$B$27,0,$C$1)="Yes",OFFSET(Assumptions!$B$28,0,$C$1),1)*AC$26)</f>
        <v>116.28518619128729</v>
      </c>
      <c r="AD132" s="16">
        <f ca="1">AC$132*(1+AD$17)*(1+IF(AD$6&lt;OFFSET(Assumptions!$B$8,0,$C$1)+OFFSET(Assumptions!$B$27,0,$C$1)="Yes",OFFSET(Assumptions!$B$28,0,$C$1),1)*AD$26)</f>
        <v>120.61491960144814</v>
      </c>
      <c r="AE132" s="16">
        <f ca="1">AD$132*(1+AE$17)*(1+IF(AE$6&lt;OFFSET(Assumptions!$B$8,0,$C$1)+OFFSET(Assumptions!$B$27,0,$C$1)="Yes",OFFSET(Assumptions!$B$28,0,$C$1),1)*AE$26)</f>
        <v>125.07313434261451</v>
      </c>
      <c r="AF132" s="16">
        <f ca="1">AE$132*(1+AF$17)*(1+IF(AF$6&lt;OFFSET(Assumptions!$B$8,0,$C$1)+OFFSET(Assumptions!$B$27,0,$C$1)="Yes",OFFSET(Assumptions!$B$28,0,$C$1),1)*AF$26)</f>
        <v>129.66087599027009</v>
      </c>
      <c r="AG132" s="16">
        <f ca="1">AF$132*(1+AG$17)*(1+IF(AG$6&lt;OFFSET(Assumptions!$B$8,0,$C$1)+OFFSET(Assumptions!$B$27,0,$C$1)="Yes",OFFSET(Assumptions!$B$28,0,$C$1),1)*AG$26)</f>
        <v>134.37863887027757</v>
      </c>
      <c r="AH132" s="16">
        <f ca="1">AG$132*(1+AH$17)*(1+IF(AH$6&lt;OFFSET(Assumptions!$B$8,0,$C$1)+OFFSET(Assumptions!$B$27,0,$C$1)="Yes",OFFSET(Assumptions!$B$28,0,$C$1),1)*AH$26)</f>
        <v>139.22419844804472</v>
      </c>
      <c r="AI132" s="16">
        <f ca="1">AH$132*(1+AI$17)*(1+IF(AI$6&lt;OFFSET(Assumptions!$B$8,0,$C$1)+OFFSET(Assumptions!$B$27,0,$C$1)="Yes",OFFSET(Assumptions!$B$28,0,$C$1),1)*AI$26)</f>
        <v>144.20214885105199</v>
      </c>
      <c r="AJ132" s="16">
        <f ca="1">AI$132*(1+AJ$17)*(1+IF(AJ$6&lt;OFFSET(Assumptions!$B$8,0,$C$1)+OFFSET(Assumptions!$B$27,0,$C$1)="Yes",OFFSET(Assumptions!$B$28,0,$C$1),1)*AJ$26)</f>
        <v>149.31836339317826</v>
      </c>
      <c r="AK132" s="16">
        <f ca="1">AJ$132*(1+AK$17)*(1+IF(AK$6&lt;OFFSET(Assumptions!$B$8,0,$C$1)+OFFSET(Assumptions!$B$27,0,$C$1)="Yes",OFFSET(Assumptions!$B$28,0,$C$1),1)*AK$26)</f>
        <v>154.56605040564375</v>
      </c>
      <c r="AL132" s="16">
        <f ca="1">AK$132*(1+AL$17)*(1+IF(AL$6&lt;OFFSET(Assumptions!$B$8,0,$C$1)+OFFSET(Assumptions!$B$27,0,$C$1)="Yes",OFFSET(Assumptions!$B$28,0,$C$1),1)*AL$26)</f>
        <v>159.95240856556063</v>
      </c>
      <c r="AM132" s="16">
        <f ca="1">AL$132*(1+AM$17)*(1+IF(AM$6&lt;OFFSET(Assumptions!$B$8,0,$C$1)+OFFSET(Assumptions!$B$27,0,$C$1)="Yes",OFFSET(Assumptions!$B$28,0,$C$1),1)*AM$26)</f>
        <v>165.48523028677749</v>
      </c>
      <c r="AN132" s="16">
        <f ca="1">AM$132*(1+AN$17)*(1+IF(AN$6&lt;OFFSET(Assumptions!$B$8,0,$C$1)+OFFSET(Assumptions!$B$27,0,$C$1)="Yes",OFFSET(Assumptions!$B$28,0,$C$1),1)*AN$26)</f>
        <v>171.17080692706682</v>
      </c>
      <c r="AO132" s="16">
        <f ca="1">AN$132*(1+AO$17)*(1+IF(AO$6&lt;OFFSET(Assumptions!$B$8,0,$C$1)+OFFSET(Assumptions!$B$27,0,$C$1)="Yes",OFFSET(Assumptions!$B$28,0,$C$1),1)*AO$26)</f>
        <v>177.0115021253377</v>
      </c>
      <c r="AP132" s="16">
        <f ca="1">AO$132*(1+AP$17)*(1+IF(AP$6&lt;OFFSET(Assumptions!$B$8,0,$C$1)+OFFSET(Assumptions!$B$27,0,$C$1)="Yes",OFFSET(Assumptions!$B$28,0,$C$1),1)*AP$26)</f>
        <v>183.02528474152894</v>
      </c>
      <c r="AQ132" s="16">
        <f ca="1">AP$132*(1+AQ$17)*(1+IF(AQ$6&lt;OFFSET(Assumptions!$B$8,0,$C$1)+OFFSET(Assumptions!$B$27,0,$C$1)="Yes",OFFSET(Assumptions!$B$28,0,$C$1),1)*AQ$26)</f>
        <v>189.21803053171544</v>
      </c>
      <c r="AR132" s="16">
        <f ca="1">AQ$132*(1+AR$17)*(1+IF(AR$6&lt;OFFSET(Assumptions!$B$8,0,$C$1)+OFFSET(Assumptions!$B$27,0,$C$1)="Yes",OFFSET(Assumptions!$B$28,0,$C$1),1)*AR$26)</f>
        <v>195.60590070984716</v>
      </c>
      <c r="AS132" s="16">
        <f ca="1">AR$132*(1+AS$17)*(1+IF(AS$6&lt;OFFSET(Assumptions!$B$8,0,$C$1)+OFFSET(Assumptions!$B$27,0,$C$1)="Yes",OFFSET(Assumptions!$B$28,0,$C$1),1)*AS$26)</f>
        <v>202.19367233286346</v>
      </c>
      <c r="AT132" s="16">
        <f ca="1">AS$132*(1+AT$17)*(1+IF(AT$6&lt;OFFSET(Assumptions!$B$8,0,$C$1)+OFFSET(Assumptions!$B$27,0,$C$1)="Yes",OFFSET(Assumptions!$B$28,0,$C$1),1)*AT$26)</f>
        <v>209.00184506055149</v>
      </c>
      <c r="AU132" s="16">
        <f ca="1">AT$132*(1+AU$17)*(1+IF(AU$6&lt;OFFSET(Assumptions!$B$8,0,$C$1)+OFFSET(Assumptions!$B$27,0,$C$1)="Yes",OFFSET(Assumptions!$B$28,0,$C$1),1)*AU$26)</f>
        <v>216.02747548661026</v>
      </c>
      <c r="AV132" s="16">
        <f ca="1">AU$132*(1+AV$17)*(1+IF(AV$6&lt;OFFSET(Assumptions!$B$8,0,$C$1)+OFFSET(Assumptions!$B$27,0,$C$1)="Yes",OFFSET(Assumptions!$B$28,0,$C$1),1)*AV$26)</f>
        <v>223.29048183887301</v>
      </c>
      <c r="AW132" s="16">
        <f ca="1">AV$132*(1+AW$17)*(1+IF(AW$6&lt;OFFSET(Assumptions!$B$8,0,$C$1)+OFFSET(Assumptions!$B$27,0,$C$1)="Yes",OFFSET(Assumptions!$B$28,0,$C$1),1)*AW$26)</f>
        <v>230.7972654440386</v>
      </c>
      <c r="AX132" s="16">
        <f ca="1">AW$132*(1+AX$17)*(1+IF(AX$6&lt;OFFSET(Assumptions!$B$8,0,$C$1)+OFFSET(Assumptions!$B$27,0,$C$1)="Yes",OFFSET(Assumptions!$B$28,0,$C$1),1)*AX$26)</f>
        <v>238.5447072141375</v>
      </c>
    </row>
    <row r="133" spans="1:50" x14ac:dyDescent="0.25">
      <c r="A133" s="11" t="s">
        <v>770</v>
      </c>
      <c r="B133" s="10" t="str">
        <f>$B$38</f>
        <v>From Fiscal Forecasts</v>
      </c>
      <c r="C133" s="13"/>
      <c r="D133" s="35">
        <f>'Fiscal Forecasts'!D$221</f>
        <v>8.3160000000000007</v>
      </c>
      <c r="E133" s="35">
        <f>'Fiscal Forecasts'!E$221</f>
        <v>8.1910000000000007</v>
      </c>
      <c r="F133" s="35">
        <f>'Fiscal Forecasts'!F$221</f>
        <v>10.183999999999999</v>
      </c>
      <c r="G133" s="35">
        <f>'Fiscal Forecasts'!G$221</f>
        <v>12.015000000000001</v>
      </c>
      <c r="H133" s="35">
        <f>'Fiscal Forecasts'!H$221</f>
        <v>11.71</v>
      </c>
      <c r="I133" s="35">
        <f>'Fiscal Forecasts'!I$221</f>
        <v>14.042999999999999</v>
      </c>
      <c r="J133" s="17">
        <f>'Fiscal Forecasts'!J$221</f>
        <v>13.619</v>
      </c>
      <c r="K133" s="17">
        <f>'Fiscal Forecasts'!K$221</f>
        <v>13.744</v>
      </c>
      <c r="L133" s="17">
        <f>'Fiscal Forecasts'!L$221</f>
        <v>13.545</v>
      </c>
      <c r="M133" s="17">
        <f>'Fiscal Forecasts'!M$221</f>
        <v>13.956</v>
      </c>
      <c r="N133" s="17">
        <f>'Fiscal Forecasts'!N$221</f>
        <v>14.414</v>
      </c>
      <c r="O133" s="16">
        <f ca="1">N$133*(1+O$17)*(1+IF(O$6&lt;OFFSET(Assumptions!$B$8,0,$C$1)+OFFSET(Assumptions!$B$27,0,$C$1)="Yes",OFFSET(Assumptions!$B$28,0,$C$1),1)*O$26)</f>
        <v>15.02267946746761</v>
      </c>
      <c r="P133" s="16">
        <f ca="1">O$133*(1+P$17)*(1+IF(P$6&lt;OFFSET(Assumptions!$B$8,0,$C$1)+OFFSET(Assumptions!$B$27,0,$C$1)="Yes",OFFSET(Assumptions!$B$28,0,$C$1),1)*P$26)</f>
        <v>15.648754423216754</v>
      </c>
      <c r="Q133" s="16">
        <f ca="1">P$133*(1+Q$17)*(1+IF(Q$6&lt;OFFSET(Assumptions!$B$8,0,$C$1)+OFFSET(Assumptions!$B$27,0,$C$1)="Yes",OFFSET(Assumptions!$B$28,0,$C$1),1)*Q$26)</f>
        <v>16.293869465532445</v>
      </c>
      <c r="R133" s="16">
        <f ca="1">Q$133*(1+R$17)*(1+IF(R$6&lt;OFFSET(Assumptions!$B$8,0,$C$1)+OFFSET(Assumptions!$B$27,0,$C$1)="Yes",OFFSET(Assumptions!$B$28,0,$C$1),1)*R$26)</f>
        <v>16.957571117576855</v>
      </c>
      <c r="S133" s="16">
        <f ca="1">R$133*(1+S$17)*(1+IF(S$6&lt;OFFSET(Assumptions!$B$8,0,$C$1)+OFFSET(Assumptions!$B$27,0,$C$1)="Yes",OFFSET(Assumptions!$B$28,0,$C$1),1)*S$26)</f>
        <v>17.642495498915412</v>
      </c>
      <c r="T133" s="16">
        <f ca="1">S$133*(1+T$17)*(1+IF(T$6&lt;OFFSET(Assumptions!$B$8,0,$C$1)+OFFSET(Assumptions!$B$27,0,$C$1)="Yes",OFFSET(Assumptions!$B$28,0,$C$1),1)*T$26)</f>
        <v>18.348308824003851</v>
      </c>
      <c r="U133" s="16">
        <f ca="1">T$133*(1+U$17)*(1+IF(U$6&lt;OFFSET(Assumptions!$B$8,0,$C$1)+OFFSET(Assumptions!$B$27,0,$C$1)="Yes",OFFSET(Assumptions!$B$28,0,$C$1),1)*U$26)</f>
        <v>19.077853055257325</v>
      </c>
      <c r="V133" s="16">
        <f ca="1">U$133*(1+V$17)*(1+IF(V$6&lt;OFFSET(Assumptions!$B$8,0,$C$1)+OFFSET(Assumptions!$B$27,0,$C$1)="Yes",OFFSET(Assumptions!$B$28,0,$C$1),1)*V$26)</f>
        <v>19.831331821186296</v>
      </c>
      <c r="W133" s="16">
        <f ca="1">V$133*(1+W$17)*(1+IF(W$6&lt;OFFSET(Assumptions!$B$8,0,$C$1)+OFFSET(Assumptions!$B$27,0,$C$1)="Yes",OFFSET(Assumptions!$B$28,0,$C$1),1)*W$26)</f>
        <v>20.604817787821979</v>
      </c>
      <c r="X133" s="16">
        <f ca="1">W$133*(1+X$17)*(1+IF(X$6&lt;OFFSET(Assumptions!$B$8,0,$C$1)+OFFSET(Assumptions!$B$27,0,$C$1)="Yes",OFFSET(Assumptions!$B$28,0,$C$1),1)*X$26)</f>
        <v>21.399564020059355</v>
      </c>
      <c r="Y133" s="16">
        <f ca="1">X$133*(1+Y$17)*(1+IF(Y$6&lt;OFFSET(Assumptions!$B$8,0,$C$1)+OFFSET(Assumptions!$B$27,0,$C$1)="Yes",OFFSET(Assumptions!$B$28,0,$C$1),1)*Y$26)</f>
        <v>22.219733136901414</v>
      </c>
      <c r="Z133" s="16">
        <f ca="1">Y$133*(1+Z$17)*(1+IF(Z$6&lt;OFFSET(Assumptions!$B$8,0,$C$1)+OFFSET(Assumptions!$B$27,0,$C$1)="Yes",OFFSET(Assumptions!$B$28,0,$C$1),1)*Z$26)</f>
        <v>23.065466511600384</v>
      </c>
      <c r="AA133" s="16">
        <f ca="1">Z$133*(1+AA$17)*(1+IF(AA$6&lt;OFFSET(Assumptions!$B$8,0,$C$1)+OFFSET(Assumptions!$B$27,0,$C$1)="Yes",OFFSET(Assumptions!$B$28,0,$C$1),1)*AA$26)</f>
        <v>23.940223214037232</v>
      </c>
      <c r="AB133" s="16">
        <f ca="1">AA$133*(1+AB$17)*(1+IF(AB$6&lt;OFFSET(Assumptions!$B$8,0,$C$1)+OFFSET(Assumptions!$B$27,0,$C$1)="Yes",OFFSET(Assumptions!$B$28,0,$C$1),1)*AB$26)</f>
        <v>24.843074966857206</v>
      </c>
      <c r="AC133" s="16">
        <f ca="1">AB$133*(1+AC$17)*(1+IF(AC$6&lt;OFFSET(Assumptions!$B$8,0,$C$1)+OFFSET(Assumptions!$B$27,0,$C$1)="Yes",OFFSET(Assumptions!$B$28,0,$C$1),1)*AC$26)</f>
        <v>25.773998550885953</v>
      </c>
      <c r="AD133" s="16">
        <f ca="1">AC$133*(1+AD$17)*(1+IF(AD$6&lt;OFFSET(Assumptions!$B$8,0,$C$1)+OFFSET(Assumptions!$B$27,0,$C$1)="Yes",OFFSET(Assumptions!$B$28,0,$C$1),1)*AD$26)</f>
        <v>26.733661138136206</v>
      </c>
      <c r="AE133" s="16">
        <f ca="1">AD$133*(1+AE$17)*(1+IF(AE$6&lt;OFFSET(Assumptions!$B$8,0,$C$1)+OFFSET(Assumptions!$B$27,0,$C$1)="Yes",OFFSET(Assumptions!$B$28,0,$C$1),1)*AE$26)</f>
        <v>27.721800935146479</v>
      </c>
      <c r="AF133" s="16">
        <f ca="1">AE$133*(1+AF$17)*(1+IF(AF$6&lt;OFFSET(Assumptions!$B$8,0,$C$1)+OFFSET(Assumptions!$B$27,0,$C$1)="Yes",OFFSET(Assumptions!$B$28,0,$C$1),1)*AF$26)</f>
        <v>28.73864968821124</v>
      </c>
      <c r="AG133" s="16">
        <f ca="1">AF$133*(1+AG$17)*(1+IF(AG$6&lt;OFFSET(Assumptions!$B$8,0,$C$1)+OFFSET(Assumptions!$B$27,0,$C$1)="Yes",OFFSET(Assumptions!$B$28,0,$C$1),1)*AG$26)</f>
        <v>29.784316962052245</v>
      </c>
      <c r="AH133" s="16">
        <f ca="1">AG$133*(1+AH$17)*(1+IF(AH$6&lt;OFFSET(Assumptions!$B$8,0,$C$1)+OFFSET(Assumptions!$B$27,0,$C$1)="Yes",OFFSET(Assumptions!$B$28,0,$C$1),1)*AH$26)</f>
        <v>30.858309700303192</v>
      </c>
      <c r="AI133" s="16">
        <f ca="1">AH$133*(1+AI$17)*(1+IF(AI$6&lt;OFFSET(Assumptions!$B$8,0,$C$1)+OFFSET(Assumptions!$B$27,0,$C$1)="Yes",OFFSET(Assumptions!$B$28,0,$C$1),1)*AI$26)</f>
        <v>31.961646167103336</v>
      </c>
      <c r="AJ133" s="16">
        <f ca="1">AI$133*(1+AJ$17)*(1+IF(AJ$6&lt;OFFSET(Assumptions!$B$8,0,$C$1)+OFFSET(Assumptions!$B$27,0,$C$1)="Yes",OFFSET(Assumptions!$B$28,0,$C$1),1)*AJ$26)</f>
        <v>33.095628151514212</v>
      </c>
      <c r="AK133" s="16">
        <f ca="1">AJ$133*(1+AK$17)*(1+IF(AK$6&lt;OFFSET(Assumptions!$B$8,0,$C$1)+OFFSET(Assumptions!$B$27,0,$C$1)="Yes",OFFSET(Assumptions!$B$28,0,$C$1),1)*AK$26)</f>
        <v>34.258750315951374</v>
      </c>
      <c r="AL133" s="16">
        <f ca="1">AK$133*(1+AL$17)*(1+IF(AL$6&lt;OFFSET(Assumptions!$B$8,0,$C$1)+OFFSET(Assumptions!$B$27,0,$C$1)="Yes",OFFSET(Assumptions!$B$28,0,$C$1),1)*AL$26)</f>
        <v>35.452608209250705</v>
      </c>
      <c r="AM133" s="16">
        <f ca="1">AL$133*(1+AM$17)*(1+IF(AM$6&lt;OFFSET(Assumptions!$B$8,0,$C$1)+OFFSET(Assumptions!$B$27,0,$C$1)="Yes",OFFSET(Assumptions!$B$28,0,$C$1),1)*AM$26)</f>
        <v>36.678928978865976</v>
      </c>
      <c r="AN133" s="16">
        <f ca="1">AM$133*(1+AN$17)*(1+IF(AN$6&lt;OFFSET(Assumptions!$B$8,0,$C$1)+OFFSET(Assumptions!$B$27,0,$C$1)="Yes",OFFSET(Assumptions!$B$28,0,$C$1),1)*AN$26)</f>
        <v>37.939107071084123</v>
      </c>
      <c r="AO133" s="16">
        <f ca="1">AN$133*(1+AO$17)*(1+IF(AO$6&lt;OFFSET(Assumptions!$B$8,0,$C$1)+OFFSET(Assumptions!$B$27,0,$C$1)="Yes",OFFSET(Assumptions!$B$28,0,$C$1),1)*AO$26)</f>
        <v>39.233666374010006</v>
      </c>
      <c r="AP133" s="16">
        <f ca="1">AO$133*(1+AP$17)*(1+IF(AP$6&lt;OFFSET(Assumptions!$B$8,0,$C$1)+OFFSET(Assumptions!$B$27,0,$C$1)="Yes",OFFSET(Assumptions!$B$28,0,$C$1),1)*AP$26)</f>
        <v>40.566589590730707</v>
      </c>
      <c r="AQ133" s="16">
        <f ca="1">AP$133*(1+AQ$17)*(1+IF(AQ$6&lt;OFFSET(Assumptions!$B$8,0,$C$1)+OFFSET(Assumptions!$B$27,0,$C$1)="Yes",OFFSET(Assumptions!$B$28,0,$C$1),1)*AQ$26)</f>
        <v>41.939179051607638</v>
      </c>
      <c r="AR133" s="16">
        <f ca="1">AQ$133*(1+AR$17)*(1+IF(AR$6&lt;OFFSET(Assumptions!$B$8,0,$C$1)+OFFSET(Assumptions!$B$27,0,$C$1)="Yes",OFFSET(Assumptions!$B$28,0,$C$1),1)*AR$26)</f>
        <v>43.355016804522975</v>
      </c>
      <c r="AS133" s="16">
        <f ca="1">AR$133*(1+AS$17)*(1+IF(AS$6&lt;OFFSET(Assumptions!$B$8,0,$C$1)+OFFSET(Assumptions!$B$27,0,$C$1)="Yes",OFFSET(Assumptions!$B$28,0,$C$1),1)*AS$26)</f>
        <v>44.815161658966282</v>
      </c>
      <c r="AT133" s="16">
        <f ca="1">AS$133*(1+AT$17)*(1+IF(AT$6&lt;OFFSET(Assumptions!$B$8,0,$C$1)+OFFSET(Assumptions!$B$27,0,$C$1)="Yes",OFFSET(Assumptions!$B$28,0,$C$1),1)*AT$26)</f>
        <v>46.324157256470514</v>
      </c>
      <c r="AU133" s="16">
        <f ca="1">AT$133*(1+AU$17)*(1+IF(AU$6&lt;OFFSET(Assumptions!$B$8,0,$C$1)+OFFSET(Assumptions!$B$27,0,$C$1)="Yes",OFFSET(Assumptions!$B$28,0,$C$1),1)*AU$26)</f>
        <v>47.881351206544494</v>
      </c>
      <c r="AV133" s="16">
        <f ca="1">AU$133*(1+AV$17)*(1+IF(AV$6&lt;OFFSET(Assumptions!$B$8,0,$C$1)+OFFSET(Assumptions!$B$27,0,$C$1)="Yes",OFFSET(Assumptions!$B$28,0,$C$1),1)*AV$26)</f>
        <v>49.491158279393474</v>
      </c>
      <c r="AW133" s="16">
        <f ca="1">AV$133*(1+AW$17)*(1+IF(AW$6&lt;OFFSET(Assumptions!$B$8,0,$C$1)+OFFSET(Assumptions!$B$27,0,$C$1)="Yes",OFFSET(Assumptions!$B$28,0,$C$1),1)*AW$26)</f>
        <v>51.154997295337267</v>
      </c>
      <c r="AX133" s="16">
        <f ca="1">AW$133*(1+AX$17)*(1+IF(AX$6&lt;OFFSET(Assumptions!$B$8,0,$C$1)+OFFSET(Assumptions!$B$27,0,$C$1)="Yes",OFFSET(Assumptions!$B$28,0,$C$1),1)*AX$26)</f>
        <v>52.872176924968919</v>
      </c>
    </row>
    <row r="134" spans="1:50" x14ac:dyDescent="0.25">
      <c r="A134" s="11" t="s">
        <v>773</v>
      </c>
      <c r="B134" s="10" t="str">
        <f>$B$38</f>
        <v>From Fiscal Forecasts</v>
      </c>
      <c r="C134" s="63" cm="1">
        <f t="array" aca="1" ref="C134" ca="1">SUMPRODUCT(OFFSET($N$134,0,0,1,-OFFSET(Assumptions!$B$31,0,$C$1))/OFFSET($N$13,0,0,1,-OFFSET(Assumptions!$B$31,0,$C$1)))/OFFSET(Assumptions!$B$31,0,$C$1)</f>
        <v>4.2272263426074277E-2</v>
      </c>
      <c r="D134" s="35">
        <f>'Fiscal Forecasts'!D$222</f>
        <v>15.199</v>
      </c>
      <c r="E134" s="35">
        <f>'Fiscal Forecasts'!E$222</f>
        <v>12.103999999999999</v>
      </c>
      <c r="F134" s="35">
        <f>'Fiscal Forecasts'!F$222</f>
        <v>15.768000000000001</v>
      </c>
      <c r="G134" s="35">
        <f>'Fiscal Forecasts'!G$222</f>
        <v>19.896000000000001</v>
      </c>
      <c r="H134" s="35">
        <f>'Fiscal Forecasts'!H$222</f>
        <v>17.978000000000002</v>
      </c>
      <c r="I134" s="35">
        <f>'Fiscal Forecasts'!I$222</f>
        <v>16.908999999999999</v>
      </c>
      <c r="J134" s="17">
        <f>'Fiscal Forecasts'!J$222</f>
        <v>16.321999999999999</v>
      </c>
      <c r="K134" s="17">
        <f>'Fiscal Forecasts'!K$222</f>
        <v>16.748000000000001</v>
      </c>
      <c r="L134" s="17">
        <f>'Fiscal Forecasts'!L$222</f>
        <v>19.547000000000001</v>
      </c>
      <c r="M134" s="17">
        <f>'Fiscal Forecasts'!M$222</f>
        <v>20.765999999999998</v>
      </c>
      <c r="N134" s="17">
        <f>'Fiscal Forecasts'!N$222</f>
        <v>22.405999999999999</v>
      </c>
      <c r="O134" s="16">
        <f ca="1">(N$134/N$13+MIN(ABS($C$134-N$134/N$13),OFFSET(Assumptions!$B$32,0,$C$1))*SIGN($C$134-N$134/N$13))*O$13</f>
        <v>23.149793886861449</v>
      </c>
      <c r="P134" s="16">
        <f ca="1">(O$134/O$13+MIN(ABS($C$134-O$134/O$13),OFFSET(Assumptions!$B$32,0,$C$1))*SIGN($C$134-O$134/O$13))*P$13</f>
        <v>24.172906712856825</v>
      </c>
      <c r="Q134" s="16">
        <f ca="1">(P$134/P$13+MIN(ABS($C$134-P$134/P$13),OFFSET(Assumptions!$B$32,0,$C$1))*SIGN($C$134-P$134/P$13))*Q$13</f>
        <v>25.199426604034816</v>
      </c>
      <c r="R134" s="16">
        <f ca="1">(Q$134/Q$13+MIN(ABS($C$134-Q$134/Q$13),OFFSET(Assumptions!$B$32,0,$C$1))*SIGN($C$134-Q$134/Q$13))*R$13</f>
        <v>26.225880209978396</v>
      </c>
      <c r="S134" s="16">
        <f ca="1">(R$134/R$13+MIN(ABS($C$134-R$134/R$13),OFFSET(Assumptions!$B$32,0,$C$1))*SIGN($C$134-R$134/R$13))*S$13</f>
        <v>27.285156013885242</v>
      </c>
      <c r="T134" s="16">
        <f ca="1">(S$134/S$13+MIN(ABS($C$134-S$134/S$13),OFFSET(Assumptions!$B$32,0,$C$1))*SIGN($C$134-S$134/S$13))*T$13</f>
        <v>28.37673779679691</v>
      </c>
      <c r="U134" s="16">
        <f ca="1">(T$134/T$13+MIN(ABS($C$134-T$134/T$13),OFFSET(Assumptions!$B$32,0,$C$1))*SIGN($C$134-T$134/T$13))*U$13</f>
        <v>29.505020820590492</v>
      </c>
      <c r="V134" s="16">
        <f ca="1">(U$134/U$13+MIN(ABS($C$134-U$134/U$13),OFFSET(Assumptions!$B$32,0,$C$1))*SIGN($C$134-U$134/U$13))*V$13</f>
        <v>30.670320008723234</v>
      </c>
      <c r="W134" s="16">
        <f ca="1">(V$134/V$13+MIN(ABS($C$134-V$134/V$13),OFFSET(Assumptions!$B$32,0,$C$1))*SIGN($C$134-V$134/V$13))*W$13</f>
        <v>31.866561508430724</v>
      </c>
      <c r="X134" s="16">
        <f ca="1">(W$134/W$13+MIN(ABS($C$134-W$134/W$13),OFFSET(Assumptions!$B$32,0,$C$1))*SIGN($C$134-W$134/W$13))*X$13</f>
        <v>33.09568325820684</v>
      </c>
      <c r="Y134" s="16">
        <f ca="1">(X$134/X$13+MIN(ABS($C$134-X$134/X$13),OFFSET(Assumptions!$B$32,0,$C$1))*SIGN($C$134-X$134/X$13))*Y$13</f>
        <v>34.364122992947422</v>
      </c>
      <c r="Z134" s="16">
        <f ca="1">(Y$134/Y$13+MIN(ABS($C$134-Y$134/Y$13),OFFSET(Assumptions!$B$32,0,$C$1))*SIGN($C$134-Y$134/Y$13))*Z$13</f>
        <v>35.672099354694531</v>
      </c>
      <c r="AA134" s="16">
        <f ca="1">(Z$134/Z$13+MIN(ABS($C$134-Z$134/Z$13),OFFSET(Assumptions!$B$32,0,$C$1))*SIGN($C$134-Z$134/Z$13))*AA$13</f>
        <v>37.024961998284176</v>
      </c>
      <c r="AB134" s="16">
        <f ca="1">(AA$134/AA$13+MIN(ABS($C$134-AA$134/AA$13),OFFSET(Assumptions!$B$32,0,$C$1))*SIGN($C$134-AA$134/AA$13))*AB$13</f>
        <v>38.421275288238931</v>
      </c>
      <c r="AC134" s="16">
        <f ca="1">(AB$134/AB$13+MIN(ABS($C$134-AB$134/AB$13),OFFSET(Assumptions!$B$32,0,$C$1))*SIGN($C$134-AB$134/AB$13))*AC$13</f>
        <v>39.861003314741239</v>
      </c>
      <c r="AD134" s="16">
        <f ca="1">(AC$134/AC$13+MIN(ABS($C$134-AC$134/AC$13),OFFSET(Assumptions!$B$32,0,$C$1))*SIGN($C$134-AC$134/AC$13))*AD$13</f>
        <v>41.345177898513789</v>
      </c>
      <c r="AE134" s="16">
        <f ca="1">(AD$134/AD$13+MIN(ABS($C$134-AD$134/AD$13),OFFSET(Assumptions!$B$32,0,$C$1))*SIGN($C$134-AD$134/AD$13))*AE$13</f>
        <v>42.873394160584624</v>
      </c>
      <c r="AF134" s="16">
        <f ca="1">(AE$134/AE$13+MIN(ABS($C$134-AE$134/AE$13),OFFSET(Assumptions!$B$32,0,$C$1))*SIGN($C$134-AE$134/AE$13))*AF$13</f>
        <v>44.446010510216247</v>
      </c>
      <c r="AG134" s="16">
        <f ca="1">(AF$134/AF$13+MIN(ABS($C$134-AF$134/AF$13),OFFSET(Assumptions!$B$32,0,$C$1))*SIGN($C$134-AF$134/AF$13))*AG$13</f>
        <v>46.063196395689168</v>
      </c>
      <c r="AH134" s="16">
        <f ca="1">(AG$134/AG$13+MIN(ABS($C$134-AG$134/AG$13),OFFSET(Assumptions!$B$32,0,$C$1))*SIGN($C$134-AG$134/AG$13))*AH$13</f>
        <v>47.72418927635951</v>
      </c>
      <c r="AI134" s="16">
        <f ca="1">(AH$134/AH$13+MIN(ABS($C$134-AH$134/AH$13),OFFSET(Assumptions!$B$32,0,$C$1))*SIGN($C$134-AH$134/AH$13))*AI$13</f>
        <v>49.430563957554781</v>
      </c>
      <c r="AJ134" s="16">
        <f ca="1">(AI$134/AI$13+MIN(ABS($C$134-AI$134/AI$13),OFFSET(Assumptions!$B$32,0,$C$1))*SIGN($C$134-AI$134/AI$13))*AJ$13</f>
        <v>51.184333732555601</v>
      </c>
      <c r="AK134" s="16">
        <f ca="1">(AJ$134/AJ$13+MIN(ABS($C$134-AJ$134/AJ$13),OFFSET(Assumptions!$B$32,0,$C$1))*SIGN($C$134-AJ$134/AJ$13))*AK$13</f>
        <v>52.983170508329557</v>
      </c>
      <c r="AL134" s="16">
        <f ca="1">(AK$134/AK$13+MIN(ABS($C$134-AK$134/AK$13),OFFSET(Assumptions!$B$32,0,$C$1))*SIGN($C$134-AK$134/AK$13))*AL$13</f>
        <v>54.829541894910506</v>
      </c>
      <c r="AM134" s="16">
        <f ca="1">(AL$134/AL$13+MIN(ABS($C$134-AL$134/AL$13),OFFSET(Assumptions!$B$32,0,$C$1))*SIGN($C$134-AL$134/AL$13))*AM$13</f>
        <v>56.726119027327933</v>
      </c>
      <c r="AN134" s="16">
        <f ca="1">(AM$134/AM$13+MIN(ABS($C$134-AM$134/AM$13),OFFSET(Assumptions!$B$32,0,$C$1))*SIGN($C$134-AM$134/AM$13))*AN$13</f>
        <v>58.675058498706342</v>
      </c>
      <c r="AO134" s="16">
        <f ca="1">(AN$134/AN$13+MIN(ABS($C$134-AN$134/AN$13),OFFSET(Assumptions!$B$32,0,$C$1))*SIGN($C$134-AN$134/AN$13))*AO$13</f>
        <v>60.677170532785127</v>
      </c>
      <c r="AP134" s="16">
        <f ca="1">(AO$134/AO$13+MIN(ABS($C$134-AO$134/AO$13),OFFSET(Assumptions!$B$32,0,$C$1))*SIGN($C$134-AO$134/AO$13))*AP$13</f>
        <v>62.73861461392373</v>
      </c>
      <c r="AQ134" s="16">
        <f ca="1">(AP$134/AP$13+MIN(ABS($C$134-AP$134/AP$13),OFFSET(Assumptions!$B$32,0,$C$1))*SIGN($C$134-AP$134/AP$13))*AQ$13</f>
        <v>64.861404872554886</v>
      </c>
      <c r="AR134" s="16">
        <f ca="1">(AQ$134/AQ$13+MIN(ABS($C$134-AQ$134/AQ$13),OFFSET(Assumptions!$B$32,0,$C$1))*SIGN($C$134-AQ$134/AQ$13))*AR$13</f>
        <v>67.051081156219993</v>
      </c>
      <c r="AS134" s="16">
        <f ca="1">(AR$134/AR$13+MIN(ABS($C$134-AR$134/AR$13),OFFSET(Assumptions!$B$32,0,$C$1))*SIGN($C$134-AR$134/AR$13))*AS$13</f>
        <v>69.309280976013412</v>
      </c>
      <c r="AT134" s="16">
        <f ca="1">(AS$134/AS$13+MIN(ABS($C$134-AS$134/AS$13),OFFSET(Assumptions!$B$32,0,$C$1))*SIGN($C$134-AS$134/AS$13))*AT$13</f>
        <v>71.643031340563596</v>
      </c>
      <c r="AU134" s="16">
        <f ca="1">(AT$134/AT$13+MIN(ABS($C$134-AT$134/AT$13),OFFSET(Assumptions!$B$32,0,$C$1))*SIGN($C$134-AT$134/AT$13))*AU$13</f>
        <v>74.051323289639541</v>
      </c>
      <c r="AV134" s="16">
        <f ca="1">(AU$134/AU$13+MIN(ABS($C$134-AU$134/AU$13),OFFSET(Assumptions!$B$32,0,$C$1))*SIGN($C$134-AU$134/AU$13))*AV$13</f>
        <v>76.540984524788513</v>
      </c>
      <c r="AW134" s="16">
        <f ca="1">(AV$134/AV$13+MIN(ABS($C$134-AV$134/AV$13),OFFSET(Assumptions!$B$32,0,$C$1))*SIGN($C$134-AV$134/AV$13))*AW$13</f>
        <v>79.11420933500915</v>
      </c>
      <c r="AX134" s="16">
        <f ca="1">(AW$134/AW$13+MIN(ABS($C$134-AW$134/AW$13),OFFSET(Assumptions!$B$32,0,$C$1))*SIGN($C$134-AW$134/AW$13))*AX$13</f>
        <v>81.76992853874907</v>
      </c>
    </row>
    <row r="135" spans="1:50" x14ac:dyDescent="0.25">
      <c r="A135" s="11" t="s">
        <v>774</v>
      </c>
      <c r="B135" s="10" t="str">
        <f t="shared" ref="B135:B139" si="935">$B$38</f>
        <v>From Fiscal Forecasts</v>
      </c>
      <c r="C135" s="63" cm="1">
        <f t="array" aca="1" ref="C135" ca="1">SUMPRODUCT(OFFSET($N$135,0,0,1,-OFFSET(Assumptions!$B$31,0,$C$1))/OFFSET($N$13,0,0,1,-OFFSET(Assumptions!$B$31,0,$C$1)))/OFFSET(Assumptions!$B$31,0,$C$1)</f>
        <v>6.9331116486344269E-2</v>
      </c>
      <c r="D135" s="35">
        <f>'Fiscal Forecasts'!D$223</f>
        <v>21.861999999999998</v>
      </c>
      <c r="E135" s="35">
        <f>'Fiscal Forecasts'!E$223</f>
        <v>21.748999999999999</v>
      </c>
      <c r="F135" s="35">
        <f>'Fiscal Forecasts'!F$223</f>
        <v>25.562000000000001</v>
      </c>
      <c r="G135" s="35">
        <f>'Fiscal Forecasts'!G$223</f>
        <v>26.123999999999999</v>
      </c>
      <c r="H135" s="35">
        <f>'Fiscal Forecasts'!H$223</f>
        <v>28.13</v>
      </c>
      <c r="I135" s="35">
        <f>'Fiscal Forecasts'!I$223</f>
        <v>29.277999999999999</v>
      </c>
      <c r="J135" s="17">
        <f>'Fiscal Forecasts'!J$223</f>
        <v>29.81</v>
      </c>
      <c r="K135" s="17">
        <f>'Fiscal Forecasts'!K$223</f>
        <v>30.504999999999999</v>
      </c>
      <c r="L135" s="17">
        <f>'Fiscal Forecasts'!L$223</f>
        <v>32.298999999999999</v>
      </c>
      <c r="M135" s="17">
        <f>'Fiscal Forecasts'!M$223</f>
        <v>34.191000000000003</v>
      </c>
      <c r="N135" s="17">
        <f>'Fiscal Forecasts'!N$223</f>
        <v>35.695</v>
      </c>
      <c r="O135" s="16">
        <f ca="1">(N$135/N$13+MIN(ABS($C$135-N$135/N$13),OFFSET(Assumptions!$B$32,0,$C$1))*SIGN($C$135-N$135/N$13))*O$13</f>
        <v>37.570192787788741</v>
      </c>
      <c r="P135" s="16">
        <f ca="1">(O$135/O$13+MIN(ABS($C$135-O$135/O$13),OFFSET(Assumptions!$B$32,0,$C$1))*SIGN($C$135-O$135/O$13))*P$13</f>
        <v>39.516539168645949</v>
      </c>
      <c r="Q135" s="16">
        <f ca="1">(P$135/P$13+MIN(ABS($C$135-P$135/P$13),OFFSET(Assumptions!$B$32,0,$C$1))*SIGN($C$135-P$135/P$13))*Q$13</f>
        <v>41.329804455083327</v>
      </c>
      <c r="R135" s="16">
        <f ca="1">(Q$135/Q$13+MIN(ABS($C$135-Q$135/Q$13),OFFSET(Assumptions!$B$32,0,$C$1))*SIGN($C$135-Q$135/Q$13))*R$13</f>
        <v>43.013300174349837</v>
      </c>
      <c r="S135" s="16">
        <f ca="1">(R$135/R$13+MIN(ABS($C$135-R$135/R$13),OFFSET(Assumptions!$B$32,0,$C$1))*SIGN($C$135-R$135/R$13))*S$13</f>
        <v>44.750627873403964</v>
      </c>
      <c r="T135" s="16">
        <f ca="1">(S$135/S$13+MIN(ABS($C$135-S$135/S$13),OFFSET(Assumptions!$B$32,0,$C$1))*SIGN($C$135-S$135/S$13))*T$13</f>
        <v>46.540940896925179</v>
      </c>
      <c r="U135" s="16">
        <f ca="1">(T$135/T$13+MIN(ABS($C$135-T$135/T$13),OFFSET(Assumptions!$B$32,0,$C$1))*SIGN($C$135-T$135/T$13))*U$13</f>
        <v>48.391447953141785</v>
      </c>
      <c r="V135" s="16">
        <f ca="1">(U$135/U$13+MIN(ABS($C$135-U$135/U$13),OFFSET(Assumptions!$B$32,0,$C$1))*SIGN($C$135-U$135/U$13))*V$13</f>
        <v>50.302665550826411</v>
      </c>
      <c r="W135" s="16">
        <f ca="1">(V$135/V$13+MIN(ABS($C$135-V$135/V$13),OFFSET(Assumptions!$B$32,0,$C$1))*SIGN($C$135-V$135/V$13))*W$13</f>
        <v>52.264631909856583</v>
      </c>
      <c r="X135" s="16">
        <f ca="1">(W$135/W$13+MIN(ABS($C$135-W$135/W$13),OFFSET(Assumptions!$B$32,0,$C$1))*SIGN($C$135-W$135/W$13))*X$13</f>
        <v>54.280525460450427</v>
      </c>
      <c r="Y135" s="16">
        <f ca="1">(X$135/X$13+MIN(ABS($C$135-X$135/X$13),OFFSET(Assumptions!$B$32,0,$C$1))*SIGN($C$135-X$135/X$13))*Y$13</f>
        <v>56.3609047890615</v>
      </c>
      <c r="Z135" s="16">
        <f ca="1">(Y$135/Y$13+MIN(ABS($C$135-Y$135/Y$13),OFFSET(Assumptions!$B$32,0,$C$1))*SIGN($C$135-Y$135/Y$13))*Z$13</f>
        <v>58.506128492454167</v>
      </c>
      <c r="AA135" s="16">
        <f ca="1">(Z$135/Z$13+MIN(ABS($C$135-Z$135/Z$13),OFFSET(Assumptions!$B$32,0,$C$1))*SIGN($C$135-Z$135/Z$13))*AA$13</f>
        <v>60.724970587265744</v>
      </c>
      <c r="AB135" s="16">
        <f ca="1">(AA$135/AA$13+MIN(ABS($C$135-AA$135/AA$13),OFFSET(Assumptions!$B$32,0,$C$1))*SIGN($C$135-AA$135/AA$13))*AB$13</f>
        <v>63.015076474937963</v>
      </c>
      <c r="AC135" s="16">
        <f ca="1">(AB$135/AB$13+MIN(ABS($C$135-AB$135/AB$13),OFFSET(Assumptions!$B$32,0,$C$1))*SIGN($C$135-AB$135/AB$13))*AC$13</f>
        <v>65.376387259458596</v>
      </c>
      <c r="AD135" s="16">
        <f ca="1">(AC$135/AC$13+MIN(ABS($C$135-AC$135/AC$13),OFFSET(Assumptions!$B$32,0,$C$1))*SIGN($C$135-AC$135/AC$13))*AD$13</f>
        <v>67.810595239202968</v>
      </c>
      <c r="AE135" s="16">
        <f ca="1">(AD$135/AD$13+MIN(ABS($C$135-AD$135/AD$13),OFFSET(Assumptions!$B$32,0,$C$1))*SIGN($C$135-AD$135/AD$13))*AE$13</f>
        <v>70.317036368556003</v>
      </c>
      <c r="AF135" s="16">
        <f ca="1">(AE$135/AE$13+MIN(ABS($C$135-AE$135/AE$13),OFFSET(Assumptions!$B$32,0,$C$1))*SIGN($C$135-AE$135/AE$13))*AF$13</f>
        <v>72.896298477747607</v>
      </c>
      <c r="AG135" s="16">
        <f ca="1">(AF$135/AF$13+MIN(ABS($C$135-AF$135/AF$13),OFFSET(Assumptions!$B$32,0,$C$1))*SIGN($C$135-AF$135/AF$13))*AG$13</f>
        <v>75.548659480414827</v>
      </c>
      <c r="AH135" s="16">
        <f ca="1">(AG$135/AG$13+MIN(ABS($C$135-AG$135/AG$13),OFFSET(Assumptions!$B$32,0,$C$1))*SIGN($C$135-AG$135/AG$13))*AH$13</f>
        <v>78.272868726842631</v>
      </c>
      <c r="AI135" s="16">
        <f ca="1">(AH$135/AH$13+MIN(ABS($C$135-AH$135/AH$13),OFFSET(Assumptions!$B$32,0,$C$1))*SIGN($C$135-AH$135/AH$13))*AI$13</f>
        <v>81.071509069302408</v>
      </c>
      <c r="AJ135" s="16">
        <f ca="1">(AI$135/AI$13+MIN(ABS($C$135-AI$135/AI$13),OFFSET(Assumptions!$B$32,0,$C$1))*SIGN($C$135-AI$135/AI$13))*AJ$13</f>
        <v>83.947882528070451</v>
      </c>
      <c r="AK135" s="16">
        <f ca="1">(AJ$135/AJ$13+MIN(ABS($C$135-AJ$135/AJ$13),OFFSET(Assumptions!$B$32,0,$C$1))*SIGN($C$135-AJ$135/AJ$13))*AK$13</f>
        <v>86.898170776988252</v>
      </c>
      <c r="AL135" s="16">
        <f ca="1">(AK$135/AK$13+MIN(ABS($C$135-AK$135/AK$13),OFFSET(Assumptions!$B$32,0,$C$1))*SIGN($C$135-AK$135/AK$13))*AL$13</f>
        <v>89.92642096529346</v>
      </c>
      <c r="AM135" s="16">
        <f ca="1">(AL$135/AL$13+MIN(ABS($C$135-AL$135/AL$13),OFFSET(Assumptions!$B$32,0,$C$1))*SIGN($C$135-AL$135/AL$13))*AM$13</f>
        <v>93.037014045385376</v>
      </c>
      <c r="AN135" s="16">
        <f ca="1">(AM$135/AM$13+MIN(ABS($C$135-AM$135/AM$13),OFFSET(Assumptions!$B$32,0,$C$1))*SIGN($C$135-AM$135/AM$13))*AN$13</f>
        <v>96.233487064893126</v>
      </c>
      <c r="AO135" s="16">
        <f ca="1">(AN$135/AN$13+MIN(ABS($C$135-AN$135/AN$13),OFFSET(Assumptions!$B$32,0,$C$1))*SIGN($C$135-AN$135/AN$13))*AO$13</f>
        <v>99.517168879002185</v>
      </c>
      <c r="AP135" s="16">
        <f ca="1">(AO$135/AO$13+MIN(ABS($C$135-AO$135/AO$13),OFFSET(Assumptions!$B$32,0,$C$1))*SIGN($C$135-AO$135/AO$13))*AP$13</f>
        <v>102.89816171297825</v>
      </c>
      <c r="AQ135" s="16">
        <f ca="1">(AP$135/AP$13+MIN(ABS($C$135-AP$135/AP$13),OFFSET(Assumptions!$B$32,0,$C$1))*SIGN($C$135-AP$135/AP$13))*AQ$13</f>
        <v>106.3797689601183</v>
      </c>
      <c r="AR135" s="16">
        <f ca="1">(AQ$135/AQ$13+MIN(ABS($C$135-AQ$135/AQ$13),OFFSET(Assumptions!$B$32,0,$C$1))*SIGN($C$135-AQ$135/AQ$13))*AR$13</f>
        <v>109.97107657381305</v>
      </c>
      <c r="AS135" s="16">
        <f ca="1">(AR$135/AR$13+MIN(ABS($C$135-AR$135/AR$13),OFFSET(Assumptions!$B$32,0,$C$1))*SIGN($C$135-AR$135/AR$13))*AS$13</f>
        <v>113.67477025062166</v>
      </c>
      <c r="AT135" s="16">
        <f ca="1">(AS$135/AS$13+MIN(ABS($C$135-AS$135/AS$13),OFFSET(Assumptions!$B$32,0,$C$1))*SIGN($C$135-AS$135/AS$13))*AT$13</f>
        <v>117.50237505010526</v>
      </c>
      <c r="AU135" s="16">
        <f ca="1">(AT$135/AT$13+MIN(ABS($C$135-AT$135/AT$13),OFFSET(Assumptions!$B$32,0,$C$1))*SIGN($C$135-AT$135/AT$13))*AU$13</f>
        <v>121.45223616758496</v>
      </c>
      <c r="AV135" s="16">
        <f ca="1">(AU$135/AU$13+MIN(ABS($C$135-AU$135/AU$13),OFFSET(Assumptions!$B$32,0,$C$1))*SIGN($C$135-AU$135/AU$13))*AV$13</f>
        <v>125.53555177729939</v>
      </c>
      <c r="AW135" s="16">
        <f ca="1">(AV$135/AV$13+MIN(ABS($C$135-AV$135/AV$13),OFFSET(Assumptions!$B$32,0,$C$1))*SIGN($C$135-AV$135/AV$13))*AW$13</f>
        <v>129.75592075221724</v>
      </c>
      <c r="AX135" s="16">
        <f ca="1">(AW$135/AW$13+MIN(ABS($C$135-AW$135/AW$13),OFFSET(Assumptions!$B$32,0,$C$1))*SIGN($C$135-AW$135/AW$13))*AX$13</f>
        <v>134.11158951813294</v>
      </c>
    </row>
    <row r="136" spans="1:50" x14ac:dyDescent="0.25">
      <c r="A136" s="11" t="s">
        <v>775</v>
      </c>
      <c r="B136" s="10" t="str">
        <f t="shared" si="935"/>
        <v>From Fiscal Forecasts</v>
      </c>
      <c r="C136" s="63" cm="1">
        <f t="array" aca="1" ref="C136" ca="1">SUMPRODUCT(OFFSET($N$136,0,0,1,-OFFSET(Assumptions!$B$31,0,$C$1))/OFFSET($N$13,0,0,1,-OFFSET(Assumptions!$B$31,0,$C$1)))/OFFSET(Assumptions!$B$31,0,$C$1)</f>
        <v>1.0544383130732245E-2</v>
      </c>
      <c r="D136" s="35">
        <f>'Fiscal Forecasts'!D$224</f>
        <v>3.8820000000000001</v>
      </c>
      <c r="E136" s="35">
        <f>'Fiscal Forecasts'!E$224</f>
        <v>3.819</v>
      </c>
      <c r="F136" s="35">
        <f>'Fiscal Forecasts'!F$224</f>
        <v>4.306</v>
      </c>
      <c r="G136" s="35">
        <f>'Fiscal Forecasts'!G$224</f>
        <v>3.823</v>
      </c>
      <c r="H136" s="35">
        <f>'Fiscal Forecasts'!H$224</f>
        <v>2.976</v>
      </c>
      <c r="I136" s="35">
        <f>'Fiscal Forecasts'!I$224</f>
        <v>4.0730000000000004</v>
      </c>
      <c r="J136" s="17">
        <f>'Fiscal Forecasts'!J$224</f>
        <v>4.2720000000000002</v>
      </c>
      <c r="K136" s="17">
        <f>'Fiscal Forecasts'!K$224</f>
        <v>4.5709999999999997</v>
      </c>
      <c r="L136" s="17">
        <f>'Fiscal Forecasts'!L$224</f>
        <v>5.05</v>
      </c>
      <c r="M136" s="17">
        <f>'Fiscal Forecasts'!M$224</f>
        <v>5.6630000000000003</v>
      </c>
      <c r="N136" s="17">
        <f>'Fiscal Forecasts'!N$224</f>
        <v>6.093</v>
      </c>
      <c r="O136" s="16">
        <f ca="1">(N$136/N$13+MIN(ABS($C$136-N$136/N$13),OFFSET(Assumptions!$B$32,0,$C$1))*SIGN($C$136-N$136/N$13))*O$13</f>
        <v>6.0925308206873767</v>
      </c>
      <c r="P136" s="16">
        <f ca="1">(O$136/O$13+MIN(ABS($C$136-O$136/O$13),OFFSET(Assumptions!$B$32,0,$C$1))*SIGN($C$136-O$136/O$13))*P$13</f>
        <v>6.0758730046634115</v>
      </c>
      <c r="Q136" s="16">
        <f ca="1">(P$136/P$13+MIN(ABS($C$136-P$136/P$13),OFFSET(Assumptions!$B$32,0,$C$1))*SIGN($C$136-P$136/P$13))*Q$13</f>
        <v>6.28573885693128</v>
      </c>
      <c r="R136" s="16">
        <f ca="1">(Q$136/Q$13+MIN(ABS($C$136-Q$136/Q$13),OFFSET(Assumptions!$B$32,0,$C$1))*SIGN($C$136-Q$136/Q$13))*R$13</f>
        <v>6.5417771953069526</v>
      </c>
      <c r="S136" s="16">
        <f ca="1">(R$136/R$13+MIN(ABS($C$136-R$136/R$13),OFFSET(Assumptions!$B$32,0,$C$1))*SIGN($C$136-R$136/R$13))*S$13</f>
        <v>6.8060026947775745</v>
      </c>
      <c r="T136" s="16">
        <f ca="1">(S$136/S$13+MIN(ABS($C$136-S$136/S$13),OFFSET(Assumptions!$B$32,0,$C$1))*SIGN($C$136-S$136/S$13))*T$13</f>
        <v>7.0782865898114231</v>
      </c>
      <c r="U136" s="16">
        <f ca="1">(T$136/T$13+MIN(ABS($C$136-T$136/T$13),OFFSET(Assumptions!$B$32,0,$C$1))*SIGN($C$136-T$136/T$13))*U$13</f>
        <v>7.3597252334645162</v>
      </c>
      <c r="V136" s="16">
        <f ca="1">(U$136/U$13+MIN(ABS($C$136-U$136/U$13),OFFSET(Assumptions!$B$32,0,$C$1))*SIGN($C$136-U$136/U$13))*V$13</f>
        <v>7.6503971801676069</v>
      </c>
      <c r="W136" s="16">
        <f ca="1">(V$136/V$13+MIN(ABS($C$136-V$136/V$13),OFFSET(Assumptions!$B$32,0,$C$1))*SIGN($C$136-V$136/V$13))*W$13</f>
        <v>7.9487873695610904</v>
      </c>
      <c r="X136" s="16">
        <f ca="1">(W$136/W$13+MIN(ABS($C$136-W$136/W$13),OFFSET(Assumptions!$B$32,0,$C$1))*SIGN($C$136-W$136/W$13))*X$13</f>
        <v>8.2553792005525963</v>
      </c>
      <c r="Y136" s="16">
        <f ca="1">(X$136/X$13+MIN(ABS($C$136-X$136/X$13),OFFSET(Assumptions!$B$32,0,$C$1))*SIGN($C$136-X$136/X$13))*Y$13</f>
        <v>8.5717785001722877</v>
      </c>
      <c r="Z136" s="16">
        <f ca="1">(Y$136/Y$13+MIN(ABS($C$136-Y$136/Y$13),OFFSET(Assumptions!$B$32,0,$C$1))*SIGN($C$136-Y$136/Y$13))*Z$13</f>
        <v>8.8980398064380832</v>
      </c>
      <c r="AA136" s="16">
        <f ca="1">(Z$136/Z$13+MIN(ABS($C$136-Z$136/Z$13),OFFSET(Assumptions!$B$32,0,$C$1))*SIGN($C$136-Z$136/Z$13))*AA$13</f>
        <v>9.2354975359540639</v>
      </c>
      <c r="AB136" s="16">
        <f ca="1">(AA$136/AA$13+MIN(ABS($C$136-AA$136/AA$13),OFFSET(Assumptions!$B$32,0,$C$1))*SIGN($C$136-AA$136/AA$13))*AB$13</f>
        <v>9.5837935841551314</v>
      </c>
      <c r="AC136" s="16">
        <f ca="1">(AB$136/AB$13+MIN(ABS($C$136-AB$136/AB$13),OFFSET(Assumptions!$B$32,0,$C$1))*SIGN($C$136-AB$136/AB$13))*AC$13</f>
        <v>9.9429189937051081</v>
      </c>
      <c r="AD136" s="16">
        <f ca="1">(AC$136/AC$13+MIN(ABS($C$136-AC$136/AC$13),OFFSET(Assumptions!$B$32,0,$C$1))*SIGN($C$136-AC$136/AC$13))*AD$13</f>
        <v>10.313131141714665</v>
      </c>
      <c r="AE136" s="16">
        <f ca="1">(AD$136/AD$13+MIN(ABS($C$136-AD$136/AD$13),OFFSET(Assumptions!$B$32,0,$C$1))*SIGN($C$136-AD$136/AD$13))*AE$13</f>
        <v>10.694329035271293</v>
      </c>
      <c r="AF136" s="16">
        <f ca="1">(AE$136/AE$13+MIN(ABS($C$136-AE$136/AE$13),OFFSET(Assumptions!$B$32,0,$C$1))*SIGN($C$136-AE$136/AE$13))*AF$13</f>
        <v>11.086602075894454</v>
      </c>
      <c r="AG136" s="16">
        <f ca="1">(AF$136/AF$13+MIN(ABS($C$136-AF$136/AF$13),OFFSET(Assumptions!$B$32,0,$C$1))*SIGN($C$136-AF$136/AF$13))*AG$13</f>
        <v>11.489992530722118</v>
      </c>
      <c r="AH136" s="16">
        <f ca="1">(AG$136/AG$13+MIN(ABS($C$136-AG$136/AG$13),OFFSET(Assumptions!$B$32,0,$C$1))*SIGN($C$136-AG$136/AG$13))*AH$13</f>
        <v>11.904310191801125</v>
      </c>
      <c r="AI136" s="16">
        <f ca="1">(AH$136/AH$13+MIN(ABS($C$136-AH$136/AH$13),OFFSET(Assumptions!$B$32,0,$C$1))*SIGN($C$136-AH$136/AH$13))*AI$13</f>
        <v>12.329947878190206</v>
      </c>
      <c r="AJ136" s="16">
        <f ca="1">(AI$136/AI$13+MIN(ABS($C$136-AI$136/AI$13),OFFSET(Assumptions!$B$32,0,$C$1))*SIGN($C$136-AI$136/AI$13))*AJ$13</f>
        <v>12.767407785276712</v>
      </c>
      <c r="AK136" s="16">
        <f ca="1">(AJ$136/AJ$13+MIN(ABS($C$136-AJ$136/AJ$13),OFFSET(Assumptions!$B$32,0,$C$1))*SIGN($C$136-AJ$136/AJ$13))*AK$13</f>
        <v>13.216109194099596</v>
      </c>
      <c r="AL136" s="16">
        <f ca="1">(AK$136/AK$13+MIN(ABS($C$136-AK$136/AK$13),OFFSET(Assumptions!$B$32,0,$C$1))*SIGN($C$136-AK$136/AK$13))*AL$13</f>
        <v>13.676667624706891</v>
      </c>
      <c r="AM136" s="16">
        <f ca="1">(AL$136/AL$13+MIN(ABS($C$136-AL$136/AL$13),OFFSET(Assumptions!$B$32,0,$C$1))*SIGN($C$136-AL$136/AL$13))*AM$13</f>
        <v>14.149749364372139</v>
      </c>
      <c r="AN136" s="16">
        <f ca="1">(AM$136/AM$13+MIN(ABS($C$136-AM$136/AM$13),OFFSET(Assumptions!$B$32,0,$C$1))*SIGN($C$136-AM$136/AM$13))*AN$13</f>
        <v>14.635892353160974</v>
      </c>
      <c r="AO136" s="16">
        <f ca="1">(AN$136/AN$13+MIN(ABS($C$136-AN$136/AN$13),OFFSET(Assumptions!$B$32,0,$C$1))*SIGN($C$136-AN$136/AN$13))*AO$13</f>
        <v>15.135298693086332</v>
      </c>
      <c r="AP136" s="16">
        <f ca="1">(AO$136/AO$13+MIN(ABS($C$136-AO$136/AO$13),OFFSET(Assumptions!$B$32,0,$C$1))*SIGN($C$136-AO$136/AO$13))*AP$13</f>
        <v>15.649504804432103</v>
      </c>
      <c r="AQ136" s="16">
        <f ca="1">(AP$136/AP$13+MIN(ABS($C$136-AP$136/AP$13),OFFSET(Assumptions!$B$32,0,$C$1))*SIGN($C$136-AP$136/AP$13))*AQ$13</f>
        <v>16.179013091404656</v>
      </c>
      <c r="AR136" s="16">
        <f ca="1">(AQ$136/AQ$13+MIN(ABS($C$136-AQ$136/AQ$13),OFFSET(Assumptions!$B$32,0,$C$1))*SIGN($C$136-AQ$136/AQ$13))*AR$13</f>
        <v>16.725205412230356</v>
      </c>
      <c r="AS136" s="16">
        <f ca="1">(AR$136/AR$13+MIN(ABS($C$136-AR$136/AR$13),OFFSET(Assumptions!$B$32,0,$C$1))*SIGN($C$136-AR$136/AR$13))*AS$13</f>
        <v>17.288490227279201</v>
      </c>
      <c r="AT136" s="16">
        <f ca="1">(AS$136/AS$13+MIN(ABS($C$136-AS$136/AS$13),OFFSET(Assumptions!$B$32,0,$C$1))*SIGN($C$136-AS$136/AS$13))*AT$13</f>
        <v>17.87062035187822</v>
      </c>
      <c r="AU136" s="16">
        <f ca="1">(AT$136/AT$13+MIN(ABS($C$136-AT$136/AT$13),OFFSET(Assumptions!$B$32,0,$C$1))*SIGN($C$136-AT$136/AT$13))*AU$13</f>
        <v>18.471344111232238</v>
      </c>
      <c r="AV136" s="16">
        <f ca="1">(AU$136/AU$13+MIN(ABS($C$136-AU$136/AU$13),OFFSET(Assumptions!$B$32,0,$C$1))*SIGN($C$136-AU$136/AU$13))*AV$13</f>
        <v>19.092364605558316</v>
      </c>
      <c r="AW136" s="16">
        <f ca="1">(AV$136/AV$13+MIN(ABS($C$136-AV$136/AV$13),OFFSET(Assumptions!$B$32,0,$C$1))*SIGN($C$136-AV$136/AV$13))*AW$13</f>
        <v>19.734229177771784</v>
      </c>
      <c r="AX136" s="16">
        <f ca="1">(AW$136/AW$13+MIN(ABS($C$136-AW$136/AW$13),OFFSET(Assumptions!$B$32,0,$C$1))*SIGN($C$136-AW$136/AW$13))*AX$13</f>
        <v>20.396671131485672</v>
      </c>
    </row>
    <row r="137" spans="1:50" x14ac:dyDescent="0.25">
      <c r="A137" s="11" t="s">
        <v>623</v>
      </c>
      <c r="B137" s="10" t="str">
        <f t="shared" si="935"/>
        <v>From Fiscal Forecasts</v>
      </c>
      <c r="C137" s="63"/>
      <c r="D137" s="35">
        <f>'Fiscal Forecasts'!D$225</f>
        <v>3.585</v>
      </c>
      <c r="E137" s="35">
        <f>'Fiscal Forecasts'!E$225</f>
        <v>3.6949999999999998</v>
      </c>
      <c r="F137" s="35">
        <f>'Fiscal Forecasts'!F$225</f>
        <v>3.3780000000000001</v>
      </c>
      <c r="G137" s="35">
        <f>'Fiscal Forecasts'!G$225</f>
        <v>3.5670000000000002</v>
      </c>
      <c r="H137" s="35">
        <f>'Fiscal Forecasts'!H$225</f>
        <v>3.532</v>
      </c>
      <c r="I137" s="35">
        <f>'Fiscal Forecasts'!I$225</f>
        <v>3.3140000000000001</v>
      </c>
      <c r="J137" s="17">
        <f>'Fiscal Forecasts'!J$225</f>
        <v>3.403</v>
      </c>
      <c r="K137" s="17">
        <f>'Fiscal Forecasts'!K$225</f>
        <v>3.399</v>
      </c>
      <c r="L137" s="17">
        <f>'Fiscal Forecasts'!L$225</f>
        <v>3.39</v>
      </c>
      <c r="M137" s="17">
        <f>'Fiscal Forecasts'!M$225</f>
        <v>3.39</v>
      </c>
      <c r="N137" s="17">
        <f>'Fiscal Forecasts'!N$225</f>
        <v>3.4140000000000001</v>
      </c>
      <c r="O137" s="16">
        <f t="shared" ref="O137:AX137" ca="1" si="936">N$137*(1+O$19)*(1+O$29)</f>
        <v>3.5291284419827691</v>
      </c>
      <c r="P137" s="16">
        <f t="shared" ca="1" si="936"/>
        <v>3.6460216801803562</v>
      </c>
      <c r="Q137" s="16">
        <f t="shared" ca="1" si="936"/>
        <v>3.7653533550500082</v>
      </c>
      <c r="R137" s="16">
        <f t="shared" ca="1" si="936"/>
        <v>3.8863948583927796</v>
      </c>
      <c r="S137" s="16">
        <f t="shared" ca="1" si="936"/>
        <v>4.0104994166115082</v>
      </c>
      <c r="T137" s="16">
        <f t="shared" ca="1" si="936"/>
        <v>4.1363966497229798</v>
      </c>
      <c r="U137" s="16">
        <f t="shared" ca="1" si="936"/>
        <v>4.2659059633200416</v>
      </c>
      <c r="V137" s="16">
        <f t="shared" ca="1" si="936"/>
        <v>4.3979334786188176</v>
      </c>
      <c r="W137" s="16">
        <f t="shared" ca="1" si="936"/>
        <v>4.5291833732274807</v>
      </c>
      <c r="X137" s="16">
        <f t="shared" ca="1" si="936"/>
        <v>4.663194824340736</v>
      </c>
      <c r="Y137" s="16">
        <f t="shared" ca="1" si="936"/>
        <v>4.8012571597133293</v>
      </c>
      <c r="Z137" s="16">
        <f t="shared" ca="1" si="936"/>
        <v>4.9423412756783014</v>
      </c>
      <c r="AA137" s="16">
        <f t="shared" ca="1" si="936"/>
        <v>5.0866548903863027</v>
      </c>
      <c r="AB137" s="16">
        <f t="shared" ca="1" si="936"/>
        <v>5.2340635376673603</v>
      </c>
      <c r="AC137" s="16">
        <f t="shared" ca="1" si="936"/>
        <v>5.3847199279268789</v>
      </c>
      <c r="AD137" s="16">
        <f t="shared" ca="1" si="936"/>
        <v>5.5386827286059477</v>
      </c>
      <c r="AE137" s="16">
        <f t="shared" ca="1" si="936"/>
        <v>5.6960951788971164</v>
      </c>
      <c r="AF137" s="16">
        <f t="shared" ca="1" si="936"/>
        <v>5.8569798576147516</v>
      </c>
      <c r="AG137" s="16">
        <f t="shared" ca="1" si="936"/>
        <v>6.0216075037937946</v>
      </c>
      <c r="AH137" s="16">
        <f t="shared" ca="1" si="936"/>
        <v>6.1899218569716137</v>
      </c>
      <c r="AI137" s="16">
        <f t="shared" ca="1" si="936"/>
        <v>6.362412794323733</v>
      </c>
      <c r="AJ137" s="16">
        <f t="shared" ca="1" si="936"/>
        <v>6.5390499347834785</v>
      </c>
      <c r="AK137" s="16">
        <f t="shared" ca="1" si="936"/>
        <v>6.7202193880337413</v>
      </c>
      <c r="AL137" s="16">
        <f t="shared" ca="1" si="936"/>
        <v>6.9060560838470595</v>
      </c>
      <c r="AM137" s="16">
        <f t="shared" ca="1" si="936"/>
        <v>7.096711771927894</v>
      </c>
      <c r="AN137" s="16">
        <f t="shared" ca="1" si="936"/>
        <v>7.2924940606174262</v>
      </c>
      <c r="AO137" s="16">
        <f t="shared" ca="1" si="936"/>
        <v>7.4933583066222287</v>
      </c>
      <c r="AP137" s="16">
        <f t="shared" ca="1" si="936"/>
        <v>7.6997437337095036</v>
      </c>
      <c r="AQ137" s="16">
        <f t="shared" ca="1" si="936"/>
        <v>7.9113872345576235</v>
      </c>
      <c r="AR137" s="16">
        <f t="shared" ca="1" si="936"/>
        <v>8.1288500382452664</v>
      </c>
      <c r="AS137" s="16">
        <f t="shared" ca="1" si="936"/>
        <v>8.3517224502632921</v>
      </c>
      <c r="AT137" s="16">
        <f t="shared" ca="1" si="936"/>
        <v>8.5801313828449732</v>
      </c>
      <c r="AU137" s="16">
        <f t="shared" ca="1" si="936"/>
        <v>8.8144797311051502</v>
      </c>
      <c r="AV137" s="16">
        <f t="shared" ca="1" si="936"/>
        <v>9.0544034049864983</v>
      </c>
      <c r="AW137" s="16">
        <f t="shared" ca="1" si="936"/>
        <v>9.3002486791821681</v>
      </c>
      <c r="AX137" s="16">
        <f t="shared" ca="1" si="936"/>
        <v>9.5517720925315626</v>
      </c>
    </row>
    <row r="138" spans="1:50" x14ac:dyDescent="0.25">
      <c r="A138" s="9" t="s">
        <v>829</v>
      </c>
      <c r="B138" s="10"/>
      <c r="C138" s="13"/>
      <c r="D138" s="64">
        <f t="shared" ref="D138:AX138" si="937">SUM(D$132:D$137)</f>
        <v>85.722999999999999</v>
      </c>
      <c r="E138" s="64">
        <f t="shared" si="937"/>
        <v>84.521000000000001</v>
      </c>
      <c r="F138" s="64">
        <f t="shared" si="937"/>
        <v>97.361999999999995</v>
      </c>
      <c r="G138" s="64">
        <f t="shared" si="937"/>
        <v>107.87299999999999</v>
      </c>
      <c r="H138" s="64">
        <f t="shared" si="937"/>
        <v>111.712</v>
      </c>
      <c r="I138" s="64">
        <f t="shared" si="937"/>
        <v>119.89999999999998</v>
      </c>
      <c r="J138" s="65">
        <f t="shared" si="937"/>
        <v>120.16000000000003</v>
      </c>
      <c r="K138" s="65">
        <f t="shared" si="937"/>
        <v>124.21</v>
      </c>
      <c r="L138" s="65">
        <f t="shared" si="937"/>
        <v>132.09699999999998</v>
      </c>
      <c r="M138" s="65">
        <f t="shared" si="937"/>
        <v>139.47999999999999</v>
      </c>
      <c r="N138" s="65">
        <f t="shared" si="937"/>
        <v>147.05399999999997</v>
      </c>
      <c r="O138" s="66">
        <f t="shared" ca="1" si="937"/>
        <v>153.1425195999006</v>
      </c>
      <c r="P138" s="66">
        <f t="shared" ca="1" si="937"/>
        <v>159.66296703414716</v>
      </c>
      <c r="Q138" s="66">
        <f t="shared" ca="1" si="937"/>
        <v>166.3876462597695</v>
      </c>
      <c r="R138" s="66">
        <f t="shared" ca="1" si="937"/>
        <v>173.13281622372315</v>
      </c>
      <c r="S138" s="66">
        <f t="shared" ca="1" si="937"/>
        <v>180.09286442290707</v>
      </c>
      <c r="T138" s="66">
        <f t="shared" ca="1" si="937"/>
        <v>187.26318910349443</v>
      </c>
      <c r="U138" s="66">
        <f t="shared" ca="1" si="937"/>
        <v>194.67397410871394</v>
      </c>
      <c r="V138" s="66">
        <f t="shared" ca="1" si="937"/>
        <v>202.32615789073557</v>
      </c>
      <c r="W138" s="66">
        <f t="shared" ca="1" si="937"/>
        <v>210.17724755023258</v>
      </c>
      <c r="X138" s="66">
        <f t="shared" ca="1" si="937"/>
        <v>218.24328858076686</v>
      </c>
      <c r="Y138" s="66">
        <f t="shared" ca="1" si="937"/>
        <v>226.56711566849847</v>
      </c>
      <c r="Z138" s="66">
        <f t="shared" ca="1" si="937"/>
        <v>235.1491106970328</v>
      </c>
      <c r="AA138" s="66">
        <f t="shared" ca="1" si="937"/>
        <v>244.02400491354157</v>
      </c>
      <c r="AB138" s="66">
        <f t="shared" ca="1" si="937"/>
        <v>253.18239910401823</v>
      </c>
      <c r="AC138" s="66">
        <f t="shared" ca="1" si="937"/>
        <v>262.62421423800504</v>
      </c>
      <c r="AD138" s="66">
        <f t="shared" ca="1" si="937"/>
        <v>272.35616774762173</v>
      </c>
      <c r="AE138" s="66">
        <f t="shared" ca="1" si="937"/>
        <v>282.37579002106997</v>
      </c>
      <c r="AF138" s="66">
        <f t="shared" ca="1" si="937"/>
        <v>292.68541659995441</v>
      </c>
      <c r="AG138" s="66">
        <f t="shared" ca="1" si="937"/>
        <v>303.28641174294978</v>
      </c>
      <c r="AH138" s="66">
        <f t="shared" ca="1" si="937"/>
        <v>314.17379820032278</v>
      </c>
      <c r="AI138" s="66">
        <f t="shared" ca="1" si="937"/>
        <v>325.35822871752646</v>
      </c>
      <c r="AJ138" s="66">
        <f t="shared" ca="1" si="937"/>
        <v>336.85266552537871</v>
      </c>
      <c r="AK138" s="66">
        <f t="shared" ca="1" si="937"/>
        <v>348.6424705890463</v>
      </c>
      <c r="AL138" s="66">
        <f t="shared" ca="1" si="937"/>
        <v>360.74370334356928</v>
      </c>
      <c r="AM138" s="66">
        <f t="shared" ca="1" si="937"/>
        <v>373.17375347465685</v>
      </c>
      <c r="AN138" s="66">
        <f t="shared" ca="1" si="937"/>
        <v>385.94684597552879</v>
      </c>
      <c r="AO138" s="66">
        <f t="shared" ca="1" si="937"/>
        <v>399.06816491084356</v>
      </c>
      <c r="AP138" s="66">
        <f t="shared" ca="1" si="937"/>
        <v>412.57789919730328</v>
      </c>
      <c r="AQ138" s="66">
        <f t="shared" ca="1" si="937"/>
        <v>426.48878374195857</v>
      </c>
      <c r="AR138" s="66">
        <f t="shared" ca="1" si="937"/>
        <v>440.83713069487879</v>
      </c>
      <c r="AS138" s="66">
        <f t="shared" ca="1" si="937"/>
        <v>455.63309789600737</v>
      </c>
      <c r="AT138" s="66">
        <f t="shared" ca="1" si="937"/>
        <v>470.92216044241411</v>
      </c>
      <c r="AU138" s="66">
        <f t="shared" ca="1" si="937"/>
        <v>486.69820999271661</v>
      </c>
      <c r="AV138" s="66">
        <f t="shared" ca="1" si="937"/>
        <v>503.00494443089912</v>
      </c>
      <c r="AW138" s="66">
        <f t="shared" ca="1" si="937"/>
        <v>519.85687068355617</v>
      </c>
      <c r="AX138" s="66">
        <f t="shared" ca="1" si="937"/>
        <v>537.24684542000557</v>
      </c>
    </row>
    <row r="139" spans="1:50" x14ac:dyDescent="0.25">
      <c r="A139" s="11" t="s">
        <v>776</v>
      </c>
      <c r="B139" s="10" t="str">
        <f t="shared" si="935"/>
        <v>From Fiscal Forecasts</v>
      </c>
      <c r="C139" s="63" cm="1">
        <f t="array" aca="1" ref="C139" ca="1">SUMPRODUCT(OFFSET($N$139,0,0,1,-OFFSET(Assumptions!$B$31,0,$C$1))/OFFSET($N$13,0,0,1,-OFFSET(Assumptions!$B$31,0,$C$1)))/OFFSET(Assumptions!$B$31,0,$C$1)</f>
        <v>-1.8075933684058583E-3</v>
      </c>
      <c r="D139" s="35">
        <f>D$138-'Fiscal Forecasts'!D$163</f>
        <v>-0.74500000000000455</v>
      </c>
      <c r="E139" s="35">
        <f>E$138-'Fiscal Forecasts'!E$163</f>
        <v>-0.58100000000000307</v>
      </c>
      <c r="F139" s="35">
        <f>F$138-'Fiscal Forecasts'!F$163</f>
        <v>-0.62100000000000932</v>
      </c>
      <c r="G139" s="35">
        <f>G$138-'Fiscal Forecasts'!G$163</f>
        <v>-0.58500000000000796</v>
      </c>
      <c r="H139" s="35">
        <f>H$138-'Fiscal Forecasts'!H$163</f>
        <v>-0.6460000000000008</v>
      </c>
      <c r="I139" s="35">
        <f>I$138-'Fiscal Forecasts'!I$163</f>
        <v>-0.66600000000002524</v>
      </c>
      <c r="J139" s="17">
        <f>J$138-'Fiscal Forecasts'!J$163</f>
        <v>-0.73399999999998045</v>
      </c>
      <c r="K139" s="17">
        <f>K$138-'Fiscal Forecasts'!K$163</f>
        <v>-0.83400000000000318</v>
      </c>
      <c r="L139" s="17">
        <f>L$138-'Fiscal Forecasts'!L$163</f>
        <v>-0.92100000000002069</v>
      </c>
      <c r="M139" s="17">
        <f>M$138-'Fiscal Forecasts'!M$163</f>
        <v>-1.0110000000000241</v>
      </c>
      <c r="N139" s="17">
        <f>N$138-'Fiscal Forecasts'!N$163</f>
        <v>-1.146000000000015</v>
      </c>
      <c r="O139" s="16">
        <f ca="1">(N$139/N$13+MIN(ABS($C$139-N$139/N$13),OFFSET(Assumptions!$B$32,0,$C$1))*SIGN($C$139-N$139/N$13))*O$13</f>
        <v>-0.98990237376412271</v>
      </c>
      <c r="P139" s="16">
        <f ca="1">(O$139/O$13+MIN(ABS($C$139-O$139/O$13),OFFSET(Assumptions!$B$32,0,$C$1))*SIGN($C$139-O$139/O$13))*P$13</f>
        <v>-1.033651437796012</v>
      </c>
      <c r="Q139" s="16">
        <f ca="1">(P$139/P$13+MIN(ABS($C$139-P$139/P$13),OFFSET(Assumptions!$B$32,0,$C$1))*SIGN($C$139-P$139/P$13))*Q$13</f>
        <v>-1.0775461904646264</v>
      </c>
      <c r="R139" s="16">
        <f ca="1">(Q$139/Q$13+MIN(ABS($C$139-Q$139/Q$13),OFFSET(Assumptions!$B$32,0,$C$1))*SIGN($C$139-Q$139/Q$13))*R$13</f>
        <v>-1.1214381087274048</v>
      </c>
      <c r="S139" s="16">
        <f ca="1">(R$139/R$13+MIN(ABS($C$139-R$139/R$13),OFFSET(Assumptions!$B$32,0,$C$1))*SIGN($C$139-R$139/R$13))*S$13</f>
        <v>-1.1667335285433629</v>
      </c>
      <c r="T139" s="16">
        <f ca="1">(S$139/S$13+MIN(ABS($C$139-S$139/S$13),OFFSET(Assumptions!$B$32,0,$C$1))*SIGN($C$139-S$139/S$13))*T$13</f>
        <v>-1.2134103760065793</v>
      </c>
      <c r="U139" s="16">
        <f ca="1">(T$139/T$13+MIN(ABS($C$139-T$139/T$13),OFFSET(Assumptions!$B$32,0,$C$1))*SIGN($C$139-T$139/T$13))*U$13</f>
        <v>-1.2616565957781045</v>
      </c>
      <c r="V139" s="16">
        <f ca="1">(U$139/U$13+MIN(ABS($C$139-U$139/U$13),OFFSET(Assumptions!$B$32,0,$C$1))*SIGN($C$139-U$139/U$13))*V$13</f>
        <v>-1.3114856542187798</v>
      </c>
      <c r="W139" s="16">
        <f ca="1">(V$139/V$13+MIN(ABS($C$139-V$139/V$13),OFFSET(Assumptions!$B$32,0,$C$1))*SIGN($C$139-V$139/V$13))*W$13</f>
        <v>-1.3626378288749725</v>
      </c>
      <c r="X139" s="16">
        <f ca="1">(W$139/W$13+MIN(ABS($C$139-W$139/W$13),OFFSET(Assumptions!$B$32,0,$C$1))*SIGN($C$139-W$139/W$13))*X$13</f>
        <v>-1.4151959874354696</v>
      </c>
      <c r="Y139" s="16">
        <f ca="1">(X$139/X$13+MIN(ABS($C$139-X$139/X$13),OFFSET(Assumptions!$B$32,0,$C$1))*SIGN($C$139-X$139/X$13))*Y$13</f>
        <v>-1.4694354122240012</v>
      </c>
      <c r="Z139" s="16">
        <f ca="1">(Y$139/Y$13+MIN(ABS($C$139-Y$139/Y$13),OFFSET(Assumptions!$B$32,0,$C$1))*SIGN($C$139-Y$139/Y$13))*Z$13</f>
        <v>-1.5253654525366136</v>
      </c>
      <c r="AA139" s="16">
        <f ca="1">(Z$139/Z$13+MIN(ABS($C$139-Z$139/Z$13),OFFSET(Assumptions!$B$32,0,$C$1))*SIGN($C$139-Z$139/Z$13))*AA$13</f>
        <v>-1.5832148635858521</v>
      </c>
      <c r="AB139" s="16">
        <f ca="1">(AA$139/AA$13+MIN(ABS($C$139-AA$139/AA$13),OFFSET(Assumptions!$B$32,0,$C$1))*SIGN($C$139-AA$139/AA$13))*AB$13</f>
        <v>-1.6429222565328394</v>
      </c>
      <c r="AC139" s="16">
        <f ca="1">(AB$139/AB$13+MIN(ABS($C$139-AB$139/AB$13),OFFSET(Assumptions!$B$32,0,$C$1))*SIGN($C$139-AB$139/AB$13))*AC$13</f>
        <v>-1.7044860958471166</v>
      </c>
      <c r="AD139" s="16">
        <f ca="1">(AC$139/AC$13+MIN(ABS($C$139-AC$139/AC$13),OFFSET(Assumptions!$B$32,0,$C$1))*SIGN($C$139-AC$139/AC$13))*AD$13</f>
        <v>-1.7679505029488427</v>
      </c>
      <c r="AE139" s="16">
        <f ca="1">(AD$139/AD$13+MIN(ABS($C$139-AD$139/AD$13),OFFSET(Assumptions!$B$32,0,$C$1))*SIGN($C$139-AD$139/AD$13))*AE$13</f>
        <v>-1.8332981649125817</v>
      </c>
      <c r="AF139" s="16">
        <f ca="1">(AE$139/AE$13+MIN(ABS($C$139-AE$139/AE$13),OFFSET(Assumptions!$B$32,0,$C$1))*SIGN($C$139-AE$139/AE$13))*AF$13</f>
        <v>-1.9005444075844931</v>
      </c>
      <c r="AG139" s="16">
        <f ca="1">(AF$139/AF$13+MIN(ABS($C$139-AF$139/AF$13),OFFSET(Assumptions!$B$32,0,$C$1))*SIGN($C$139-AF$139/AF$13))*AG$13</f>
        <v>-1.9696964766988549</v>
      </c>
      <c r="AH139" s="16">
        <f ca="1">(AG$139/AG$13+MIN(ABS($C$139-AG$139/AG$13),OFFSET(Assumptions!$B$32,0,$C$1))*SIGN($C$139-AG$139/AG$13))*AH$13</f>
        <v>-2.0407217654516003</v>
      </c>
      <c r="AI139" s="16">
        <f ca="1">(AH$139/AH$13+MIN(ABS($C$139-AH$139/AH$13),OFFSET(Assumptions!$B$32,0,$C$1))*SIGN($C$139-AH$139/AH$13))*AI$13</f>
        <v>-2.1136876136877207</v>
      </c>
      <c r="AJ139" s="16">
        <f ca="1">(AI$139/AI$13+MIN(ABS($C$139-AI$139/AI$13),OFFSET(Assumptions!$B$32,0,$C$1))*SIGN($C$139-AI$139/AI$13))*AJ$13</f>
        <v>-2.1886801113226295</v>
      </c>
      <c r="AK139" s="16">
        <f ca="1">(AJ$139/AJ$13+MIN(ABS($C$139-AJ$139/AJ$13),OFFSET(Assumptions!$B$32,0,$C$1))*SIGN($C$139-AJ$139/AJ$13))*AK$13</f>
        <v>-2.2655997073698089</v>
      </c>
      <c r="AL139" s="16">
        <f ca="1">(AK$139/AK$13+MIN(ABS($C$139-AK$139/AK$13),OFFSET(Assumptions!$B$32,0,$C$1))*SIGN($C$139-AK$139/AK$13))*AL$13</f>
        <v>-2.3445519186663404</v>
      </c>
      <c r="AM139" s="16">
        <f ca="1">(AL$139/AL$13+MIN(ABS($C$139-AL$139/AL$13),OFFSET(Assumptions!$B$32,0,$C$1))*SIGN($C$139-AL$139/AL$13))*AM$13</f>
        <v>-2.4256509649292224</v>
      </c>
      <c r="AN139" s="16">
        <f ca="1">(AM$139/AM$13+MIN(ABS($C$139-AM$139/AM$13),OFFSET(Assumptions!$B$32,0,$C$1))*SIGN($C$139-AM$139/AM$13))*AN$13</f>
        <v>-2.5089890636815841</v>
      </c>
      <c r="AO139" s="16">
        <f ca="1">(AN$139/AN$13+MIN(ABS($C$139-AN$139/AN$13),OFFSET(Assumptions!$B$32,0,$C$1))*SIGN($C$139-AN$139/AN$13))*AO$13</f>
        <v>-2.5946008606920588</v>
      </c>
      <c r="AP139" s="16">
        <f ca="1">(AO$139/AO$13+MIN(ABS($C$139-AO$139/AO$13),OFFSET(Assumptions!$B$32,0,$C$1))*SIGN($C$139-AO$139/AO$13))*AP$13</f>
        <v>-2.6827497400848577</v>
      </c>
      <c r="AQ139" s="16">
        <f ca="1">(AP$139/AP$13+MIN(ABS($C$139-AP$139/AP$13),OFFSET(Assumptions!$B$32,0,$C$1))*SIGN($C$139-AP$139/AP$13))*AQ$13</f>
        <v>-2.7735218275726408</v>
      </c>
      <c r="AR139" s="16">
        <f ca="1">(AQ$139/AQ$13+MIN(ABS($C$139-AQ$139/AQ$13),OFFSET(Assumptions!$B$32,0,$C$1))*SIGN($C$139-AQ$139/AQ$13))*AR$13</f>
        <v>-2.8671540111492417</v>
      </c>
      <c r="AS139" s="16">
        <f ca="1">(AR$139/AR$13+MIN(ABS($C$139-AR$139/AR$13),OFFSET(Assumptions!$B$32,0,$C$1))*SIGN($C$139-AR$139/AR$13))*AS$13</f>
        <v>-2.9637163120047973</v>
      </c>
      <c r="AT139" s="16">
        <f ca="1">(AS$139/AS$13+MIN(ABS($C$139-AS$139/AS$13),OFFSET(Assumptions!$B$32,0,$C$1))*SIGN($C$139-AS$139/AS$13))*AT$13</f>
        <v>-3.0635092102453405</v>
      </c>
      <c r="AU139" s="16">
        <f ca="1">(AT$139/AT$13+MIN(ABS($C$139-AT$139/AT$13),OFFSET(Assumptions!$B$32,0,$C$1))*SIGN($C$139-AT$139/AT$13))*AU$13</f>
        <v>-3.166489561982309</v>
      </c>
      <c r="AV139" s="16">
        <f ca="1">(AU$139/AU$13+MIN(ABS($C$139-AU$139/AU$13),OFFSET(Assumptions!$B$32,0,$C$1))*SIGN($C$139-AU$139/AU$13))*AV$13</f>
        <v>-3.2729493248029713</v>
      </c>
      <c r="AW139" s="16">
        <f ca="1">(AV$139/AV$13+MIN(ABS($C$139-AV$139/AV$13),OFFSET(Assumptions!$B$32,0,$C$1))*SIGN($C$139-AV$139/AV$13))*AW$13</f>
        <v>-3.382982328134021</v>
      </c>
      <c r="AX139" s="16">
        <f ca="1">(AW$139/AW$13+MIN(ABS($C$139-AW$139/AW$13),OFFSET(Assumptions!$B$32,0,$C$1))*SIGN($C$139-AW$139/AW$13))*AX$13</f>
        <v>-3.4965428529784832</v>
      </c>
    </row>
    <row r="140" spans="1:50" x14ac:dyDescent="0.25">
      <c r="A140" s="9" t="s">
        <v>777</v>
      </c>
      <c r="B140" s="9"/>
      <c r="C140" s="13"/>
      <c r="D140" s="64">
        <f t="shared" ref="D140:AX140" si="938">D$138-D$139</f>
        <v>86.468000000000004</v>
      </c>
      <c r="E140" s="64">
        <f t="shared" si="938"/>
        <v>85.102000000000004</v>
      </c>
      <c r="F140" s="64">
        <f t="shared" si="938"/>
        <v>97.983000000000004</v>
      </c>
      <c r="G140" s="64">
        <f t="shared" si="938"/>
        <v>108.458</v>
      </c>
      <c r="H140" s="64">
        <f t="shared" si="938"/>
        <v>112.358</v>
      </c>
      <c r="I140" s="64">
        <f t="shared" si="938"/>
        <v>120.566</v>
      </c>
      <c r="J140" s="65">
        <f t="shared" si="938"/>
        <v>120.89400000000001</v>
      </c>
      <c r="K140" s="65">
        <f t="shared" si="938"/>
        <v>125.044</v>
      </c>
      <c r="L140" s="65">
        <f t="shared" si="938"/>
        <v>133.018</v>
      </c>
      <c r="M140" s="65">
        <f t="shared" si="938"/>
        <v>140.49100000000001</v>
      </c>
      <c r="N140" s="65">
        <f t="shared" si="938"/>
        <v>148.19999999999999</v>
      </c>
      <c r="O140" s="66">
        <f t="shared" ca="1" si="938"/>
        <v>154.13242197366472</v>
      </c>
      <c r="P140" s="66">
        <f t="shared" ca="1" si="938"/>
        <v>160.69661847194317</v>
      </c>
      <c r="Q140" s="66">
        <f t="shared" ca="1" si="938"/>
        <v>167.46519245023413</v>
      </c>
      <c r="R140" s="66">
        <f t="shared" ca="1" si="938"/>
        <v>174.25425433245056</v>
      </c>
      <c r="S140" s="66">
        <f t="shared" ca="1" si="938"/>
        <v>181.25959795145044</v>
      </c>
      <c r="T140" s="66">
        <f t="shared" ca="1" si="938"/>
        <v>188.476599479501</v>
      </c>
      <c r="U140" s="66">
        <f t="shared" ca="1" si="938"/>
        <v>195.93563070449204</v>
      </c>
      <c r="V140" s="66">
        <f t="shared" ca="1" si="938"/>
        <v>203.63764354495436</v>
      </c>
      <c r="W140" s="66">
        <f t="shared" ca="1" si="938"/>
        <v>211.53988537910755</v>
      </c>
      <c r="X140" s="66">
        <f t="shared" ca="1" si="938"/>
        <v>219.65848456820234</v>
      </c>
      <c r="Y140" s="66">
        <f t="shared" ca="1" si="938"/>
        <v>228.03655108072246</v>
      </c>
      <c r="Z140" s="66">
        <f t="shared" ca="1" si="938"/>
        <v>236.67447614956941</v>
      </c>
      <c r="AA140" s="66">
        <f t="shared" ca="1" si="938"/>
        <v>245.60721977712743</v>
      </c>
      <c r="AB140" s="66">
        <f t="shared" ca="1" si="938"/>
        <v>254.82532136055107</v>
      </c>
      <c r="AC140" s="66">
        <f t="shared" ca="1" si="938"/>
        <v>264.32870033385217</v>
      </c>
      <c r="AD140" s="66">
        <f t="shared" ca="1" si="938"/>
        <v>274.12411825057058</v>
      </c>
      <c r="AE140" s="66">
        <f t="shared" ca="1" si="938"/>
        <v>284.20908818598258</v>
      </c>
      <c r="AF140" s="66">
        <f t="shared" ca="1" si="938"/>
        <v>294.58596100753891</v>
      </c>
      <c r="AG140" s="66">
        <f t="shared" ca="1" si="938"/>
        <v>305.25610821964864</v>
      </c>
      <c r="AH140" s="66">
        <f t="shared" ca="1" si="938"/>
        <v>316.2145199657744</v>
      </c>
      <c r="AI140" s="66">
        <f t="shared" ca="1" si="938"/>
        <v>327.47191633121417</v>
      </c>
      <c r="AJ140" s="66">
        <f t="shared" ca="1" si="938"/>
        <v>339.04134563670135</v>
      </c>
      <c r="AK140" s="66">
        <f t="shared" ca="1" si="938"/>
        <v>350.9080702964161</v>
      </c>
      <c r="AL140" s="66">
        <f t="shared" ca="1" si="938"/>
        <v>363.08825526223563</v>
      </c>
      <c r="AM140" s="66">
        <f t="shared" ca="1" si="938"/>
        <v>375.59940443958607</v>
      </c>
      <c r="AN140" s="66">
        <f t="shared" ca="1" si="938"/>
        <v>388.4558350392104</v>
      </c>
      <c r="AO140" s="66">
        <f t="shared" ca="1" si="938"/>
        <v>401.66276577153565</v>
      </c>
      <c r="AP140" s="66">
        <f t="shared" ca="1" si="938"/>
        <v>415.26064893738811</v>
      </c>
      <c r="AQ140" s="66">
        <f t="shared" ca="1" si="938"/>
        <v>429.26230556953124</v>
      </c>
      <c r="AR140" s="66">
        <f t="shared" ca="1" si="938"/>
        <v>443.70428470602803</v>
      </c>
      <c r="AS140" s="66">
        <f t="shared" ca="1" si="938"/>
        <v>458.59681420801218</v>
      </c>
      <c r="AT140" s="66">
        <f t="shared" ca="1" si="938"/>
        <v>473.98566965265945</v>
      </c>
      <c r="AU140" s="66">
        <f t="shared" ca="1" si="938"/>
        <v>489.86469955469892</v>
      </c>
      <c r="AV140" s="66">
        <f t="shared" ca="1" si="938"/>
        <v>506.27789375570211</v>
      </c>
      <c r="AW140" s="66">
        <f t="shared" ca="1" si="938"/>
        <v>523.23985301169023</v>
      </c>
      <c r="AX140" s="66">
        <f t="shared" ca="1" si="938"/>
        <v>540.74338827298402</v>
      </c>
    </row>
    <row r="141" spans="1:50" x14ac:dyDescent="0.25">
      <c r="A141" s="9"/>
      <c r="B141" s="9"/>
      <c r="C141" s="13"/>
      <c r="D141" s="67"/>
      <c r="E141" s="67"/>
      <c r="F141" s="67"/>
      <c r="G141" s="67"/>
      <c r="H141" s="67"/>
      <c r="I141" s="67"/>
      <c r="J141" s="68"/>
      <c r="K141" s="68"/>
      <c r="L141" s="68"/>
      <c r="M141" s="68"/>
      <c r="N141" s="68"/>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row>
    <row r="142" spans="1:50" x14ac:dyDescent="0.25">
      <c r="A142" s="9" t="s">
        <v>625</v>
      </c>
      <c r="B142" s="9"/>
      <c r="C142" s="13"/>
      <c r="D142" s="67"/>
      <c r="E142" s="67"/>
      <c r="F142" s="67"/>
      <c r="G142" s="67"/>
      <c r="H142" s="67"/>
      <c r="I142" s="67"/>
      <c r="J142" s="68"/>
      <c r="K142" s="68"/>
      <c r="L142" s="68"/>
      <c r="M142" s="68"/>
      <c r="N142" s="68"/>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row>
    <row r="143" spans="1:50" x14ac:dyDescent="0.25">
      <c r="A143" s="11" t="s">
        <v>778</v>
      </c>
      <c r="B143" s="10" t="str">
        <f>$B$38</f>
        <v>From Fiscal Forecasts</v>
      </c>
      <c r="C143" s="13"/>
      <c r="D143" s="35">
        <f>'Fiscal Forecasts'!D$229</f>
        <v>0.84599999999999997</v>
      </c>
      <c r="E143" s="35">
        <f>'Fiscal Forecasts'!E$229</f>
        <v>1.0429999999999999</v>
      </c>
      <c r="F143" s="35">
        <f>'Fiscal Forecasts'!F$229</f>
        <v>1.6339999999999999</v>
      </c>
      <c r="G143" s="35">
        <f>'Fiscal Forecasts'!G$229</f>
        <v>3.0059999999999998</v>
      </c>
      <c r="H143" s="35">
        <f>'Fiscal Forecasts'!H$229</f>
        <v>1.5820000000000001</v>
      </c>
      <c r="I143" s="35">
        <f>'Fiscal Forecasts'!I$229</f>
        <v>1.69</v>
      </c>
      <c r="J143" s="17">
        <f>'Fiscal Forecasts'!J$229</f>
        <v>2.4350000000000001</v>
      </c>
      <c r="K143" s="17">
        <f>'Fiscal Forecasts'!K$229</f>
        <v>2.2149999999999999</v>
      </c>
      <c r="L143" s="17">
        <f>'Fiscal Forecasts'!L$229</f>
        <v>2.1240000000000001</v>
      </c>
      <c r="M143" s="17">
        <f>'Fiscal Forecasts'!M$229</f>
        <v>2.073</v>
      </c>
      <c r="N143" s="17">
        <f>'Fiscal Forecasts'!N$229</f>
        <v>2.0630000000000002</v>
      </c>
      <c r="O143" s="16">
        <f t="shared" ref="O143" si="939">N$143</f>
        <v>2.0630000000000002</v>
      </c>
      <c r="P143" s="16">
        <f t="shared" ref="P143" si="940">O$143</f>
        <v>2.0630000000000002</v>
      </c>
      <c r="Q143" s="16">
        <f t="shared" ref="Q143" si="941">P$143</f>
        <v>2.0630000000000002</v>
      </c>
      <c r="R143" s="16">
        <f t="shared" ref="R143" si="942">Q$143</f>
        <v>2.0630000000000002</v>
      </c>
      <c r="S143" s="16">
        <f t="shared" ref="S143" si="943">R$143</f>
        <v>2.0630000000000002</v>
      </c>
      <c r="T143" s="16">
        <f t="shared" ref="T143" si="944">S$143</f>
        <v>2.0630000000000002</v>
      </c>
      <c r="U143" s="16">
        <f t="shared" ref="U143" si="945">T$143</f>
        <v>2.0630000000000002</v>
      </c>
      <c r="V143" s="16">
        <f t="shared" ref="V143" si="946">U$143</f>
        <v>2.0630000000000002</v>
      </c>
      <c r="W143" s="16">
        <f t="shared" ref="W143" si="947">V$143</f>
        <v>2.0630000000000002</v>
      </c>
      <c r="X143" s="16">
        <f t="shared" ref="X143" si="948">W$143</f>
        <v>2.0630000000000002</v>
      </c>
      <c r="Y143" s="16">
        <f t="shared" ref="Y143" si="949">X$143</f>
        <v>2.0630000000000002</v>
      </c>
      <c r="Z143" s="16">
        <f t="shared" ref="Z143" si="950">Y$143</f>
        <v>2.0630000000000002</v>
      </c>
      <c r="AA143" s="16">
        <f t="shared" ref="AA143" si="951">Z$143</f>
        <v>2.0630000000000002</v>
      </c>
      <c r="AB143" s="16">
        <f t="shared" ref="AB143" si="952">AA$143</f>
        <v>2.0630000000000002</v>
      </c>
      <c r="AC143" s="16">
        <f t="shared" ref="AC143" si="953">AB$143</f>
        <v>2.0630000000000002</v>
      </c>
      <c r="AD143" s="16">
        <f t="shared" ref="AD143" si="954">AC$143</f>
        <v>2.0630000000000002</v>
      </c>
      <c r="AE143" s="16">
        <f t="shared" ref="AE143" si="955">AD$143</f>
        <v>2.0630000000000002</v>
      </c>
      <c r="AF143" s="16">
        <f t="shared" ref="AF143" si="956">AE$143</f>
        <v>2.0630000000000002</v>
      </c>
      <c r="AG143" s="16">
        <f t="shared" ref="AG143" si="957">AF$143</f>
        <v>2.0630000000000002</v>
      </c>
      <c r="AH143" s="16">
        <f t="shared" ref="AH143" si="958">AG$143</f>
        <v>2.0630000000000002</v>
      </c>
      <c r="AI143" s="16">
        <f t="shared" ref="AI143" si="959">AH$143</f>
        <v>2.0630000000000002</v>
      </c>
      <c r="AJ143" s="16">
        <f t="shared" ref="AJ143" si="960">AI$143</f>
        <v>2.0630000000000002</v>
      </c>
      <c r="AK143" s="16">
        <f t="shared" ref="AK143" si="961">AJ$143</f>
        <v>2.0630000000000002</v>
      </c>
      <c r="AL143" s="16">
        <f t="shared" ref="AL143" si="962">AK$143</f>
        <v>2.0630000000000002</v>
      </c>
      <c r="AM143" s="16">
        <f t="shared" ref="AM143" si="963">AL$143</f>
        <v>2.0630000000000002</v>
      </c>
      <c r="AN143" s="16">
        <f t="shared" ref="AN143" si="964">AM$143</f>
        <v>2.0630000000000002</v>
      </c>
      <c r="AO143" s="16">
        <f t="shared" ref="AO143" si="965">AN$143</f>
        <v>2.0630000000000002</v>
      </c>
      <c r="AP143" s="16">
        <f t="shared" ref="AP143" si="966">AO$143</f>
        <v>2.0630000000000002</v>
      </c>
      <c r="AQ143" s="16">
        <f t="shared" ref="AQ143" si="967">AP$143</f>
        <v>2.0630000000000002</v>
      </c>
      <c r="AR143" s="16">
        <f t="shared" ref="AR143" si="968">AQ$143</f>
        <v>2.0630000000000002</v>
      </c>
      <c r="AS143" s="16">
        <f t="shared" ref="AS143" si="969">AR$143</f>
        <v>2.0630000000000002</v>
      </c>
      <c r="AT143" s="16">
        <f t="shared" ref="AT143" si="970">AS$143</f>
        <v>2.0630000000000002</v>
      </c>
      <c r="AU143" s="16">
        <f t="shared" ref="AU143" si="971">AT$143</f>
        <v>2.0630000000000002</v>
      </c>
      <c r="AV143" s="16">
        <f t="shared" ref="AV143" si="972">AU$143</f>
        <v>2.0630000000000002</v>
      </c>
      <c r="AW143" s="16">
        <f t="shared" ref="AW143" si="973">AV$143</f>
        <v>2.0630000000000002</v>
      </c>
      <c r="AX143" s="16">
        <f t="shared" ref="AX143" si="974">AW$143</f>
        <v>2.0630000000000002</v>
      </c>
    </row>
    <row r="144" spans="1:50" x14ac:dyDescent="0.25">
      <c r="A144" s="11" t="s">
        <v>779</v>
      </c>
      <c r="B144" s="10" t="str">
        <f>$B$38</f>
        <v>From Fiscal Forecasts</v>
      </c>
      <c r="C144" s="13"/>
      <c r="D144" s="35">
        <f>'Fiscal Forecasts'!D$164-D$143</f>
        <v>1.1310000000000002</v>
      </c>
      <c r="E144" s="35">
        <f>'Fiscal Forecasts'!E$164-E$143</f>
        <v>1.0770000000000002</v>
      </c>
      <c r="F144" s="35">
        <f>'Fiscal Forecasts'!F$164-F$143</f>
        <v>1.1110000000000002</v>
      </c>
      <c r="G144" s="35">
        <f>'Fiscal Forecasts'!G$164-G$143</f>
        <v>1.3210000000000002</v>
      </c>
      <c r="H144" s="35">
        <f>'Fiscal Forecasts'!H$164-H$143</f>
        <v>1.7099999999999997</v>
      </c>
      <c r="I144" s="35">
        <f>'Fiscal Forecasts'!I$164-I$143</f>
        <v>1.899</v>
      </c>
      <c r="J144" s="17">
        <f>'Fiscal Forecasts'!J$164-J$143</f>
        <v>1.871</v>
      </c>
      <c r="K144" s="17">
        <f>'Fiscal Forecasts'!K$164-K$143</f>
        <v>2.202</v>
      </c>
      <c r="L144" s="17">
        <f>'Fiscal Forecasts'!L$164-L$143</f>
        <v>2.3009999999999997</v>
      </c>
      <c r="M144" s="17">
        <f>'Fiscal Forecasts'!M$164-M$143</f>
        <v>2.347</v>
      </c>
      <c r="N144" s="17">
        <f>'Fiscal Forecasts'!N$164-N$143</f>
        <v>2.3879999999999995</v>
      </c>
      <c r="O144" s="16">
        <f t="shared" ref="O144:AX144" ca="1" si="975">N$144*(1+O$19)*(1+O$29)</f>
        <v>2.4685292089791595</v>
      </c>
      <c r="P144" s="16">
        <f t="shared" ca="1" si="975"/>
        <v>2.550292844836171</v>
      </c>
      <c r="Q144" s="16">
        <f t="shared" ca="1" si="975"/>
        <v>2.6337621007203915</v>
      </c>
      <c r="R144" s="16">
        <f t="shared" ca="1" si="975"/>
        <v>2.7184273350445096</v>
      </c>
      <c r="S144" s="16">
        <f t="shared" ca="1" si="975"/>
        <v>2.8052350928143754</v>
      </c>
      <c r="T144" s="16">
        <f t="shared" ca="1" si="975"/>
        <v>2.8932967778378651</v>
      </c>
      <c r="U144" s="16">
        <f t="shared" ca="1" si="975"/>
        <v>2.9838850147651597</v>
      </c>
      <c r="V144" s="16">
        <f t="shared" ca="1" si="975"/>
        <v>3.0762346651850416</v>
      </c>
      <c r="W144" s="16">
        <f t="shared" ca="1" si="975"/>
        <v>3.1680403911151784</v>
      </c>
      <c r="X144" s="16">
        <f t="shared" ca="1" si="975"/>
        <v>3.2617777505933425</v>
      </c>
      <c r="Y144" s="16">
        <f t="shared" ca="1" si="975"/>
        <v>3.3583485932616943</v>
      </c>
      <c r="Z144" s="16">
        <f t="shared" ca="1" si="975"/>
        <v>3.4570330891387746</v>
      </c>
      <c r="AA144" s="16">
        <f t="shared" ca="1" si="975"/>
        <v>3.5579765314125615</v>
      </c>
      <c r="AB144" s="16">
        <f t="shared" ca="1" si="975"/>
        <v>3.6610848646601206</v>
      </c>
      <c r="AC144" s="16">
        <f t="shared" ca="1" si="975"/>
        <v>3.7664649056500825</v>
      </c>
      <c r="AD144" s="16">
        <f t="shared" ca="1" si="975"/>
        <v>3.8741576906593438</v>
      </c>
      <c r="AE144" s="16">
        <f t="shared" ca="1" si="975"/>
        <v>3.9842634116011455</v>
      </c>
      <c r="AF144" s="16">
        <f t="shared" ca="1" si="975"/>
        <v>4.0967978617410727</v>
      </c>
      <c r="AG144" s="16">
        <f t="shared" ca="1" si="975"/>
        <v>4.2119504156589276</v>
      </c>
      <c r="AH144" s="16">
        <f t="shared" ca="1" si="975"/>
        <v>4.3296817206936771</v>
      </c>
      <c r="AI144" s="16">
        <f t="shared" ca="1" si="975"/>
        <v>4.4503344325849659</v>
      </c>
      <c r="AJ144" s="16">
        <f t="shared" ca="1" si="975"/>
        <v>4.5738873006042606</v>
      </c>
      <c r="AK144" s="16">
        <f t="shared" ca="1" si="975"/>
        <v>4.7006103979568161</v>
      </c>
      <c r="AL144" s="16">
        <f t="shared" ca="1" si="975"/>
        <v>4.8305981043429336</v>
      </c>
      <c r="AM144" s="16">
        <f t="shared" ca="1" si="975"/>
        <v>4.963956564547102</v>
      </c>
      <c r="AN144" s="16">
        <f t="shared" ca="1" si="975"/>
        <v>5.1009009422244898</v>
      </c>
      <c r="AO144" s="16">
        <f t="shared" ca="1" si="975"/>
        <v>5.241400010607463</v>
      </c>
      <c r="AP144" s="16">
        <f t="shared" ca="1" si="975"/>
        <v>5.3857609947563825</v>
      </c>
      <c r="AQ144" s="16">
        <f t="shared" ca="1" si="975"/>
        <v>5.5337998582670185</v>
      </c>
      <c r="AR144" s="16">
        <f t="shared" ca="1" si="975"/>
        <v>5.6859091655915908</v>
      </c>
      <c r="AS144" s="16">
        <f t="shared" ca="1" si="975"/>
        <v>5.8418023465813524</v>
      </c>
      <c r="AT144" s="16">
        <f t="shared" ca="1" si="975"/>
        <v>6.00156817288629</v>
      </c>
      <c r="AU144" s="16">
        <f t="shared" ca="1" si="975"/>
        <v>6.1654884586640595</v>
      </c>
      <c r="AV144" s="16">
        <f t="shared" ca="1" si="975"/>
        <v>6.3333085328376555</v>
      </c>
      <c r="AW144" s="16">
        <f t="shared" ca="1" si="975"/>
        <v>6.5052706051221492</v>
      </c>
      <c r="AX144" s="16">
        <f t="shared" ca="1" si="975"/>
        <v>6.6812043810677713</v>
      </c>
    </row>
    <row r="145" spans="1:50" x14ac:dyDescent="0.25">
      <c r="A145" s="9" t="s">
        <v>780</v>
      </c>
      <c r="B145" s="9"/>
      <c r="C145" s="13"/>
      <c r="D145" s="64">
        <f t="shared" ref="D145:AX145" si="976">SUM(D$143:D$144)</f>
        <v>1.9770000000000003</v>
      </c>
      <c r="E145" s="64">
        <f t="shared" si="976"/>
        <v>2.12</v>
      </c>
      <c r="F145" s="64">
        <f t="shared" si="976"/>
        <v>2.7450000000000001</v>
      </c>
      <c r="G145" s="64">
        <f t="shared" si="976"/>
        <v>4.327</v>
      </c>
      <c r="H145" s="64">
        <f t="shared" si="976"/>
        <v>3.2919999999999998</v>
      </c>
      <c r="I145" s="64">
        <f t="shared" si="976"/>
        <v>3.589</v>
      </c>
      <c r="J145" s="65">
        <f t="shared" si="976"/>
        <v>4.306</v>
      </c>
      <c r="K145" s="65">
        <f t="shared" si="976"/>
        <v>4.4169999999999998</v>
      </c>
      <c r="L145" s="65">
        <f t="shared" si="976"/>
        <v>4.4249999999999998</v>
      </c>
      <c r="M145" s="65">
        <f t="shared" si="976"/>
        <v>4.42</v>
      </c>
      <c r="N145" s="65">
        <f t="shared" si="976"/>
        <v>4.4509999999999996</v>
      </c>
      <c r="O145" s="66">
        <f t="shared" ca="1" si="976"/>
        <v>4.5315292089791601</v>
      </c>
      <c r="P145" s="66">
        <f t="shared" ca="1" si="976"/>
        <v>4.6132928448361712</v>
      </c>
      <c r="Q145" s="66">
        <f t="shared" ca="1" si="976"/>
        <v>4.6967621007203917</v>
      </c>
      <c r="R145" s="66">
        <f t="shared" ca="1" si="976"/>
        <v>4.7814273350445102</v>
      </c>
      <c r="S145" s="66">
        <f t="shared" ca="1" si="976"/>
        <v>4.8682350928143752</v>
      </c>
      <c r="T145" s="66">
        <f t="shared" ca="1" si="976"/>
        <v>4.9562967778378653</v>
      </c>
      <c r="U145" s="66">
        <f t="shared" ca="1" si="976"/>
        <v>5.0468850147651594</v>
      </c>
      <c r="V145" s="66">
        <f t="shared" ca="1" si="976"/>
        <v>5.1392346651850414</v>
      </c>
      <c r="W145" s="66">
        <f t="shared" ca="1" si="976"/>
        <v>5.2310403911151786</v>
      </c>
      <c r="X145" s="66">
        <f t="shared" ca="1" si="976"/>
        <v>5.3247777505933431</v>
      </c>
      <c r="Y145" s="66">
        <f t="shared" ca="1" si="976"/>
        <v>5.421348593261694</v>
      </c>
      <c r="Z145" s="66">
        <f t="shared" ca="1" si="976"/>
        <v>5.5200330891387743</v>
      </c>
      <c r="AA145" s="66">
        <f t="shared" ca="1" si="976"/>
        <v>5.6209765314125617</v>
      </c>
      <c r="AB145" s="66">
        <f t="shared" ca="1" si="976"/>
        <v>5.7240848646601208</v>
      </c>
      <c r="AC145" s="66">
        <f t="shared" ca="1" si="976"/>
        <v>5.8294649056500827</v>
      </c>
      <c r="AD145" s="66">
        <f t="shared" ca="1" si="976"/>
        <v>5.937157690659344</v>
      </c>
      <c r="AE145" s="66">
        <f t="shared" ca="1" si="976"/>
        <v>6.0472634116011452</v>
      </c>
      <c r="AF145" s="66">
        <f t="shared" ca="1" si="976"/>
        <v>6.1597978617410725</v>
      </c>
      <c r="AG145" s="66">
        <f t="shared" ca="1" si="976"/>
        <v>6.2749504156589282</v>
      </c>
      <c r="AH145" s="66">
        <f t="shared" ca="1" si="976"/>
        <v>6.3926817206936768</v>
      </c>
      <c r="AI145" s="66">
        <f t="shared" ca="1" si="976"/>
        <v>6.5133344325849656</v>
      </c>
      <c r="AJ145" s="66">
        <f t="shared" ca="1" si="976"/>
        <v>6.6368873006042612</v>
      </c>
      <c r="AK145" s="66">
        <f t="shared" ca="1" si="976"/>
        <v>6.7636103979568158</v>
      </c>
      <c r="AL145" s="66">
        <f t="shared" ca="1" si="976"/>
        <v>6.8935981043429333</v>
      </c>
      <c r="AM145" s="66">
        <f t="shared" ca="1" si="976"/>
        <v>7.0269565645471026</v>
      </c>
      <c r="AN145" s="66">
        <f t="shared" ca="1" si="976"/>
        <v>7.1639009422244904</v>
      </c>
      <c r="AO145" s="66">
        <f t="shared" ca="1" si="976"/>
        <v>7.3044000106074627</v>
      </c>
      <c r="AP145" s="66">
        <f t="shared" ca="1" si="976"/>
        <v>7.4487609947563822</v>
      </c>
      <c r="AQ145" s="66">
        <f t="shared" ca="1" si="976"/>
        <v>7.5967998582670191</v>
      </c>
      <c r="AR145" s="66">
        <f t="shared" ca="1" si="976"/>
        <v>7.7489091655915914</v>
      </c>
      <c r="AS145" s="66">
        <f t="shared" ca="1" si="976"/>
        <v>7.9048023465813522</v>
      </c>
      <c r="AT145" s="66">
        <f t="shared" ca="1" si="976"/>
        <v>8.0645681728862897</v>
      </c>
      <c r="AU145" s="66">
        <f t="shared" ca="1" si="976"/>
        <v>8.2284884586640601</v>
      </c>
      <c r="AV145" s="66">
        <f t="shared" ca="1" si="976"/>
        <v>8.3963085328376561</v>
      </c>
      <c r="AW145" s="66">
        <f t="shared" ca="1" si="976"/>
        <v>8.5682706051221498</v>
      </c>
      <c r="AX145" s="66">
        <f t="shared" ca="1" si="976"/>
        <v>8.744204381067771</v>
      </c>
    </row>
    <row r="146" spans="1:50" x14ac:dyDescent="0.25">
      <c r="A146" s="11" t="s">
        <v>626</v>
      </c>
      <c r="B146" s="10" t="str">
        <f>$B$38</f>
        <v>From Fiscal Forecasts</v>
      </c>
      <c r="C146" s="13"/>
      <c r="D146" s="35">
        <f>'Fiscal Forecasts'!D$228</f>
        <v>3.0139999999999998</v>
      </c>
      <c r="E146" s="35">
        <f>'Fiscal Forecasts'!E$228</f>
        <v>3.032</v>
      </c>
      <c r="F146" s="35">
        <f>'Fiscal Forecasts'!F$228</f>
        <v>3.27</v>
      </c>
      <c r="G146" s="35">
        <f>'Fiscal Forecasts'!G$228</f>
        <v>3.4609999999999999</v>
      </c>
      <c r="H146" s="35">
        <f>'Fiscal Forecasts'!H$228</f>
        <v>3.855</v>
      </c>
      <c r="I146" s="35">
        <f>'Fiscal Forecasts'!I$228</f>
        <v>4.1449999999999996</v>
      </c>
      <c r="J146" s="17">
        <f>'Fiscal Forecasts'!J$228</f>
        <v>4.2649999999999997</v>
      </c>
      <c r="K146" s="17">
        <f>'Fiscal Forecasts'!K$228</f>
        <v>4.7149999999999999</v>
      </c>
      <c r="L146" s="17">
        <f>'Fiscal Forecasts'!L$228</f>
        <v>5.2039999999999997</v>
      </c>
      <c r="M146" s="17">
        <f>'Fiscal Forecasts'!M$228</f>
        <v>5.7030000000000003</v>
      </c>
      <c r="N146" s="17">
        <f>'Fiscal Forecasts'!N$228</f>
        <v>6.2389999999999999</v>
      </c>
      <c r="O146" s="16">
        <f>N$146*(Exogenous!Z$26-Exogenous!Z$27)/(Exogenous!Y$26-Exogenous!Y$27)</f>
        <v>6.7922214680442501</v>
      </c>
      <c r="P146" s="16">
        <f>O$146*(Exogenous!AA$26-Exogenous!AA$27)/(Exogenous!Z$26-Exogenous!Z$27)</f>
        <v>7.3773643877749224</v>
      </c>
      <c r="Q146" s="16">
        <f>P$146*(Exogenous!AB$26-Exogenous!AB$27)/(Exogenous!AA$26-Exogenous!AA$27)</f>
        <v>8.0450326288791469</v>
      </c>
      <c r="R146" s="16">
        <f>Q$146*(Exogenous!AC$26-Exogenous!AC$27)/(Exogenous!AB$26-Exogenous!AB$27)</f>
        <v>8.7507730414661591</v>
      </c>
      <c r="S146" s="16">
        <f>R$146*(Exogenous!AD$26-Exogenous!AD$27)/(Exogenous!AC$26-Exogenous!AC$27)</f>
        <v>9.5257663808887454</v>
      </c>
      <c r="T146" s="16">
        <f>S$146*(Exogenous!AE$26-Exogenous!AE$27)/(Exogenous!AD$26-Exogenous!AD$27)</f>
        <v>10.34282594471633</v>
      </c>
      <c r="U146" s="16">
        <f>T$146*(Exogenous!AF$26-Exogenous!AF$27)/(Exogenous!AE$26-Exogenous!AE$27)</f>
        <v>11.236500181765395</v>
      </c>
      <c r="V146" s="16">
        <f>U$146*(Exogenous!AG$26-Exogenous!AG$27)/(Exogenous!AF$26-Exogenous!AF$27)</f>
        <v>12.001795802679197</v>
      </c>
      <c r="W146" s="16">
        <f>V$146*(Exogenous!AH$26-Exogenous!AH$27)/(Exogenous!AG$26-Exogenous!AG$27)</f>
        <v>12.543476849089375</v>
      </c>
      <c r="X146" s="16">
        <f>W$146*(Exogenous!AI$26-Exogenous!AI$27)/(Exogenous!AH$26-Exogenous!AH$27)</f>
        <v>13.028010010466666</v>
      </c>
      <c r="Y146" s="16">
        <f>X$146*(Exogenous!AJ$26-Exogenous!AJ$27)/(Exogenous!AI$26-Exogenous!AI$27)</f>
        <v>13.530811390343178</v>
      </c>
      <c r="Z146" s="16">
        <f>Y$146*(Exogenous!AK$26-Exogenous!AK$27)/(Exogenous!AJ$26-Exogenous!AJ$27)</f>
        <v>14.084826425814949</v>
      </c>
      <c r="AA146" s="16">
        <f>Z$146*(Exogenous!AL$26-Exogenous!AL$27)/(Exogenous!AK$26-Exogenous!AK$27)</f>
        <v>14.662210316531484</v>
      </c>
      <c r="AB146" s="16">
        <f>AA$146*(Exogenous!AM$26-Exogenous!AM$27)/(Exogenous!AL$26-Exogenous!AL$27)</f>
        <v>15.266048597160328</v>
      </c>
      <c r="AC146" s="16">
        <f>AB$146*(Exogenous!AN$26-Exogenous!AN$27)/(Exogenous!AM$26-Exogenous!AM$27)</f>
        <v>15.940832686196206</v>
      </c>
      <c r="AD146" s="16">
        <f>AC$146*(Exogenous!AO$26-Exogenous!AO$27)/(Exogenous!AN$26-Exogenous!AN$27)</f>
        <v>16.647906554276997</v>
      </c>
      <c r="AE146" s="16">
        <f>AD$146*(Exogenous!AP$26-Exogenous!AP$27)/(Exogenous!AO$26-Exogenous!AO$27)</f>
        <v>17.342767639116431</v>
      </c>
      <c r="AF146" s="16">
        <f>AE$146*(Exogenous!AQ$26-Exogenous!AQ$27)/(Exogenous!AP$26-Exogenous!AP$27)</f>
        <v>18.154236883318593</v>
      </c>
      <c r="AG146" s="16">
        <f>AF$146*(Exogenous!AR$26-Exogenous!AR$27)/(Exogenous!AQ$26-Exogenous!AQ$27)</f>
        <v>18.906846835011883</v>
      </c>
      <c r="AH146" s="16">
        <f>AG$146*(Exogenous!AS$26-Exogenous!AS$27)/(Exogenous!AR$26-Exogenous!AR$27)</f>
        <v>19.633252365924587</v>
      </c>
      <c r="AI146" s="16">
        <f>AH$146*(Exogenous!AT$26-Exogenous!AT$27)/(Exogenous!AS$26-Exogenous!AS$27)</f>
        <v>20.440132001450333</v>
      </c>
      <c r="AJ146" s="16">
        <f>AI$146*(Exogenous!AU$26-Exogenous!AU$27)/(Exogenous!AT$26-Exogenous!AT$27)</f>
        <v>21.279098117016964</v>
      </c>
      <c r="AK146" s="16">
        <f>AJ$146*(Exogenous!AV$26-Exogenous!AV$27)/(Exogenous!AU$26-Exogenous!AU$27)</f>
        <v>22.094650182706697</v>
      </c>
      <c r="AL146" s="16">
        <f>AK$146*(Exogenous!AW$26-Exogenous!AW$27)/(Exogenous!AV$26-Exogenous!AV$27)</f>
        <v>22.999890601247991</v>
      </c>
      <c r="AM146" s="16">
        <f>AL$146*(Exogenous!AX$26-Exogenous!AX$27)/(Exogenous!AW$26-Exogenous!AW$27)</f>
        <v>23.880198627047861</v>
      </c>
      <c r="AN146" s="16">
        <f>AM$146*(Exogenous!AY$26-Exogenous!AY$27)/(Exogenous!AX$26-Exogenous!AX$27)</f>
        <v>24.856899100656985</v>
      </c>
      <c r="AO146" s="16">
        <f>AN$146*(Exogenous!AZ$26-Exogenous!AZ$27)/(Exogenous!AY$26-Exogenous!AY$27)</f>
        <v>25.872502401673319</v>
      </c>
      <c r="AP146" s="16">
        <f>AO$146*(Exogenous!BA$26-Exogenous!BA$27)/(Exogenous!AZ$26-Exogenous!AZ$27)</f>
        <v>26.928712522763536</v>
      </c>
      <c r="AQ146" s="16">
        <f>AP$146*(Exogenous!BB$26-Exogenous!BB$27)/(Exogenous!BA$26-Exogenous!BA$27)</f>
        <v>28.011418675023748</v>
      </c>
      <c r="AR146" s="16">
        <f>AQ$146*(Exogenous!BC$26-Exogenous!BC$27)/(Exogenous!BB$26-Exogenous!BB$27)</f>
        <v>29.137612025903511</v>
      </c>
      <c r="AS146" s="16">
        <f>AR$146*(Exogenous!BD$26-Exogenous!BD$27)/(Exogenous!BC$26-Exogenous!BC$27)</f>
        <v>30.309037596869466</v>
      </c>
      <c r="AT146" s="16">
        <f>AS$146*(Exogenous!BE$26-Exogenous!BE$27)/(Exogenous!BD$26-Exogenous!BD$27)</f>
        <v>31.527510370741282</v>
      </c>
      <c r="AU146" s="16">
        <f>AT$146*(Exogenous!BF$26-Exogenous!BF$27)/(Exogenous!BE$26-Exogenous!BE$27)</f>
        <v>32.79491809428788</v>
      </c>
      <c r="AV146" s="16">
        <f>AU$146*(Exogenous!BG$26-Exogenous!BG$27)/(Exogenous!BF$26-Exogenous!BF$27)</f>
        <v>34.113224193007945</v>
      </c>
      <c r="AW146" s="16">
        <f>AV$146*(Exogenous!BH$26-Exogenous!BH$27)/(Exogenous!BG$26-Exogenous!BG$27)</f>
        <v>35.484470802582166</v>
      </c>
      <c r="AX146" s="16">
        <f>AW$146*(Exogenous!BI$26-Exogenous!BI$27)/(Exogenous!BH$26-Exogenous!BH$27)</f>
        <v>36.910781921664039</v>
      </c>
    </row>
    <row r="147" spans="1:50" x14ac:dyDescent="0.25">
      <c r="A147" s="11" t="s">
        <v>781</v>
      </c>
      <c r="B147" s="10" t="str">
        <f>$B$38</f>
        <v>From Fiscal Forecasts</v>
      </c>
      <c r="C147" s="13"/>
      <c r="D147" s="35">
        <f>'Fiscal Forecasts'!D$10-SUM(D$145:D$146)</f>
        <v>1.0369999999999999</v>
      </c>
      <c r="E147" s="35">
        <f>'Fiscal Forecasts'!E$10-SUM(E$145:E$146)</f>
        <v>1.117</v>
      </c>
      <c r="F147" s="35">
        <f>'Fiscal Forecasts'!F$10-SUM(F$145:F$146)</f>
        <v>1.0229999999999997</v>
      </c>
      <c r="G147" s="35">
        <f>'Fiscal Forecasts'!G$10-SUM(G$145:G$146)</f>
        <v>1.1059999999999999</v>
      </c>
      <c r="H147" s="35">
        <f>'Fiscal Forecasts'!H$10-SUM(H$145:H$146)</f>
        <v>1.2599999999999998</v>
      </c>
      <c r="I147" s="35">
        <f>'Fiscal Forecasts'!I$10-SUM(I$145:I$146)</f>
        <v>1.6920000000000002</v>
      </c>
      <c r="J147" s="17">
        <f>'Fiscal Forecasts'!J$10-SUM(J$145:J$146)</f>
        <v>1.8849999999999998</v>
      </c>
      <c r="K147" s="17">
        <f>'Fiscal Forecasts'!K$10-SUM(K$145:K$146)</f>
        <v>1.8740000000000006</v>
      </c>
      <c r="L147" s="17">
        <f>'Fiscal Forecasts'!L$10-SUM(L$145:L$146)</f>
        <v>1.9410000000000007</v>
      </c>
      <c r="M147" s="17">
        <f>'Fiscal Forecasts'!M$10-SUM(M$145:M$146)</f>
        <v>2.0509999999999984</v>
      </c>
      <c r="N147" s="17">
        <f>'Fiscal Forecasts'!N$10-SUM(N$145:N$146)</f>
        <v>2.120000000000001</v>
      </c>
      <c r="O147" s="16">
        <f t="shared" ref="O147:AX147" ca="1" si="977">N$147*(1+O$19)*(1+O$29)</f>
        <v>2.1914915925610647</v>
      </c>
      <c r="P147" s="16">
        <f t="shared" ca="1" si="977"/>
        <v>2.2640790749801876</v>
      </c>
      <c r="Q147" s="16">
        <f t="shared" ca="1" si="977"/>
        <v>2.3381807594335156</v>
      </c>
      <c r="R147" s="16">
        <f t="shared" ca="1" si="977"/>
        <v>2.4133442002907728</v>
      </c>
      <c r="S147" s="16">
        <f t="shared" ca="1" si="977"/>
        <v>2.4904097138888113</v>
      </c>
      <c r="T147" s="16">
        <f t="shared" ca="1" si="977"/>
        <v>2.5685884292362982</v>
      </c>
      <c r="U147" s="16">
        <f t="shared" ca="1" si="977"/>
        <v>2.6490101471114507</v>
      </c>
      <c r="V147" s="16">
        <f t="shared" ca="1" si="977"/>
        <v>2.7309955989079957</v>
      </c>
      <c r="W147" s="16">
        <f t="shared" ca="1" si="977"/>
        <v>2.8124981696667435</v>
      </c>
      <c r="X147" s="16">
        <f t="shared" ca="1" si="977"/>
        <v>2.8957155909790164</v>
      </c>
      <c r="Y147" s="16">
        <f t="shared" ca="1" si="977"/>
        <v>2.9814484998805684</v>
      </c>
      <c r="Z147" s="16">
        <f t="shared" ca="1" si="977"/>
        <v>3.0690578513292328</v>
      </c>
      <c r="AA147" s="16">
        <f t="shared" ca="1" si="977"/>
        <v>3.1586726325773182</v>
      </c>
      <c r="AB147" s="16">
        <f t="shared" ca="1" si="977"/>
        <v>3.2502093438356203</v>
      </c>
      <c r="AC147" s="16">
        <f t="shared" ca="1" si="977"/>
        <v>3.3437628140612148</v>
      </c>
      <c r="AD147" s="16">
        <f t="shared" ca="1" si="977"/>
        <v>3.4393694741196876</v>
      </c>
      <c r="AE147" s="16">
        <f t="shared" ca="1" si="977"/>
        <v>3.5371182716057095</v>
      </c>
      <c r="AF147" s="16">
        <f t="shared" ca="1" si="977"/>
        <v>3.6370232273413237</v>
      </c>
      <c r="AG147" s="16">
        <f t="shared" ca="1" si="977"/>
        <v>3.7392524628127859</v>
      </c>
      <c r="AH147" s="16">
        <f t="shared" ca="1" si="977"/>
        <v>3.8437710418218596</v>
      </c>
      <c r="AI147" s="16">
        <f t="shared" ca="1" si="977"/>
        <v>3.9508831646064211</v>
      </c>
      <c r="AJ147" s="16">
        <f t="shared" ca="1" si="977"/>
        <v>4.0605699653605694</v>
      </c>
      <c r="AK147" s="16">
        <f t="shared" ca="1" si="977"/>
        <v>4.1730712075663563</v>
      </c>
      <c r="AL147" s="16">
        <f t="shared" ca="1" si="977"/>
        <v>4.2884706788974158</v>
      </c>
      <c r="AM147" s="16">
        <f t="shared" ca="1" si="977"/>
        <v>4.406862611741988</v>
      </c>
      <c r="AN147" s="16">
        <f t="shared" ca="1" si="977"/>
        <v>4.5284380224103558</v>
      </c>
      <c r="AO147" s="16">
        <f t="shared" ca="1" si="977"/>
        <v>4.6531691886464968</v>
      </c>
      <c r="AP147" s="16">
        <f t="shared" ca="1" si="977"/>
        <v>4.7813288563163923</v>
      </c>
      <c r="AQ147" s="16">
        <f t="shared" ca="1" si="977"/>
        <v>4.9127536430176271</v>
      </c>
      <c r="AR147" s="16">
        <f t="shared" ca="1" si="977"/>
        <v>5.0477920565553545</v>
      </c>
      <c r="AS147" s="16">
        <f t="shared" ca="1" si="977"/>
        <v>5.1861896879198</v>
      </c>
      <c r="AT147" s="16">
        <f t="shared" ca="1" si="977"/>
        <v>5.3280253461134626</v>
      </c>
      <c r="AU147" s="16">
        <f t="shared" ca="1" si="977"/>
        <v>5.4735492179094729</v>
      </c>
      <c r="AV147" s="16">
        <f t="shared" ca="1" si="977"/>
        <v>5.6225352134069704</v>
      </c>
      <c r="AW147" s="16">
        <f t="shared" ca="1" si="977"/>
        <v>5.7751983596561853</v>
      </c>
      <c r="AX147" s="16">
        <f t="shared" ca="1" si="977"/>
        <v>5.9313874739797692</v>
      </c>
    </row>
    <row r="148" spans="1:50" x14ac:dyDescent="0.25">
      <c r="A148" s="9" t="s">
        <v>830</v>
      </c>
      <c r="B148" s="9"/>
      <c r="C148" s="13"/>
      <c r="D148" s="64">
        <f t="shared" ref="D148:AX148" si="978">SUM(D$145:D$147)</f>
        <v>6.0279999999999996</v>
      </c>
      <c r="E148" s="64">
        <f t="shared" si="978"/>
        <v>6.2690000000000001</v>
      </c>
      <c r="F148" s="64">
        <f t="shared" si="978"/>
        <v>7.0380000000000003</v>
      </c>
      <c r="G148" s="64">
        <f t="shared" si="978"/>
        <v>8.8940000000000001</v>
      </c>
      <c r="H148" s="64">
        <f t="shared" si="978"/>
        <v>8.407</v>
      </c>
      <c r="I148" s="64">
        <f t="shared" si="978"/>
        <v>9.4260000000000002</v>
      </c>
      <c r="J148" s="65">
        <f t="shared" si="978"/>
        <v>10.456</v>
      </c>
      <c r="K148" s="65">
        <f t="shared" si="978"/>
        <v>11.006</v>
      </c>
      <c r="L148" s="65">
        <f t="shared" si="978"/>
        <v>11.57</v>
      </c>
      <c r="M148" s="65">
        <f t="shared" si="978"/>
        <v>12.173999999999999</v>
      </c>
      <c r="N148" s="65">
        <f t="shared" si="978"/>
        <v>12.81</v>
      </c>
      <c r="O148" s="66">
        <f t="shared" ca="1" si="978"/>
        <v>13.515242269584474</v>
      </c>
      <c r="P148" s="66">
        <f t="shared" ca="1" si="978"/>
        <v>14.254736307591282</v>
      </c>
      <c r="Q148" s="66">
        <f t="shared" ca="1" si="978"/>
        <v>15.079975489033053</v>
      </c>
      <c r="R148" s="66">
        <f t="shared" ca="1" si="978"/>
        <v>15.945544576801442</v>
      </c>
      <c r="S148" s="66">
        <f t="shared" ca="1" si="978"/>
        <v>16.884411187591933</v>
      </c>
      <c r="T148" s="66">
        <f t="shared" ca="1" si="978"/>
        <v>17.867711151790495</v>
      </c>
      <c r="U148" s="66">
        <f t="shared" ca="1" si="978"/>
        <v>18.932395343642003</v>
      </c>
      <c r="V148" s="66">
        <f t="shared" ca="1" si="978"/>
        <v>19.872026066772236</v>
      </c>
      <c r="W148" s="66">
        <f t="shared" ca="1" si="978"/>
        <v>20.587015409871295</v>
      </c>
      <c r="X148" s="66">
        <f t="shared" ca="1" si="978"/>
        <v>21.248503352039023</v>
      </c>
      <c r="Y148" s="66">
        <f t="shared" ca="1" si="978"/>
        <v>21.93360848348544</v>
      </c>
      <c r="Z148" s="66">
        <f t="shared" ca="1" si="978"/>
        <v>22.673917366282957</v>
      </c>
      <c r="AA148" s="66">
        <f t="shared" ca="1" si="978"/>
        <v>23.441859480521362</v>
      </c>
      <c r="AB148" s="66">
        <f t="shared" ca="1" si="978"/>
        <v>24.24034280565607</v>
      </c>
      <c r="AC148" s="66">
        <f t="shared" ca="1" si="978"/>
        <v>25.114060405907502</v>
      </c>
      <c r="AD148" s="66">
        <f t="shared" ca="1" si="978"/>
        <v>26.024433719056027</v>
      </c>
      <c r="AE148" s="66">
        <f t="shared" ca="1" si="978"/>
        <v>26.927149322323285</v>
      </c>
      <c r="AF148" s="66">
        <f t="shared" ca="1" si="978"/>
        <v>27.951057972400989</v>
      </c>
      <c r="AG148" s="66">
        <f t="shared" ca="1" si="978"/>
        <v>28.921049713483598</v>
      </c>
      <c r="AH148" s="66">
        <f t="shared" ca="1" si="978"/>
        <v>29.869705128440124</v>
      </c>
      <c r="AI148" s="66">
        <f t="shared" ca="1" si="978"/>
        <v>30.904349598641719</v>
      </c>
      <c r="AJ148" s="66">
        <f t="shared" ca="1" si="978"/>
        <v>31.976555382981793</v>
      </c>
      <c r="AK148" s="66">
        <f t="shared" ca="1" si="978"/>
        <v>33.03133178822987</v>
      </c>
      <c r="AL148" s="66">
        <f t="shared" ca="1" si="978"/>
        <v>34.181959384488344</v>
      </c>
      <c r="AM148" s="66">
        <f t="shared" ca="1" si="978"/>
        <v>35.314017803336952</v>
      </c>
      <c r="AN148" s="66">
        <f t="shared" ca="1" si="978"/>
        <v>36.549238065291831</v>
      </c>
      <c r="AO148" s="66">
        <f t="shared" ca="1" si="978"/>
        <v>37.830071600927276</v>
      </c>
      <c r="AP148" s="66">
        <f t="shared" ca="1" si="978"/>
        <v>39.158802373836309</v>
      </c>
      <c r="AQ148" s="66">
        <f t="shared" ca="1" si="978"/>
        <v>40.520972176308391</v>
      </c>
      <c r="AR148" s="66">
        <f t="shared" ca="1" si="978"/>
        <v>41.934313248050458</v>
      </c>
      <c r="AS148" s="66">
        <f t="shared" ca="1" si="978"/>
        <v>43.400029631370622</v>
      </c>
      <c r="AT148" s="66">
        <f t="shared" ca="1" si="978"/>
        <v>44.920103889741036</v>
      </c>
      <c r="AU148" s="66">
        <f t="shared" ca="1" si="978"/>
        <v>46.496955770861412</v>
      </c>
      <c r="AV148" s="66">
        <f t="shared" ca="1" si="978"/>
        <v>48.132067939252572</v>
      </c>
      <c r="AW148" s="66">
        <f t="shared" ca="1" si="978"/>
        <v>49.827939767360505</v>
      </c>
      <c r="AX148" s="66">
        <f t="shared" ca="1" si="978"/>
        <v>51.586373776711582</v>
      </c>
    </row>
    <row r="149" spans="1:50" x14ac:dyDescent="0.25">
      <c r="A149" s="11" t="s">
        <v>782</v>
      </c>
      <c r="B149" s="10" t="str">
        <f>$B$38</f>
        <v>From Fiscal Forecasts</v>
      </c>
      <c r="C149" s="13"/>
      <c r="D149" s="35">
        <f>'Fiscal Forecasts'!D$374</f>
        <v>0</v>
      </c>
      <c r="E149" s="35">
        <f>'Fiscal Forecasts'!E$374</f>
        <v>0</v>
      </c>
      <c r="F149" s="35">
        <f>'Fiscal Forecasts'!F$374</f>
        <v>0.33600000000000002</v>
      </c>
      <c r="G149" s="35">
        <f>'Fiscal Forecasts'!G$374</f>
        <v>2.0960000000000001</v>
      </c>
      <c r="H149" s="35">
        <f>'Fiscal Forecasts'!H$374</f>
        <v>0.83199999999999996</v>
      </c>
      <c r="I149" s="35">
        <f>'Fiscal Forecasts'!I$374</f>
        <v>0.21</v>
      </c>
      <c r="J149" s="17">
        <f>'Fiscal Forecasts'!J$374</f>
        <v>0.27900000000000003</v>
      </c>
      <c r="K149" s="17">
        <f>'Fiscal Forecasts'!K$374</f>
        <v>0.33</v>
      </c>
      <c r="L149" s="17">
        <f>'Fiscal Forecasts'!L$374</f>
        <v>0.28299999999999997</v>
      </c>
      <c r="M149" s="17">
        <f>'Fiscal Forecasts'!M$374</f>
        <v>0.23</v>
      </c>
      <c r="N149" s="17">
        <f>'Fiscal Forecasts'!N$374</f>
        <v>0.17699999999999999</v>
      </c>
      <c r="O149" s="16">
        <f t="shared" ref="O149" si="979">N$149</f>
        <v>0.17699999999999999</v>
      </c>
      <c r="P149" s="16">
        <f t="shared" ref="P149" si="980">O$149</f>
        <v>0.17699999999999999</v>
      </c>
      <c r="Q149" s="16">
        <f t="shared" ref="Q149" si="981">P$149</f>
        <v>0.17699999999999999</v>
      </c>
      <c r="R149" s="16">
        <f t="shared" ref="R149" si="982">Q$149</f>
        <v>0.17699999999999999</v>
      </c>
      <c r="S149" s="16">
        <f t="shared" ref="S149" si="983">R$149</f>
        <v>0.17699999999999999</v>
      </c>
      <c r="T149" s="16">
        <f t="shared" ref="T149" si="984">S$149</f>
        <v>0.17699999999999999</v>
      </c>
      <c r="U149" s="16">
        <f t="shared" ref="U149" si="985">T$149</f>
        <v>0.17699999999999999</v>
      </c>
      <c r="V149" s="16">
        <f t="shared" ref="V149" si="986">U$149</f>
        <v>0.17699999999999999</v>
      </c>
      <c r="W149" s="16">
        <f t="shared" ref="W149" si="987">V$149</f>
        <v>0.17699999999999999</v>
      </c>
      <c r="X149" s="16">
        <f t="shared" ref="X149" si="988">W$149</f>
        <v>0.17699999999999999</v>
      </c>
      <c r="Y149" s="16">
        <f t="shared" ref="Y149" si="989">X$149</f>
        <v>0.17699999999999999</v>
      </c>
      <c r="Z149" s="16">
        <f t="shared" ref="Z149" si="990">Y$149</f>
        <v>0.17699999999999999</v>
      </c>
      <c r="AA149" s="16">
        <f t="shared" ref="AA149" si="991">Z$149</f>
        <v>0.17699999999999999</v>
      </c>
      <c r="AB149" s="16">
        <f t="shared" ref="AB149" si="992">AA$149</f>
        <v>0.17699999999999999</v>
      </c>
      <c r="AC149" s="16">
        <f t="shared" ref="AC149" si="993">AB$149</f>
        <v>0.17699999999999999</v>
      </c>
      <c r="AD149" s="16">
        <f t="shared" ref="AD149" si="994">AC$149</f>
        <v>0.17699999999999999</v>
      </c>
      <c r="AE149" s="16">
        <f t="shared" ref="AE149" si="995">AD$149</f>
        <v>0.17699999999999999</v>
      </c>
      <c r="AF149" s="16">
        <f t="shared" ref="AF149" si="996">AE$149</f>
        <v>0.17699999999999999</v>
      </c>
      <c r="AG149" s="16">
        <f t="shared" ref="AG149" si="997">AF$149</f>
        <v>0.17699999999999999</v>
      </c>
      <c r="AH149" s="16">
        <f t="shared" ref="AH149" si="998">AG$149</f>
        <v>0.17699999999999999</v>
      </c>
      <c r="AI149" s="16">
        <f t="shared" ref="AI149" si="999">AH$149</f>
        <v>0.17699999999999999</v>
      </c>
      <c r="AJ149" s="16">
        <f t="shared" ref="AJ149" si="1000">AI$149</f>
        <v>0.17699999999999999</v>
      </c>
      <c r="AK149" s="16">
        <f t="shared" ref="AK149" si="1001">AJ$149</f>
        <v>0.17699999999999999</v>
      </c>
      <c r="AL149" s="16">
        <f t="shared" ref="AL149" si="1002">AK$149</f>
        <v>0.17699999999999999</v>
      </c>
      <c r="AM149" s="16">
        <f t="shared" ref="AM149" si="1003">AL$149</f>
        <v>0.17699999999999999</v>
      </c>
      <c r="AN149" s="16">
        <f t="shared" ref="AN149" si="1004">AM$149</f>
        <v>0.17699999999999999</v>
      </c>
      <c r="AO149" s="16">
        <f t="shared" ref="AO149" si="1005">AN$149</f>
        <v>0.17699999999999999</v>
      </c>
      <c r="AP149" s="16">
        <f t="shared" ref="AP149" si="1006">AO$149</f>
        <v>0.17699999999999999</v>
      </c>
      <c r="AQ149" s="16">
        <f t="shared" ref="AQ149" si="1007">AP$149</f>
        <v>0.17699999999999999</v>
      </c>
      <c r="AR149" s="16">
        <f t="shared" ref="AR149" si="1008">AQ$149</f>
        <v>0.17699999999999999</v>
      </c>
      <c r="AS149" s="16">
        <f t="shared" ref="AS149" si="1009">AR$149</f>
        <v>0.17699999999999999</v>
      </c>
      <c r="AT149" s="16">
        <f t="shared" ref="AT149" si="1010">AS$149</f>
        <v>0.17699999999999999</v>
      </c>
      <c r="AU149" s="16">
        <f t="shared" ref="AU149" si="1011">AT$149</f>
        <v>0.17699999999999999</v>
      </c>
      <c r="AV149" s="16">
        <f t="shared" ref="AV149" si="1012">AU$149</f>
        <v>0.17699999999999999</v>
      </c>
      <c r="AW149" s="16">
        <f t="shared" ref="AW149" si="1013">AV$149</f>
        <v>0.17699999999999999</v>
      </c>
      <c r="AX149" s="16">
        <f t="shared" ref="AX149" si="1014">AW$149</f>
        <v>0.17699999999999999</v>
      </c>
    </row>
    <row r="150" spans="1:50" x14ac:dyDescent="0.25">
      <c r="A150" s="9"/>
      <c r="B150" s="9"/>
      <c r="C150" s="13"/>
      <c r="D150" s="67"/>
      <c r="E150" s="67"/>
      <c r="F150" s="67"/>
      <c r="G150" s="67"/>
      <c r="H150" s="67"/>
      <c r="I150" s="67"/>
      <c r="J150" s="68"/>
      <c r="K150" s="68"/>
      <c r="L150" s="68"/>
      <c r="M150" s="68"/>
      <c r="N150" s="68"/>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row>
    <row r="151" spans="1:50" x14ac:dyDescent="0.25">
      <c r="A151" s="9" t="s">
        <v>453</v>
      </c>
      <c r="B151" s="9"/>
      <c r="C151" s="13"/>
      <c r="D151" s="67"/>
      <c r="E151" s="67"/>
      <c r="F151" s="67"/>
      <c r="G151" s="67"/>
      <c r="H151" s="67"/>
      <c r="I151" s="67"/>
      <c r="J151" s="68"/>
      <c r="K151" s="68"/>
      <c r="L151" s="68"/>
      <c r="M151" s="68"/>
      <c r="N151" s="68"/>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row>
    <row r="152" spans="1:50" x14ac:dyDescent="0.25">
      <c r="A152" s="9" t="s">
        <v>783</v>
      </c>
      <c r="B152" s="10" t="str">
        <f>$B$38</f>
        <v>From Fiscal Forecasts</v>
      </c>
      <c r="C152" s="13"/>
      <c r="D152" s="67">
        <f>'Fiscal Forecasts'!D165</f>
        <v>1.583</v>
      </c>
      <c r="E152" s="67">
        <f>'Fiscal Forecasts'!E165</f>
        <v>1.5529999999999999</v>
      </c>
      <c r="F152" s="67">
        <f>'Fiscal Forecasts'!F165</f>
        <v>1.5429999999999999</v>
      </c>
      <c r="G152" s="67">
        <f>'Fiscal Forecasts'!G165</f>
        <v>1.3859999999999999</v>
      </c>
      <c r="H152" s="67">
        <f>'Fiscal Forecasts'!H165</f>
        <v>1.631</v>
      </c>
      <c r="I152" s="67">
        <f>'Fiscal Forecasts'!I165</f>
        <v>1.798</v>
      </c>
      <c r="J152" s="68">
        <f>'Fiscal Forecasts'!J165</f>
        <v>2.21</v>
      </c>
      <c r="K152" s="68">
        <f>'Fiscal Forecasts'!K165</f>
        <v>2.3940000000000001</v>
      </c>
      <c r="L152" s="68">
        <f>'Fiscal Forecasts'!L165</f>
        <v>2.3420000000000001</v>
      </c>
      <c r="M152" s="68">
        <f>'Fiscal Forecasts'!M165</f>
        <v>2.427</v>
      </c>
      <c r="N152" s="68">
        <f>'Fiscal Forecasts'!N165</f>
        <v>2.4420000000000002</v>
      </c>
      <c r="O152" s="47">
        <f t="shared" ref="O152:AX152" ca="1" si="1015">N$152*(1+O$19)*(1+O$29)</f>
        <v>2.524350221242508</v>
      </c>
      <c r="P152" s="47">
        <f t="shared" ca="1" si="1015"/>
        <v>2.6079627835384973</v>
      </c>
      <c r="Q152" s="47">
        <f t="shared" ca="1" si="1015"/>
        <v>2.6933195351587935</v>
      </c>
      <c r="R152" s="47">
        <f t="shared" ca="1" si="1015"/>
        <v>2.7798993099575773</v>
      </c>
      <c r="S152" s="47">
        <f t="shared" ca="1" si="1015"/>
        <v>2.8686700572247519</v>
      </c>
      <c r="T152" s="47">
        <f t="shared" ca="1" si="1015"/>
        <v>2.9587230868844512</v>
      </c>
      <c r="U152" s="47">
        <f t="shared" ca="1" si="1015"/>
        <v>3.0513598015312073</v>
      </c>
      <c r="V152" s="47">
        <f t="shared" ca="1" si="1015"/>
        <v>3.1457977606289256</v>
      </c>
      <c r="W152" s="47">
        <f t="shared" ca="1" si="1015"/>
        <v>3.2396794954368797</v>
      </c>
      <c r="X152" s="47">
        <f t="shared" ca="1" si="1015"/>
        <v>3.3355365439484697</v>
      </c>
      <c r="Y152" s="47">
        <f t="shared" ca="1" si="1015"/>
        <v>3.4342911493907291</v>
      </c>
      <c r="Z152" s="47">
        <f t="shared" ca="1" si="1015"/>
        <v>3.5352072042198039</v>
      </c>
      <c r="AA152" s="47">
        <f t="shared" ca="1" si="1015"/>
        <v>3.6384332871480232</v>
      </c>
      <c r="AB152" s="47">
        <f t="shared" ca="1" si="1015"/>
        <v>3.7438732158710293</v>
      </c>
      <c r="AC152" s="47">
        <f t="shared" ca="1" si="1015"/>
        <v>3.85163622261202</v>
      </c>
      <c r="AD152" s="47">
        <f t="shared" ca="1" si="1015"/>
        <v>3.9617642716039021</v>
      </c>
      <c r="AE152" s="47">
        <f t="shared" ca="1" si="1015"/>
        <v>4.0743598204061966</v>
      </c>
      <c r="AF152" s="47">
        <f t="shared" ca="1" si="1015"/>
        <v>4.1894390194186348</v>
      </c>
      <c r="AG152" s="47">
        <f t="shared" ca="1" si="1015"/>
        <v>4.3071955255607621</v>
      </c>
      <c r="AH152" s="47">
        <f t="shared" ca="1" si="1015"/>
        <v>4.4275890962872513</v>
      </c>
      <c r="AI152" s="47">
        <f t="shared" ca="1" si="1015"/>
        <v>4.5509701358343735</v>
      </c>
      <c r="AJ152" s="47">
        <f t="shared" ca="1" si="1015"/>
        <v>4.6773169129294816</v>
      </c>
      <c r="AK152" s="47">
        <f t="shared" ca="1" si="1015"/>
        <v>4.8069056079608634</v>
      </c>
      <c r="AL152" s="47">
        <f t="shared" ca="1" si="1015"/>
        <v>4.939832734843149</v>
      </c>
      <c r="AM152" s="47">
        <f t="shared" ca="1" si="1015"/>
        <v>5.0762068386197736</v>
      </c>
      <c r="AN152" s="47">
        <f t="shared" ca="1" si="1015"/>
        <v>5.2162479484556954</v>
      </c>
      <c r="AO152" s="47">
        <f t="shared" ca="1" si="1015"/>
        <v>5.3599241314503434</v>
      </c>
      <c r="AP152" s="47">
        <f t="shared" ca="1" si="1015"/>
        <v>5.5075495599644393</v>
      </c>
      <c r="AQ152" s="47">
        <f t="shared" ca="1" si="1015"/>
        <v>5.6589360359665211</v>
      </c>
      <c r="AR152" s="47">
        <f t="shared" ca="1" si="1015"/>
        <v>5.8144850009944129</v>
      </c>
      <c r="AS152" s="47">
        <f t="shared" ca="1" si="1015"/>
        <v>5.9739034046698718</v>
      </c>
      <c r="AT152" s="47">
        <f t="shared" ca="1" si="1015"/>
        <v>6.1372820260420058</v>
      </c>
      <c r="AU152" s="47">
        <f t="shared" ca="1" si="1015"/>
        <v>6.3049090519504283</v>
      </c>
      <c r="AV152" s="47">
        <f t="shared" ca="1" si="1015"/>
        <v>6.4765240524244314</v>
      </c>
      <c r="AW152" s="47">
        <f t="shared" ca="1" si="1015"/>
        <v>6.6523747142831962</v>
      </c>
      <c r="AX152" s="47">
        <f t="shared" ca="1" si="1015"/>
        <v>6.8322868921974376</v>
      </c>
    </row>
    <row r="153" spans="1:50" x14ac:dyDescent="0.25">
      <c r="A153" s="9" t="s">
        <v>831</v>
      </c>
      <c r="B153" s="10" t="str">
        <f>$B$38</f>
        <v>From Fiscal Forecasts</v>
      </c>
      <c r="C153" s="13"/>
      <c r="D153" s="67">
        <f>'Fiscal Forecasts'!D11</f>
        <v>19.795999999999999</v>
      </c>
      <c r="E153" s="67">
        <f>'Fiscal Forecasts'!E11</f>
        <v>18.437000000000001</v>
      </c>
      <c r="F153" s="67">
        <f>'Fiscal Forecasts'!F11</f>
        <v>18.5</v>
      </c>
      <c r="G153" s="67">
        <f>'Fiscal Forecasts'!G11</f>
        <v>17.442</v>
      </c>
      <c r="H153" s="67">
        <f>'Fiscal Forecasts'!H11</f>
        <v>21.954000000000001</v>
      </c>
      <c r="I153" s="67">
        <f>'Fiscal Forecasts'!I11</f>
        <v>25.135000000000002</v>
      </c>
      <c r="J153" s="68">
        <f>'Fiscal Forecasts'!J11</f>
        <v>26.361999999999998</v>
      </c>
      <c r="K153" s="68">
        <f>'Fiscal Forecasts'!K11</f>
        <v>27.553999999999998</v>
      </c>
      <c r="L153" s="68">
        <f>'Fiscal Forecasts'!L11</f>
        <v>28.504000000000001</v>
      </c>
      <c r="M153" s="68">
        <f>'Fiscal Forecasts'!M11</f>
        <v>29.87</v>
      </c>
      <c r="N153" s="68">
        <f>'Fiscal Forecasts'!N11</f>
        <v>30.238</v>
      </c>
      <c r="O153" s="47">
        <f t="shared" ref="O153:AX153" ca="1" si="1016">O$152+(N$153-N$152)*(1+O$14)</f>
        <v>31.56735456270901</v>
      </c>
      <c r="P153" s="47">
        <f t="shared" ca="1" si="1016"/>
        <v>32.934532343443422</v>
      </c>
      <c r="Q153" s="47">
        <f t="shared" ca="1" si="1016"/>
        <v>34.307728710474052</v>
      </c>
      <c r="R153" s="47">
        <f t="shared" ca="1" si="1016"/>
        <v>35.68206494130991</v>
      </c>
      <c r="S153" s="47">
        <f t="shared" ca="1" si="1016"/>
        <v>37.099769843327259</v>
      </c>
      <c r="T153" s="47">
        <f t="shared" ca="1" si="1016"/>
        <v>38.559287094357934</v>
      </c>
      <c r="U153" s="47">
        <f t="shared" ca="1" si="1016"/>
        <v>40.06743225450483</v>
      </c>
      <c r="V153" s="47">
        <f t="shared" ca="1" si="1016"/>
        <v>41.623817976310463</v>
      </c>
      <c r="W153" s="47">
        <f t="shared" ca="1" si="1016"/>
        <v>43.21846672611828</v>
      </c>
      <c r="X153" s="47">
        <f t="shared" ca="1" si="1016"/>
        <v>44.856341318690966</v>
      </c>
      <c r="Y153" s="47">
        <f t="shared" ca="1" si="1016"/>
        <v>46.546440577264988</v>
      </c>
      <c r="Z153" s="47">
        <f t="shared" ca="1" si="1016"/>
        <v>48.288302695735538</v>
      </c>
      <c r="AA153" s="47">
        <f t="shared" ca="1" si="1016"/>
        <v>50.088787761754809</v>
      </c>
      <c r="AB153" s="47">
        <f t="shared" ca="1" si="1016"/>
        <v>51.94599848983767</v>
      </c>
      <c r="AC153" s="47">
        <f t="shared" ca="1" si="1016"/>
        <v>53.85999906087806</v>
      </c>
      <c r="AD153" s="47">
        <f t="shared" ca="1" si="1016"/>
        <v>55.832125928980993</v>
      </c>
      <c r="AE153" s="47">
        <f t="shared" ca="1" si="1016"/>
        <v>57.861973603263891</v>
      </c>
      <c r="AF153" s="47">
        <f t="shared" ca="1" si="1016"/>
        <v>59.950007883130603</v>
      </c>
      <c r="AG153" s="47">
        <f t="shared" ca="1" si="1016"/>
        <v>62.096635009991509</v>
      </c>
      <c r="AH153" s="47">
        <f t="shared" ca="1" si="1016"/>
        <v>64.300858081758705</v>
      </c>
      <c r="AI153" s="47">
        <f t="shared" ca="1" si="1016"/>
        <v>66.565003203972211</v>
      </c>
      <c r="AJ153" s="47">
        <f t="shared" ca="1" si="1016"/>
        <v>68.891574459877447</v>
      </c>
      <c r="AK153" s="47">
        <f t="shared" ca="1" si="1016"/>
        <v>71.277927277462979</v>
      </c>
      <c r="AL153" s="47">
        <f t="shared" ca="1" si="1016"/>
        <v>73.727253956691357</v>
      </c>
      <c r="AM153" s="47">
        <f t="shared" ca="1" si="1016"/>
        <v>76.243014164721245</v>
      </c>
      <c r="AN153" s="47">
        <f t="shared" ca="1" si="1016"/>
        <v>78.828133524719192</v>
      </c>
      <c r="AO153" s="47">
        <f t="shared" ca="1" si="1016"/>
        <v>81.483596585041212</v>
      </c>
      <c r="AP153" s="47">
        <f t="shared" ca="1" si="1016"/>
        <v>84.217445013673611</v>
      </c>
      <c r="AQ153" s="47">
        <f t="shared" ca="1" si="1016"/>
        <v>87.032017477367674</v>
      </c>
      <c r="AR153" s="47">
        <f t="shared" ca="1" si="1016"/>
        <v>89.934665536395912</v>
      </c>
      <c r="AS153" s="47">
        <f t="shared" ca="1" si="1016"/>
        <v>92.927150510369501</v>
      </c>
      <c r="AT153" s="47">
        <f t="shared" ca="1" si="1016"/>
        <v>96.018379042664492</v>
      </c>
      <c r="AU153" s="47">
        <f t="shared" ca="1" si="1016"/>
        <v>99.20737351030327</v>
      </c>
      <c r="AV153" s="47">
        <f t="shared" ca="1" si="1016"/>
        <v>102.50243930323768</v>
      </c>
      <c r="AW153" s="47">
        <f t="shared" ca="1" si="1016"/>
        <v>105.90657699434824</v>
      </c>
      <c r="AX153" s="47">
        <f t="shared" ca="1" si="1016"/>
        <v>109.41827107670997</v>
      </c>
    </row>
    <row r="154" spans="1:50" x14ac:dyDescent="0.25">
      <c r="A154" s="9"/>
      <c r="B154" s="9"/>
      <c r="C154" s="13"/>
      <c r="D154" s="67"/>
      <c r="E154" s="67"/>
      <c r="F154" s="67"/>
      <c r="G154" s="67"/>
      <c r="H154" s="67"/>
      <c r="I154" s="67"/>
      <c r="J154" s="68"/>
      <c r="K154" s="68"/>
      <c r="L154" s="68"/>
      <c r="M154" s="68"/>
      <c r="N154" s="68"/>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row>
    <row r="155" spans="1:50" x14ac:dyDescent="0.25">
      <c r="A155" s="9" t="s">
        <v>454</v>
      </c>
      <c r="B155" s="9"/>
      <c r="C155" s="13"/>
      <c r="D155" s="67"/>
      <c r="E155" s="67"/>
      <c r="F155" s="67"/>
      <c r="G155" s="67"/>
      <c r="H155" s="67"/>
      <c r="I155" s="67"/>
      <c r="J155" s="68"/>
      <c r="K155" s="68"/>
      <c r="L155" s="68"/>
      <c r="M155" s="68"/>
      <c r="N155" s="68"/>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row>
    <row r="156" spans="1:50" x14ac:dyDescent="0.25">
      <c r="A156" s="11" t="s">
        <v>788</v>
      </c>
      <c r="B156" s="9"/>
      <c r="C156" s="13"/>
      <c r="D156" s="35">
        <f ca="1">OFFSET(Assumptions!$B$49,0,$C$1)*D$376</f>
        <v>0.43208000000000002</v>
      </c>
      <c r="E156" s="35">
        <f ca="1">OFFSET(Assumptions!$B$49,0,$C$1)*E$376</f>
        <v>0.35332000000000002</v>
      </c>
      <c r="F156" s="35">
        <f ca="1">OFFSET(Assumptions!$B$49,0,$C$1)*F$376</f>
        <v>0.32647999999999999</v>
      </c>
      <c r="G156" s="35">
        <f ca="1">OFFSET(Assumptions!$B$49,0,$C$1)*G$376</f>
        <v>0.47387999999999997</v>
      </c>
      <c r="H156" s="35">
        <f ca="1">OFFSET(Assumptions!$B$49,0,$C$1)*H$376</f>
        <v>0.58079999999999998</v>
      </c>
      <c r="I156" s="35">
        <f ca="1">OFFSET(Assumptions!$B$49,0,$C$1)*I$376</f>
        <v>0.72996000000000005</v>
      </c>
      <c r="J156" s="17">
        <f ca="1">OFFSET(Assumptions!$B$49,0,$C$1)*J$376</f>
        <v>0.75020000000000009</v>
      </c>
      <c r="K156" s="17">
        <f ca="1">OFFSET(Assumptions!$B$49,0,$C$1)*K$376</f>
        <v>0.78011999999999992</v>
      </c>
      <c r="L156" s="17">
        <f ca="1">OFFSET(Assumptions!$B$49,0,$C$1)*L$376</f>
        <v>0.82235999999999998</v>
      </c>
      <c r="M156" s="17">
        <f ca="1">OFFSET(Assumptions!$B$49,0,$C$1)*M$376</f>
        <v>0.87692000000000003</v>
      </c>
      <c r="N156" s="17">
        <f ca="1">OFFSET(Assumptions!$B$49,0,$C$1)*N$376</f>
        <v>0.93104000000000009</v>
      </c>
      <c r="O156" s="16">
        <f ca="1">OFFSET(Assumptions!$B$49,0,$C$1)*O$376</f>
        <v>0.98934404700398548</v>
      </c>
      <c r="P156" s="16">
        <f ca="1">OFFSET(Assumptions!$B$49,0,$C$1)*P$376</f>
        <v>1.0533126106836124</v>
      </c>
      <c r="Q156" s="16">
        <f ca="1">OFFSET(Assumptions!$B$49,0,$C$1)*Q$376</f>
        <v>1.1205573585503925</v>
      </c>
      <c r="R156" s="16">
        <f ca="1">OFFSET(Assumptions!$B$49,0,$C$1)*R$376</f>
        <v>1.1908973449111468</v>
      </c>
      <c r="S156" s="16">
        <f ca="1">OFFSET(Assumptions!$B$49,0,$C$1)*S$376</f>
        <v>1.2641977802941358</v>
      </c>
      <c r="T156" s="16">
        <f ca="1">OFFSET(Assumptions!$B$49,0,$C$1)*T$376</f>
        <v>1.340616017200988</v>
      </c>
      <c r="U156" s="16">
        <f ca="1">OFFSET(Assumptions!$B$49,0,$C$1)*U$376</f>
        <v>1.4202261904722484</v>
      </c>
      <c r="V156" s="16">
        <f ca="1">OFFSET(Assumptions!$B$49,0,$C$1)*V$376</f>
        <v>1.5031261942171814</v>
      </c>
      <c r="W156" s="16">
        <f ca="1">OFFSET(Assumptions!$B$49,0,$C$1)*W$376</f>
        <v>1.5899993437278772</v>
      </c>
      <c r="X156" s="16">
        <f ca="1">OFFSET(Assumptions!$B$49,0,$C$1)*X$376</f>
        <v>1.6817286744255411</v>
      </c>
      <c r="Y156" s="16">
        <f ca="1">OFFSET(Assumptions!$B$49,0,$C$1)*Y$376</f>
        <v>1.7793656325525695</v>
      </c>
      <c r="Z156" s="16">
        <f ca="1">OFFSET(Assumptions!$B$49,0,$C$1)*Z$376</f>
        <v>1.8840767311821693</v>
      </c>
      <c r="AA156" s="16">
        <f ca="1">OFFSET(Assumptions!$B$49,0,$C$1)*AA$376</f>
        <v>1.9967368050932188</v>
      </c>
      <c r="AB156" s="16">
        <f ca="1">OFFSET(Assumptions!$B$49,0,$C$1)*AB$376</f>
        <v>2.1181091041292741</v>
      </c>
      <c r="AC156" s="16">
        <f ca="1">OFFSET(Assumptions!$B$49,0,$C$1)*AC$376</f>
        <v>2.2487639051509531</v>
      </c>
      <c r="AD156" s="16">
        <f ca="1">OFFSET(Assumptions!$B$49,0,$C$1)*AD$376</f>
        <v>2.3812317401557417</v>
      </c>
      <c r="AE156" s="16">
        <f ca="1">OFFSET(Assumptions!$B$49,0,$C$1)*AE$376</f>
        <v>2.522032345627657</v>
      </c>
      <c r="AF156" s="16">
        <f ca="1">OFFSET(Assumptions!$B$49,0,$C$1)*AF$376</f>
        <v>2.6711724598172362</v>
      </c>
      <c r="AG156" s="16">
        <f ca="1">OFFSET(Assumptions!$B$49,0,$C$1)*AG$376</f>
        <v>2.8284621105193417</v>
      </c>
      <c r="AH156" s="16">
        <f ca="1">OFFSET(Assumptions!$B$49,0,$C$1)*AH$376</f>
        <v>2.9936687125758237</v>
      </c>
      <c r="AI156" s="16">
        <f ca="1">OFFSET(Assumptions!$B$49,0,$C$1)*AI$376</f>
        <v>3.1666161175618472</v>
      </c>
      <c r="AJ156" s="16">
        <f ca="1">OFFSET(Assumptions!$B$49,0,$C$1)*AJ$376</f>
        <v>3.3470368642399921</v>
      </c>
      <c r="AK156" s="16">
        <f ca="1">OFFSET(Assumptions!$B$49,0,$C$1)*AK$376</f>
        <v>3.5342318339485947</v>
      </c>
      <c r="AL156" s="16">
        <f ca="1">OFFSET(Assumptions!$B$49,0,$C$1)*AL$376</f>
        <v>3.7269718331561092</v>
      </c>
      <c r="AM156" s="16">
        <f ca="1">OFFSET(Assumptions!$B$49,0,$C$1)*AM$376</f>
        <v>3.9242653006095112</v>
      </c>
      <c r="AN156" s="16">
        <f ca="1">OFFSET(Assumptions!$B$49,0,$C$1)*AN$376</f>
        <v>4.1250198651894951</v>
      </c>
      <c r="AO156" s="16">
        <f ca="1">OFFSET(Assumptions!$B$49,0,$C$1)*AO$376</f>
        <v>4.3279749406563655</v>
      </c>
      <c r="AP156" s="16">
        <f ca="1">OFFSET(Assumptions!$B$49,0,$C$1)*AP$376</f>
        <v>4.5325853274965429</v>
      </c>
      <c r="AQ156" s="16">
        <f ca="1">OFFSET(Assumptions!$B$49,0,$C$1)*AQ$376</f>
        <v>4.7389257042320043</v>
      </c>
      <c r="AR156" s="16">
        <f ca="1">OFFSET(Assumptions!$B$49,0,$C$1)*AR$376</f>
        <v>4.9475899089356554</v>
      </c>
      <c r="AS156" s="16">
        <f ca="1">OFFSET(Assumptions!$B$49,0,$C$1)*AS$376</f>
        <v>5.159135608709235</v>
      </c>
      <c r="AT156" s="16">
        <f ca="1">OFFSET(Assumptions!$B$49,0,$C$1)*AT$376</f>
        <v>5.3739860648663438</v>
      </c>
      <c r="AU156" s="16">
        <f ca="1">OFFSET(Assumptions!$B$49,0,$C$1)*AU$376</f>
        <v>5.5928802482298527</v>
      </c>
      <c r="AV156" s="16">
        <f ca="1">OFFSET(Assumptions!$B$49,0,$C$1)*AV$376</f>
        <v>5.8163964733232252</v>
      </c>
      <c r="AW156" s="16">
        <f ca="1">OFFSET(Assumptions!$B$49,0,$C$1)*AW$376</f>
        <v>6.0452218609505257</v>
      </c>
      <c r="AX156" s="16">
        <f ca="1">OFFSET(Assumptions!$B$49,0,$C$1)*AX$376</f>
        <v>6.2793569846558333</v>
      </c>
    </row>
    <row r="157" spans="1:50" x14ac:dyDescent="0.25">
      <c r="A157" s="11" t="s">
        <v>784</v>
      </c>
      <c r="B157" s="9"/>
      <c r="C157" s="13"/>
      <c r="D157" s="35">
        <f t="shared" ref="D157:AX157" si="1017">D$405</f>
        <v>0.39400000000000002</v>
      </c>
      <c r="E157" s="35">
        <f t="shared" si="1017"/>
        <v>0.33100000000000002</v>
      </c>
      <c r="F157" s="35">
        <f t="shared" si="1017"/>
        <v>0.23499999999999999</v>
      </c>
      <c r="G157" s="35">
        <f t="shared" si="1017"/>
        <v>0.28000000000000003</v>
      </c>
      <c r="H157" s="35">
        <f t="shared" si="1017"/>
        <v>0.57699999999999996</v>
      </c>
      <c r="I157" s="35">
        <f t="shared" si="1017"/>
        <v>0.63400000000000001</v>
      </c>
      <c r="J157" s="17">
        <f t="shared" si="1017"/>
        <v>0.502</v>
      </c>
      <c r="K157" s="17">
        <f t="shared" si="1017"/>
        <v>0.41299999999999998</v>
      </c>
      <c r="L157" s="17">
        <f t="shared" si="1017"/>
        <v>0.42899999999999999</v>
      </c>
      <c r="M157" s="17">
        <f t="shared" si="1017"/>
        <v>0.46100000000000002</v>
      </c>
      <c r="N157" s="17">
        <f t="shared" si="1017"/>
        <v>0.48599999999999999</v>
      </c>
      <c r="O157" s="16">
        <f t="shared" si="1017"/>
        <v>0.52894410207035358</v>
      </c>
      <c r="P157" s="16">
        <f t="shared" si="1017"/>
        <v>0.55680676032728715</v>
      </c>
      <c r="Q157" s="16">
        <f t="shared" si="1017"/>
        <v>0.58313665103493628</v>
      </c>
      <c r="R157" s="16">
        <f t="shared" si="1017"/>
        <v>0.60754685851833434</v>
      </c>
      <c r="S157" s="16">
        <f t="shared" si="1017"/>
        <v>0.6297882630430407</v>
      </c>
      <c r="T157" s="16">
        <f t="shared" si="1017"/>
        <v>0.64905333864022052</v>
      </c>
      <c r="U157" s="16">
        <f t="shared" si="1017"/>
        <v>0.66283813650034062</v>
      </c>
      <c r="V157" s="16">
        <f t="shared" si="1017"/>
        <v>0.67329204461648962</v>
      </c>
      <c r="W157" s="16">
        <f t="shared" si="1017"/>
        <v>0.68378585024845817</v>
      </c>
      <c r="X157" s="16">
        <f t="shared" si="1017"/>
        <v>0.69446068333022448</v>
      </c>
      <c r="Y157" s="16">
        <f t="shared" si="1017"/>
        <v>0.70539841995924402</v>
      </c>
      <c r="Z157" s="16">
        <f t="shared" si="1017"/>
        <v>0.71657427593119982</v>
      </c>
      <c r="AA157" s="16">
        <f t="shared" si="1017"/>
        <v>0.72803825292904767</v>
      </c>
      <c r="AB157" s="16">
        <f t="shared" si="1017"/>
        <v>0.73999796953970443</v>
      </c>
      <c r="AC157" s="16">
        <f t="shared" si="1017"/>
        <v>0.75253137997374264</v>
      </c>
      <c r="AD157" s="16">
        <f t="shared" si="1017"/>
        <v>0.76571699223413481</v>
      </c>
      <c r="AE157" s="16">
        <f t="shared" si="1017"/>
        <v>0.77971361355311952</v>
      </c>
      <c r="AF157" s="16">
        <f t="shared" si="1017"/>
        <v>0.79454370516788098</v>
      </c>
      <c r="AG157" s="16">
        <f t="shared" si="1017"/>
        <v>0.81021758654407949</v>
      </c>
      <c r="AH157" s="16">
        <f t="shared" si="1017"/>
        <v>0.82680744427928343</v>
      </c>
      <c r="AI157" s="16">
        <f t="shared" si="1017"/>
        <v>0.84435078666315155</v>
      </c>
      <c r="AJ157" s="16">
        <f t="shared" si="1017"/>
        <v>0.8629349962951931</v>
      </c>
      <c r="AK157" s="16">
        <f t="shared" si="1017"/>
        <v>0.88274437159757746</v>
      </c>
      <c r="AL157" s="16">
        <f t="shared" si="1017"/>
        <v>0.90392696219305257</v>
      </c>
      <c r="AM157" s="16">
        <f t="shared" si="1017"/>
        <v>0.92631689188094091</v>
      </c>
      <c r="AN157" s="16">
        <f t="shared" si="1017"/>
        <v>0.93416595086524801</v>
      </c>
      <c r="AO157" s="16">
        <f t="shared" si="1017"/>
        <v>0.92974862609821829</v>
      </c>
      <c r="AP157" s="16">
        <f t="shared" si="1017"/>
        <v>0.93159780953653537</v>
      </c>
      <c r="AQ157" s="16">
        <f t="shared" si="1017"/>
        <v>0.93397835456421729</v>
      </c>
      <c r="AR157" s="16">
        <f t="shared" si="1017"/>
        <v>0.93585967533437719</v>
      </c>
      <c r="AS157" s="16">
        <f t="shared" si="1017"/>
        <v>0.93708804967967485</v>
      </c>
      <c r="AT157" s="16">
        <f t="shared" si="1017"/>
        <v>0.9370897556822686</v>
      </c>
      <c r="AU157" s="16">
        <f t="shared" si="1017"/>
        <v>0.93592900171070592</v>
      </c>
      <c r="AV157" s="16">
        <f t="shared" si="1017"/>
        <v>0.93350362596972847</v>
      </c>
      <c r="AW157" s="16">
        <f t="shared" si="1017"/>
        <v>0.92960987643120918</v>
      </c>
      <c r="AX157" s="16">
        <f t="shared" si="1017"/>
        <v>0.94044563170080619</v>
      </c>
    </row>
    <row r="158" spans="1:50" x14ac:dyDescent="0.25">
      <c r="A158" s="11" t="s">
        <v>785</v>
      </c>
      <c r="B158" s="10" t="str">
        <f>$B$38</f>
        <v>From Fiscal Forecasts</v>
      </c>
      <c r="C158" s="13"/>
      <c r="D158" s="35">
        <f ca="1">'Fiscal Forecasts'!D$166-SUM(D$156:D$157)</f>
        <v>0.23392000000000002</v>
      </c>
      <c r="E158" s="35">
        <f ca="1">'Fiscal Forecasts'!E$166-SUM(E$156:E$157)</f>
        <v>0.16567999999999994</v>
      </c>
      <c r="F158" s="35">
        <f ca="1">'Fiscal Forecasts'!F$166-SUM(F$156:F$157)</f>
        <v>0.15451999999999999</v>
      </c>
      <c r="G158" s="35">
        <f ca="1">'Fiscal Forecasts'!G$166-SUM(G$156:G$157)</f>
        <v>0.10411999999999999</v>
      </c>
      <c r="H158" s="35">
        <f ca="1">'Fiscal Forecasts'!H$166-SUM(H$156:H$157)</f>
        <v>1.7042000000000002</v>
      </c>
      <c r="I158" s="35">
        <f ca="1">'Fiscal Forecasts'!I$166-SUM(I$156:I$157)</f>
        <v>3.0770399999999998</v>
      </c>
      <c r="J158" s="17">
        <f ca="1">'Fiscal Forecasts'!J$166-SUM(J$156:J$157)</f>
        <v>2.8267999999999995</v>
      </c>
      <c r="K158" s="17">
        <f ca="1">'Fiscal Forecasts'!K$166-SUM(K$156:K$157)</f>
        <v>2.5228800000000002</v>
      </c>
      <c r="L158" s="17">
        <f ca="1">'Fiscal Forecasts'!L$166-SUM(L$156:L$157)</f>
        <v>2.5806399999999998</v>
      </c>
      <c r="M158" s="17">
        <f ca="1">'Fiscal Forecasts'!M$166-SUM(M$156:M$157)</f>
        <v>2.8080799999999999</v>
      </c>
      <c r="N158" s="17">
        <f ca="1">'Fiscal Forecasts'!N$166-SUM(N$156:N$157)</f>
        <v>2.9759599999999997</v>
      </c>
      <c r="O158" s="16">
        <f t="shared" ref="O158:AX158" ca="1" si="1018">N$158*(1+O$29)*O$30/N$30</f>
        <v>3.0639813521126755</v>
      </c>
      <c r="P158" s="16">
        <f t="shared" ca="1" si="1018"/>
        <v>3.1252609791549291</v>
      </c>
      <c r="Q158" s="16">
        <f t="shared" ca="1" si="1018"/>
        <v>3.1877661987380277</v>
      </c>
      <c r="R158" s="16">
        <f t="shared" ca="1" si="1018"/>
        <v>3.2515215227127889</v>
      </c>
      <c r="S158" s="16">
        <f t="shared" ca="1" si="1018"/>
        <v>3.3165519531670453</v>
      </c>
      <c r="T158" s="16">
        <f t="shared" ca="1" si="1018"/>
        <v>3.3828829922303867</v>
      </c>
      <c r="U158" s="16">
        <f t="shared" ca="1" si="1018"/>
        <v>3.4505406520749946</v>
      </c>
      <c r="V158" s="16">
        <f t="shared" ca="1" si="1018"/>
        <v>3.5195514651164945</v>
      </c>
      <c r="W158" s="16">
        <f t="shared" ca="1" si="1018"/>
        <v>3.5899424944188243</v>
      </c>
      <c r="X158" s="16">
        <f t="shared" ca="1" si="1018"/>
        <v>3.6617413443072007</v>
      </c>
      <c r="Y158" s="16">
        <f t="shared" ca="1" si="1018"/>
        <v>3.7349761711933449</v>
      </c>
      <c r="Z158" s="16">
        <f t="shared" ca="1" si="1018"/>
        <v>3.8096756946172117</v>
      </c>
      <c r="AA158" s="16">
        <f t="shared" ca="1" si="1018"/>
        <v>3.8858692085095559</v>
      </c>
      <c r="AB158" s="16">
        <f t="shared" ca="1" si="1018"/>
        <v>3.9635865926797469</v>
      </c>
      <c r="AC158" s="16">
        <f t="shared" ca="1" si="1018"/>
        <v>4.0428583245333423</v>
      </c>
      <c r="AD158" s="16">
        <f t="shared" ca="1" si="1018"/>
        <v>4.1237154910240088</v>
      </c>
      <c r="AE158" s="16">
        <f t="shared" ca="1" si="1018"/>
        <v>4.2061898008444887</v>
      </c>
      <c r="AF158" s="16">
        <f t="shared" ca="1" si="1018"/>
        <v>4.2903135968613784</v>
      </c>
      <c r="AG158" s="16">
        <f t="shared" ca="1" si="1018"/>
        <v>4.3761198687986056</v>
      </c>
      <c r="AH158" s="16">
        <f t="shared" ca="1" si="1018"/>
        <v>4.4636422661745776</v>
      </c>
      <c r="AI158" s="16">
        <f t="shared" ca="1" si="1018"/>
        <v>4.552915111498069</v>
      </c>
      <c r="AJ158" s="16">
        <f t="shared" ca="1" si="1018"/>
        <v>4.6439734137280304</v>
      </c>
      <c r="AK158" s="16">
        <f t="shared" ca="1" si="1018"/>
        <v>4.7368528820025908</v>
      </c>
      <c r="AL158" s="16">
        <f t="shared" ca="1" si="1018"/>
        <v>4.8315899396426429</v>
      </c>
      <c r="AM158" s="16">
        <f t="shared" ca="1" si="1018"/>
        <v>4.9282217384354956</v>
      </c>
      <c r="AN158" s="16">
        <f t="shared" ca="1" si="1018"/>
        <v>5.0267861732042052</v>
      </c>
      <c r="AO158" s="16">
        <f t="shared" ca="1" si="1018"/>
        <v>5.1273218966682892</v>
      </c>
      <c r="AP158" s="16">
        <f t="shared" ca="1" si="1018"/>
        <v>5.2298683346016555</v>
      </c>
      <c r="AQ158" s="16">
        <f t="shared" ca="1" si="1018"/>
        <v>5.3344657012936887</v>
      </c>
      <c r="AR158" s="16">
        <f t="shared" ca="1" si="1018"/>
        <v>5.4411550153195627</v>
      </c>
      <c r="AS158" s="16">
        <f t="shared" ca="1" si="1018"/>
        <v>5.5499781156259544</v>
      </c>
      <c r="AT158" s="16">
        <f t="shared" ca="1" si="1018"/>
        <v>5.6609776779384733</v>
      </c>
      <c r="AU158" s="16">
        <f t="shared" ca="1" si="1018"/>
        <v>5.7741972314972427</v>
      </c>
      <c r="AV158" s="16">
        <f t="shared" ca="1" si="1018"/>
        <v>5.8896811761271879</v>
      </c>
      <c r="AW158" s="16">
        <f t="shared" ca="1" si="1018"/>
        <v>6.0074747996497315</v>
      </c>
      <c r="AX158" s="16">
        <f t="shared" ca="1" si="1018"/>
        <v>6.1276242956427263</v>
      </c>
    </row>
    <row r="159" spans="1:50" x14ac:dyDescent="0.25">
      <c r="A159" s="9" t="s">
        <v>786</v>
      </c>
      <c r="B159" s="9"/>
      <c r="C159" s="13"/>
      <c r="D159" s="64">
        <f t="shared" ref="D159:AX159" ca="1" si="1019">SUM(D$156:D$158)</f>
        <v>1.06</v>
      </c>
      <c r="E159" s="64">
        <f t="shared" ca="1" si="1019"/>
        <v>0.85</v>
      </c>
      <c r="F159" s="64">
        <f t="shared" ca="1" si="1019"/>
        <v>0.71599999999999997</v>
      </c>
      <c r="G159" s="64">
        <f t="shared" ca="1" si="1019"/>
        <v>0.85799999999999998</v>
      </c>
      <c r="H159" s="64">
        <f t="shared" ca="1" si="1019"/>
        <v>2.8620000000000001</v>
      </c>
      <c r="I159" s="64">
        <f t="shared" ca="1" si="1019"/>
        <v>4.4409999999999998</v>
      </c>
      <c r="J159" s="65">
        <f t="shared" ca="1" si="1019"/>
        <v>4.0789999999999997</v>
      </c>
      <c r="K159" s="65">
        <f t="shared" ca="1" si="1019"/>
        <v>3.7160000000000002</v>
      </c>
      <c r="L159" s="65">
        <f t="shared" ca="1" si="1019"/>
        <v>3.8319999999999999</v>
      </c>
      <c r="M159" s="65">
        <f t="shared" ca="1" si="1019"/>
        <v>4.1459999999999999</v>
      </c>
      <c r="N159" s="65">
        <f t="shared" ca="1" si="1019"/>
        <v>4.3929999999999998</v>
      </c>
      <c r="O159" s="66">
        <f t="shared" ca="1" si="1019"/>
        <v>4.5822695011870147</v>
      </c>
      <c r="P159" s="66">
        <f t="shared" ca="1" si="1019"/>
        <v>4.735380350165828</v>
      </c>
      <c r="Q159" s="66">
        <f t="shared" ca="1" si="1019"/>
        <v>4.8914602083233563</v>
      </c>
      <c r="R159" s="66">
        <f t="shared" ca="1" si="1019"/>
        <v>5.0499657261422701</v>
      </c>
      <c r="S159" s="66">
        <f t="shared" ca="1" si="1019"/>
        <v>5.2105379965042218</v>
      </c>
      <c r="T159" s="66">
        <f t="shared" ca="1" si="1019"/>
        <v>5.3725523480715953</v>
      </c>
      <c r="U159" s="66">
        <f t="shared" ca="1" si="1019"/>
        <v>5.533604979047583</v>
      </c>
      <c r="V159" s="66">
        <f t="shared" ca="1" si="1019"/>
        <v>5.6959697039501656</v>
      </c>
      <c r="W159" s="66">
        <f t="shared" ca="1" si="1019"/>
        <v>5.8637276883951603</v>
      </c>
      <c r="X159" s="66">
        <f t="shared" ca="1" si="1019"/>
        <v>6.0379307020629662</v>
      </c>
      <c r="Y159" s="66">
        <f t="shared" ca="1" si="1019"/>
        <v>6.2197402237051591</v>
      </c>
      <c r="Z159" s="66">
        <f t="shared" ca="1" si="1019"/>
        <v>6.4103267017305807</v>
      </c>
      <c r="AA159" s="66">
        <f t="shared" ca="1" si="1019"/>
        <v>6.6106442665318221</v>
      </c>
      <c r="AB159" s="66">
        <f t="shared" ca="1" si="1019"/>
        <v>6.8216936663487253</v>
      </c>
      <c r="AC159" s="66">
        <f t="shared" ca="1" si="1019"/>
        <v>7.0441536096580375</v>
      </c>
      <c r="AD159" s="66">
        <f t="shared" ca="1" si="1019"/>
        <v>7.2706642234138847</v>
      </c>
      <c r="AE159" s="66">
        <f t="shared" ca="1" si="1019"/>
        <v>7.5079357600252656</v>
      </c>
      <c r="AF159" s="66">
        <f t="shared" ca="1" si="1019"/>
        <v>7.7560297618464951</v>
      </c>
      <c r="AG159" s="66">
        <f t="shared" ca="1" si="1019"/>
        <v>8.0147995658620275</v>
      </c>
      <c r="AH159" s="66">
        <f t="shared" ca="1" si="1019"/>
        <v>8.2841184230296854</v>
      </c>
      <c r="AI159" s="66">
        <f t="shared" ca="1" si="1019"/>
        <v>8.5638820157230668</v>
      </c>
      <c r="AJ159" s="66">
        <f t="shared" ca="1" si="1019"/>
        <v>8.8539452742632161</v>
      </c>
      <c r="AK159" s="66">
        <f t="shared" ca="1" si="1019"/>
        <v>9.1538290875487629</v>
      </c>
      <c r="AL159" s="66">
        <f t="shared" ca="1" si="1019"/>
        <v>9.4624887349918048</v>
      </c>
      <c r="AM159" s="66">
        <f t="shared" ca="1" si="1019"/>
        <v>9.7788039309259478</v>
      </c>
      <c r="AN159" s="66">
        <f t="shared" ca="1" si="1019"/>
        <v>10.085971989258947</v>
      </c>
      <c r="AO159" s="66">
        <f t="shared" ca="1" si="1019"/>
        <v>10.385045463422873</v>
      </c>
      <c r="AP159" s="66">
        <f t="shared" ca="1" si="1019"/>
        <v>10.694051471634733</v>
      </c>
      <c r="AQ159" s="66">
        <f t="shared" ca="1" si="1019"/>
        <v>11.007369760089912</v>
      </c>
      <c r="AR159" s="66">
        <f t="shared" ca="1" si="1019"/>
        <v>11.324604599589595</v>
      </c>
      <c r="AS159" s="66">
        <f t="shared" ca="1" si="1019"/>
        <v>11.646201774014864</v>
      </c>
      <c r="AT159" s="66">
        <f t="shared" ca="1" si="1019"/>
        <v>11.972053498487085</v>
      </c>
      <c r="AU159" s="66">
        <f t="shared" ca="1" si="1019"/>
        <v>12.303006481437802</v>
      </c>
      <c r="AV159" s="66">
        <f t="shared" ca="1" si="1019"/>
        <v>12.639581275420142</v>
      </c>
      <c r="AW159" s="66">
        <f t="shared" ca="1" si="1019"/>
        <v>12.982306537031466</v>
      </c>
      <c r="AX159" s="66">
        <f t="shared" ca="1" si="1019"/>
        <v>13.347426911999365</v>
      </c>
    </row>
    <row r="160" spans="1:50" x14ac:dyDescent="0.25">
      <c r="A160" s="11" t="s">
        <v>630</v>
      </c>
      <c r="B160" s="10" t="str">
        <f>$B$38</f>
        <v>From Fiscal Forecasts</v>
      </c>
      <c r="C160" s="13"/>
      <c r="D160" s="35">
        <f>'Fiscal Forecasts'!D$233</f>
        <v>1.016</v>
      </c>
      <c r="E160" s="35">
        <f>'Fiscal Forecasts'!E$233</f>
        <v>0.94699999999999995</v>
      </c>
      <c r="F160" s="35">
        <f>'Fiscal Forecasts'!F$233</f>
        <v>0.78500000000000003</v>
      </c>
      <c r="G160" s="35">
        <f>'Fiscal Forecasts'!G$233</f>
        <v>0.82699999999999996</v>
      </c>
      <c r="H160" s="35">
        <f>'Fiscal Forecasts'!H$233</f>
        <v>2.097</v>
      </c>
      <c r="I160" s="35">
        <f>'Fiscal Forecasts'!I$233</f>
        <v>3.56</v>
      </c>
      <c r="J160" s="17">
        <f>'Fiscal Forecasts'!J$233</f>
        <v>4.0650000000000004</v>
      </c>
      <c r="K160" s="17">
        <f>'Fiscal Forecasts'!K$233</f>
        <v>4.1219999999999999</v>
      </c>
      <c r="L160" s="17">
        <f>'Fiscal Forecasts'!L$233</f>
        <v>4.16</v>
      </c>
      <c r="M160" s="17">
        <f>'Fiscal Forecasts'!M$233</f>
        <v>4.2519999999999998</v>
      </c>
      <c r="N160" s="17">
        <f>'Fiscal Forecasts'!N$233</f>
        <v>4.5149999999999997</v>
      </c>
      <c r="O160" s="16">
        <f t="shared" ref="O160:AX160" ca="1" si="1020">N$160*AVERAGE(1+O$29,O$233/N$233)</f>
        <v>4.5681290530613854</v>
      </c>
      <c r="P160" s="16">
        <f t="shared" ca="1" si="1020"/>
        <v>4.6218548549849379</v>
      </c>
      <c r="Q160" s="16">
        <f t="shared" ca="1" si="1020"/>
        <v>4.6761839609782312</v>
      </c>
      <c r="R160" s="16">
        <f t="shared" ca="1" si="1020"/>
        <v>4.7311229970975122</v>
      </c>
      <c r="S160" s="16">
        <f t="shared" ca="1" si="1020"/>
        <v>4.7866786610058085</v>
      </c>
      <c r="T160" s="16">
        <f t="shared" ca="1" si="1020"/>
        <v>4.8345454476158665</v>
      </c>
      <c r="U160" s="16">
        <f t="shared" ca="1" si="1020"/>
        <v>4.8828909020920248</v>
      </c>
      <c r="V160" s="16">
        <f t="shared" ca="1" si="1020"/>
        <v>4.931719811112945</v>
      </c>
      <c r="W160" s="16">
        <f t="shared" ca="1" si="1020"/>
        <v>4.9810370092240746</v>
      </c>
      <c r="X160" s="16">
        <f t="shared" ca="1" si="1020"/>
        <v>5.0308473793163158</v>
      </c>
      <c r="Y160" s="16">
        <f t="shared" ca="1" si="1020"/>
        <v>5.0811558531094789</v>
      </c>
      <c r="Z160" s="16">
        <f t="shared" ca="1" si="1020"/>
        <v>5.1319674116405736</v>
      </c>
      <c r="AA160" s="16">
        <f t="shared" ca="1" si="1020"/>
        <v>5.1832870857569793</v>
      </c>
      <c r="AB160" s="16">
        <f t="shared" ca="1" si="1020"/>
        <v>5.2351199566145494</v>
      </c>
      <c r="AC160" s="16">
        <f t="shared" ca="1" si="1020"/>
        <v>5.2874711561806951</v>
      </c>
      <c r="AD160" s="16">
        <f t="shared" ca="1" si="1020"/>
        <v>5.340345867742502</v>
      </c>
      <c r="AE160" s="16">
        <f t="shared" ca="1" si="1020"/>
        <v>5.3937493264199272</v>
      </c>
      <c r="AF160" s="16">
        <f t="shared" ca="1" si="1020"/>
        <v>5.4476868196841268</v>
      </c>
      <c r="AG160" s="16">
        <f t="shared" ca="1" si="1020"/>
        <v>5.5021636878809685</v>
      </c>
      <c r="AH160" s="16">
        <f t="shared" ca="1" si="1020"/>
        <v>5.5571853247597787</v>
      </c>
      <c r="AI160" s="16">
        <f t="shared" ca="1" si="1020"/>
        <v>5.6127571780073762</v>
      </c>
      <c r="AJ160" s="16">
        <f t="shared" ca="1" si="1020"/>
        <v>5.6688847497874502</v>
      </c>
      <c r="AK160" s="16">
        <f t="shared" ca="1" si="1020"/>
        <v>5.725573597285325</v>
      </c>
      <c r="AL160" s="16">
        <f t="shared" ca="1" si="1020"/>
        <v>5.7828293332581779</v>
      </c>
      <c r="AM160" s="16">
        <f t="shared" ca="1" si="1020"/>
        <v>5.8406576265907599</v>
      </c>
      <c r="AN160" s="16">
        <f t="shared" ca="1" si="1020"/>
        <v>5.8990642028566675</v>
      </c>
      <c r="AO160" s="16">
        <f t="shared" ca="1" si="1020"/>
        <v>5.9580548448852344</v>
      </c>
      <c r="AP160" s="16">
        <f t="shared" ca="1" si="1020"/>
        <v>6.0176353933340865</v>
      </c>
      <c r="AQ160" s="16">
        <f t="shared" ca="1" si="1020"/>
        <v>6.0778117472674271</v>
      </c>
      <c r="AR160" s="16">
        <f t="shared" ca="1" si="1020"/>
        <v>6.1385898647401014</v>
      </c>
      <c r="AS160" s="16">
        <f t="shared" ca="1" si="1020"/>
        <v>6.1999757633875028</v>
      </c>
      <c r="AT160" s="16">
        <f t="shared" ca="1" si="1020"/>
        <v>6.2619755210213777</v>
      </c>
      <c r="AU160" s="16">
        <f t="shared" ca="1" si="1020"/>
        <v>6.3245952762315918</v>
      </c>
      <c r="AV160" s="16">
        <f t="shared" ca="1" si="1020"/>
        <v>6.3878412289939082</v>
      </c>
      <c r="AW160" s="16">
        <f t="shared" ca="1" si="1020"/>
        <v>6.4517196412838471</v>
      </c>
      <c r="AX160" s="16">
        <f t="shared" ca="1" si="1020"/>
        <v>6.5162368376966855</v>
      </c>
    </row>
    <row r="161" spans="1:50" x14ac:dyDescent="0.25">
      <c r="A161" s="11" t="s">
        <v>825</v>
      </c>
      <c r="B161" s="10" t="str">
        <f>$B$38</f>
        <v>From Fiscal Forecasts</v>
      </c>
      <c r="C161" s="13"/>
      <c r="D161" s="35">
        <f>'Fiscal Forecasts'!D$234</f>
        <v>1.014</v>
      </c>
      <c r="E161" s="35">
        <f>'Fiscal Forecasts'!E$234</f>
        <v>0.95299999999999996</v>
      </c>
      <c r="F161" s="35">
        <f>'Fiscal Forecasts'!F$234</f>
        <v>0.79100000000000004</v>
      </c>
      <c r="G161" s="35">
        <f>'Fiscal Forecasts'!G$234</f>
        <v>0.95699999999999996</v>
      </c>
      <c r="H161" s="35">
        <f>'Fiscal Forecasts'!H$234</f>
        <v>0.67500000000000004</v>
      </c>
      <c r="I161" s="35">
        <f>'Fiscal Forecasts'!I$234</f>
        <v>0.22800000000000001</v>
      </c>
      <c r="J161" s="17">
        <f>'Fiscal Forecasts'!J$234</f>
        <v>0.124</v>
      </c>
      <c r="K161" s="17">
        <f>'Fiscal Forecasts'!K$234</f>
        <v>8.4000000000000005E-2</v>
      </c>
      <c r="L161" s="17">
        <f>'Fiscal Forecasts'!L$234</f>
        <v>7.6999999999999999E-2</v>
      </c>
      <c r="M161" s="17">
        <f>'Fiscal Forecasts'!M$234</f>
        <v>8.8999999999999996E-2</v>
      </c>
      <c r="N161" s="17">
        <f>'Fiscal Forecasts'!N$234</f>
        <v>0.1</v>
      </c>
      <c r="O161" s="16">
        <f t="shared" ref="O161:AX161" ca="1" si="1021">N$161*AVERAGE(1+O$29,O$233/N$233)</f>
        <v>0.10117672321287677</v>
      </c>
      <c r="P161" s="16">
        <f t="shared" ca="1" si="1021"/>
        <v>0.1023666634548159</v>
      </c>
      <c r="Q161" s="16">
        <f t="shared" ca="1" si="1021"/>
        <v>0.10356996591313912</v>
      </c>
      <c r="R161" s="16">
        <f t="shared" ca="1" si="1021"/>
        <v>0.10478677734435243</v>
      </c>
      <c r="S161" s="16">
        <f t="shared" ca="1" si="1021"/>
        <v>0.10601724609093707</v>
      </c>
      <c r="T161" s="16">
        <f t="shared" ca="1" si="1021"/>
        <v>0.10707741855184645</v>
      </c>
      <c r="U161" s="16">
        <f t="shared" ca="1" si="1021"/>
        <v>0.10814819273736492</v>
      </c>
      <c r="V161" s="16">
        <f t="shared" ca="1" si="1021"/>
        <v>0.10922967466473857</v>
      </c>
      <c r="W161" s="16">
        <f t="shared" ca="1" si="1021"/>
        <v>0.11032197141138596</v>
      </c>
      <c r="X161" s="16">
        <f t="shared" ca="1" si="1021"/>
        <v>0.11142519112549981</v>
      </c>
      <c r="Y161" s="16">
        <f t="shared" ca="1" si="1021"/>
        <v>0.11253944303675481</v>
      </c>
      <c r="Z161" s="16">
        <f t="shared" ca="1" si="1021"/>
        <v>0.11366483746712236</v>
      </c>
      <c r="AA161" s="16">
        <f t="shared" ca="1" si="1021"/>
        <v>0.11480148584179359</v>
      </c>
      <c r="AB161" s="16">
        <f t="shared" ca="1" si="1021"/>
        <v>0.11594950070021152</v>
      </c>
      <c r="AC161" s="16">
        <f t="shared" ca="1" si="1021"/>
        <v>0.11710899570721364</v>
      </c>
      <c r="AD161" s="16">
        <f t="shared" ca="1" si="1021"/>
        <v>0.11828008566428579</v>
      </c>
      <c r="AE161" s="16">
        <f t="shared" ca="1" si="1021"/>
        <v>0.11946288652092865</v>
      </c>
      <c r="AF161" s="16">
        <f t="shared" ca="1" si="1021"/>
        <v>0.12065751538613793</v>
      </c>
      <c r="AG161" s="16">
        <f t="shared" ca="1" si="1021"/>
        <v>0.12186409053999932</v>
      </c>
      <c r="AH161" s="16">
        <f t="shared" ca="1" si="1021"/>
        <v>0.12308273144539932</v>
      </c>
      <c r="AI161" s="16">
        <f t="shared" ca="1" si="1021"/>
        <v>0.12431355875985331</v>
      </c>
      <c r="AJ161" s="16">
        <f t="shared" ca="1" si="1021"/>
        <v>0.12555669434745184</v>
      </c>
      <c r="AK161" s="16">
        <f t="shared" ca="1" si="1021"/>
        <v>0.12681226129092635</v>
      </c>
      <c r="AL161" s="16">
        <f t="shared" ca="1" si="1021"/>
        <v>0.12808038390383561</v>
      </c>
      <c r="AM161" s="16">
        <f t="shared" ca="1" si="1021"/>
        <v>0.12936118774287397</v>
      </c>
      <c r="AN161" s="16">
        <f t="shared" ca="1" si="1021"/>
        <v>0.13065479962030271</v>
      </c>
      <c r="AO161" s="16">
        <f t="shared" ca="1" si="1021"/>
        <v>0.13196134761650574</v>
      </c>
      <c r="AP161" s="16">
        <f t="shared" ca="1" si="1021"/>
        <v>0.13328096109267079</v>
      </c>
      <c r="AQ161" s="16">
        <f t="shared" ca="1" si="1021"/>
        <v>0.13461377070359751</v>
      </c>
      <c r="AR161" s="16">
        <f t="shared" ca="1" si="1021"/>
        <v>0.13595990841063349</v>
      </c>
      <c r="AS161" s="16">
        <f t="shared" ca="1" si="1021"/>
        <v>0.13731950749473984</v>
      </c>
      <c r="AT161" s="16">
        <f t="shared" ca="1" si="1021"/>
        <v>0.13869270256968724</v>
      </c>
      <c r="AU161" s="16">
        <f t="shared" ca="1" si="1021"/>
        <v>0.14007962959538411</v>
      </c>
      <c r="AV161" s="16">
        <f t="shared" ca="1" si="1021"/>
        <v>0.14148042589133797</v>
      </c>
      <c r="AW161" s="16">
        <f t="shared" ca="1" si="1021"/>
        <v>0.14289523015025135</v>
      </c>
      <c r="AX161" s="16">
        <f t="shared" ca="1" si="1021"/>
        <v>0.14432418245175388</v>
      </c>
    </row>
    <row r="162" spans="1:50" x14ac:dyDescent="0.25">
      <c r="A162" s="11" t="s">
        <v>787</v>
      </c>
      <c r="B162" s="10" t="str">
        <f>$B$38</f>
        <v>From Fiscal Forecasts</v>
      </c>
      <c r="C162" s="13"/>
      <c r="D162" s="35">
        <f>'Fiscal Forecasts'!D$235</f>
        <v>-0.44400000000000001</v>
      </c>
      <c r="E162" s="35">
        <f>'Fiscal Forecasts'!E$235</f>
        <v>-0.45</v>
      </c>
      <c r="F162" s="35">
        <f>'Fiscal Forecasts'!F$235</f>
        <v>-0.34899999999999998</v>
      </c>
      <c r="G162" s="35">
        <f>'Fiscal Forecasts'!G$235</f>
        <v>-0.35</v>
      </c>
      <c r="H162" s="35">
        <f>'Fiscal Forecasts'!H$235</f>
        <v>-0.622</v>
      </c>
      <c r="I162" s="35">
        <f>'Fiscal Forecasts'!I$235</f>
        <v>-1.109</v>
      </c>
      <c r="J162" s="17">
        <f>'Fiscal Forecasts'!J$235</f>
        <v>-1.3979999999999999</v>
      </c>
      <c r="K162" s="17">
        <f>'Fiscal Forecasts'!K$235</f>
        <v>-1.514</v>
      </c>
      <c r="L162" s="17">
        <f>'Fiscal Forecasts'!L$235</f>
        <v>-1.61</v>
      </c>
      <c r="M162" s="17">
        <f>'Fiscal Forecasts'!M$235</f>
        <v>-1.732</v>
      </c>
      <c r="N162" s="17">
        <f>'Fiscal Forecasts'!N$235</f>
        <v>-1.8520000000000001</v>
      </c>
      <c r="O162" s="16">
        <f t="shared" ref="O162" ca="1" si="1022">N$162*O$160/N$160</f>
        <v>-1.8737929139024778</v>
      </c>
      <c r="P162" s="16">
        <f t="shared" ref="P162" ca="1" si="1023">O$162*P$160/O$160</f>
        <v>-1.8958306071831907</v>
      </c>
      <c r="Q162" s="16">
        <f t="shared" ref="Q162" ca="1" si="1024">P$162*Q$160/P$160</f>
        <v>-1.9181157687113368</v>
      </c>
      <c r="R162" s="16">
        <f t="shared" ref="R162" ca="1" si="1025">Q$162*R$160/Q$160</f>
        <v>-1.9406511164174074</v>
      </c>
      <c r="S162" s="16">
        <f t="shared" ref="S162" ca="1" si="1026">R$162*S$160/R$160</f>
        <v>-1.9634393976041549</v>
      </c>
      <c r="T162" s="16">
        <f t="shared" ref="T162" ca="1" si="1027">S$162*T$160/S$160</f>
        <v>-1.9830737915801961</v>
      </c>
      <c r="U162" s="16">
        <f t="shared" ref="U162" ca="1" si="1028">T$162*U$160/T$160</f>
        <v>-2.0029045294959982</v>
      </c>
      <c r="V162" s="16">
        <f t="shared" ref="V162" ca="1" si="1029">U$162*V$160/U$160</f>
        <v>-2.0229335747909585</v>
      </c>
      <c r="W162" s="16">
        <f t="shared" ref="W162" ca="1" si="1030">V$162*W$160/V$160</f>
        <v>-2.043162910538868</v>
      </c>
      <c r="X162" s="16">
        <f t="shared" ref="X162" ca="1" si="1031">W$162*X$160/W$160</f>
        <v>-2.063594539644257</v>
      </c>
      <c r="Y162" s="16">
        <f t="shared" ref="Y162" ca="1" si="1032">X$162*Y$160/X$160</f>
        <v>-2.0842304850406999</v>
      </c>
      <c r="Z162" s="16">
        <f t="shared" ref="Z162" ca="1" si="1033">Y$162*Z$160/Y$160</f>
        <v>-2.105072789891107</v>
      </c>
      <c r="AA162" s="16">
        <f t="shared" ref="AA162" ca="1" si="1034">Z$162*AA$160/Z$160</f>
        <v>-2.1261235177900182</v>
      </c>
      <c r="AB162" s="16">
        <f t="shared" ref="AB162" ca="1" si="1035">AA$162*AB$160/AA$160</f>
        <v>-2.1473847529679184</v>
      </c>
      <c r="AC162" s="16">
        <f t="shared" ref="AC162" ca="1" si="1036">AB$162*AC$160/AB$160</f>
        <v>-2.1688586004975976</v>
      </c>
      <c r="AD162" s="16">
        <f t="shared" ref="AD162" ca="1" si="1037">AC$162*AD$160/AC$160</f>
        <v>-2.1905471865025734</v>
      </c>
      <c r="AE162" s="16">
        <f t="shared" ref="AE162" ca="1" si="1038">AD$162*AE$160/AD$160</f>
        <v>-2.212452658367599</v>
      </c>
      <c r="AF162" s="16">
        <f t="shared" ref="AF162" ca="1" si="1039">AE$162*AF$160/AE$160</f>
        <v>-2.234577184951275</v>
      </c>
      <c r="AG162" s="16">
        <f t="shared" ref="AG162" ca="1" si="1040">AF$162*AG$160/AF$160</f>
        <v>-2.2569229568007878</v>
      </c>
      <c r="AH162" s="16">
        <f t="shared" ref="AH162" ca="1" si="1041">AG$162*AH$160/AG$160</f>
        <v>-2.2794921863687958</v>
      </c>
      <c r="AI162" s="16">
        <f t="shared" ref="AI162" ca="1" si="1042">AH$162*AI$160/AH$160</f>
        <v>-2.3022871082324836</v>
      </c>
      <c r="AJ162" s="16">
        <f t="shared" ref="AJ162" ca="1" si="1043">AI$162*AJ$160/AI$160</f>
        <v>-2.3253099793148087</v>
      </c>
      <c r="AK162" s="16">
        <f t="shared" ref="AK162" ca="1" si="1044">AJ$162*AK$160/AJ$160</f>
        <v>-2.3485630791079566</v>
      </c>
      <c r="AL162" s="16">
        <f t="shared" ref="AL162" ca="1" si="1045">AK$162*AL$160/AK$160</f>
        <v>-2.3720487098990359</v>
      </c>
      <c r="AM162" s="16">
        <f t="shared" ref="AM162" ca="1" si="1046">AL$162*AM$160/AL$160</f>
        <v>-2.3957691969980264</v>
      </c>
      <c r="AN162" s="16">
        <f t="shared" ref="AN162" ca="1" si="1047">AM$162*AN$160/AM$160</f>
        <v>-2.4197268889680066</v>
      </c>
      <c r="AO162" s="16">
        <f t="shared" ref="AO162" ca="1" si="1048">AN$162*AO$160/AN$160</f>
        <v>-2.4439241578576865</v>
      </c>
      <c r="AP162" s="16">
        <f t="shared" ref="AP162" ca="1" si="1049">AO$162*AP$160/AO$160</f>
        <v>-2.4683633994362633</v>
      </c>
      <c r="AQ162" s="16">
        <f t="shared" ref="AQ162" ca="1" si="1050">AP$162*AQ$160/AP$160</f>
        <v>-2.4930470334306261</v>
      </c>
      <c r="AR162" s="16">
        <f t="shared" ref="AR162" ca="1" si="1051">AQ$162*AR$160/AQ$160</f>
        <v>-2.5179775037649326</v>
      </c>
      <c r="AS162" s="16">
        <f t="shared" ref="AS162" ca="1" si="1052">AR$162*AS$160/AR$160</f>
        <v>-2.5431572788025818</v>
      </c>
      <c r="AT162" s="16">
        <f t="shared" ref="AT162" ca="1" si="1053">AS$162*AT$160/AS$160</f>
        <v>-2.5685888515906075</v>
      </c>
      <c r="AU162" s="16">
        <f t="shared" ref="AU162" ca="1" si="1054">AT$162*AU$160/AT$160</f>
        <v>-2.5942747401065138</v>
      </c>
      <c r="AV162" s="16">
        <f t="shared" ref="AV162" ca="1" si="1055">AU$162*AV$160/AU$160</f>
        <v>-2.620217487507579</v>
      </c>
      <c r="AW162" s="16">
        <f t="shared" ref="AW162" ca="1" si="1056">AV$162*AW$160/AV$160</f>
        <v>-2.6464196623826548</v>
      </c>
      <c r="AX162" s="16">
        <f t="shared" ref="AX162" ca="1" si="1057">AW$162*AX$160/AW$160</f>
        <v>-2.6728838590064816</v>
      </c>
    </row>
    <row r="163" spans="1:50" x14ac:dyDescent="0.25">
      <c r="A163" s="9" t="s">
        <v>832</v>
      </c>
      <c r="B163" s="9"/>
      <c r="C163" s="13"/>
      <c r="D163" s="64">
        <f t="shared" ref="D163:AX163" ca="1" si="1058">SUM(D$159:D$162)</f>
        <v>2.6459999999999999</v>
      </c>
      <c r="E163" s="64">
        <f t="shared" ca="1" si="1058"/>
        <v>2.2999999999999998</v>
      </c>
      <c r="F163" s="64">
        <f t="shared" ca="1" si="1058"/>
        <v>1.9429999999999998</v>
      </c>
      <c r="G163" s="64">
        <f t="shared" ca="1" si="1058"/>
        <v>2.2919999999999998</v>
      </c>
      <c r="H163" s="64">
        <f t="shared" ca="1" si="1058"/>
        <v>5.0119999999999996</v>
      </c>
      <c r="I163" s="64">
        <f t="shared" ca="1" si="1058"/>
        <v>7.1199999999999992</v>
      </c>
      <c r="J163" s="65">
        <f t="shared" ca="1" si="1058"/>
        <v>6.870000000000001</v>
      </c>
      <c r="K163" s="65">
        <f t="shared" ca="1" si="1058"/>
        <v>6.4079999999999995</v>
      </c>
      <c r="L163" s="65">
        <f t="shared" ca="1" si="1058"/>
        <v>6.4590000000000005</v>
      </c>
      <c r="M163" s="65">
        <f t="shared" ca="1" si="1058"/>
        <v>6.7549999999999999</v>
      </c>
      <c r="N163" s="65">
        <f t="shared" ca="1" si="1058"/>
        <v>7.1559999999999988</v>
      </c>
      <c r="O163" s="66">
        <f t="shared" ca="1" si="1058"/>
        <v>7.3777823635587998</v>
      </c>
      <c r="P163" s="66">
        <f t="shared" ca="1" si="1058"/>
        <v>7.5637712614223904</v>
      </c>
      <c r="Q163" s="66">
        <f t="shared" ca="1" si="1058"/>
        <v>7.7530983665033908</v>
      </c>
      <c r="R163" s="66">
        <f t="shared" ca="1" si="1058"/>
        <v>7.9452243841667292</v>
      </c>
      <c r="S163" s="66">
        <f t="shared" ca="1" si="1058"/>
        <v>8.1397945059968126</v>
      </c>
      <c r="T163" s="66">
        <f t="shared" ca="1" si="1058"/>
        <v>8.3311014226591116</v>
      </c>
      <c r="U163" s="66">
        <f t="shared" ca="1" si="1058"/>
        <v>8.5217395443809743</v>
      </c>
      <c r="V163" s="66">
        <f t="shared" ca="1" si="1058"/>
        <v>8.7139856149368917</v>
      </c>
      <c r="W163" s="66">
        <f t="shared" ca="1" si="1058"/>
        <v>8.9119237584917528</v>
      </c>
      <c r="X163" s="66">
        <f t="shared" ca="1" si="1058"/>
        <v>9.1166087328605254</v>
      </c>
      <c r="Y163" s="66">
        <f t="shared" ca="1" si="1058"/>
        <v>9.3292050348106947</v>
      </c>
      <c r="Z163" s="66">
        <f t="shared" ca="1" si="1058"/>
        <v>9.5508861609471705</v>
      </c>
      <c r="AA163" s="66">
        <f t="shared" ca="1" si="1058"/>
        <v>9.7826093203405762</v>
      </c>
      <c r="AB163" s="66">
        <f t="shared" ca="1" si="1058"/>
        <v>10.025378370695568</v>
      </c>
      <c r="AC163" s="66">
        <f t="shared" ca="1" si="1058"/>
        <v>10.279875161048349</v>
      </c>
      <c r="AD163" s="66">
        <f t="shared" ca="1" si="1058"/>
        <v>10.538742990318099</v>
      </c>
      <c r="AE163" s="66">
        <f t="shared" ca="1" si="1058"/>
        <v>10.808695314598522</v>
      </c>
      <c r="AF163" s="66">
        <f t="shared" ca="1" si="1058"/>
        <v>11.089796911965484</v>
      </c>
      <c r="AG163" s="66">
        <f t="shared" ca="1" si="1058"/>
        <v>11.381904387482209</v>
      </c>
      <c r="AH163" s="66">
        <f t="shared" ca="1" si="1058"/>
        <v>11.684894292866067</v>
      </c>
      <c r="AI163" s="66">
        <f t="shared" ca="1" si="1058"/>
        <v>11.998665644257812</v>
      </c>
      <c r="AJ163" s="66">
        <f t="shared" ca="1" si="1058"/>
        <v>12.323076739083309</v>
      </c>
      <c r="AK163" s="66">
        <f t="shared" ca="1" si="1058"/>
        <v>12.657651867017057</v>
      </c>
      <c r="AL163" s="66">
        <f t="shared" ca="1" si="1058"/>
        <v>13.001349742254781</v>
      </c>
      <c r="AM163" s="66">
        <f t="shared" ca="1" si="1058"/>
        <v>13.353053548261554</v>
      </c>
      <c r="AN163" s="66">
        <f t="shared" ca="1" si="1058"/>
        <v>13.69596410276791</v>
      </c>
      <c r="AO163" s="66">
        <f t="shared" ca="1" si="1058"/>
        <v>14.031137498066929</v>
      </c>
      <c r="AP163" s="66">
        <f t="shared" ca="1" si="1058"/>
        <v>14.376604426625224</v>
      </c>
      <c r="AQ163" s="66">
        <f t="shared" ca="1" si="1058"/>
        <v>14.726748244630313</v>
      </c>
      <c r="AR163" s="66">
        <f t="shared" ca="1" si="1058"/>
        <v>15.081176868975398</v>
      </c>
      <c r="AS163" s="66">
        <f t="shared" ca="1" si="1058"/>
        <v>15.440339766094528</v>
      </c>
      <c r="AT163" s="66">
        <f t="shared" ca="1" si="1058"/>
        <v>15.804132870487543</v>
      </c>
      <c r="AU163" s="66">
        <f t="shared" ca="1" si="1058"/>
        <v>16.173406647158263</v>
      </c>
      <c r="AV163" s="66">
        <f t="shared" ca="1" si="1058"/>
        <v>16.548685442797808</v>
      </c>
      <c r="AW163" s="66">
        <f t="shared" ca="1" si="1058"/>
        <v>16.930501746082911</v>
      </c>
      <c r="AX163" s="66">
        <f t="shared" ca="1" si="1058"/>
        <v>17.335104073141324</v>
      </c>
    </row>
    <row r="164" spans="1:50" x14ac:dyDescent="0.25">
      <c r="A164" s="9"/>
      <c r="B164" s="9"/>
      <c r="C164" s="13"/>
      <c r="D164" s="40"/>
      <c r="E164" s="40"/>
      <c r="F164" s="40"/>
      <c r="G164" s="40"/>
      <c r="H164" s="40"/>
      <c r="I164" s="40"/>
    </row>
    <row r="165" spans="1:50" x14ac:dyDescent="0.25">
      <c r="A165" s="9" t="s">
        <v>823</v>
      </c>
      <c r="B165" s="9"/>
      <c r="C165" s="13"/>
      <c r="D165" s="40"/>
      <c r="E165" s="40"/>
      <c r="F165" s="40"/>
      <c r="G165" s="40"/>
      <c r="H165" s="40"/>
      <c r="I165" s="40"/>
    </row>
    <row r="166" spans="1:50" x14ac:dyDescent="0.25">
      <c r="A166" s="11" t="s">
        <v>820</v>
      </c>
      <c r="B166" s="9"/>
      <c r="C166" s="13"/>
      <c r="D166" s="35">
        <f ca="1">OFFSET(Assumptions!$B$50,0,$C$1)*D$376</f>
        <v>0.54010000000000002</v>
      </c>
      <c r="E166" s="35">
        <f ca="1">OFFSET(Assumptions!$B$50,0,$C$1)*E$376</f>
        <v>0.44165000000000004</v>
      </c>
      <c r="F166" s="35">
        <f ca="1">OFFSET(Assumptions!$B$50,0,$C$1)*F$376</f>
        <v>0.40810000000000002</v>
      </c>
      <c r="G166" s="35">
        <f ca="1">OFFSET(Assumptions!$B$50,0,$C$1)*G$376</f>
        <v>0.59235000000000004</v>
      </c>
      <c r="H166" s="35">
        <f ca="1">OFFSET(Assumptions!$B$50,0,$C$1)*H$376</f>
        <v>0.72600000000000009</v>
      </c>
      <c r="I166" s="35">
        <f ca="1">OFFSET(Assumptions!$B$50,0,$C$1)*I$376</f>
        <v>0.91245000000000009</v>
      </c>
      <c r="J166" s="17">
        <f ca="1">OFFSET(Assumptions!$B$50,0,$C$1)*J$376</f>
        <v>0.93775000000000008</v>
      </c>
      <c r="K166" s="17">
        <f ca="1">OFFSET(Assumptions!$B$50,0,$C$1)*K$376</f>
        <v>0.97515000000000007</v>
      </c>
      <c r="L166" s="17">
        <f ca="1">OFFSET(Assumptions!$B$50,0,$C$1)*L$376</f>
        <v>1.0279500000000001</v>
      </c>
      <c r="M166" s="17">
        <f ca="1">OFFSET(Assumptions!$B$50,0,$C$1)*M$376</f>
        <v>1.0961500000000002</v>
      </c>
      <c r="N166" s="17">
        <f ca="1">OFFSET(Assumptions!$B$50,0,$C$1)*N$376</f>
        <v>1.1638000000000002</v>
      </c>
      <c r="O166" s="16">
        <f ca="1">OFFSET(Assumptions!$B$50,0,$C$1)*O$376</f>
        <v>1.236680058754982</v>
      </c>
      <c r="P166" s="16">
        <f ca="1">OFFSET(Assumptions!$B$50,0,$C$1)*P$376</f>
        <v>1.3166407633545154</v>
      </c>
      <c r="Q166" s="16">
        <f ca="1">OFFSET(Assumptions!$B$50,0,$C$1)*Q$376</f>
        <v>1.4006966981879907</v>
      </c>
      <c r="R166" s="16">
        <f ca="1">OFFSET(Assumptions!$B$50,0,$C$1)*R$376</f>
        <v>1.4886216811389337</v>
      </c>
      <c r="S166" s="16">
        <f ca="1">OFFSET(Assumptions!$B$50,0,$C$1)*S$376</f>
        <v>1.5802472253676698</v>
      </c>
      <c r="T166" s="16">
        <f ca="1">OFFSET(Assumptions!$B$50,0,$C$1)*T$376</f>
        <v>1.6757700215012352</v>
      </c>
      <c r="U166" s="16">
        <f ca="1">OFFSET(Assumptions!$B$50,0,$C$1)*U$376</f>
        <v>1.7752827380903107</v>
      </c>
      <c r="V166" s="16">
        <f ca="1">OFFSET(Assumptions!$B$50,0,$C$1)*V$376</f>
        <v>1.8789077427714769</v>
      </c>
      <c r="W166" s="16">
        <f ca="1">OFFSET(Assumptions!$B$50,0,$C$1)*W$376</f>
        <v>1.9874991796598469</v>
      </c>
      <c r="X166" s="16">
        <f ca="1">OFFSET(Assumptions!$B$50,0,$C$1)*X$376</f>
        <v>2.1021608430319265</v>
      </c>
      <c r="Y166" s="16">
        <f ca="1">OFFSET(Assumptions!$B$50,0,$C$1)*Y$376</f>
        <v>2.224207040690712</v>
      </c>
      <c r="Z166" s="16">
        <f ca="1">OFFSET(Assumptions!$B$50,0,$C$1)*Z$376</f>
        <v>2.3550959139777117</v>
      </c>
      <c r="AA166" s="16">
        <f ca="1">OFFSET(Assumptions!$B$50,0,$C$1)*AA$376</f>
        <v>2.4959210063665238</v>
      </c>
      <c r="AB166" s="16">
        <f ca="1">OFFSET(Assumptions!$B$50,0,$C$1)*AB$376</f>
        <v>2.6476363801615928</v>
      </c>
      <c r="AC166" s="16">
        <f ca="1">OFFSET(Assumptions!$B$50,0,$C$1)*AC$376</f>
        <v>2.810954881438692</v>
      </c>
      <c r="AD166" s="16">
        <f ca="1">OFFSET(Assumptions!$B$50,0,$C$1)*AD$376</f>
        <v>2.9765396751946778</v>
      </c>
      <c r="AE166" s="16">
        <f ca="1">OFFSET(Assumptions!$B$50,0,$C$1)*AE$376</f>
        <v>3.1525404320345713</v>
      </c>
      <c r="AF166" s="16">
        <f ca="1">OFFSET(Assumptions!$B$50,0,$C$1)*AF$376</f>
        <v>3.3389655747715454</v>
      </c>
      <c r="AG166" s="16">
        <f ca="1">OFFSET(Assumptions!$B$50,0,$C$1)*AG$376</f>
        <v>3.535577638149177</v>
      </c>
      <c r="AH166" s="16">
        <f ca="1">OFFSET(Assumptions!$B$50,0,$C$1)*AH$376</f>
        <v>3.74208589071978</v>
      </c>
      <c r="AI166" s="16">
        <f ca="1">OFFSET(Assumptions!$B$50,0,$C$1)*AI$376</f>
        <v>3.9582701469523096</v>
      </c>
      <c r="AJ166" s="16">
        <f ca="1">OFFSET(Assumptions!$B$50,0,$C$1)*AJ$376</f>
        <v>4.1837960802999907</v>
      </c>
      <c r="AK166" s="16">
        <f ca="1">OFFSET(Assumptions!$B$50,0,$C$1)*AK$376</f>
        <v>4.4177897924357437</v>
      </c>
      <c r="AL166" s="16">
        <f ca="1">OFFSET(Assumptions!$B$50,0,$C$1)*AL$376</f>
        <v>4.6587147914451368</v>
      </c>
      <c r="AM166" s="16">
        <f ca="1">OFFSET(Assumptions!$B$50,0,$C$1)*AM$376</f>
        <v>4.9053316257618897</v>
      </c>
      <c r="AN166" s="16">
        <f ca="1">OFFSET(Assumptions!$B$50,0,$C$1)*AN$376</f>
        <v>5.1562748314868694</v>
      </c>
      <c r="AO166" s="16">
        <f ca="1">OFFSET(Assumptions!$B$50,0,$C$1)*AO$376</f>
        <v>5.4099686758204566</v>
      </c>
      <c r="AP166" s="16">
        <f ca="1">OFFSET(Assumptions!$B$50,0,$C$1)*AP$376</f>
        <v>5.665731659370679</v>
      </c>
      <c r="AQ166" s="16">
        <f ca="1">OFFSET(Assumptions!$B$50,0,$C$1)*AQ$376</f>
        <v>5.923657130290005</v>
      </c>
      <c r="AR166" s="16">
        <f ca="1">OFFSET(Assumptions!$B$50,0,$C$1)*AR$376</f>
        <v>6.1844873861695699</v>
      </c>
      <c r="AS166" s="16">
        <f ca="1">OFFSET(Assumptions!$B$50,0,$C$1)*AS$376</f>
        <v>6.4489195108865438</v>
      </c>
      <c r="AT166" s="16">
        <f ca="1">OFFSET(Assumptions!$B$50,0,$C$1)*AT$376</f>
        <v>6.7174825810829297</v>
      </c>
      <c r="AU166" s="16">
        <f ca="1">OFFSET(Assumptions!$B$50,0,$C$1)*AU$376</f>
        <v>6.9911003102873162</v>
      </c>
      <c r="AV166" s="16">
        <f ca="1">OFFSET(Assumptions!$B$50,0,$C$1)*AV$376</f>
        <v>7.2704955916540319</v>
      </c>
      <c r="AW166" s="16">
        <f ca="1">OFFSET(Assumptions!$B$50,0,$C$1)*AW$376</f>
        <v>7.5565273261881574</v>
      </c>
      <c r="AX166" s="16">
        <f ca="1">OFFSET(Assumptions!$B$50,0,$C$1)*AX$376</f>
        <v>7.8491962308197918</v>
      </c>
    </row>
    <row r="167" spans="1:50" x14ac:dyDescent="0.25">
      <c r="A167" s="11" t="s">
        <v>821</v>
      </c>
      <c r="B167" s="10" t="str">
        <f>$B$38</f>
        <v>From Fiscal Forecasts</v>
      </c>
      <c r="C167" s="13"/>
      <c r="D167" s="35">
        <f ca="1">'Fiscal Forecasts'!D$238-D$166</f>
        <v>0.92290000000000005</v>
      </c>
      <c r="E167" s="35">
        <f ca="1">'Fiscal Forecasts'!E$238-E$166</f>
        <v>0.89434999999999998</v>
      </c>
      <c r="F167" s="35">
        <f ca="1">'Fiscal Forecasts'!F$238-F$166</f>
        <v>0.68590000000000007</v>
      </c>
      <c r="G167" s="35">
        <f ca="1">'Fiscal Forecasts'!G$238-G$166</f>
        <v>0.79864999999999997</v>
      </c>
      <c r="H167" s="35">
        <f ca="1">'Fiscal Forecasts'!H$238-H$166</f>
        <v>1.3620000000000001</v>
      </c>
      <c r="I167" s="35">
        <f ca="1">'Fiscal Forecasts'!I$238-I$166</f>
        <v>0.79554999999999987</v>
      </c>
      <c r="J167" s="17">
        <f ca="1">'Fiscal Forecasts'!J$238-J$166</f>
        <v>0.59024999999999994</v>
      </c>
      <c r="K167" s="17">
        <f ca="1">'Fiscal Forecasts'!K$238-K$166</f>
        <v>0.60784999999999989</v>
      </c>
      <c r="L167" s="17">
        <f ca="1">'Fiscal Forecasts'!L$238-L$166</f>
        <v>0.61004999999999976</v>
      </c>
      <c r="M167" s="17">
        <f ca="1">'Fiscal Forecasts'!M$238-M$166</f>
        <v>0.64484999999999992</v>
      </c>
      <c r="N167" s="17">
        <f ca="1">'Fiscal Forecasts'!N$238-N$166</f>
        <v>0.72419999999999973</v>
      </c>
      <c r="O167" s="16">
        <f t="shared" ref="O167:AX167" ca="1" si="1059">N$167*(1+O$19)*(1+O$29)</f>
        <v>0.7486217977984535</v>
      </c>
      <c r="P167" s="16">
        <f t="shared" ca="1" si="1059"/>
        <v>0.77341795570785377</v>
      </c>
      <c r="Q167" s="16">
        <f t="shared" ca="1" si="1059"/>
        <v>0.79873137074610867</v>
      </c>
      <c r="R167" s="16">
        <f t="shared" ca="1" si="1059"/>
        <v>0.82440748577857359</v>
      </c>
      <c r="S167" s="16">
        <f t="shared" ca="1" si="1059"/>
        <v>0.85073335603692246</v>
      </c>
      <c r="T167" s="16">
        <f t="shared" ca="1" si="1059"/>
        <v>0.87743950021364414</v>
      </c>
      <c r="U167" s="16">
        <f t="shared" ca="1" si="1059"/>
        <v>0.90491186251797706</v>
      </c>
      <c r="V167" s="16">
        <f t="shared" ca="1" si="1059"/>
        <v>0.93291840223074018</v>
      </c>
      <c r="W167" s="16">
        <f t="shared" ca="1" si="1059"/>
        <v>0.96075998795879924</v>
      </c>
      <c r="X167" s="16">
        <f t="shared" ca="1" si="1059"/>
        <v>0.98918737310707661</v>
      </c>
      <c r="Y167" s="16">
        <f t="shared" ca="1" si="1059"/>
        <v>1.0184740583082577</v>
      </c>
      <c r="Z167" s="16">
        <f t="shared" ca="1" si="1059"/>
        <v>1.0484017433644477</v>
      </c>
      <c r="AA167" s="16">
        <f t="shared" ca="1" si="1059"/>
        <v>1.0790144908077794</v>
      </c>
      <c r="AB167" s="16">
        <f t="shared" ca="1" si="1059"/>
        <v>1.1102837767951672</v>
      </c>
      <c r="AC167" s="16">
        <f t="shared" ca="1" si="1059"/>
        <v>1.1422419952561933</v>
      </c>
      <c r="AD167" s="16">
        <f t="shared" ca="1" si="1059"/>
        <v>1.1749015911120169</v>
      </c>
      <c r="AE167" s="16">
        <f t="shared" ca="1" si="1059"/>
        <v>1.2082929491966288</v>
      </c>
      <c r="AF167" s="16">
        <f t="shared" ca="1" si="1059"/>
        <v>1.2424208590757475</v>
      </c>
      <c r="AG167" s="16">
        <f t="shared" ca="1" si="1059"/>
        <v>1.2773427516834988</v>
      </c>
      <c r="AH167" s="16">
        <f t="shared" ca="1" si="1059"/>
        <v>1.3130466926827304</v>
      </c>
      <c r="AI167" s="16">
        <f t="shared" ca="1" si="1059"/>
        <v>1.3496365980226264</v>
      </c>
      <c r="AJ167" s="16">
        <f t="shared" ca="1" si="1059"/>
        <v>1.387106023072699</v>
      </c>
      <c r="AK167" s="16">
        <f t="shared" ca="1" si="1059"/>
        <v>1.4255368719431851</v>
      </c>
      <c r="AL167" s="16">
        <f t="shared" ca="1" si="1059"/>
        <v>1.4649577668195781</v>
      </c>
      <c r="AM167" s="16">
        <f t="shared" ca="1" si="1059"/>
        <v>1.5054008978412947</v>
      </c>
      <c r="AN167" s="16">
        <f t="shared" ca="1" si="1059"/>
        <v>1.5469315169007438</v>
      </c>
      <c r="AO167" s="16">
        <f t="shared" ca="1" si="1059"/>
        <v>1.5895401539706555</v>
      </c>
      <c r="AP167" s="16">
        <f t="shared" ca="1" si="1059"/>
        <v>1.6333199800680793</v>
      </c>
      <c r="AQ167" s="16">
        <f t="shared" ca="1" si="1059"/>
        <v>1.6782151831478123</v>
      </c>
      <c r="AR167" s="16">
        <f t="shared" ca="1" si="1059"/>
        <v>1.7243448147912193</v>
      </c>
      <c r="AS167" s="16">
        <f t="shared" ca="1" si="1059"/>
        <v>1.7716219679205265</v>
      </c>
      <c r="AT167" s="16">
        <f t="shared" ca="1" si="1059"/>
        <v>1.8200735639883805</v>
      </c>
      <c r="AU167" s="16">
        <f t="shared" ca="1" si="1059"/>
        <v>1.8697850677405836</v>
      </c>
      <c r="AV167" s="16">
        <f t="shared" ca="1" si="1059"/>
        <v>1.9206792460138324</v>
      </c>
      <c r="AW167" s="16">
        <f t="shared" ca="1" si="1059"/>
        <v>1.9728295528599087</v>
      </c>
      <c r="AX167" s="16">
        <f t="shared" ca="1" si="1059"/>
        <v>2.026184343705729</v>
      </c>
    </row>
    <row r="168" spans="1:50" x14ac:dyDescent="0.25">
      <c r="A168" s="9" t="s">
        <v>822</v>
      </c>
      <c r="B168" s="10"/>
      <c r="C168" s="13"/>
      <c r="D168" s="64">
        <f t="shared" ref="D168:AX168" ca="1" si="1060">SUM(D$166:D$167)</f>
        <v>1.4630000000000001</v>
      </c>
      <c r="E168" s="64">
        <f t="shared" ca="1" si="1060"/>
        <v>1.3360000000000001</v>
      </c>
      <c r="F168" s="64">
        <f t="shared" ca="1" si="1060"/>
        <v>1.0940000000000001</v>
      </c>
      <c r="G168" s="64">
        <f t="shared" ca="1" si="1060"/>
        <v>1.391</v>
      </c>
      <c r="H168" s="64">
        <f t="shared" ca="1" si="1060"/>
        <v>2.0880000000000001</v>
      </c>
      <c r="I168" s="64">
        <f t="shared" ca="1" si="1060"/>
        <v>1.708</v>
      </c>
      <c r="J168" s="65">
        <f t="shared" ca="1" si="1060"/>
        <v>1.528</v>
      </c>
      <c r="K168" s="65">
        <f t="shared" ca="1" si="1060"/>
        <v>1.583</v>
      </c>
      <c r="L168" s="65">
        <f t="shared" ca="1" si="1060"/>
        <v>1.6379999999999999</v>
      </c>
      <c r="M168" s="65">
        <f t="shared" ca="1" si="1060"/>
        <v>1.7410000000000001</v>
      </c>
      <c r="N168" s="65">
        <f t="shared" ca="1" si="1060"/>
        <v>1.8879999999999999</v>
      </c>
      <c r="O168" s="66">
        <f t="shared" ca="1" si="1060"/>
        <v>1.9853018565534355</v>
      </c>
      <c r="P168" s="66">
        <f t="shared" ca="1" si="1060"/>
        <v>2.0900587190623692</v>
      </c>
      <c r="Q168" s="66">
        <f t="shared" ca="1" si="1060"/>
        <v>2.1994280689340995</v>
      </c>
      <c r="R168" s="66">
        <f t="shared" ca="1" si="1060"/>
        <v>2.3130291669175072</v>
      </c>
      <c r="S168" s="66">
        <f t="shared" ca="1" si="1060"/>
        <v>2.4309805814045924</v>
      </c>
      <c r="T168" s="66">
        <f t="shared" ca="1" si="1060"/>
        <v>2.5532095217148791</v>
      </c>
      <c r="U168" s="66">
        <f t="shared" ca="1" si="1060"/>
        <v>2.6801946006082877</v>
      </c>
      <c r="V168" s="66">
        <f t="shared" ca="1" si="1060"/>
        <v>2.8118261450022173</v>
      </c>
      <c r="W168" s="66">
        <f t="shared" ca="1" si="1060"/>
        <v>2.9482591676186463</v>
      </c>
      <c r="X168" s="66">
        <f t="shared" ca="1" si="1060"/>
        <v>3.0913482161390031</v>
      </c>
      <c r="Y168" s="66">
        <f t="shared" ca="1" si="1060"/>
        <v>3.2426810989989696</v>
      </c>
      <c r="Z168" s="66">
        <f t="shared" ca="1" si="1060"/>
        <v>3.4034976573421591</v>
      </c>
      <c r="AA168" s="66">
        <f t="shared" ca="1" si="1060"/>
        <v>3.5749354971743035</v>
      </c>
      <c r="AB168" s="66">
        <f t="shared" ca="1" si="1060"/>
        <v>3.75792015695676</v>
      </c>
      <c r="AC168" s="66">
        <f t="shared" ca="1" si="1060"/>
        <v>3.9531968766948853</v>
      </c>
      <c r="AD168" s="66">
        <f t="shared" ca="1" si="1060"/>
        <v>4.1514412663066942</v>
      </c>
      <c r="AE168" s="66">
        <f t="shared" ca="1" si="1060"/>
        <v>4.3608333812311999</v>
      </c>
      <c r="AF168" s="66">
        <f t="shared" ca="1" si="1060"/>
        <v>4.5813864338472925</v>
      </c>
      <c r="AG168" s="66">
        <f t="shared" ca="1" si="1060"/>
        <v>4.8129203898326756</v>
      </c>
      <c r="AH168" s="66">
        <f t="shared" ca="1" si="1060"/>
        <v>5.0551325834025107</v>
      </c>
      <c r="AI168" s="66">
        <f t="shared" ca="1" si="1060"/>
        <v>5.307906744974936</v>
      </c>
      <c r="AJ168" s="66">
        <f t="shared" ca="1" si="1060"/>
        <v>5.5709021033726902</v>
      </c>
      <c r="AK168" s="66">
        <f t="shared" ca="1" si="1060"/>
        <v>5.843326664378929</v>
      </c>
      <c r="AL168" s="66">
        <f t="shared" ca="1" si="1060"/>
        <v>6.1236725582647153</v>
      </c>
      <c r="AM168" s="66">
        <f t="shared" ca="1" si="1060"/>
        <v>6.4107325236031842</v>
      </c>
      <c r="AN168" s="66">
        <f t="shared" ca="1" si="1060"/>
        <v>6.7032063483876136</v>
      </c>
      <c r="AO168" s="66">
        <f t="shared" ca="1" si="1060"/>
        <v>6.9995088297911119</v>
      </c>
      <c r="AP168" s="66">
        <f t="shared" ca="1" si="1060"/>
        <v>7.2990516394387583</v>
      </c>
      <c r="AQ168" s="66">
        <f t="shared" ca="1" si="1060"/>
        <v>7.6018723134378172</v>
      </c>
      <c r="AR168" s="66">
        <f t="shared" ca="1" si="1060"/>
        <v>7.9088322009607896</v>
      </c>
      <c r="AS168" s="66">
        <f t="shared" ca="1" si="1060"/>
        <v>8.2205414788070712</v>
      </c>
      <c r="AT168" s="66">
        <f t="shared" ca="1" si="1060"/>
        <v>8.53755614507131</v>
      </c>
      <c r="AU168" s="66">
        <f t="shared" ca="1" si="1060"/>
        <v>8.8608853780279002</v>
      </c>
      <c r="AV168" s="66">
        <f t="shared" ca="1" si="1060"/>
        <v>9.1911748376678641</v>
      </c>
      <c r="AW168" s="66">
        <f t="shared" ca="1" si="1060"/>
        <v>9.5293568790480663</v>
      </c>
      <c r="AX168" s="66">
        <f t="shared" ca="1" si="1060"/>
        <v>9.8753805745255203</v>
      </c>
    </row>
    <row r="169" spans="1:50" x14ac:dyDescent="0.25">
      <c r="A169" s="11" t="s">
        <v>630</v>
      </c>
      <c r="B169" s="9"/>
      <c r="C169" s="13"/>
      <c r="D169" s="35">
        <f>'Fiscal Forecasts'!D$239</f>
        <v>0.42399999999999999</v>
      </c>
      <c r="E169" s="35">
        <f>'Fiscal Forecasts'!E$239</f>
        <v>0.39500000000000002</v>
      </c>
      <c r="F169" s="35">
        <f>'Fiscal Forecasts'!F$239</f>
        <v>0.44700000000000001</v>
      </c>
      <c r="G169" s="35">
        <f>'Fiscal Forecasts'!G$239</f>
        <v>0.52200000000000002</v>
      </c>
      <c r="H169" s="35">
        <f>'Fiscal Forecasts'!H$239</f>
        <v>0.60499999999999998</v>
      </c>
      <c r="I169" s="35">
        <f>'Fiscal Forecasts'!I$239</f>
        <v>0.63</v>
      </c>
      <c r="J169" s="17">
        <f>'Fiscal Forecasts'!J$239</f>
        <v>0.67100000000000004</v>
      </c>
      <c r="K169" s="17">
        <f>'Fiscal Forecasts'!K$239</f>
        <v>0.50600000000000001</v>
      </c>
      <c r="L169" s="17">
        <f>'Fiscal Forecasts'!L$239</f>
        <v>0.50700000000000001</v>
      </c>
      <c r="M169" s="17">
        <f>'Fiscal Forecasts'!M$239</f>
        <v>0.51200000000000001</v>
      </c>
      <c r="N169" s="17">
        <f>'Fiscal Forecasts'!N$239</f>
        <v>0.52200000000000002</v>
      </c>
      <c r="O169" s="16">
        <f>N$169*Exogenous!Z$29/Exogenous!Y$29</f>
        <v>0.55993653052481185</v>
      </c>
      <c r="P169" s="16">
        <f>O$169*Exogenous!AA$29/Exogenous!Z$29</f>
        <v>0.59921687753195196</v>
      </c>
      <c r="Q169" s="16">
        <f>P$169*Exogenous!AB$29/Exogenous!AA$29</f>
        <v>0.6405431792135341</v>
      </c>
      <c r="R169" s="16">
        <f>Q$169*Exogenous!AC$29/Exogenous!AB$29</f>
        <v>0.68088904174981446</v>
      </c>
      <c r="S169" s="16">
        <f>R$169*Exogenous!AD$29/Exogenous!AC$29</f>
        <v>0.71901058242729976</v>
      </c>
      <c r="T169" s="16">
        <f>S$169*Exogenous!AE$29/Exogenous!AD$29</f>
        <v>0.76070892538747026</v>
      </c>
      <c r="U169" s="16">
        <f>T$169*Exogenous!AF$29/Exogenous!AE$29</f>
        <v>0.81012945848256734</v>
      </c>
      <c r="V169" s="16">
        <f>U$169*Exogenous!AG$29/Exogenous!AF$29</f>
        <v>0.86678899566931389</v>
      </c>
      <c r="W169" s="16">
        <f>V$169*Exogenous!AH$29/Exogenous!AG$29</f>
        <v>0.92792583455579747</v>
      </c>
      <c r="X169" s="16">
        <f>W$169*Exogenous!AI$29/Exogenous!AH$29</f>
        <v>0.99167656096189905</v>
      </c>
      <c r="Y169" s="16">
        <f>X$169*Exogenous!AJ$29/Exogenous!AI$29</f>
        <v>1.0576324924506886</v>
      </c>
      <c r="Z169" s="16">
        <f>Y$169*Exogenous!AK$29/Exogenous!AJ$29</f>
        <v>1.1259982560224888</v>
      </c>
      <c r="AA169" s="16">
        <f>Z$169*Exogenous!AL$29/Exogenous!AK$29</f>
        <v>1.1971243146011188</v>
      </c>
      <c r="AB169" s="16">
        <f>AA$169*Exogenous!AM$29/Exogenous!AL$29</f>
        <v>1.2713601605846006</v>
      </c>
      <c r="AC169" s="16">
        <f>AB$169*Exogenous!AN$29/Exogenous!AM$29</f>
        <v>1.3490650954922998</v>
      </c>
      <c r="AD169" s="16">
        <f>AC$169*Exogenous!AO$29/Exogenous!AN$29</f>
        <v>1.4308583075343853</v>
      </c>
      <c r="AE169" s="16">
        <f>AD$169*Exogenous!AP$29/Exogenous!AO$29</f>
        <v>1.5170919352814425</v>
      </c>
      <c r="AF169" s="16">
        <f>AE$169*Exogenous!AQ$29/Exogenous!AP$29</f>
        <v>1.6080068225006887</v>
      </c>
      <c r="AG169" s="16">
        <f>AF$169*Exogenous!AR$29/Exogenous!AQ$29</f>
        <v>1.7039126731136818</v>
      </c>
      <c r="AH169" s="16">
        <f>AG$169*Exogenous!AS$29/Exogenous!AR$29</f>
        <v>1.8044727569436547</v>
      </c>
      <c r="AI169" s="16">
        <f>AH$169*Exogenous!AT$29/Exogenous!AS$29</f>
        <v>1.909778350695678</v>
      </c>
      <c r="AJ169" s="16">
        <f>AI$169*Exogenous!AU$29/Exogenous!AT$29</f>
        <v>2.0204172526785964</v>
      </c>
      <c r="AK169" s="16">
        <f>AJ$169*Exogenous!AV$29/Exogenous!AU$29</f>
        <v>2.1363444484889915</v>
      </c>
      <c r="AL169" s="16">
        <f>AK$169*Exogenous!AW$29/Exogenous!AV$29</f>
        <v>2.258193546515094</v>
      </c>
      <c r="AM169" s="16">
        <f>AL$169*Exogenous!AX$29/Exogenous!AW$29</f>
        <v>2.3868474213609847</v>
      </c>
      <c r="AN169" s="16">
        <f>AM$169*Exogenous!AY$29/Exogenous!AX$29</f>
        <v>2.52265347991719</v>
      </c>
      <c r="AO169" s="16">
        <f>AN$169*Exogenous!AZ$29/Exogenous!AY$29</f>
        <v>2.6664763309654718</v>
      </c>
      <c r="AP169" s="16">
        <f>AO$169*Exogenous!BA$29/Exogenous!AZ$29</f>
        <v>2.8189845847903992</v>
      </c>
      <c r="AQ169" s="16">
        <f>AP$169*Exogenous!BB$29/Exogenous!BA$29</f>
        <v>2.9817645406693858</v>
      </c>
      <c r="AR169" s="16">
        <f>AQ$169*Exogenous!BC$29/Exogenous!BB$29</f>
        <v>3.153944091771038</v>
      </c>
      <c r="AS169" s="16">
        <f>AR$169*Exogenous!BD$29/Exogenous!BC$29</f>
        <v>3.3360660100224826</v>
      </c>
      <c r="AT169" s="16">
        <f>AS$169*Exogenous!BE$29/Exogenous!BD$29</f>
        <v>3.5287044092712039</v>
      </c>
      <c r="AU169" s="16">
        <f>AT$169*Exogenous!BF$29/Exogenous!BE$29</f>
        <v>3.7324665550985672</v>
      </c>
      <c r="AV169" s="16">
        <f>AU$169*Exogenous!BG$29/Exogenous!BF$29</f>
        <v>3.9479947791395342</v>
      </c>
      <c r="AW169" s="16">
        <f>AV$169*Exogenous!BH$29/Exogenous!BG$29</f>
        <v>4.1759685039432064</v>
      </c>
      <c r="AX169" s="16">
        <f>AW$169*Exogenous!BI$29/Exogenous!BH$29</f>
        <v>4.4171063847572851</v>
      </c>
    </row>
    <row r="170" spans="1:50" x14ac:dyDescent="0.25">
      <c r="A170" s="11" t="s">
        <v>824</v>
      </c>
      <c r="B170" s="9"/>
      <c r="C170" s="13"/>
      <c r="D170" s="35">
        <f>'Fiscal Forecasts'!D$240</f>
        <v>-0.81699999999999995</v>
      </c>
      <c r="E170" s="35">
        <f>'Fiscal Forecasts'!E$240</f>
        <v>-0.82499999999999996</v>
      </c>
      <c r="F170" s="35">
        <f>'Fiscal Forecasts'!F$240</f>
        <v>-0.63800000000000001</v>
      </c>
      <c r="G170" s="35">
        <f>'Fiscal Forecasts'!G$240</f>
        <v>-0.66500000000000004</v>
      </c>
      <c r="H170" s="35">
        <f>'Fiscal Forecasts'!H$240</f>
        <v>-1.35</v>
      </c>
      <c r="I170" s="35">
        <f>'Fiscal Forecasts'!I$240</f>
        <v>-0.90800000000000003</v>
      </c>
      <c r="J170" s="17">
        <f>'Fiscal Forecasts'!J$240</f>
        <v>-0.69599999999999995</v>
      </c>
      <c r="K170" s="17">
        <f>'Fiscal Forecasts'!K$240</f>
        <v>-0.73499999999999999</v>
      </c>
      <c r="L170" s="17">
        <f>'Fiscal Forecasts'!L$240</f>
        <v>-0.75900000000000001</v>
      </c>
      <c r="M170" s="17">
        <f>'Fiscal Forecasts'!M$240</f>
        <v>-0.80900000000000005</v>
      </c>
      <c r="N170" s="17">
        <f>'Fiscal Forecasts'!N$240</f>
        <v>-0.91200000000000003</v>
      </c>
      <c r="O170" s="16">
        <f t="shared" ref="O170" si="1061">N$170*O$169/N$169</f>
        <v>-0.9782799153996713</v>
      </c>
      <c r="P170" s="16">
        <f t="shared" ref="P170" si="1062">O$170*P$169/O$169</f>
        <v>-1.0469076481018011</v>
      </c>
      <c r="Q170" s="16">
        <f t="shared" ref="Q170" si="1063">P$170*Q$169/P$169</f>
        <v>-1.1191099223041057</v>
      </c>
      <c r="R170" s="16">
        <f t="shared" ref="R170" si="1064">Q$170*R$169/Q$169</f>
        <v>-1.1895992453559978</v>
      </c>
      <c r="S170" s="16">
        <f t="shared" ref="S170" si="1065">R$170*S$169/R$169</f>
        <v>-1.256202396884478</v>
      </c>
      <c r="T170" s="16">
        <f t="shared" ref="T170" si="1066">S$170*T$169/S$169</f>
        <v>-1.3290546742401783</v>
      </c>
      <c r="U170" s="16">
        <f t="shared" ref="U170" si="1067">T$170*U$169/T$169</f>
        <v>-1.4153985941304628</v>
      </c>
      <c r="V170" s="16">
        <f t="shared" ref="V170" si="1068">U$170*V$169/U$169</f>
        <v>-1.5143899694452383</v>
      </c>
      <c r="W170" s="16">
        <f t="shared" ref="W170" si="1069">V$170*W$169/V$169</f>
        <v>-1.6212037569250717</v>
      </c>
      <c r="X170" s="16">
        <f t="shared" ref="X170" si="1070">W$170*X$169/W$169</f>
        <v>-1.7325843363932032</v>
      </c>
      <c r="Y170" s="16">
        <f t="shared" ref="Y170" si="1071">X$170*Y$169/X$169</f>
        <v>-1.847817687959824</v>
      </c>
      <c r="Z170" s="16">
        <f t="shared" ref="Z170" si="1072">Y$170*Z$169/Y$169</f>
        <v>-1.9672613208668772</v>
      </c>
      <c r="AA170" s="16">
        <f t="shared" ref="AA170" si="1073">Z$170*AA$169/Z$169</f>
        <v>-2.0915275381536791</v>
      </c>
      <c r="AB170" s="16">
        <f t="shared" ref="AB170" si="1074">AA$170*AB$169/AA$169</f>
        <v>-2.221226947228268</v>
      </c>
      <c r="AC170" s="16">
        <f t="shared" ref="AC170" si="1075">AB$170*AC$169/AB$169</f>
        <v>-2.3569872932739035</v>
      </c>
      <c r="AD170" s="16">
        <f t="shared" ref="AD170" si="1076">AC$170*AD$169/AC$169</f>
        <v>-2.4998903763819147</v>
      </c>
      <c r="AE170" s="16">
        <f t="shared" ref="AE170" si="1077">AD$170*AE$169/AD$169</f>
        <v>-2.6505514271583825</v>
      </c>
      <c r="AF170" s="16">
        <f t="shared" ref="AF170" si="1078">AE$170*AF$169/AE$169</f>
        <v>-2.8093912301161463</v>
      </c>
      <c r="AG170" s="16">
        <f t="shared" ref="AG170" si="1079">AF$170*AG$169/AF$169</f>
        <v>-2.9769508771641342</v>
      </c>
      <c r="AH170" s="16">
        <f t="shared" ref="AH170" si="1080">AG$170*AH$169/AG$169</f>
        <v>-3.1526420581084547</v>
      </c>
      <c r="AI170" s="16">
        <f t="shared" ref="AI170" si="1081">AH$170*AI$169/AH$169</f>
        <v>-3.3366242448935988</v>
      </c>
      <c r="AJ170" s="16">
        <f t="shared" ref="AJ170" si="1082">AI$170*AJ$169/AI$169</f>
        <v>-3.5299243954844446</v>
      </c>
      <c r="AK170" s="16">
        <f t="shared" ref="AK170" si="1083">AJ$170*AK$169/AJ$169</f>
        <v>-3.732463864026744</v>
      </c>
      <c r="AL170" s="16">
        <f t="shared" ref="AL170" si="1084">AK$170*AL$169/AK$169</f>
        <v>-3.9453496444861411</v>
      </c>
      <c r="AM170" s="16">
        <f t="shared" ref="AM170" si="1085">AL$170*AM$169/AL$169</f>
        <v>-4.1701242304237889</v>
      </c>
      <c r="AN170" s="16">
        <f t="shared" ref="AN170" si="1086">AM$170*AN$169/AM$169</f>
        <v>-4.4073945856024466</v>
      </c>
      <c r="AO170" s="16">
        <f t="shared" ref="AO170" si="1087">AN$170*AO$169/AN$169</f>
        <v>-4.6586712908822028</v>
      </c>
      <c r="AP170" s="16">
        <f t="shared" ref="AP170" si="1088">AO$170*AP$169/AO$169</f>
        <v>-4.9251224929671338</v>
      </c>
      <c r="AQ170" s="16">
        <f t="shared" ref="AQ170" si="1089">AP$170*AQ$169/AP$169</f>
        <v>-5.2095196572614553</v>
      </c>
      <c r="AR170" s="16">
        <f t="shared" ref="AR170" si="1090">AQ$170*AR$169/AQ$169</f>
        <v>-5.510339102864342</v>
      </c>
      <c r="AS170" s="16">
        <f t="shared" ref="AS170" si="1091">AR$170*AS$169/AR$169</f>
        <v>-5.8285291209588204</v>
      </c>
      <c r="AT170" s="16">
        <f t="shared" ref="AT170" si="1092">AS$170*AT$169/AS$169</f>
        <v>-6.1650927610255515</v>
      </c>
      <c r="AU170" s="16">
        <f t="shared" ref="AU170" si="1093">AT$170*AU$169/AT$169</f>
        <v>-6.5210909928158873</v>
      </c>
      <c r="AV170" s="16">
        <f t="shared" ref="AV170" si="1094">AU$170*AV$169/AU$169</f>
        <v>-6.89764605091045</v>
      </c>
      <c r="AW170" s="16">
        <f t="shared" ref="AW170" si="1095">AV$170*AW$169/AV$169</f>
        <v>-7.2959449724065211</v>
      </c>
      <c r="AX170" s="16">
        <f t="shared" ref="AX170" si="1096">AW$170*AX$169/AW$169</f>
        <v>-7.7172433388862904</v>
      </c>
    </row>
    <row r="171" spans="1:50" x14ac:dyDescent="0.25">
      <c r="A171" s="9" t="s">
        <v>833</v>
      </c>
      <c r="B171" s="9"/>
      <c r="C171" s="13"/>
      <c r="D171" s="64">
        <f t="shared" ref="D171:AX171" ca="1" si="1097">SUM(D$168:D$170)</f>
        <v>1.07</v>
      </c>
      <c r="E171" s="64">
        <f t="shared" ca="1" si="1097"/>
        <v>0.90600000000000014</v>
      </c>
      <c r="F171" s="64">
        <f t="shared" ca="1" si="1097"/>
        <v>0.90300000000000014</v>
      </c>
      <c r="G171" s="64">
        <f t="shared" ca="1" si="1097"/>
        <v>1.248</v>
      </c>
      <c r="H171" s="64">
        <f t="shared" ca="1" si="1097"/>
        <v>1.343</v>
      </c>
      <c r="I171" s="64">
        <f t="shared" ca="1" si="1097"/>
        <v>1.4300000000000002</v>
      </c>
      <c r="J171" s="65">
        <f t="shared" ca="1" si="1097"/>
        <v>1.5029999999999999</v>
      </c>
      <c r="K171" s="65">
        <f t="shared" ca="1" si="1097"/>
        <v>1.3540000000000001</v>
      </c>
      <c r="L171" s="65">
        <f t="shared" ca="1" si="1097"/>
        <v>1.3860000000000001</v>
      </c>
      <c r="M171" s="65">
        <f t="shared" ca="1" si="1097"/>
        <v>1.444</v>
      </c>
      <c r="N171" s="65">
        <f t="shared" ca="1" si="1097"/>
        <v>1.4980000000000002</v>
      </c>
      <c r="O171" s="66">
        <f t="shared" ca="1" si="1097"/>
        <v>1.5669584716785758</v>
      </c>
      <c r="P171" s="66">
        <f t="shared" ca="1" si="1097"/>
        <v>1.6423679484925198</v>
      </c>
      <c r="Q171" s="66">
        <f t="shared" ca="1" si="1097"/>
        <v>1.7208613258435277</v>
      </c>
      <c r="R171" s="66">
        <f t="shared" ca="1" si="1097"/>
        <v>1.8043189633113237</v>
      </c>
      <c r="S171" s="66">
        <f t="shared" ca="1" si="1097"/>
        <v>1.893788766947414</v>
      </c>
      <c r="T171" s="66">
        <f t="shared" ca="1" si="1097"/>
        <v>1.9848637728621712</v>
      </c>
      <c r="U171" s="66">
        <f t="shared" ca="1" si="1097"/>
        <v>2.0749254649603923</v>
      </c>
      <c r="V171" s="66">
        <f t="shared" ca="1" si="1097"/>
        <v>2.1642251712262928</v>
      </c>
      <c r="W171" s="66">
        <f t="shared" ca="1" si="1097"/>
        <v>2.2549812452493718</v>
      </c>
      <c r="X171" s="66">
        <f t="shared" ca="1" si="1097"/>
        <v>2.3504404407076986</v>
      </c>
      <c r="Y171" s="66">
        <f t="shared" ca="1" si="1097"/>
        <v>2.4524959034898339</v>
      </c>
      <c r="Z171" s="66">
        <f t="shared" ca="1" si="1097"/>
        <v>2.5622345924977705</v>
      </c>
      <c r="AA171" s="66">
        <f t="shared" ca="1" si="1097"/>
        <v>2.6805322736217434</v>
      </c>
      <c r="AB171" s="66">
        <f t="shared" ca="1" si="1097"/>
        <v>2.8080533703130923</v>
      </c>
      <c r="AC171" s="66">
        <f t="shared" ca="1" si="1097"/>
        <v>2.945274678913282</v>
      </c>
      <c r="AD171" s="66">
        <f t="shared" ca="1" si="1097"/>
        <v>3.0824091974591648</v>
      </c>
      <c r="AE171" s="66">
        <f t="shared" ca="1" si="1097"/>
        <v>3.2273738893542596</v>
      </c>
      <c r="AF171" s="66">
        <f t="shared" ca="1" si="1097"/>
        <v>3.3800020262318347</v>
      </c>
      <c r="AG171" s="66">
        <f t="shared" ca="1" si="1097"/>
        <v>3.5398821857822234</v>
      </c>
      <c r="AH171" s="66">
        <f t="shared" ca="1" si="1097"/>
        <v>3.706963282237711</v>
      </c>
      <c r="AI171" s="66">
        <f t="shared" ca="1" si="1097"/>
        <v>3.8810608507770152</v>
      </c>
      <c r="AJ171" s="66">
        <f t="shared" ca="1" si="1097"/>
        <v>4.061394960566842</v>
      </c>
      <c r="AK171" s="66">
        <f t="shared" ca="1" si="1097"/>
        <v>4.2472072488411765</v>
      </c>
      <c r="AL171" s="66">
        <f t="shared" ca="1" si="1097"/>
        <v>4.4365164602936691</v>
      </c>
      <c r="AM171" s="66">
        <f t="shared" ca="1" si="1097"/>
        <v>4.627455714540381</v>
      </c>
      <c r="AN171" s="66">
        <f t="shared" ca="1" si="1097"/>
        <v>4.8184652427023575</v>
      </c>
      <c r="AO171" s="66">
        <f t="shared" ca="1" si="1097"/>
        <v>5.0073138698743813</v>
      </c>
      <c r="AP171" s="66">
        <f t="shared" ca="1" si="1097"/>
        <v>5.1929137312620242</v>
      </c>
      <c r="AQ171" s="66">
        <f t="shared" ca="1" si="1097"/>
        <v>5.3741171968457477</v>
      </c>
      <c r="AR171" s="66">
        <f t="shared" ca="1" si="1097"/>
        <v>5.5524371898674856</v>
      </c>
      <c r="AS171" s="66">
        <f t="shared" ca="1" si="1097"/>
        <v>5.7280783678707339</v>
      </c>
      <c r="AT171" s="66">
        <f t="shared" ca="1" si="1097"/>
        <v>5.9011677933169615</v>
      </c>
      <c r="AU171" s="66">
        <f t="shared" ca="1" si="1097"/>
        <v>6.0722609403105796</v>
      </c>
      <c r="AV171" s="66">
        <f t="shared" ca="1" si="1097"/>
        <v>6.2415235658969488</v>
      </c>
      <c r="AW171" s="66">
        <f t="shared" ca="1" si="1097"/>
        <v>6.4093804105847516</v>
      </c>
      <c r="AX171" s="66">
        <f t="shared" ca="1" si="1097"/>
        <v>6.5752436203965141</v>
      </c>
    </row>
    <row r="172" spans="1:50" x14ac:dyDescent="0.25">
      <c r="B172" s="9"/>
      <c r="C172" s="13"/>
      <c r="D172" s="40"/>
      <c r="E172" s="40"/>
      <c r="F172" s="40"/>
      <c r="G172" s="40"/>
      <c r="H172" s="40"/>
      <c r="I172" s="40"/>
    </row>
    <row r="173" spans="1:50" x14ac:dyDescent="0.25">
      <c r="A173" s="9" t="s">
        <v>455</v>
      </c>
      <c r="B173" s="9"/>
      <c r="C173" s="13"/>
      <c r="D173" s="40"/>
      <c r="E173" s="40"/>
      <c r="F173" s="40"/>
      <c r="G173" s="40"/>
      <c r="H173" s="40"/>
      <c r="I173" s="40"/>
    </row>
    <row r="174" spans="1:50" x14ac:dyDescent="0.25">
      <c r="A174" s="11" t="s">
        <v>826</v>
      </c>
      <c r="B174" s="9"/>
      <c r="C174" s="13"/>
      <c r="D174" s="35">
        <f t="shared" ref="D174:AX174" ca="1" si="1098">D$376-SUM(D$156,D$166)</f>
        <v>9.8199999999999399E-3</v>
      </c>
      <c r="E174" s="35">
        <f t="shared" ca="1" si="1098"/>
        <v>8.0299999999999816E-3</v>
      </c>
      <c r="F174" s="35">
        <f t="shared" ca="1" si="1098"/>
        <v>7.4199999999999822E-3</v>
      </c>
      <c r="G174" s="35">
        <f t="shared" ca="1" si="1098"/>
        <v>1.0769999999999946E-2</v>
      </c>
      <c r="H174" s="35">
        <f t="shared" ca="1" si="1098"/>
        <v>1.3200000000000101E-2</v>
      </c>
      <c r="I174" s="35">
        <f t="shared" ca="1" si="1098"/>
        <v>1.6589999999999883E-2</v>
      </c>
      <c r="J174" s="17">
        <f t="shared" ca="1" si="1098"/>
        <v>1.7049999999999788E-2</v>
      </c>
      <c r="K174" s="17">
        <f t="shared" ca="1" si="1098"/>
        <v>1.7730000000000024E-2</v>
      </c>
      <c r="L174" s="17">
        <f t="shared" ca="1" si="1098"/>
        <v>1.8689999999999873E-2</v>
      </c>
      <c r="M174" s="17">
        <f t="shared" ca="1" si="1098"/>
        <v>1.9929999999999781E-2</v>
      </c>
      <c r="N174" s="17">
        <f t="shared" ca="1" si="1098"/>
        <v>2.1159999999999624E-2</v>
      </c>
      <c r="O174" s="16">
        <f t="shared" ca="1" si="1098"/>
        <v>2.2485091977363147E-2</v>
      </c>
      <c r="P174" s="16">
        <f t="shared" ca="1" si="1098"/>
        <v>2.3938922970081933E-2</v>
      </c>
      <c r="Q174" s="16">
        <f t="shared" ca="1" si="1098"/>
        <v>2.5467212694326946E-2</v>
      </c>
      <c r="R174" s="16">
        <f t="shared" ca="1" si="1098"/>
        <v>2.7065848747980681E-2</v>
      </c>
      <c r="S174" s="16">
        <f t="shared" ca="1" si="1098"/>
        <v>2.8731767733957359E-2</v>
      </c>
      <c r="T174" s="16">
        <f t="shared" ca="1" si="1098"/>
        <v>3.0468545845476758E-2</v>
      </c>
      <c r="U174" s="16">
        <f t="shared" ca="1" si="1098"/>
        <v>3.2277867965278428E-2</v>
      </c>
      <c r="V174" s="16">
        <f t="shared" ca="1" si="1098"/>
        <v>3.4161958959481264E-2</v>
      </c>
      <c r="W174" s="16">
        <f t="shared" ca="1" si="1098"/>
        <v>3.6136348721087952E-2</v>
      </c>
      <c r="X174" s="16">
        <f t="shared" ca="1" si="1098"/>
        <v>3.8221106236944191E-2</v>
      </c>
      <c r="Y174" s="16">
        <f t="shared" ca="1" si="1098"/>
        <v>4.0440128012558141E-2</v>
      </c>
      <c r="Z174" s="16">
        <f t="shared" ca="1" si="1098"/>
        <v>4.2819925708685425E-2</v>
      </c>
      <c r="AA174" s="16">
        <f t="shared" ca="1" si="1098"/>
        <v>4.5380381933936675E-2</v>
      </c>
      <c r="AB174" s="16">
        <f t="shared" ca="1" si="1098"/>
        <v>4.8138843275665089E-2</v>
      </c>
      <c r="AC174" s="16">
        <f t="shared" ca="1" si="1098"/>
        <v>5.110827057161238E-2</v>
      </c>
      <c r="AD174" s="16">
        <f t="shared" ca="1" si="1098"/>
        <v>5.4118903185357503E-2</v>
      </c>
      <c r="AE174" s="16">
        <f t="shared" ca="1" si="1098"/>
        <v>5.7318916946083043E-2</v>
      </c>
      <c r="AF174" s="16">
        <f t="shared" ca="1" si="1098"/>
        <v>6.0708464995846256E-2</v>
      </c>
      <c r="AG174" s="16">
        <f t="shared" ca="1" si="1098"/>
        <v>6.4283229784529716E-2</v>
      </c>
      <c r="AH174" s="16">
        <f t="shared" ca="1" si="1098"/>
        <v>6.803792528581365E-2</v>
      </c>
      <c r="AI174" s="16">
        <f t="shared" ca="1" si="1098"/>
        <v>7.1968548126405629E-2</v>
      </c>
      <c r="AJ174" s="16">
        <f t="shared" ca="1" si="1098"/>
        <v>7.6069019641818336E-2</v>
      </c>
      <c r="AK174" s="16">
        <f t="shared" ca="1" si="1098"/>
        <v>8.0323450771558669E-2</v>
      </c>
      <c r="AL174" s="16">
        <f t="shared" ca="1" si="1098"/>
        <v>8.4703905299003068E-2</v>
      </c>
      <c r="AM174" s="16">
        <f t="shared" ca="1" si="1098"/>
        <v>8.9187847741124315E-2</v>
      </c>
      <c r="AN174" s="16">
        <f t="shared" ca="1" si="1098"/>
        <v>9.3750451481577457E-2</v>
      </c>
      <c r="AO174" s="16">
        <f t="shared" ca="1" si="1098"/>
        <v>9.8363066833098145E-2</v>
      </c>
      <c r="AP174" s="16">
        <f t="shared" ca="1" si="1098"/>
        <v>0.10301330289764721</v>
      </c>
      <c r="AQ174" s="16">
        <f t="shared" ca="1" si="1098"/>
        <v>0.10770285691436321</v>
      </c>
      <c r="AR174" s="16">
        <f t="shared" ca="1" si="1098"/>
        <v>0.11244522520308209</v>
      </c>
      <c r="AS174" s="16">
        <f t="shared" ca="1" si="1098"/>
        <v>0.11725308201611817</v>
      </c>
      <c r="AT174" s="16">
        <f t="shared" ca="1" si="1098"/>
        <v>0.12213604692878022</v>
      </c>
      <c r="AU174" s="16">
        <f t="shared" ca="1" si="1098"/>
        <v>0.12711091473249603</v>
      </c>
      <c r="AV174" s="16">
        <f t="shared" ca="1" si="1098"/>
        <v>0.13219082893916401</v>
      </c>
      <c r="AW174" s="16">
        <f t="shared" ca="1" si="1098"/>
        <v>0.13739140593069266</v>
      </c>
      <c r="AX174" s="16">
        <f t="shared" ca="1" si="1098"/>
        <v>0.14271265874217676</v>
      </c>
    </row>
    <row r="175" spans="1:50" x14ac:dyDescent="0.25">
      <c r="A175" s="11" t="s">
        <v>827</v>
      </c>
      <c r="B175" s="10" t="str">
        <f>$B$38</f>
        <v>From Fiscal Forecasts</v>
      </c>
      <c r="C175" s="13"/>
      <c r="D175" s="35">
        <f ca="1">'Fiscal Forecasts'!D$167-SUM(D$168,D$174)</f>
        <v>0.9131800000000001</v>
      </c>
      <c r="E175" s="35">
        <f ca="1">'Fiscal Forecasts'!E$167-SUM(E$168,E$174)</f>
        <v>0.95396999999999998</v>
      </c>
      <c r="F175" s="35">
        <f ca="1">'Fiscal Forecasts'!F$167-SUM(F$168,F$174)</f>
        <v>0.87958000000000003</v>
      </c>
      <c r="G175" s="35">
        <f ca="1">'Fiscal Forecasts'!G$167-SUM(G$168,G$174)</f>
        <v>1.0842300000000002</v>
      </c>
      <c r="H175" s="35">
        <f ca="1">'Fiscal Forecasts'!H$167-SUM(H$168,H$174)</f>
        <v>1.1537999999999995</v>
      </c>
      <c r="I175" s="35">
        <f ca="1">'Fiscal Forecasts'!I$167-SUM(I$168,I$174)</f>
        <v>1.1014100000000002</v>
      </c>
      <c r="J175" s="17">
        <f ca="1">'Fiscal Forecasts'!J$167-SUM(J$168,J$174)</f>
        <v>1.15395</v>
      </c>
      <c r="K175" s="17">
        <f ca="1">'Fiscal Forecasts'!K$167-SUM(K$168,K$174)</f>
        <v>2.5542700000000003</v>
      </c>
      <c r="L175" s="17">
        <f ca="1">'Fiscal Forecasts'!L$167-SUM(L$168,L$174)</f>
        <v>1.1493100000000003</v>
      </c>
      <c r="M175" s="17">
        <f ca="1">'Fiscal Forecasts'!M$167-SUM(M$168,M$174)</f>
        <v>1.1260700000000001</v>
      </c>
      <c r="N175" s="17">
        <f ca="1">'Fiscal Forecasts'!N$167-SUM(N$168,N$174)</f>
        <v>1.1098400000000006</v>
      </c>
      <c r="O175" s="16">
        <f t="shared" ref="O175:AX175" ca="1" si="1099">N$175*(1+O$19)*(1+O$29)</f>
        <v>1.1472665231547037</v>
      </c>
      <c r="P175" s="16">
        <f t="shared" ca="1" si="1099"/>
        <v>1.1852667549886844</v>
      </c>
      <c r="Q175" s="16">
        <f t="shared" ca="1" si="1099"/>
        <v>1.2240596858724966</v>
      </c>
      <c r="R175" s="16">
        <f t="shared" ca="1" si="1099"/>
        <v>1.2634084562503354</v>
      </c>
      <c r="S175" s="16">
        <f t="shared" ca="1" si="1099"/>
        <v>1.3037529796520557</v>
      </c>
      <c r="T175" s="16">
        <f t="shared" ca="1" si="1099"/>
        <v>1.3446802746715156</v>
      </c>
      <c r="U175" s="16">
        <f t="shared" ca="1" si="1099"/>
        <v>1.3867818026746097</v>
      </c>
      <c r="V175" s="16">
        <f t="shared" ca="1" si="1099"/>
        <v>1.4297019601377594</v>
      </c>
      <c r="W175" s="16">
        <f t="shared" ca="1" si="1099"/>
        <v>1.472369324822141</v>
      </c>
      <c r="X175" s="16">
        <f t="shared" ca="1" si="1099"/>
        <v>1.5159344299491282</v>
      </c>
      <c r="Y175" s="16">
        <f t="shared" ca="1" si="1099"/>
        <v>1.5608164165601182</v>
      </c>
      <c r="Z175" s="16">
        <f t="shared" ca="1" si="1099"/>
        <v>1.6066807385468096</v>
      </c>
      <c r="AA175" s="16">
        <f t="shared" ca="1" si="1099"/>
        <v>1.6535949219526469</v>
      </c>
      <c r="AB175" s="16">
        <f t="shared" ca="1" si="1099"/>
        <v>1.7015152538502476</v>
      </c>
      <c r="AC175" s="16">
        <f t="shared" ca="1" si="1099"/>
        <v>1.7504913780932538</v>
      </c>
      <c r="AD175" s="16">
        <f t="shared" ca="1" si="1099"/>
        <v>1.8005423665834877</v>
      </c>
      <c r="AE175" s="16">
        <f t="shared" ca="1" si="1099"/>
        <v>1.851714784225887</v>
      </c>
      <c r="AF175" s="16">
        <f t="shared" ca="1" si="1099"/>
        <v>1.9040159710530633</v>
      </c>
      <c r="AG175" s="16">
        <f t="shared" ca="1" si="1099"/>
        <v>1.9575339402491236</v>
      </c>
      <c r="AH175" s="16">
        <f t="shared" ca="1" si="1099"/>
        <v>2.0122504023847041</v>
      </c>
      <c r="AI175" s="16">
        <f t="shared" ca="1" si="1099"/>
        <v>2.0683246091541463</v>
      </c>
      <c r="AJ175" s="16">
        <f t="shared" ca="1" si="1099"/>
        <v>2.1257466841300823</v>
      </c>
      <c r="AK175" s="16">
        <f t="shared" ca="1" si="1099"/>
        <v>2.1846421457572855</v>
      </c>
      <c r="AL175" s="16">
        <f t="shared" ca="1" si="1099"/>
        <v>2.2450548576733524</v>
      </c>
      <c r="AM175" s="16">
        <f t="shared" ca="1" si="1099"/>
        <v>2.3070341514225126</v>
      </c>
      <c r="AN175" s="16">
        <f t="shared" ca="1" si="1099"/>
        <v>2.3706800258452394</v>
      </c>
      <c r="AO175" s="16">
        <f t="shared" ca="1" si="1099"/>
        <v>2.4359779680789742</v>
      </c>
      <c r="AP175" s="16">
        <f t="shared" ca="1" si="1099"/>
        <v>2.5030707631576328</v>
      </c>
      <c r="AQ175" s="16">
        <f t="shared" ca="1" si="1099"/>
        <v>2.5718728788522069</v>
      </c>
      <c r="AR175" s="16">
        <f t="shared" ca="1" si="1099"/>
        <v>2.642566762286505</v>
      </c>
      <c r="AS175" s="16">
        <f t="shared" ca="1" si="1099"/>
        <v>2.7150192279438232</v>
      </c>
      <c r="AT175" s="16">
        <f t="shared" ca="1" si="1099"/>
        <v>2.7892715330804529</v>
      </c>
      <c r="AU175" s="16">
        <f t="shared" ca="1" si="1099"/>
        <v>2.865454652832379</v>
      </c>
      <c r="AV175" s="16">
        <f t="shared" ca="1" si="1099"/>
        <v>2.9434502270035781</v>
      </c>
      <c r="AW175" s="16">
        <f t="shared" ca="1" si="1099"/>
        <v>3.0233708242834028</v>
      </c>
      <c r="AX175" s="16">
        <f t="shared" ca="1" si="1099"/>
        <v>3.1051372991140096</v>
      </c>
    </row>
    <row r="176" spans="1:50" x14ac:dyDescent="0.25">
      <c r="A176" s="9" t="s">
        <v>828</v>
      </c>
      <c r="B176" s="9"/>
      <c r="C176" s="13"/>
      <c r="D176" s="64">
        <f t="shared" ref="D176:AX176" ca="1" si="1100">SUM(D$174:D$175)</f>
        <v>0.92300000000000004</v>
      </c>
      <c r="E176" s="64">
        <f t="shared" ca="1" si="1100"/>
        <v>0.96199999999999997</v>
      </c>
      <c r="F176" s="64">
        <f t="shared" ca="1" si="1100"/>
        <v>0.88700000000000001</v>
      </c>
      <c r="G176" s="64">
        <f t="shared" ca="1" si="1100"/>
        <v>1.0950000000000002</v>
      </c>
      <c r="H176" s="64">
        <f t="shared" ca="1" si="1100"/>
        <v>1.1669999999999996</v>
      </c>
      <c r="I176" s="64">
        <f t="shared" ca="1" si="1100"/>
        <v>1.1180000000000001</v>
      </c>
      <c r="J176" s="65">
        <f t="shared" ca="1" si="1100"/>
        <v>1.1709999999999998</v>
      </c>
      <c r="K176" s="65">
        <f t="shared" ca="1" si="1100"/>
        <v>2.5720000000000001</v>
      </c>
      <c r="L176" s="65">
        <f t="shared" ca="1" si="1100"/>
        <v>1.1680000000000001</v>
      </c>
      <c r="M176" s="65">
        <f t="shared" ca="1" si="1100"/>
        <v>1.1459999999999999</v>
      </c>
      <c r="N176" s="65">
        <f t="shared" ca="1" si="1100"/>
        <v>1.1310000000000002</v>
      </c>
      <c r="O176" s="66">
        <f t="shared" ca="1" si="1100"/>
        <v>1.1697516151320668</v>
      </c>
      <c r="P176" s="66">
        <f t="shared" ca="1" si="1100"/>
        <v>1.2092056779587663</v>
      </c>
      <c r="Q176" s="66">
        <f t="shared" ca="1" si="1100"/>
        <v>1.2495268985668235</v>
      </c>
      <c r="R176" s="66">
        <f t="shared" ca="1" si="1100"/>
        <v>1.2904743049983161</v>
      </c>
      <c r="S176" s="66">
        <f t="shared" ca="1" si="1100"/>
        <v>1.3324847473860131</v>
      </c>
      <c r="T176" s="66">
        <f t="shared" ca="1" si="1100"/>
        <v>1.3751488205169924</v>
      </c>
      <c r="U176" s="66">
        <f t="shared" ca="1" si="1100"/>
        <v>1.4190596706398881</v>
      </c>
      <c r="V176" s="66">
        <f t="shared" ca="1" si="1100"/>
        <v>1.4638639190972407</v>
      </c>
      <c r="W176" s="66">
        <f t="shared" ca="1" si="1100"/>
        <v>1.508505673543229</v>
      </c>
      <c r="X176" s="66">
        <f t="shared" ca="1" si="1100"/>
        <v>1.5541555361860724</v>
      </c>
      <c r="Y176" s="66">
        <f t="shared" ca="1" si="1100"/>
        <v>1.6012565445726763</v>
      </c>
      <c r="Z176" s="66">
        <f t="shared" ca="1" si="1100"/>
        <v>1.649500664255495</v>
      </c>
      <c r="AA176" s="66">
        <f t="shared" ca="1" si="1100"/>
        <v>1.6989753038865836</v>
      </c>
      <c r="AB176" s="66">
        <f t="shared" ca="1" si="1100"/>
        <v>1.7496540971259127</v>
      </c>
      <c r="AC176" s="66">
        <f t="shared" ca="1" si="1100"/>
        <v>1.8015996486648662</v>
      </c>
      <c r="AD176" s="66">
        <f t="shared" ca="1" si="1100"/>
        <v>1.8546612697688452</v>
      </c>
      <c r="AE176" s="66">
        <f t="shared" ca="1" si="1100"/>
        <v>1.90903370117197</v>
      </c>
      <c r="AF176" s="66">
        <f t="shared" ca="1" si="1100"/>
        <v>1.9647244360489096</v>
      </c>
      <c r="AG176" s="66">
        <f t="shared" ca="1" si="1100"/>
        <v>2.0218171700336534</v>
      </c>
      <c r="AH176" s="66">
        <f t="shared" ca="1" si="1100"/>
        <v>2.0802883276705177</v>
      </c>
      <c r="AI176" s="66">
        <f t="shared" ca="1" si="1100"/>
        <v>2.1402931572805519</v>
      </c>
      <c r="AJ176" s="66">
        <f t="shared" ca="1" si="1100"/>
        <v>2.2018157037719006</v>
      </c>
      <c r="AK176" s="66">
        <f t="shared" ca="1" si="1100"/>
        <v>2.2649655965288442</v>
      </c>
      <c r="AL176" s="66">
        <f t="shared" ca="1" si="1100"/>
        <v>2.3297587629723555</v>
      </c>
      <c r="AM176" s="66">
        <f t="shared" ca="1" si="1100"/>
        <v>2.3962219991636369</v>
      </c>
      <c r="AN176" s="66">
        <f t="shared" ca="1" si="1100"/>
        <v>2.4644304773268169</v>
      </c>
      <c r="AO176" s="66">
        <f t="shared" ca="1" si="1100"/>
        <v>2.5343410349120723</v>
      </c>
      <c r="AP176" s="66">
        <f t="shared" ca="1" si="1100"/>
        <v>2.60608406605528</v>
      </c>
      <c r="AQ176" s="66">
        <f t="shared" ca="1" si="1100"/>
        <v>2.6795757357665702</v>
      </c>
      <c r="AR176" s="66">
        <f t="shared" ca="1" si="1100"/>
        <v>2.7550119874895871</v>
      </c>
      <c r="AS176" s="66">
        <f t="shared" ca="1" si="1100"/>
        <v>2.8322723099599414</v>
      </c>
      <c r="AT176" s="66">
        <f t="shared" ca="1" si="1100"/>
        <v>2.9114075800092332</v>
      </c>
      <c r="AU176" s="66">
        <f t="shared" ca="1" si="1100"/>
        <v>2.992565567564875</v>
      </c>
      <c r="AV176" s="66">
        <f t="shared" ca="1" si="1100"/>
        <v>3.0756410559427421</v>
      </c>
      <c r="AW176" s="66">
        <f t="shared" ca="1" si="1100"/>
        <v>3.1607622302140954</v>
      </c>
      <c r="AX176" s="66">
        <f t="shared" ca="1" si="1100"/>
        <v>3.2478499578561864</v>
      </c>
    </row>
    <row r="177" spans="1:50" x14ac:dyDescent="0.25">
      <c r="A177" s="9" t="s">
        <v>834</v>
      </c>
      <c r="B177" s="10" t="str">
        <f>$B$38</f>
        <v>From Fiscal Forecasts</v>
      </c>
      <c r="C177" s="13"/>
      <c r="D177" s="67">
        <f ca="1">'Fiscal Forecasts'!D$13-D$171</f>
        <v>3.8789999999999996</v>
      </c>
      <c r="E177" s="67">
        <f ca="1">'Fiscal Forecasts'!E$13-E$171</f>
        <v>3.57</v>
      </c>
      <c r="F177" s="67">
        <f ca="1">'Fiscal Forecasts'!F$13-F$171</f>
        <v>3.589</v>
      </c>
      <c r="G177" s="67">
        <f ca="1">'Fiscal Forecasts'!G$13-G$171</f>
        <v>3.8780000000000001</v>
      </c>
      <c r="H177" s="67">
        <f ca="1">'Fiscal Forecasts'!H$13-H$171</f>
        <v>4.5830000000000002</v>
      </c>
      <c r="I177" s="67">
        <f ca="1">'Fiscal Forecasts'!I$13-I$171</f>
        <v>4.3360000000000003</v>
      </c>
      <c r="J177" s="68">
        <f ca="1">'Fiscal Forecasts'!J$13-J$171</f>
        <v>4.3</v>
      </c>
      <c r="K177" s="68">
        <f ca="1">'Fiscal Forecasts'!K$13-K$171</f>
        <v>5.3319999999999999</v>
      </c>
      <c r="L177" s="68">
        <f ca="1">'Fiscal Forecasts'!L$13-L$171</f>
        <v>4.0069999999999997</v>
      </c>
      <c r="M177" s="68">
        <f ca="1">'Fiscal Forecasts'!M$13-M$171</f>
        <v>4.0670000000000002</v>
      </c>
      <c r="N177" s="68">
        <f ca="1">'Fiscal Forecasts'!N$13-N$171</f>
        <v>4.2549999999999999</v>
      </c>
      <c r="O177" s="47">
        <f t="shared" ref="O177:AX177" ca="1" si="1101">O$176+(N$177-N$176)*(1+O$19)*(1+O$29)</f>
        <v>4.3991005468116713</v>
      </c>
      <c r="P177" s="47">
        <f t="shared" ca="1" si="1101"/>
        <v>4.5455184280710785</v>
      </c>
      <c r="Q177" s="47">
        <f t="shared" ca="1" si="1101"/>
        <v>4.6950347723735684</v>
      </c>
      <c r="R177" s="47">
        <f t="shared" ca="1" si="1101"/>
        <v>4.8467418907098114</v>
      </c>
      <c r="S177" s="47">
        <f t="shared" ca="1" si="1101"/>
        <v>5.0023149106825429</v>
      </c>
      <c r="T177" s="47">
        <f t="shared" ca="1" si="1101"/>
        <v>5.1601819586934976</v>
      </c>
      <c r="U177" s="47">
        <f t="shared" ca="1" si="1101"/>
        <v>5.3226010383644953</v>
      </c>
      <c r="V177" s="47">
        <f t="shared" ca="1" si="1101"/>
        <v>5.4882178110729827</v>
      </c>
      <c r="W177" s="47">
        <f t="shared" ca="1" si="1101"/>
        <v>5.6529605235615783</v>
      </c>
      <c r="X177" s="47">
        <f t="shared" ca="1" si="1101"/>
        <v>5.8212383221381669</v>
      </c>
      <c r="Y177" s="47">
        <f t="shared" ca="1" si="1101"/>
        <v>5.9946740510004544</v>
      </c>
      <c r="Z177" s="47">
        <f t="shared" ca="1" si="1101"/>
        <v>6.17201798857272</v>
      </c>
      <c r="AA177" s="47">
        <f t="shared" ca="1" si="1101"/>
        <v>6.3535476171750433</v>
      </c>
      <c r="AB177" s="47">
        <f t="shared" ca="1" si="1101"/>
        <v>6.539113526438399</v>
      </c>
      <c r="AC177" s="47">
        <f t="shared" ca="1" si="1101"/>
        <v>6.7289180595739362</v>
      </c>
      <c r="AD177" s="47">
        <f t="shared" ca="1" si="1101"/>
        <v>6.9228642118206825</v>
      </c>
      <c r="AE177" s="47">
        <f t="shared" ca="1" si="1101"/>
        <v>7.1212777957456614</v>
      </c>
      <c r="AF177" s="47">
        <f t="shared" ca="1" si="1101"/>
        <v>7.3241869653952687</v>
      </c>
      <c r="AG177" s="47">
        <f t="shared" ca="1" si="1101"/>
        <v>7.5319231576879595</v>
      </c>
      <c r="AH177" s="47">
        <f t="shared" ca="1" si="1101"/>
        <v>7.7444113157136663</v>
      </c>
      <c r="AI177" s="47">
        <f t="shared" ca="1" si="1101"/>
        <v>7.9622549526722715</v>
      </c>
      <c r="AJ177" s="47">
        <f t="shared" ca="1" si="1101"/>
        <v>8.185410313105109</v>
      </c>
      <c r="AK177" s="47">
        <f t="shared" ca="1" si="1101"/>
        <v>8.414340338244541</v>
      </c>
      <c r="AL177" s="47">
        <f t="shared" ca="1" si="1101"/>
        <v>8.6491844237626871</v>
      </c>
      <c r="AM177" s="47">
        <f t="shared" ca="1" si="1101"/>
        <v>8.8901082251456867</v>
      </c>
      <c r="AN177" s="47">
        <f t="shared" ca="1" si="1101"/>
        <v>9.137468393369236</v>
      </c>
      <c r="AO177" s="47">
        <f t="shared" ca="1" si="1101"/>
        <v>9.3911809147854832</v>
      </c>
      <c r="AP177" s="47">
        <f t="shared" ca="1" si="1101"/>
        <v>9.6517780977214986</v>
      </c>
      <c r="AQ177" s="47">
        <f t="shared" ca="1" si="1101"/>
        <v>9.9189353493453627</v>
      </c>
      <c r="AR177" s="47">
        <f t="shared" ca="1" si="1101"/>
        <v>10.193362168941899</v>
      </c>
      <c r="AS177" s="47">
        <f t="shared" ca="1" si="1101"/>
        <v>10.474563151970049</v>
      </c>
      <c r="AT177" s="47">
        <f t="shared" ca="1" si="1101"/>
        <v>10.762705307017924</v>
      </c>
      <c r="AU177" s="47">
        <f t="shared" ca="1" si="1101"/>
        <v>11.058305075465423</v>
      </c>
      <c r="AV177" s="47">
        <f t="shared" ca="1" si="1101"/>
        <v>11.360924077963187</v>
      </c>
      <c r="AW177" s="47">
        <f t="shared" ca="1" si="1101"/>
        <v>11.671007360198006</v>
      </c>
      <c r="AX177" s="47">
        <f t="shared" ca="1" si="1101"/>
        <v>11.988253009135795</v>
      </c>
    </row>
    <row r="178" spans="1:50" x14ac:dyDescent="0.25">
      <c r="A178" s="9"/>
      <c r="B178" s="9"/>
      <c r="C178" s="13"/>
      <c r="D178" s="40"/>
      <c r="E178" s="40"/>
      <c r="F178" s="40"/>
      <c r="G178" s="40"/>
      <c r="H178" s="40"/>
      <c r="I178" s="40"/>
    </row>
    <row r="179" spans="1:50" x14ac:dyDescent="0.25">
      <c r="A179" s="9" t="s">
        <v>457</v>
      </c>
      <c r="B179" s="9"/>
      <c r="C179" s="13"/>
    </row>
    <row r="180" spans="1:50" x14ac:dyDescent="0.25">
      <c r="A180" s="11" t="s">
        <v>150</v>
      </c>
      <c r="B180" s="10" t="str">
        <f>$B$38</f>
        <v>From Fiscal Forecasts</v>
      </c>
      <c r="C180" s="13"/>
      <c r="D180" s="35">
        <f>'Fiscal Forecasts'!D$243</f>
        <v>14.561999999999999</v>
      </c>
      <c r="E180" s="35">
        <f>'Fiscal Forecasts'!E$243</f>
        <v>15.521000000000001</v>
      </c>
      <c r="F180" s="35">
        <f>'Fiscal Forecasts'!F$243</f>
        <v>16.568999999999999</v>
      </c>
      <c r="G180" s="35">
        <f>'Fiscal Forecasts'!G$243</f>
        <v>17.763999999999999</v>
      </c>
      <c r="H180" s="35">
        <f>'Fiscal Forecasts'!H$243</f>
        <v>19.516999999999999</v>
      </c>
      <c r="I180" s="35">
        <f>'Fiscal Forecasts'!I$243</f>
        <v>21.574000000000002</v>
      </c>
      <c r="J180" s="17">
        <f>'Fiscal Forecasts'!J$243</f>
        <v>23.18</v>
      </c>
      <c r="K180" s="17">
        <f>'Fiscal Forecasts'!K$243</f>
        <v>24.690999999999999</v>
      </c>
      <c r="L180" s="17">
        <f>'Fiscal Forecasts'!L$243</f>
        <v>26.116</v>
      </c>
      <c r="M180" s="17">
        <f>'Fiscal Forecasts'!M$243</f>
        <v>27.605</v>
      </c>
      <c r="N180" s="17">
        <f>'Fiscal Forecasts'!N$243</f>
        <v>28.957000000000001</v>
      </c>
      <c r="O180" s="16">
        <f ca="1">N$180*(1+'Population Treasury'!Z$237)*O$202/N$202</f>
        <v>30.388607064394471</v>
      </c>
      <c r="P180" s="16">
        <f ca="1">O$180*(1+'Population Treasury'!AA$237)*P$202/O$202</f>
        <v>32.034000361558299</v>
      </c>
      <c r="Q180" s="16">
        <f ca="1">P$180*(1+'Population Treasury'!AB$237)*Q$202/P$202</f>
        <v>33.747356919972063</v>
      </c>
      <c r="R180" s="16">
        <f ca="1">Q$180*(1+'Population Treasury'!AC$237)*R$202/Q$202</f>
        <v>35.538801968424863</v>
      </c>
      <c r="S180" s="16">
        <f ca="1">R$180*(1+'Population Treasury'!AD$237)*S$202/R$202</f>
        <v>37.424580331775779</v>
      </c>
      <c r="T180" s="16">
        <f ca="1">S$180*(1+'Population Treasury'!AE$237)*T$202/S$202</f>
        <v>39.357618674312164</v>
      </c>
      <c r="U180" s="16">
        <f ca="1">T$180*(1+'Population Treasury'!AF$237)*U$202/T$202</f>
        <v>41.42849061630772</v>
      </c>
      <c r="V180" s="16">
        <f ca="1">U$180*(1+'Population Treasury'!AG$237)*V$202/U$202</f>
        <v>43.534217515636186</v>
      </c>
      <c r="W180" s="16">
        <f ca="1">V$180*(1+'Population Treasury'!AH$237)*W$202/V$202</f>
        <v>45.631270409752133</v>
      </c>
      <c r="X180" s="16">
        <f ca="1">W$180*(1+'Population Treasury'!AI$237)*X$202/W$202</f>
        <v>47.722074920961184</v>
      </c>
      <c r="Y180" s="16">
        <f ca="1">X$180*(1+'Population Treasury'!AJ$237)*Y$202/X$202</f>
        <v>49.786174064705399</v>
      </c>
      <c r="Z180" s="16">
        <f ca="1">Y$180*(1+'Population Treasury'!AK$237)*Z$202/Y$202</f>
        <v>51.847652612579616</v>
      </c>
      <c r="AA180" s="16">
        <f ca="1">Z$180*(1+'Population Treasury'!AL$237)*AA$202/Z$202</f>
        <v>53.988241404926661</v>
      </c>
      <c r="AB180" s="16">
        <f ca="1">AA$180*(1+'Population Treasury'!AM$237)*AB$202/AA$202</f>
        <v>56.164686186090492</v>
      </c>
      <c r="AC180" s="16">
        <f ca="1">AB$180*(1+'Population Treasury'!AN$237)*AC$202/AB$202</f>
        <v>58.495848243194402</v>
      </c>
      <c r="AD180" s="16">
        <f ca="1">AC$180*(1+'Population Treasury'!AO$237)*AD$202/AC$202</f>
        <v>60.958726480965794</v>
      </c>
      <c r="AE180" s="16">
        <f ca="1">AD$180*(1+'Population Treasury'!AP$237)*AE$202/AD$202</f>
        <v>63.563352472789759</v>
      </c>
      <c r="AF180" s="16">
        <f ca="1">AE$180*(1+'Population Treasury'!AQ$237)*AF$202/AE$202</f>
        <v>66.331045533374962</v>
      </c>
      <c r="AG180" s="16">
        <f ca="1">AF$180*(1+'Population Treasury'!AR$237)*AG$202/AF$202</f>
        <v>69.297005539872345</v>
      </c>
      <c r="AH180" s="16">
        <f ca="1">AG$180*(1+'Population Treasury'!AS$237)*AH$202/AG$202</f>
        <v>72.424645127525068</v>
      </c>
      <c r="AI180" s="16">
        <f ca="1">AH$180*(1+'Population Treasury'!AT$237)*AI$202/AH$202</f>
        <v>75.739633325991505</v>
      </c>
      <c r="AJ180" s="16">
        <f ca="1">AI$180*(1+'Population Treasury'!AU$237)*AJ$202/AI$202</f>
        <v>79.245752939478052</v>
      </c>
      <c r="AK180" s="16">
        <f ca="1">AJ$180*(1+'Population Treasury'!AV$237)*AK$202/AJ$202</f>
        <v>83.061381996353816</v>
      </c>
      <c r="AL180" s="16">
        <f ca="1">AK$180*(1+'Population Treasury'!AW$237)*AL$202/AK$202</f>
        <v>87.188383635528865</v>
      </c>
      <c r="AM180" s="16">
        <f ca="1">AL$180*(1+'Population Treasury'!AX$237)*AM$202/AL$202</f>
        <v>91.551205841881583</v>
      </c>
      <c r="AN180" s="16">
        <f ca="1">AM$180*(1+'Population Treasury'!AY$237)*AN$202/AM$202</f>
        <v>96.269461527080992</v>
      </c>
      <c r="AO180" s="16">
        <f ca="1">AN$180*(1+'Population Treasury'!AZ$237)*AO$202/AN$202</f>
        <v>101.24229365143159</v>
      </c>
      <c r="AP180" s="16">
        <f ca="1">AO$180*(1+'Population Treasury'!BA$237)*AP$202/AO$202</f>
        <v>106.3784882262771</v>
      </c>
      <c r="AQ180" s="16">
        <f ca="1">AP$180*(1+'Population Treasury'!BB$237)*AQ$202/AP$202</f>
        <v>111.61760631153557</v>
      </c>
      <c r="AR180" s="16">
        <f ca="1">AQ$180*(1+'Population Treasury'!BC$237)*AR$202/AQ$202</f>
        <v>116.89712103627468</v>
      </c>
      <c r="AS180" s="16">
        <f ca="1">AR$180*(1+'Population Treasury'!BD$237)*AS$202/AR$202</f>
        <v>122.32557409709224</v>
      </c>
      <c r="AT180" s="16">
        <f ca="1">AS$180*(1+'Population Treasury'!BE$237)*AT$202/AS$202</f>
        <v>127.83520324960797</v>
      </c>
      <c r="AU180" s="16">
        <f ca="1">AT$180*(1+'Population Treasury'!BF$237)*AU$202/AT$202</f>
        <v>133.43536020783932</v>
      </c>
      <c r="AV180" s="16">
        <f ca="1">AU$180*(1+'Population Treasury'!BG$237)*AV$202/AU$202</f>
        <v>139.18622859161599</v>
      </c>
      <c r="AW180" s="16">
        <f ca="1">AV$180*(1+'Population Treasury'!BH$237)*AW$202/AV$202</f>
        <v>145.00934988234584</v>
      </c>
      <c r="AX180" s="16">
        <f ca="1">AW$180*(1+'Population Treasury'!BI$237)*AX$202/AW$202</f>
        <v>151.21942218754629</v>
      </c>
    </row>
    <row r="181" spans="1:50" x14ac:dyDescent="0.25">
      <c r="A181" s="11" t="s">
        <v>844</v>
      </c>
      <c r="B181" s="10" t="str">
        <f>$B$38</f>
        <v>From Fiscal Forecasts</v>
      </c>
      <c r="C181" s="13"/>
      <c r="D181" s="35">
        <f>'Fiscal Forecasts'!D$244</f>
        <v>1.8540000000000001</v>
      </c>
      <c r="E181" s="35">
        <f>'Fiscal Forecasts'!E$244</f>
        <v>2.2850000000000001</v>
      </c>
      <c r="F181" s="35">
        <f>'Fiscal Forecasts'!F$244</f>
        <v>3.2240000000000002</v>
      </c>
      <c r="G181" s="35">
        <f>'Fiscal Forecasts'!G$244</f>
        <v>3.33</v>
      </c>
      <c r="H181" s="35">
        <f>'Fiscal Forecasts'!H$244</f>
        <v>3.4729999999999999</v>
      </c>
      <c r="I181" s="35">
        <f>'Fiscal Forecasts'!I$244</f>
        <v>4.0620000000000003</v>
      </c>
      <c r="J181" s="17">
        <f>'Fiscal Forecasts'!J$244</f>
        <v>4.6440000000000001</v>
      </c>
      <c r="K181" s="17">
        <f>'Fiscal Forecasts'!K$244</f>
        <v>4.8390000000000004</v>
      </c>
      <c r="L181" s="17">
        <f>'Fiscal Forecasts'!L$244</f>
        <v>4.7149999999999999</v>
      </c>
      <c r="M181" s="17">
        <f>'Fiscal Forecasts'!M$244</f>
        <v>4.4969999999999999</v>
      </c>
      <c r="N181" s="17">
        <f>'Fiscal Forecasts'!N$244</f>
        <v>4.42</v>
      </c>
      <c r="O181" s="16">
        <f ca="1">N$181*AVERAGE(1+SUMPRODUCT(Exogenous!$B$42:$B$52,'Population Treasury'!Z$215:Z$225)+SUMPRODUCT(Exogenous!$C$42:$C$52,'Population Treasury'!Z$226:Z$236),O$16*O$23/(N$16*N$23))*(1+O$29)*(1+IF(O$6&lt;OFFSET(Assumptions!$B$8,0,$C$1)+OFFSET(Assumptions!$B$37,0,$C$1),0,O$25))</f>
        <v>4.5242117195116851</v>
      </c>
      <c r="P181" s="16">
        <f ca="1">O$181*AVERAGE(1+SUMPRODUCT(Exogenous!$B$42:$B$52,'Population Treasury'!AA$215:AA$225)+SUMPRODUCT(Exogenous!$C$42:$C$52,'Population Treasury'!AA$226:AA$236),P$16*P$23/(O$16*O$23))*(1+P$29)*(1+IF(P$6&lt;OFFSET(Assumptions!$B$8,0,$C$1)+OFFSET(Assumptions!$B$37,0,$C$1),0,P$25))</f>
        <v>4.6346096994850807</v>
      </c>
      <c r="Q181" s="16">
        <f ca="1">P$181*AVERAGE(1+SUMPRODUCT(Exogenous!$B$42:$B$52,'Population Treasury'!AB$215:AB$225)+SUMPRODUCT(Exogenous!$C$42:$C$52,'Population Treasury'!AB$226:AB$236),Q$16*Q$23/(P$16*P$23))*(1+Q$29)*(1+IF(Q$6&lt;OFFSET(Assumptions!$B$8,0,$C$1)+OFFSET(Assumptions!$B$37,0,$C$1),0,Q$25))</f>
        <v>4.7784934563767045</v>
      </c>
      <c r="R181" s="16">
        <f ca="1">Q$181*AVERAGE(1+SUMPRODUCT(Exogenous!$B$42:$B$52,'Population Treasury'!AC$215:AC$225)+SUMPRODUCT(Exogenous!$C$42:$C$52,'Population Treasury'!AC$226:AC$236),R$16*R$23/(Q$16*Q$23))*(1+R$29)*(1+IF(R$6&lt;OFFSET(Assumptions!$B$8,0,$C$1)+OFFSET(Assumptions!$B$37,0,$C$1),0,R$25))</f>
        <v>4.9244617598865776</v>
      </c>
      <c r="S181" s="16">
        <f ca="1">R$181*AVERAGE(1+SUMPRODUCT(Exogenous!$B$42:$B$52,'Population Treasury'!AD$215:AD$225)+SUMPRODUCT(Exogenous!$C$42:$C$52,'Population Treasury'!AD$226:AD$236),S$16*S$23/(R$16*R$23))*(1+S$29)*(1+IF(S$6&lt;OFFSET(Assumptions!$B$8,0,$C$1)+OFFSET(Assumptions!$B$37,0,$C$1),0,S$25))</f>
        <v>5.0723082984720378</v>
      </c>
      <c r="T181" s="16">
        <f ca="1">S$181*AVERAGE(1+SUMPRODUCT(Exogenous!$B$42:$B$52,'Population Treasury'!AE$215:AE$225)+SUMPRODUCT(Exogenous!$C$42:$C$52,'Population Treasury'!AE$226:AE$236),T$16*T$23/(S$16*S$23))*(1+T$29)*(1+IF(T$6&lt;OFFSET(Assumptions!$B$8,0,$C$1)+OFFSET(Assumptions!$B$37,0,$C$1),0,T$25))</f>
        <v>5.2233298553303822</v>
      </c>
      <c r="U181" s="16">
        <f ca="1">T$181*AVERAGE(1+SUMPRODUCT(Exogenous!$B$42:$B$52,'Population Treasury'!AF$215:AF$225)+SUMPRODUCT(Exogenous!$C$42:$C$52,'Population Treasury'!AF$226:AF$236),U$16*U$23/(T$16*T$23))*(1+U$29)*(1+IF(U$6&lt;OFFSET(Assumptions!$B$8,0,$C$1)+OFFSET(Assumptions!$B$37,0,$C$1),0,U$25))</f>
        <v>5.3752499950871044</v>
      </c>
      <c r="V181" s="16">
        <f ca="1">U$181*AVERAGE(1+SUMPRODUCT(Exogenous!$B$42:$B$52,'Population Treasury'!AG$215:AG$225)+SUMPRODUCT(Exogenous!$C$42:$C$52,'Population Treasury'!AG$226:AG$236),V$16*V$23/(U$16*U$23))*(1+V$29)*(1+IF(V$6&lt;OFFSET(Assumptions!$B$8,0,$C$1)+OFFSET(Assumptions!$B$37,0,$C$1),0,V$25))</f>
        <v>5.5322125997118476</v>
      </c>
      <c r="W181" s="16">
        <f ca="1">V$181*AVERAGE(1+SUMPRODUCT(Exogenous!$B$42:$B$52,'Population Treasury'!AH$215:AH$225)+SUMPRODUCT(Exogenous!$C$42:$C$52,'Population Treasury'!AH$226:AH$236),W$16*W$23/(V$16*V$23))*(1+W$29)*(1+IF(W$6&lt;OFFSET(Assumptions!$B$8,0,$C$1)+OFFSET(Assumptions!$B$37,0,$C$1),0,W$25))</f>
        <v>5.6933274497465369</v>
      </c>
      <c r="X181" s="16">
        <f ca="1">W$181*AVERAGE(1+SUMPRODUCT(Exogenous!$B$42:$B$52,'Population Treasury'!AI$215:AI$225)+SUMPRODUCT(Exogenous!$C$42:$C$52,'Population Treasury'!AI$226:AI$236),X$16*X$23/(W$16*W$23))*(1+X$29)*(1+IF(X$6&lt;OFFSET(Assumptions!$B$8,0,$C$1)+OFFSET(Assumptions!$B$37,0,$C$1),0,X$25))</f>
        <v>5.8569961597918709</v>
      </c>
      <c r="Y181" s="16">
        <f ca="1">X$181*AVERAGE(1+SUMPRODUCT(Exogenous!$B$42:$B$52,'Population Treasury'!AJ$215:AJ$225)+SUMPRODUCT(Exogenous!$C$42:$C$52,'Population Treasury'!AJ$226:AJ$236),Y$16*Y$23/(X$16*X$23))*(1+Y$29)*(1+IF(Y$6&lt;OFFSET(Assumptions!$B$8,0,$C$1)+OFFSET(Assumptions!$B$37,0,$C$1),0,Y$25))</f>
        <v>6.0800664691651498</v>
      </c>
      <c r="Z181" s="16">
        <f ca="1">Y$181*AVERAGE(1+SUMPRODUCT(Exogenous!$B$42:$B$52,'Population Treasury'!AK$215:AK$225)+SUMPRODUCT(Exogenous!$C$42:$C$52,'Population Treasury'!AK$226:AK$236),Z$16*Z$23/(Y$16*Y$23))*(1+Z$29)*(1+IF(Z$6&lt;OFFSET(Assumptions!$B$8,0,$C$1)+OFFSET(Assumptions!$B$37,0,$C$1),0,Z$25))</f>
        <v>6.3133776026142581</v>
      </c>
      <c r="AA181" s="16">
        <f ca="1">Z$181*AVERAGE(1+SUMPRODUCT(Exogenous!$B$42:$B$52,'Population Treasury'!AL$215:AL$225)+SUMPRODUCT(Exogenous!$C$42:$C$52,'Population Treasury'!AL$226:AL$236),AA$16*AA$23/(Z$16*Z$23))*(1+AA$29)*(1+IF(AA$6&lt;OFFSET(Assumptions!$B$8,0,$C$1)+OFFSET(Assumptions!$B$37,0,$C$1),0,AA$25))</f>
        <v>6.5540291446292516</v>
      </c>
      <c r="AB181" s="16">
        <f ca="1">AA$181*AVERAGE(1+SUMPRODUCT(Exogenous!$B$42:$B$52,'Population Treasury'!AM$215:AM$225)+SUMPRODUCT(Exogenous!$C$42:$C$52,'Population Treasury'!AM$226:AM$236),AB$16*AB$23/(AA$16*AA$23))*(1+AB$29)*(1+IF(AB$6&lt;OFFSET(Assumptions!$B$8,0,$C$1)+OFFSET(Assumptions!$B$37,0,$C$1),0,AB$25))</f>
        <v>6.8014343998592173</v>
      </c>
      <c r="AC181" s="16">
        <f ca="1">AB$181*AVERAGE(1+SUMPRODUCT(Exogenous!$B$42:$B$52,'Population Treasury'!AN$215:AN$225)+SUMPRODUCT(Exogenous!$C$42:$C$52,'Population Treasury'!AN$226:AN$236),AC$16*AC$23/(AB$16*AB$23))*(1+AC$29)*(1+IF(AC$6&lt;OFFSET(Assumptions!$B$8,0,$C$1)+OFFSET(Assumptions!$B$37,0,$C$1),0,AC$25))</f>
        <v>7.0541167303753971</v>
      </c>
      <c r="AD181" s="16">
        <f ca="1">AC$181*AVERAGE(1+SUMPRODUCT(Exogenous!$B$42:$B$52,'Population Treasury'!AO$215:AO$225)+SUMPRODUCT(Exogenous!$C$42:$C$52,'Population Treasury'!AO$226:AO$236),AD$16*AD$23/(AC$16*AC$23))*(1+AD$29)*(1+IF(AD$6&lt;OFFSET(Assumptions!$B$8,0,$C$1)+OFFSET(Assumptions!$B$37,0,$C$1),0,AD$25))</f>
        <v>7.3141916437075372</v>
      </c>
      <c r="AE181" s="16">
        <f ca="1">AD$181*AVERAGE(1+SUMPRODUCT(Exogenous!$B$42:$B$52,'Population Treasury'!AP$215:AP$225)+SUMPRODUCT(Exogenous!$C$42:$C$52,'Population Treasury'!AP$226:AP$236),AE$16*AE$23/(AD$16*AD$23))*(1+AE$29)*(1+IF(AE$6&lt;OFFSET(Assumptions!$B$8,0,$C$1)+OFFSET(Assumptions!$B$37,0,$C$1),0,AE$25))</f>
        <v>7.5803793541188647</v>
      </c>
      <c r="AF181" s="16">
        <f ca="1">AE$181*AVERAGE(1+SUMPRODUCT(Exogenous!$B$42:$B$52,'Population Treasury'!AQ$215:AQ$225)+SUMPRODUCT(Exogenous!$C$42:$C$52,'Population Treasury'!AQ$226:AQ$236),AF$16*AF$23/(AE$16*AE$23))*(1+AF$29)*(1+IF(AF$6&lt;OFFSET(Assumptions!$B$8,0,$C$1)+OFFSET(Assumptions!$B$37,0,$C$1),0,AF$25))</f>
        <v>7.8526442580228615</v>
      </c>
      <c r="AG181" s="16">
        <f ca="1">AF$181*AVERAGE(1+SUMPRODUCT(Exogenous!$B$42:$B$52,'Population Treasury'!AR$215:AR$225)+SUMPRODUCT(Exogenous!$C$42:$C$52,'Population Treasury'!AR$226:AR$236),AG$16*AG$23/(AF$16*AF$23))*(1+AG$29)*(1+IF(AG$6&lt;OFFSET(Assumptions!$B$8,0,$C$1)+OFFSET(Assumptions!$B$37,0,$C$1),0,AG$25))</f>
        <v>8.133022426662313</v>
      </c>
      <c r="AH181" s="16">
        <f ca="1">AG$181*AVERAGE(1+SUMPRODUCT(Exogenous!$B$42:$B$52,'Population Treasury'!AS$215:AS$225)+SUMPRODUCT(Exogenous!$C$42:$C$52,'Population Treasury'!AS$226:AS$236),AH$16*AH$23/(AG$16*AG$23))*(1+AH$29)*(1+IF(AH$6&lt;OFFSET(Assumptions!$B$8,0,$C$1)+OFFSET(Assumptions!$B$37,0,$C$1),0,AH$25))</f>
        <v>8.4196796586039468</v>
      </c>
      <c r="AI181" s="16">
        <f ca="1">AH$181*AVERAGE(1+SUMPRODUCT(Exogenous!$B$42:$B$52,'Population Treasury'!AT$215:AT$225)+SUMPRODUCT(Exogenous!$C$42:$C$52,'Population Treasury'!AT$226:AT$236),AI$16*AI$23/(AH$16*AH$23))*(1+AI$29)*(1+IF(AI$6&lt;OFFSET(Assumptions!$B$8,0,$C$1)+OFFSET(Assumptions!$B$37,0,$C$1),0,AI$25))</f>
        <v>8.7132393287535237</v>
      </c>
      <c r="AJ181" s="16">
        <f ca="1">AI$181*AVERAGE(1+SUMPRODUCT(Exogenous!$B$42:$B$52,'Population Treasury'!AU$215:AU$225)+SUMPRODUCT(Exogenous!$C$42:$C$52,'Population Treasury'!AU$226:AU$236),AJ$16*AJ$23/(AI$16*AI$23))*(1+AJ$29)*(1+IF(AJ$6&lt;OFFSET(Assumptions!$B$8,0,$C$1)+OFFSET(Assumptions!$B$37,0,$C$1),0,AJ$25))</f>
        <v>9.0135313863390873</v>
      </c>
      <c r="AK181" s="16">
        <f ca="1">AJ$181*AVERAGE(1+SUMPRODUCT(Exogenous!$B$42:$B$52,'Population Treasury'!AV$215:AV$225)+SUMPRODUCT(Exogenous!$C$42:$C$52,'Population Treasury'!AV$226:AV$236),AK$16*AK$23/(AJ$16*AJ$23))*(1+AK$29)*(1+IF(AK$6&lt;OFFSET(Assumptions!$B$8,0,$C$1)+OFFSET(Assumptions!$B$37,0,$C$1),0,AK$25))</f>
        <v>9.3189132981932978</v>
      </c>
      <c r="AL181" s="16">
        <f ca="1">AK$181*AVERAGE(1+SUMPRODUCT(Exogenous!$B$42:$B$52,'Population Treasury'!AW$215:AW$225)+SUMPRODUCT(Exogenous!$C$42:$C$52,'Population Treasury'!AW$226:AW$236),AL$16*AL$23/(AK$16*AK$23))*(1+AL$29)*(1+IF(AL$6&lt;OFFSET(Assumptions!$B$8,0,$C$1)+OFFSET(Assumptions!$B$37,0,$C$1),0,AL$25))</f>
        <v>9.6313076415191645</v>
      </c>
      <c r="AM181" s="16">
        <f ca="1">AL$181*AVERAGE(1+SUMPRODUCT(Exogenous!$B$42:$B$52,'Population Treasury'!AX$215:AX$225)+SUMPRODUCT(Exogenous!$C$42:$C$52,'Population Treasury'!AX$226:AX$236),AM$16*AM$23/(AL$16*AL$23))*(1+AM$29)*(1+IF(AM$6&lt;OFFSET(Assumptions!$B$8,0,$C$1)+OFFSET(Assumptions!$B$37,0,$C$1),0,AM$25))</f>
        <v>9.9515870291592261</v>
      </c>
      <c r="AN181" s="16">
        <f ca="1">AM$181*AVERAGE(1+SUMPRODUCT(Exogenous!$B$42:$B$52,'Population Treasury'!AY$215:AY$225)+SUMPRODUCT(Exogenous!$C$42:$C$52,'Population Treasury'!AY$226:AY$236),AN$16*AN$23/(AM$16*AM$23))*(1+AN$29)*(1+IF(AN$6&lt;OFFSET(Assumptions!$B$8,0,$C$1)+OFFSET(Assumptions!$B$37,0,$C$1),0,AN$25))</f>
        <v>10.278429031970726</v>
      </c>
      <c r="AO181" s="16">
        <f ca="1">AN$181*AVERAGE(1+SUMPRODUCT(Exogenous!$B$42:$B$52,'Population Treasury'!AZ$215:AZ$225)+SUMPRODUCT(Exogenous!$C$42:$C$52,'Population Treasury'!AZ$226:AZ$236),AO$16*AO$23/(AN$16*AN$23))*(1+AO$29)*(1+IF(AO$6&lt;OFFSET(Assumptions!$B$8,0,$C$1)+OFFSET(Assumptions!$B$37,0,$C$1),0,AO$25))</f>
        <v>10.613880810958596</v>
      </c>
      <c r="AP181" s="16">
        <f ca="1">AO$181*AVERAGE(1+SUMPRODUCT(Exogenous!$B$42:$B$52,'Population Treasury'!BA$215:BA$225)+SUMPRODUCT(Exogenous!$C$42:$C$52,'Population Treasury'!BA$226:BA$236),AP$16*AP$23/(AO$16*AO$23))*(1+AP$29)*(1+IF(AP$6&lt;OFFSET(Assumptions!$B$8,0,$C$1)+OFFSET(Assumptions!$B$37,0,$C$1),0,AP$25))</f>
        <v>10.962273340978381</v>
      </c>
      <c r="AQ181" s="16">
        <f ca="1">AP$181*AVERAGE(1+SUMPRODUCT(Exogenous!$B$42:$B$52,'Population Treasury'!BB$215:BB$225)+SUMPRODUCT(Exogenous!$C$42:$C$52,'Population Treasury'!BB$226:BB$236),AQ$16*AQ$23/(AP$16*AP$23))*(1+AQ$29)*(1+IF(AQ$6&lt;OFFSET(Assumptions!$B$8,0,$C$1)+OFFSET(Assumptions!$B$37,0,$C$1),0,AQ$25))</f>
        <v>11.325077961116817</v>
      </c>
      <c r="AR181" s="16">
        <f ca="1">AQ$181*AVERAGE(1+SUMPRODUCT(Exogenous!$B$42:$B$52,'Population Treasury'!BC$215:BC$225)+SUMPRODUCT(Exogenous!$C$42:$C$52,'Population Treasury'!BC$226:BC$236),AR$16*AR$23/(AQ$16*AQ$23))*(1+AR$29)*(1+IF(AR$6&lt;OFFSET(Assumptions!$B$8,0,$C$1)+OFFSET(Assumptions!$B$37,0,$C$1),0,AR$25))</f>
        <v>11.703027630475747</v>
      </c>
      <c r="AS181" s="16">
        <f ca="1">AR$181*AVERAGE(1+SUMPRODUCT(Exogenous!$B$42:$B$52,'Population Treasury'!BD$215:BD$225)+SUMPRODUCT(Exogenous!$C$42:$C$52,'Population Treasury'!BD$226:BD$236),AS$16*AS$23/(AR$16*AR$23))*(1+AS$29)*(1+IF(AS$6&lt;OFFSET(Assumptions!$B$8,0,$C$1)+OFFSET(Assumptions!$B$37,0,$C$1),0,AS$25))</f>
        <v>12.094609666262855</v>
      </c>
      <c r="AT181" s="16">
        <f ca="1">AS$181*AVERAGE(1+SUMPRODUCT(Exogenous!$B$42:$B$52,'Population Treasury'!BE$215:BE$225)+SUMPRODUCT(Exogenous!$C$42:$C$52,'Population Treasury'!BE$226:BE$236),AT$16*AT$23/(AS$16*AS$23))*(1+AT$29)*(1+IF(AT$6&lt;OFFSET(Assumptions!$B$8,0,$C$1)+OFFSET(Assumptions!$B$37,0,$C$1),0,AT$25))</f>
        <v>12.501691861800275</v>
      </c>
      <c r="AU181" s="16">
        <f ca="1">AT$181*AVERAGE(1+SUMPRODUCT(Exogenous!$B$42:$B$52,'Population Treasury'!BF$215:BF$225)+SUMPRODUCT(Exogenous!$C$42:$C$52,'Population Treasury'!BF$226:BF$236),AU$16*AU$23/(AT$16*AT$23))*(1+AU$29)*(1+IF(AU$6&lt;OFFSET(Assumptions!$B$8,0,$C$1)+OFFSET(Assumptions!$B$37,0,$C$1),0,AU$25))</f>
        <v>12.925786975801927</v>
      </c>
      <c r="AV181" s="16">
        <f ca="1">AU$181*AVERAGE(1+SUMPRODUCT(Exogenous!$B$42:$B$52,'Population Treasury'!BG$215:BG$225)+SUMPRODUCT(Exogenous!$C$42:$C$52,'Population Treasury'!BG$226:BG$236),AV$16*AV$23/(AU$16*AU$23))*(1+AV$29)*(1+IF(AV$6&lt;OFFSET(Assumptions!$B$8,0,$C$1)+OFFSET(Assumptions!$B$37,0,$C$1),0,AV$25))</f>
        <v>13.366002661438861</v>
      </c>
      <c r="AW181" s="16">
        <f ca="1">AV$181*AVERAGE(1+SUMPRODUCT(Exogenous!$B$42:$B$52,'Population Treasury'!BH$215:BH$225)+SUMPRODUCT(Exogenous!$C$42:$C$52,'Population Treasury'!BH$226:BH$236),AW$16*AW$23/(AV$16*AV$23))*(1+AW$29)*(1+IF(AW$6&lt;OFFSET(Assumptions!$B$8,0,$C$1)+OFFSET(Assumptions!$B$37,0,$C$1),0,AW$25))</f>
        <v>13.823451931236077</v>
      </c>
      <c r="AX181" s="16">
        <f ca="1">AW$181*AVERAGE(1+SUMPRODUCT(Exogenous!$B$42:$B$52,'Population Treasury'!BI$215:BI$225)+SUMPRODUCT(Exogenous!$C$42:$C$52,'Population Treasury'!BI$226:BI$236),AX$16*AX$23/(AW$16*AW$23))*(1+AX$29)*(1+IF(AX$6&lt;OFFSET(Assumptions!$B$8,0,$C$1)+OFFSET(Assumptions!$B$37,0,$C$1),0,AX$25))</f>
        <v>14.291755083343</v>
      </c>
    </row>
    <row r="182" spans="1:50" x14ac:dyDescent="0.25">
      <c r="A182" s="11" t="s">
        <v>639</v>
      </c>
      <c r="B182" s="10" t="str">
        <f t="shared" ref="B182:B194" si="1102">$B$38</f>
        <v>From Fiscal Forecasts</v>
      </c>
      <c r="C182" s="13"/>
      <c r="D182" s="35">
        <f>'Fiscal Forecasts'!D$245</f>
        <v>1.556</v>
      </c>
      <c r="E182" s="35">
        <f>'Fiscal Forecasts'!E$245</f>
        <v>1.65</v>
      </c>
      <c r="F182" s="35">
        <f>'Fiscal Forecasts'!F$245</f>
        <v>1.8260000000000001</v>
      </c>
      <c r="G182" s="35">
        <f>'Fiscal Forecasts'!G$245</f>
        <v>2.0470000000000002</v>
      </c>
      <c r="H182" s="35">
        <f>'Fiscal Forecasts'!H$245</f>
        <v>2.3109999999999999</v>
      </c>
      <c r="I182" s="35">
        <f>'Fiscal Forecasts'!I$245</f>
        <v>2.5299999999999998</v>
      </c>
      <c r="J182" s="17">
        <f>'Fiscal Forecasts'!J$245</f>
        <v>2.669</v>
      </c>
      <c r="K182" s="17">
        <f>'Fiscal Forecasts'!K$245</f>
        <v>2.782</v>
      </c>
      <c r="L182" s="17">
        <f>'Fiscal Forecasts'!L$245</f>
        <v>2.8809999999999998</v>
      </c>
      <c r="M182" s="17">
        <f>'Fiscal Forecasts'!M$245</f>
        <v>2.9750000000000001</v>
      </c>
      <c r="N182" s="17">
        <f>'Fiscal Forecasts'!N$245</f>
        <v>3.0230000000000001</v>
      </c>
      <c r="O182" s="16">
        <f ca="1">N$182*(1+SUMPRODUCT(Exogenous!$I$42:$I$52,'Population Treasury'!Z$215:Z$225)+SUMPRODUCT(Exogenous!$J$42:$J$52,'Population Treasury'!Z$226:Z$236))*(1+O$29)*(1+IF(O$6&lt;OFFSET(Assumptions!$B$8,0,$C$1)+OFFSET(Assumptions!$B$37,0,$C$1),0,O$25))</f>
        <v>3.1118996818697231</v>
      </c>
      <c r="P182" s="16">
        <f ca="1">O$182*(1+SUMPRODUCT(Exogenous!$I$42:$I$52,'Population Treasury'!AA$215:AA$225)+SUMPRODUCT(Exogenous!$J$42:$J$52,'Population Treasury'!AA$226:AA$236))*(1+P$29)*(1+IF(P$6&lt;OFFSET(Assumptions!$B$8,0,$C$1)+OFFSET(Assumptions!$B$37,0,$C$1),0,P$25))</f>
        <v>3.2065849162123694</v>
      </c>
      <c r="Q182" s="16">
        <f ca="1">P$182*(1+SUMPRODUCT(Exogenous!$I$42:$I$52,'Population Treasury'!AB$215:AB$225)+SUMPRODUCT(Exogenous!$J$42:$J$52,'Population Treasury'!AB$226:AB$236))*(1+Q$29)*(1+IF(Q$6&lt;OFFSET(Assumptions!$B$8,0,$C$1)+OFFSET(Assumptions!$B$37,0,$C$1),0,Q$25))</f>
        <v>3.3025782028134576</v>
      </c>
      <c r="R182" s="16">
        <f ca="1">Q$182*(1+SUMPRODUCT(Exogenous!$I$42:$I$52,'Population Treasury'!AC$215:AC$225)+SUMPRODUCT(Exogenous!$J$42:$J$52,'Population Treasury'!AC$226:AC$236))*(1+R$29)*(1+IF(R$6&lt;OFFSET(Assumptions!$B$8,0,$C$1)+OFFSET(Assumptions!$B$37,0,$C$1),0,R$25))</f>
        <v>3.3989226890450093</v>
      </c>
      <c r="S182" s="16">
        <f ca="1">R$182*(1+SUMPRODUCT(Exogenous!$I$42:$I$52,'Population Treasury'!AD$215:AD$225)+SUMPRODUCT(Exogenous!$J$42:$J$52,'Population Treasury'!AD$226:AD$236))*(1+S$29)*(1+IF(S$6&lt;OFFSET(Assumptions!$B$8,0,$C$1)+OFFSET(Assumptions!$B$37,0,$C$1),0,S$25))</f>
        <v>3.4950044118766699</v>
      </c>
      <c r="T182" s="16">
        <f ca="1">S$182*(1+SUMPRODUCT(Exogenous!$I$42:$I$52,'Population Treasury'!AE$215:AE$225)+SUMPRODUCT(Exogenous!$J$42:$J$52,'Population Treasury'!AE$226:AE$236))*(1+T$29)*(1+IF(T$6&lt;OFFSET(Assumptions!$B$8,0,$C$1)+OFFSET(Assumptions!$B$37,0,$C$1),0,T$25))</f>
        <v>3.594798162841542</v>
      </c>
      <c r="U182" s="16">
        <f ca="1">T$182*(1+SUMPRODUCT(Exogenous!$I$42:$I$52,'Population Treasury'!AF$215:AF$225)+SUMPRODUCT(Exogenous!$J$42:$J$52,'Population Treasury'!AF$226:AF$236))*(1+U$29)*(1+IF(U$6&lt;OFFSET(Assumptions!$B$8,0,$C$1)+OFFSET(Assumptions!$B$37,0,$C$1),0,U$25))</f>
        <v>3.6914010919274958</v>
      </c>
      <c r="V182" s="16">
        <f ca="1">U$182*(1+SUMPRODUCT(Exogenous!$I$42:$I$52,'Population Treasury'!AG$215:AG$225)+SUMPRODUCT(Exogenous!$J$42:$J$52,'Population Treasury'!AG$226:AG$236))*(1+V$29)*(1+IF(V$6&lt;OFFSET(Assumptions!$B$8,0,$C$1)+OFFSET(Assumptions!$B$37,0,$C$1),0,V$25))</f>
        <v>3.7956268297223827</v>
      </c>
      <c r="W182" s="16">
        <f ca="1">V$182*(1+SUMPRODUCT(Exogenous!$I$42:$I$52,'Population Treasury'!AH$215:AH$225)+SUMPRODUCT(Exogenous!$J$42:$J$52,'Population Treasury'!AH$226:AH$236))*(1+W$29)*(1+IF(W$6&lt;OFFSET(Assumptions!$B$8,0,$C$1)+OFFSET(Assumptions!$B$37,0,$C$1),0,W$25))</f>
        <v>3.9089873648896507</v>
      </c>
      <c r="X182" s="16">
        <f ca="1">W$182*(1+SUMPRODUCT(Exogenous!$I$42:$I$52,'Population Treasury'!AI$215:AI$225)+SUMPRODUCT(Exogenous!$J$42:$J$52,'Population Treasury'!AI$226:AI$236))*(1+X$29)*(1+IF(X$6&lt;OFFSET(Assumptions!$B$8,0,$C$1)+OFFSET(Assumptions!$B$37,0,$C$1),0,X$25))</f>
        <v>4.0310698639538671</v>
      </c>
      <c r="Y182" s="16">
        <f ca="1">X$182*(1+SUMPRODUCT(Exogenous!$I$42:$I$52,'Population Treasury'!AJ$215:AJ$225)+SUMPRODUCT(Exogenous!$J$42:$J$52,'Population Treasury'!AJ$226:AJ$236))*(1+Y$29)*(1+IF(Y$6&lt;OFFSET(Assumptions!$B$8,0,$C$1)+OFFSET(Assumptions!$B$37,0,$C$1),0,Y$25))</f>
        <v>4.2033892637370665</v>
      </c>
      <c r="Z182" s="16">
        <f ca="1">Y$182*(1+SUMPRODUCT(Exogenous!$I$42:$I$52,'Population Treasury'!AK$215:AK$225)+SUMPRODUCT(Exogenous!$J$42:$J$52,'Population Treasury'!AK$226:AK$236))*(1+Z$29)*(1+IF(Z$6&lt;OFFSET(Assumptions!$B$8,0,$C$1)+OFFSET(Assumptions!$B$37,0,$C$1),0,Z$25))</f>
        <v>4.3897756888947486</v>
      </c>
      <c r="AA182" s="16">
        <f ca="1">Z$182*(1+SUMPRODUCT(Exogenous!$I$42:$I$52,'Population Treasury'!AL$215:AL$225)+SUMPRODUCT(Exogenous!$J$42:$J$52,'Population Treasury'!AL$226:AL$236))*(1+AA$29)*(1+IF(AA$6&lt;OFFSET(Assumptions!$B$8,0,$C$1)+OFFSET(Assumptions!$B$37,0,$C$1),0,AA$25))</f>
        <v>4.5852689171929857</v>
      </c>
      <c r="AB182" s="16">
        <f ca="1">AA$182*(1+SUMPRODUCT(Exogenous!$I$42:$I$52,'Population Treasury'!AM$215:AM$225)+SUMPRODUCT(Exogenous!$J$42:$J$52,'Population Treasury'!AM$226:AM$236))*(1+AB$29)*(1+IF(AB$6&lt;OFFSET(Assumptions!$B$8,0,$C$1)+OFFSET(Assumptions!$B$37,0,$C$1),0,AB$25))</f>
        <v>4.7918231537003377</v>
      </c>
      <c r="AC182" s="16">
        <f ca="1">AB$182*(1+SUMPRODUCT(Exogenous!$I$42:$I$52,'Population Treasury'!AN$215:AN$225)+SUMPRODUCT(Exogenous!$J$42:$J$52,'Population Treasury'!AN$226:AN$236))*(1+AC$29)*(1+IF(AC$6&lt;OFFSET(Assumptions!$B$8,0,$C$1)+OFFSET(Assumptions!$B$37,0,$C$1),0,AC$25))</f>
        <v>4.999095688810244</v>
      </c>
      <c r="AD182" s="16">
        <f ca="1">AC$182*(1+SUMPRODUCT(Exogenous!$I$42:$I$52,'Population Treasury'!AO$215:AO$225)+SUMPRODUCT(Exogenous!$J$42:$J$52,'Population Treasury'!AO$226:AO$236))*(1+AD$29)*(1+IF(AD$6&lt;OFFSET(Assumptions!$B$8,0,$C$1)+OFFSET(Assumptions!$B$37,0,$C$1),0,AD$25))</f>
        <v>5.2125576207487176</v>
      </c>
      <c r="AE182" s="16">
        <f ca="1">AD$182*(1+SUMPRODUCT(Exogenous!$I$42:$I$52,'Population Treasury'!AP$215:AP$225)+SUMPRODUCT(Exogenous!$J$42:$J$52,'Population Treasury'!AP$226:AP$236))*(1+AE$29)*(1+IF(AE$6&lt;OFFSET(Assumptions!$B$8,0,$C$1)+OFFSET(Assumptions!$B$37,0,$C$1),0,AE$25))</f>
        <v>5.4294326154417334</v>
      </c>
      <c r="AF182" s="16">
        <f ca="1">AE$182*(1+SUMPRODUCT(Exogenous!$I$42:$I$52,'Population Treasury'!AQ$215:AQ$225)+SUMPRODUCT(Exogenous!$J$42:$J$52,'Population Treasury'!AQ$226:AQ$236))*(1+AF$29)*(1+IF(AF$6&lt;OFFSET(Assumptions!$B$8,0,$C$1)+OFFSET(Assumptions!$B$37,0,$C$1),0,AF$25))</f>
        <v>5.6498196892530022</v>
      </c>
      <c r="AG182" s="16">
        <f ca="1">AF$182*(1+SUMPRODUCT(Exogenous!$I$42:$I$52,'Population Treasury'!AR$215:AR$225)+SUMPRODUCT(Exogenous!$J$42:$J$52,'Population Treasury'!AR$226:AR$236))*(1+AG$29)*(1+IF(AG$6&lt;OFFSET(Assumptions!$B$8,0,$C$1)+OFFSET(Assumptions!$B$37,0,$C$1),0,AG$25))</f>
        <v>5.8729815278244999</v>
      </c>
      <c r="AH182" s="16">
        <f ca="1">AG$182*(1+SUMPRODUCT(Exogenous!$I$42:$I$52,'Population Treasury'!AS$215:AS$225)+SUMPRODUCT(Exogenous!$J$42:$J$52,'Population Treasury'!AS$226:AS$236))*(1+AH$29)*(1+IF(AH$6&lt;OFFSET(Assumptions!$B$8,0,$C$1)+OFFSET(Assumptions!$B$37,0,$C$1),0,AH$25))</f>
        <v>6.0979101020797613</v>
      </c>
      <c r="AI182" s="16">
        <f ca="1">AH$182*(1+SUMPRODUCT(Exogenous!$I$42:$I$52,'Population Treasury'!AT$215:AT$225)+SUMPRODUCT(Exogenous!$J$42:$J$52,'Population Treasury'!AT$226:AT$236))*(1+AI$29)*(1+IF(AI$6&lt;OFFSET(Assumptions!$B$8,0,$C$1)+OFFSET(Assumptions!$B$37,0,$C$1),0,AI$25))</f>
        <v>6.3284980292237689</v>
      </c>
      <c r="AJ182" s="16">
        <f ca="1">AI$182*(1+SUMPRODUCT(Exogenous!$I$42:$I$52,'Population Treasury'!AU$215:AU$225)+SUMPRODUCT(Exogenous!$J$42:$J$52,'Population Treasury'!AU$226:AU$236))*(1+AJ$29)*(1+IF(AJ$6&lt;OFFSET(Assumptions!$B$8,0,$C$1)+OFFSET(Assumptions!$B$37,0,$C$1),0,AJ$25))</f>
        <v>6.5611266737755773</v>
      </c>
      <c r="AK182" s="16">
        <f ca="1">AJ$182*(1+SUMPRODUCT(Exogenous!$I$42:$I$52,'Population Treasury'!AV$215:AV$225)+SUMPRODUCT(Exogenous!$J$42:$J$52,'Population Treasury'!AV$226:AV$236))*(1+AK$29)*(1+IF(AK$6&lt;OFFSET(Assumptions!$B$8,0,$C$1)+OFFSET(Assumptions!$B$37,0,$C$1),0,AK$25))</f>
        <v>6.787881244183124</v>
      </c>
      <c r="AL182" s="16">
        <f ca="1">AK$182*(1+SUMPRODUCT(Exogenous!$I$42:$I$52,'Population Treasury'!AW$215:AW$225)+SUMPRODUCT(Exogenous!$J$42:$J$52,'Population Treasury'!AW$226:AW$236))*(1+AL$29)*(1+IF(AL$6&lt;OFFSET(Assumptions!$B$8,0,$C$1)+OFFSET(Assumptions!$B$37,0,$C$1),0,AL$25))</f>
        <v>7.0094866495924011</v>
      </c>
      <c r="AM182" s="16">
        <f ca="1">AL$182*(1+SUMPRODUCT(Exogenous!$I$42:$I$52,'Population Treasury'!AX$215:AX$225)+SUMPRODUCT(Exogenous!$J$42:$J$52,'Population Treasury'!AX$226:AX$236))*(1+AM$29)*(1+IF(AM$6&lt;OFFSET(Assumptions!$B$8,0,$C$1)+OFFSET(Assumptions!$B$37,0,$C$1),0,AM$25))</f>
        <v>7.2303014234704008</v>
      </c>
      <c r="AN182" s="16">
        <f ca="1">AM$182*(1+SUMPRODUCT(Exogenous!$I$42:$I$52,'Population Treasury'!AY$215:AY$225)+SUMPRODUCT(Exogenous!$J$42:$J$52,'Population Treasury'!AY$226:AY$236))*(1+AN$29)*(1+IF(AN$6&lt;OFFSET(Assumptions!$B$8,0,$C$1)+OFFSET(Assumptions!$B$37,0,$C$1),0,AN$25))</f>
        <v>7.4480968683897988</v>
      </c>
      <c r="AO182" s="16">
        <f ca="1">AN$182*(1+SUMPRODUCT(Exogenous!$I$42:$I$52,'Population Treasury'!AZ$215:AZ$225)+SUMPRODUCT(Exogenous!$J$42:$J$52,'Population Treasury'!AZ$226:AZ$236))*(1+AO$29)*(1+IF(AO$6&lt;OFFSET(Assumptions!$B$8,0,$C$1)+OFFSET(Assumptions!$B$37,0,$C$1),0,AO$25))</f>
        <v>7.6666429322335157</v>
      </c>
      <c r="AP182" s="16">
        <f ca="1">AO$182*(1+SUMPRODUCT(Exogenous!$I$42:$I$52,'Population Treasury'!BA$215:BA$225)+SUMPRODUCT(Exogenous!$J$42:$J$52,'Population Treasury'!BA$226:BA$236))*(1+AP$29)*(1+IF(AP$6&lt;OFFSET(Assumptions!$B$8,0,$C$1)+OFFSET(Assumptions!$B$37,0,$C$1),0,AP$25))</f>
        <v>7.895866748898885</v>
      </c>
      <c r="AQ182" s="16">
        <f ca="1">AP$182*(1+SUMPRODUCT(Exogenous!$I$42:$I$52,'Population Treasury'!BB$215:BB$225)+SUMPRODUCT(Exogenous!$J$42:$J$52,'Population Treasury'!BB$226:BB$236))*(1+AQ$29)*(1+IF(AQ$6&lt;OFFSET(Assumptions!$B$8,0,$C$1)+OFFSET(Assumptions!$B$37,0,$C$1),0,AQ$25))</f>
        <v>8.1390168398037339</v>
      </c>
      <c r="AR182" s="16">
        <f ca="1">AQ$182*(1+SUMPRODUCT(Exogenous!$I$42:$I$52,'Population Treasury'!BC$215:BC$225)+SUMPRODUCT(Exogenous!$J$42:$J$52,'Population Treasury'!BC$226:BC$236))*(1+AR$29)*(1+IF(AR$6&lt;OFFSET(Assumptions!$B$8,0,$C$1)+OFFSET(Assumptions!$B$37,0,$C$1),0,AR$25))</f>
        <v>8.3982952737243615</v>
      </c>
      <c r="AS182" s="16">
        <f ca="1">AR$182*(1+SUMPRODUCT(Exogenous!$I$42:$I$52,'Population Treasury'!BD$215:BD$225)+SUMPRODUCT(Exogenous!$J$42:$J$52,'Population Treasury'!BD$226:BD$236))*(1+AS$29)*(1+IF(AS$6&lt;OFFSET(Assumptions!$B$8,0,$C$1)+OFFSET(Assumptions!$B$37,0,$C$1),0,AS$25))</f>
        <v>8.6730090654621943</v>
      </c>
      <c r="AT182" s="16">
        <f ca="1">AS$182*(1+SUMPRODUCT(Exogenous!$I$42:$I$52,'Population Treasury'!BE$215:BE$225)+SUMPRODUCT(Exogenous!$J$42:$J$52,'Population Treasury'!BE$226:BE$236))*(1+AT$29)*(1+IF(AT$6&lt;OFFSET(Assumptions!$B$8,0,$C$1)+OFFSET(Assumptions!$B$37,0,$C$1),0,AT$25))</f>
        <v>8.9642919908818577</v>
      </c>
      <c r="AU182" s="16">
        <f ca="1">AT$182*(1+SUMPRODUCT(Exogenous!$I$42:$I$52,'Population Treasury'!BF$215:BF$225)+SUMPRODUCT(Exogenous!$J$42:$J$52,'Population Treasury'!BF$226:BF$236))*(1+AU$29)*(1+IF(AU$6&lt;OFFSET(Assumptions!$B$8,0,$C$1)+OFFSET(Assumptions!$B$37,0,$C$1),0,AU$25))</f>
        <v>9.2756290755748534</v>
      </c>
      <c r="AV182" s="16">
        <f ca="1">AU$182*(1+SUMPRODUCT(Exogenous!$I$42:$I$52,'Population Treasury'!BG$215:BG$225)+SUMPRODUCT(Exogenous!$J$42:$J$52,'Population Treasury'!BG$226:BG$236))*(1+AV$29)*(1+IF(AV$6&lt;OFFSET(Assumptions!$B$8,0,$C$1)+OFFSET(Assumptions!$B$37,0,$C$1),0,AV$25))</f>
        <v>9.6038354290357937</v>
      </c>
      <c r="AW182" s="16">
        <f ca="1">AV$182*(1+SUMPRODUCT(Exogenous!$I$42:$I$52,'Population Treasury'!BH$215:BH$225)+SUMPRODUCT(Exogenous!$J$42:$J$52,'Population Treasury'!BH$226:BH$236))*(1+AW$29)*(1+IF(AW$6&lt;OFFSET(Assumptions!$B$8,0,$C$1)+OFFSET(Assumptions!$B$37,0,$C$1),0,AW$25))</f>
        <v>9.9535744003479394</v>
      </c>
      <c r="AX182" s="16">
        <f ca="1">AW$182*(1+SUMPRODUCT(Exogenous!$I$42:$I$52,'Population Treasury'!BI$215:BI$225)+SUMPRODUCT(Exogenous!$J$42:$J$52,'Population Treasury'!BI$226:BI$236))*(1+AX$29)*(1+IF(AX$6&lt;OFFSET(Assumptions!$B$8,0,$C$1)+OFFSET(Assumptions!$B$37,0,$C$1),0,AX$25))</f>
        <v>10.304397260153531</v>
      </c>
    </row>
    <row r="183" spans="1:50" x14ac:dyDescent="0.25">
      <c r="A183" s="11" t="s">
        <v>640</v>
      </c>
      <c r="B183" s="10" t="str">
        <f t="shared" si="1102"/>
        <v>From Fiscal Forecasts</v>
      </c>
      <c r="C183" s="13"/>
      <c r="D183" s="35">
        <f>'Fiscal Forecasts'!D$246</f>
        <v>1.115</v>
      </c>
      <c r="E183" s="35">
        <f>'Fiscal Forecasts'!E$246</f>
        <v>1.2310000000000001</v>
      </c>
      <c r="F183" s="35">
        <f>'Fiscal Forecasts'!F$246</f>
        <v>1.4550000000000001</v>
      </c>
      <c r="G183" s="35">
        <f>'Fiscal Forecasts'!G$246</f>
        <v>1.704</v>
      </c>
      <c r="H183" s="35">
        <f>'Fiscal Forecasts'!H$246</f>
        <v>1.917</v>
      </c>
      <c r="I183" s="35">
        <f>'Fiscal Forecasts'!I$246</f>
        <v>2.097</v>
      </c>
      <c r="J183" s="17">
        <f>'Fiscal Forecasts'!J$246</f>
        <v>2.2570000000000001</v>
      </c>
      <c r="K183" s="17">
        <f>'Fiscal Forecasts'!K$246</f>
        <v>2.331</v>
      </c>
      <c r="L183" s="17">
        <f>'Fiscal Forecasts'!L$246</f>
        <v>2.3029999999999999</v>
      </c>
      <c r="M183" s="17">
        <f>'Fiscal Forecasts'!M$246</f>
        <v>2.27</v>
      </c>
      <c r="N183" s="17">
        <f>'Fiscal Forecasts'!N$246</f>
        <v>2.169</v>
      </c>
      <c r="O183" s="16">
        <f ca="1">N$183*(1+SUMPRODUCT(Exogenous!$P$42:$P$52,'Population Treasury'!Z$215:Z$225)+SUMPRODUCT(Exogenous!$Q$42:$Q$52,'Population Treasury'!Z$226:Z$236))*(1+O$29)*(1+IF(O$6&lt;OFFSET(Assumptions!$B$8,0,$C$1)+OFFSET(Assumptions!$B$37,0,$C$1),0,O$25))</f>
        <v>2.2295475939701461</v>
      </c>
      <c r="P183" s="16">
        <f ca="1">O$183*(1+SUMPRODUCT(Exogenous!$P$42:$P$52,'Population Treasury'!AA$215:AA$225)+SUMPRODUCT(Exogenous!$Q$42:$Q$52,'Population Treasury'!AA$226:AA$236))*(1+P$29)*(1+IF(P$6&lt;OFFSET(Assumptions!$B$8,0,$C$1)+OFFSET(Assumptions!$B$37,0,$C$1),0,P$25))</f>
        <v>2.2913565655539845</v>
      </c>
      <c r="Q183" s="16">
        <f ca="1">P$183*(1+SUMPRODUCT(Exogenous!$P$42:$P$52,'Population Treasury'!AB$215:AB$225)+SUMPRODUCT(Exogenous!$Q$42:$Q$52,'Population Treasury'!AB$226:AB$236))*(1+Q$29)*(1+IF(Q$6&lt;OFFSET(Assumptions!$B$8,0,$C$1)+OFFSET(Assumptions!$B$37,0,$C$1),0,Q$25))</f>
        <v>2.355721960859225</v>
      </c>
      <c r="R183" s="16">
        <f ca="1">Q$183*(1+SUMPRODUCT(Exogenous!$P$42:$P$52,'Population Treasury'!AC$215:AC$225)+SUMPRODUCT(Exogenous!$Q$42:$Q$52,'Population Treasury'!AC$226:AC$236))*(1+R$29)*(1+IF(R$6&lt;OFFSET(Assumptions!$B$8,0,$C$1)+OFFSET(Assumptions!$B$37,0,$C$1),0,R$25))</f>
        <v>2.421470318267176</v>
      </c>
      <c r="S183" s="16">
        <f ca="1">R$183*(1+SUMPRODUCT(Exogenous!$P$42:$P$52,'Population Treasury'!AD$215:AD$225)+SUMPRODUCT(Exogenous!$Q$42:$Q$52,'Population Treasury'!AD$226:AD$236))*(1+S$29)*(1+IF(S$6&lt;OFFSET(Assumptions!$B$8,0,$C$1)+OFFSET(Assumptions!$B$37,0,$C$1),0,S$25))</f>
        <v>2.4876062896928985</v>
      </c>
      <c r="T183" s="16">
        <f ca="1">S$183*(1+SUMPRODUCT(Exogenous!$P$42:$P$52,'Population Treasury'!AE$215:AE$225)+SUMPRODUCT(Exogenous!$Q$42:$Q$52,'Population Treasury'!AE$226:AE$236))*(1+T$29)*(1+IF(T$6&lt;OFFSET(Assumptions!$B$8,0,$C$1)+OFFSET(Assumptions!$B$37,0,$C$1),0,T$25))</f>
        <v>2.5541011644004707</v>
      </c>
      <c r="U183" s="16">
        <f ca="1">T$183*(1+SUMPRODUCT(Exogenous!$P$42:$P$52,'Population Treasury'!AF$215:AF$225)+SUMPRODUCT(Exogenous!$Q$42:$Q$52,'Population Treasury'!AF$226:AF$236))*(1+U$29)*(1+IF(U$6&lt;OFFSET(Assumptions!$B$8,0,$C$1)+OFFSET(Assumptions!$B$37,0,$C$1),0,U$25))</f>
        <v>2.6219503391535848</v>
      </c>
      <c r="V183" s="16">
        <f ca="1">U$183*(1+SUMPRODUCT(Exogenous!$P$42:$P$52,'Population Treasury'!AG$215:AG$225)+SUMPRODUCT(Exogenous!$Q$42:$Q$52,'Population Treasury'!AG$226:AG$236))*(1+V$29)*(1+IF(V$6&lt;OFFSET(Assumptions!$B$8,0,$C$1)+OFFSET(Assumptions!$B$37,0,$C$1),0,V$25))</f>
        <v>2.6931402677733467</v>
      </c>
      <c r="W183" s="16">
        <f ca="1">V$183*(1+SUMPRODUCT(Exogenous!$P$42:$P$52,'Population Treasury'!AH$215:AH$225)+SUMPRODUCT(Exogenous!$Q$42:$Q$52,'Population Treasury'!AH$226:AH$236))*(1+W$29)*(1+IF(W$6&lt;OFFSET(Assumptions!$B$8,0,$C$1)+OFFSET(Assumptions!$B$37,0,$C$1),0,W$25))</f>
        <v>2.7649913355025224</v>
      </c>
      <c r="X183" s="16">
        <f ca="1">W$183*(1+SUMPRODUCT(Exogenous!$P$42:$P$52,'Population Treasury'!AI$215:AI$225)+SUMPRODUCT(Exogenous!$Q$42:$Q$52,'Population Treasury'!AI$226:AI$236))*(1+X$29)*(1+IF(X$6&lt;OFFSET(Assumptions!$B$8,0,$C$1)+OFFSET(Assumptions!$B$37,0,$C$1),0,X$25))</f>
        <v>2.8382313522711171</v>
      </c>
      <c r="Y183" s="16">
        <f ca="1">X$183*(1+SUMPRODUCT(Exogenous!$P$42:$P$52,'Population Treasury'!AJ$215:AJ$225)+SUMPRODUCT(Exogenous!$Q$42:$Q$52,'Population Treasury'!AJ$226:AJ$236))*(1+Y$29)*(1+IF(Y$6&lt;OFFSET(Assumptions!$B$8,0,$C$1)+OFFSET(Assumptions!$B$37,0,$C$1),0,Y$25))</f>
        <v>2.9365505793845008</v>
      </c>
      <c r="Z183" s="16">
        <f ca="1">Y$183*(1+SUMPRODUCT(Exogenous!$P$42:$P$52,'Population Treasury'!AK$215:AK$225)+SUMPRODUCT(Exogenous!$Q$42:$Q$52,'Population Treasury'!AK$226:AK$236))*(1+Z$29)*(1+IF(Z$6&lt;OFFSET(Assumptions!$B$8,0,$C$1)+OFFSET(Assumptions!$B$37,0,$C$1),0,Z$25))</f>
        <v>3.0379536890193468</v>
      </c>
      <c r="AA183" s="16">
        <f ca="1">Z$183*(1+SUMPRODUCT(Exogenous!$P$42:$P$52,'Population Treasury'!AL$215:AL$225)+SUMPRODUCT(Exogenous!$Q$42:$Q$52,'Population Treasury'!AL$226:AL$236))*(1+AA$29)*(1+IF(AA$6&lt;OFFSET(Assumptions!$B$8,0,$C$1)+OFFSET(Assumptions!$B$37,0,$C$1),0,AA$25))</f>
        <v>3.14353863706918</v>
      </c>
      <c r="AB183" s="16">
        <f ca="1">AA$183*(1+SUMPRODUCT(Exogenous!$P$42:$P$52,'Population Treasury'!AM$215:AM$225)+SUMPRODUCT(Exogenous!$Q$42:$Q$52,'Population Treasury'!AM$226:AM$236))*(1+AB$29)*(1+IF(AB$6&lt;OFFSET(Assumptions!$B$8,0,$C$1)+OFFSET(Assumptions!$B$37,0,$C$1),0,AB$25))</f>
        <v>3.2453204827391056</v>
      </c>
      <c r="AC183" s="16">
        <f ca="1">AB$183*(1+SUMPRODUCT(Exogenous!$P$42:$P$52,'Population Treasury'!AN$215:AN$225)+SUMPRODUCT(Exogenous!$Q$42:$Q$52,'Population Treasury'!AN$226:AN$236))*(1+AC$29)*(1+IF(AC$6&lt;OFFSET(Assumptions!$B$8,0,$C$1)+OFFSET(Assumptions!$B$37,0,$C$1),0,AC$25))</f>
        <v>3.3511878610547052</v>
      </c>
      <c r="AD183" s="16">
        <f ca="1">AC$183*(1+SUMPRODUCT(Exogenous!$P$42:$P$52,'Population Treasury'!AO$215:AO$225)+SUMPRODUCT(Exogenous!$Q$42:$Q$52,'Population Treasury'!AO$226:AO$236))*(1+AD$29)*(1+IF(AD$6&lt;OFFSET(Assumptions!$B$8,0,$C$1)+OFFSET(Assumptions!$B$37,0,$C$1),0,AD$25))</f>
        <v>3.4583771609359513</v>
      </c>
      <c r="AE183" s="16">
        <f ca="1">AD$183*(1+SUMPRODUCT(Exogenous!$P$42:$P$52,'Population Treasury'!AP$215:AP$225)+SUMPRODUCT(Exogenous!$Q$42:$Q$52,'Population Treasury'!AP$226:AP$236))*(1+AE$29)*(1+IF(AE$6&lt;OFFSET(Assumptions!$B$8,0,$C$1)+OFFSET(Assumptions!$B$37,0,$C$1),0,AE$25))</f>
        <v>3.569000344802066</v>
      </c>
      <c r="AF183" s="16">
        <f ca="1">AE$183*(1+SUMPRODUCT(Exogenous!$P$42:$P$52,'Population Treasury'!AQ$215:AQ$225)+SUMPRODUCT(Exogenous!$Q$42:$Q$52,'Population Treasury'!AQ$226:AQ$236))*(1+AF$29)*(1+IF(AF$6&lt;OFFSET(Assumptions!$B$8,0,$C$1)+OFFSET(Assumptions!$B$37,0,$C$1),0,AF$25))</f>
        <v>3.6817835493755515</v>
      </c>
      <c r="AG183" s="16">
        <f ca="1">AF$183*(1+SUMPRODUCT(Exogenous!$P$42:$P$52,'Population Treasury'!AR$215:AR$225)+SUMPRODUCT(Exogenous!$Q$42:$Q$52,'Population Treasury'!AR$226:AR$236))*(1+AG$29)*(1+IF(AG$6&lt;OFFSET(Assumptions!$B$8,0,$C$1)+OFFSET(Assumptions!$B$37,0,$C$1),0,AG$25))</f>
        <v>3.793015121439931</v>
      </c>
      <c r="AH183" s="16">
        <f ca="1">AG$183*(1+SUMPRODUCT(Exogenous!$P$42:$P$52,'Population Treasury'!AS$215:AS$225)+SUMPRODUCT(Exogenous!$Q$42:$Q$52,'Population Treasury'!AS$226:AS$236))*(1+AH$29)*(1+IF(AH$6&lt;OFFSET(Assumptions!$B$8,0,$C$1)+OFFSET(Assumptions!$B$37,0,$C$1),0,AH$25))</f>
        <v>3.9091530360895663</v>
      </c>
      <c r="AI183" s="16">
        <f ca="1">AH$183*(1+SUMPRODUCT(Exogenous!$P$42:$P$52,'Population Treasury'!AT$215:AT$225)+SUMPRODUCT(Exogenous!$Q$42:$Q$52,'Population Treasury'!AT$226:AT$236))*(1+AI$29)*(1+IF(AI$6&lt;OFFSET(Assumptions!$B$8,0,$C$1)+OFFSET(Assumptions!$B$37,0,$C$1),0,AI$25))</f>
        <v>4.0271319222636954</v>
      </c>
      <c r="AJ183" s="16">
        <f ca="1">AI$183*(1+SUMPRODUCT(Exogenous!$P$42:$P$52,'Population Treasury'!AU$215:AU$225)+SUMPRODUCT(Exogenous!$Q$42:$Q$52,'Population Treasury'!AU$226:AU$236))*(1+AJ$29)*(1+IF(AJ$6&lt;OFFSET(Assumptions!$B$8,0,$C$1)+OFFSET(Assumptions!$B$37,0,$C$1),0,AJ$25))</f>
        <v>4.1488484082021122</v>
      </c>
      <c r="AK183" s="16">
        <f ca="1">AJ$183*(1+SUMPRODUCT(Exogenous!$P$42:$P$52,'Population Treasury'!AV$215:AV$225)+SUMPRODUCT(Exogenous!$Q$42:$Q$52,'Population Treasury'!AV$226:AV$236))*(1+AK$29)*(1+IF(AK$6&lt;OFFSET(Assumptions!$B$8,0,$C$1)+OFFSET(Assumptions!$B$37,0,$C$1),0,AK$25))</f>
        <v>4.2720362917062085</v>
      </c>
      <c r="AL183" s="16">
        <f ca="1">AK$183*(1+SUMPRODUCT(Exogenous!$P$42:$P$52,'Population Treasury'!AW$215:AW$225)+SUMPRODUCT(Exogenous!$Q$42:$Q$52,'Population Treasury'!AW$226:AW$236))*(1+AL$29)*(1+IF(AL$6&lt;OFFSET(Assumptions!$B$8,0,$C$1)+OFFSET(Assumptions!$B$37,0,$C$1),0,AL$25))</f>
        <v>4.398907413999809</v>
      </c>
      <c r="AM183" s="16">
        <f ca="1">AL$183*(1+SUMPRODUCT(Exogenous!$P$42:$P$52,'Population Treasury'!AX$215:AX$225)+SUMPRODUCT(Exogenous!$Q$42:$Q$52,'Population Treasury'!AX$226:AX$236))*(1+AM$29)*(1+IF(AM$6&lt;OFFSET(Assumptions!$B$8,0,$C$1)+OFFSET(Assumptions!$B$37,0,$C$1),0,AM$25))</f>
        <v>4.5309490054682557</v>
      </c>
      <c r="AN183" s="16">
        <f ca="1">AM$183*(1+SUMPRODUCT(Exogenous!$P$42:$P$52,'Population Treasury'!AY$215:AY$225)+SUMPRODUCT(Exogenous!$Q$42:$Q$52,'Population Treasury'!AY$226:AY$236))*(1+AN$29)*(1+IF(AN$6&lt;OFFSET(Assumptions!$B$8,0,$C$1)+OFFSET(Assumptions!$B$37,0,$C$1),0,AN$25))</f>
        <v>4.6658532359223654</v>
      </c>
      <c r="AO183" s="16">
        <f ca="1">AN$183*(1+SUMPRODUCT(Exogenous!$P$42:$P$52,'Population Treasury'!AZ$215:AZ$225)+SUMPRODUCT(Exogenous!$Q$42:$Q$52,'Population Treasury'!AZ$226:AZ$236))*(1+AO$29)*(1+IF(AO$6&lt;OFFSET(Assumptions!$B$8,0,$C$1)+OFFSET(Assumptions!$B$37,0,$C$1),0,AO$25))</f>
        <v>4.8051949491340213</v>
      </c>
      <c r="AP183" s="16">
        <f ca="1">AO$183*(1+SUMPRODUCT(Exogenous!$P$42:$P$52,'Population Treasury'!BA$215:BA$225)+SUMPRODUCT(Exogenous!$Q$42:$Q$52,'Population Treasury'!BA$226:BA$236))*(1+AP$29)*(1+IF(AP$6&lt;OFFSET(Assumptions!$B$8,0,$C$1)+OFFSET(Assumptions!$B$37,0,$C$1),0,AP$25))</f>
        <v>4.9470749302519232</v>
      </c>
      <c r="AQ183" s="16">
        <f ca="1">AP$183*(1+SUMPRODUCT(Exogenous!$P$42:$P$52,'Population Treasury'!BB$215:BB$225)+SUMPRODUCT(Exogenous!$Q$42:$Q$52,'Population Treasury'!BB$226:BB$236))*(1+AQ$29)*(1+IF(AQ$6&lt;OFFSET(Assumptions!$B$8,0,$C$1)+OFFSET(Assumptions!$B$37,0,$C$1),0,AQ$25))</f>
        <v>5.0981224814746886</v>
      </c>
      <c r="AR183" s="16">
        <f ca="1">AQ$183*(1+SUMPRODUCT(Exogenous!$P$42:$P$52,'Population Treasury'!BC$215:BC$225)+SUMPRODUCT(Exogenous!$Q$42:$Q$52,'Population Treasury'!BC$226:BC$236))*(1+AR$29)*(1+IF(AR$6&lt;OFFSET(Assumptions!$B$8,0,$C$1)+OFFSET(Assumptions!$B$37,0,$C$1),0,AR$25))</f>
        <v>5.2554524137782925</v>
      </c>
      <c r="AS183" s="16">
        <f ca="1">AR$183*(1+SUMPRODUCT(Exogenous!$P$42:$P$52,'Population Treasury'!BD$215:BD$225)+SUMPRODUCT(Exogenous!$Q$42:$Q$52,'Population Treasury'!BD$226:BD$236))*(1+AS$29)*(1+IF(AS$6&lt;OFFSET(Assumptions!$B$8,0,$C$1)+OFFSET(Assumptions!$B$37,0,$C$1),0,AS$25))</f>
        <v>5.4172456076171516</v>
      </c>
      <c r="AT183" s="16">
        <f ca="1">AS$183*(1+SUMPRODUCT(Exogenous!$P$42:$P$52,'Population Treasury'!BE$215:BE$225)+SUMPRODUCT(Exogenous!$Q$42:$Q$52,'Population Treasury'!BE$226:BE$236))*(1+AT$29)*(1+IF(AT$6&lt;OFFSET(Assumptions!$B$8,0,$C$1)+OFFSET(Assumptions!$B$37,0,$C$1),0,AT$25))</f>
        <v>5.5851385187848859</v>
      </c>
      <c r="AU183" s="16">
        <f ca="1">AT$183*(1+SUMPRODUCT(Exogenous!$P$42:$P$52,'Population Treasury'!BF$215:BF$225)+SUMPRODUCT(Exogenous!$Q$42:$Q$52,'Population Treasury'!BF$226:BF$236))*(1+AU$29)*(1+IF(AU$6&lt;OFFSET(Assumptions!$B$8,0,$C$1)+OFFSET(Assumptions!$B$37,0,$C$1),0,AU$25))</f>
        <v>5.7573500672033582</v>
      </c>
      <c r="AV183" s="16">
        <f ca="1">AU$183*(1+SUMPRODUCT(Exogenous!$P$42:$P$52,'Population Treasury'!BG$215:BG$225)+SUMPRODUCT(Exogenous!$Q$42:$Q$52,'Population Treasury'!BG$226:BG$236))*(1+AV$29)*(1+IF(AV$6&lt;OFFSET(Assumptions!$B$8,0,$C$1)+OFFSET(Assumptions!$B$37,0,$C$1),0,AV$25))</f>
        <v>5.9417371798314607</v>
      </c>
      <c r="AW183" s="16">
        <f ca="1">AV$183*(1+SUMPRODUCT(Exogenous!$P$42:$P$52,'Population Treasury'!BH$215:BH$225)+SUMPRODUCT(Exogenous!$Q$42:$Q$52,'Population Treasury'!BH$226:BH$236))*(1+AW$29)*(1+IF(AW$6&lt;OFFSET(Assumptions!$B$8,0,$C$1)+OFFSET(Assumptions!$B$37,0,$C$1),0,AW$25))</f>
        <v>6.1338146424301794</v>
      </c>
      <c r="AX183" s="16">
        <f ca="1">AW$183*(1+SUMPRODUCT(Exogenous!$P$42:$P$52,'Population Treasury'!BI$215:BI$225)+SUMPRODUCT(Exogenous!$Q$42:$Q$52,'Population Treasury'!BI$226:BI$236))*(1+AX$29)*(1+IF(AX$6&lt;OFFSET(Assumptions!$B$8,0,$C$1)+OFFSET(Assumptions!$B$37,0,$C$1),0,AX$25))</f>
        <v>6.3312186389183012</v>
      </c>
    </row>
    <row r="184" spans="1:50" x14ac:dyDescent="0.25">
      <c r="A184" s="11" t="s">
        <v>641</v>
      </c>
      <c r="B184" s="10" t="str">
        <f t="shared" si="1102"/>
        <v>From Fiscal Forecasts</v>
      </c>
      <c r="D184" s="35">
        <f>'Fiscal Forecasts'!D$247</f>
        <v>2.766</v>
      </c>
      <c r="E184" s="35">
        <f>'Fiscal Forecasts'!E$247</f>
        <v>2.83</v>
      </c>
      <c r="F184" s="35">
        <f>'Fiscal Forecasts'!F$247</f>
        <v>2.6880000000000002</v>
      </c>
      <c r="G184" s="35">
        <f>'Fiscal Forecasts'!G$247</f>
        <v>2.536</v>
      </c>
      <c r="H184" s="35">
        <f>'Fiscal Forecasts'!H$247</f>
        <v>2.6269999999999998</v>
      </c>
      <c r="I184" s="35">
        <f>'Fiscal Forecasts'!I$247</f>
        <v>2.7450000000000001</v>
      </c>
      <c r="J184" s="17">
        <f>'Fiscal Forecasts'!J$247</f>
        <v>2.9990000000000001</v>
      </c>
      <c r="K184" s="17">
        <f>'Fiscal Forecasts'!K$247</f>
        <v>2.97</v>
      </c>
      <c r="L184" s="17">
        <f>'Fiscal Forecasts'!L$247</f>
        <v>3.05</v>
      </c>
      <c r="M184" s="17">
        <f>'Fiscal Forecasts'!M$247</f>
        <v>3.2229999999999999</v>
      </c>
      <c r="N184" s="17">
        <f>'Fiscal Forecasts'!N$247</f>
        <v>3.141</v>
      </c>
      <c r="O184" s="16">
        <f ca="1">N$184*(1+O$19)*(1+O$29)*(1+IF(O$6&lt;OFFSET(Assumptions!$B$8,0,$C$1)+OFFSET(Assumptions!$B$37,0,$C$1),0,O$25))</f>
        <v>3.246922213318066</v>
      </c>
      <c r="P184" s="16">
        <f ca="1">O$184*(1+P$19)*(1+P$29)*(1+IF(P$6&lt;OFFSET(Assumptions!$B$8,0,$C$1)+OFFSET(Assumptions!$B$37,0,$C$1),0,P$25))</f>
        <v>3.3544681011852657</v>
      </c>
      <c r="Q184" s="16">
        <f ca="1">P$184*(1+Q$19)*(1+Q$29)*(1+IF(Q$6&lt;OFFSET(Assumptions!$B$8,0,$C$1)+OFFSET(Assumptions!$B$37,0,$C$1),0,Q$25))</f>
        <v>3.4642574365003149</v>
      </c>
      <c r="R184" s="16">
        <f ca="1">Q$184*(1+R$19)*(1+R$29)*(1+IF(R$6&lt;OFFSET(Assumptions!$B$8,0,$C$1)+OFFSET(Assumptions!$B$37,0,$C$1),0,R$25))</f>
        <v>3.5756198741100529</v>
      </c>
      <c r="S184" s="16">
        <f ca="1">R$184*(1+S$19)*(1+S$29)*(1+IF(S$6&lt;OFFSET(Assumptions!$B$8,0,$C$1)+OFFSET(Assumptions!$B$37,0,$C$1),0,S$25))</f>
        <v>3.6898004298701657</v>
      </c>
      <c r="T184" s="16">
        <f ca="1">S$184*(1+T$19)*(1+T$29)*(1+IF(T$6&lt;OFFSET(Assumptions!$B$8,0,$C$1)+OFFSET(Assumptions!$B$37,0,$C$1),0,T$25))</f>
        <v>3.8056303095430222</v>
      </c>
      <c r="U184" s="16">
        <f ca="1">T$184*(1+U$19)*(1+U$29)*(1+IF(U$6&lt;OFFSET(Assumptions!$B$8,0,$C$1)+OFFSET(Assumptions!$B$37,0,$C$1),0,U$25))</f>
        <v>3.9247834302250291</v>
      </c>
      <c r="V184" s="16">
        <f ca="1">U$184*(1+V$19)*(1+V$29)*(1+IF(V$6&lt;OFFSET(Assumptions!$B$8,0,$C$1)+OFFSET(Assumptions!$B$37,0,$C$1),0,V$25))</f>
        <v>4.0462533849858531</v>
      </c>
      <c r="W184" s="16">
        <f ca="1">V$184*(1+W$19)*(1+W$29)*(1+IF(W$6&lt;OFFSET(Assumptions!$B$8,0,$C$1)+OFFSET(Assumptions!$B$37,0,$C$1),0,W$25))</f>
        <v>4.1670079013788843</v>
      </c>
      <c r="X184" s="16">
        <f ca="1">W$184*(1+X$19)*(1+X$29)*(1+IF(X$6&lt;OFFSET(Assumptions!$B$8,0,$C$1)+OFFSET(Assumptions!$B$37,0,$C$1),0,X$25))</f>
        <v>4.2903031468231534</v>
      </c>
      <c r="Y184" s="16">
        <f ca="1">X$184*(1+Y$19)*(1+Y$29)*(1+IF(Y$6&lt;OFFSET(Assumptions!$B$8,0,$C$1)+OFFSET(Assumptions!$B$37,0,$C$1),0,Y$25))</f>
        <v>4.4570812763056518</v>
      </c>
      <c r="Z184" s="16">
        <f ca="1">Y$184*(1+Z$19)*(1+Z$29)*(1+IF(Z$6&lt;OFFSET(Assumptions!$B$8,0,$C$1)+OFFSET(Assumptions!$B$37,0,$C$1),0,Z$25))</f>
        <v>4.6293443097128097</v>
      </c>
      <c r="AA184" s="16">
        <f ca="1">Z$184*(1+AA$19)*(1+AA$29)*(1+IF(AA$6&lt;OFFSET(Assumptions!$B$8,0,$C$1)+OFFSET(Assumptions!$B$37,0,$C$1),0,AA$25))</f>
        <v>4.8073992544904431</v>
      </c>
      <c r="AB184" s="16">
        <f ca="1">AA$184*(1+AB$19)*(1+AB$29)*(1+IF(AB$6&lt;OFFSET(Assumptions!$B$8,0,$C$1)+OFFSET(Assumptions!$B$37,0,$C$1),0,AB$25))</f>
        <v>4.9912356537618363</v>
      </c>
      <c r="AC184" s="16">
        <f ca="1">AB$184*(1+AC$19)*(1+AC$29)*(1+IF(AC$6&lt;OFFSET(Assumptions!$B$8,0,$C$1)+OFFSET(Assumptions!$B$37,0,$C$1),0,AC$25))</f>
        <v>5.1811166504647153</v>
      </c>
      <c r="AD184" s="16">
        <f ca="1">AC$184*(1+AD$19)*(1+AD$29)*(1+IF(AD$6&lt;OFFSET(Assumptions!$B$8,0,$C$1)+OFFSET(Assumptions!$B$37,0,$C$1),0,AD$25))</f>
        <v>5.3772212382697955</v>
      </c>
      <c r="AE184" s="16">
        <f ca="1">AD$184*(1+AE$19)*(1+AE$29)*(1+IF(AE$6&lt;OFFSET(Assumptions!$B$8,0,$C$1)+OFFSET(Assumptions!$B$37,0,$C$1),0,AE$25))</f>
        <v>5.579815266777497</v>
      </c>
      <c r="AF184" s="16">
        <f ca="1">AE$184*(1+AF$19)*(1+AF$29)*(1+IF(AF$6&lt;OFFSET(Assumptions!$B$8,0,$C$1)+OFFSET(Assumptions!$B$37,0,$C$1),0,AF$25))</f>
        <v>5.7890523914581555</v>
      </c>
      <c r="AG184" s="16">
        <f ca="1">AF$184*(1+AG$19)*(1+AG$29)*(1+IF(AG$6&lt;OFFSET(Assumptions!$B$8,0,$C$1)+OFFSET(Assumptions!$B$37,0,$C$1),0,AG$25))</f>
        <v>6.0053366730317554</v>
      </c>
      <c r="AH184" s="16">
        <f ca="1">AG$184*(1+AH$19)*(1+AH$29)*(1+IF(AH$6&lt;OFFSET(Assumptions!$B$8,0,$C$1)+OFFSET(Assumptions!$B$37,0,$C$1),0,AH$25))</f>
        <v>6.2287549943797718</v>
      </c>
      <c r="AI184" s="16">
        <f ca="1">AH$184*(1+AI$19)*(1+AI$29)*(1+IF(AI$6&lt;OFFSET(Assumptions!$B$8,0,$C$1)+OFFSET(Assumptions!$B$37,0,$C$1),0,AI$25))</f>
        <v>6.4599490247415625</v>
      </c>
      <c r="AJ184" s="16">
        <f ca="1">AI$184*(1+AJ$19)*(1+AJ$29)*(1+IF(AJ$6&lt;OFFSET(Assumptions!$B$8,0,$C$1)+OFFSET(Assumptions!$B$37,0,$C$1),0,AJ$25))</f>
        <v>6.6990476710670137</v>
      </c>
      <c r="AK184" s="16">
        <f ca="1">AJ$184*(1+AK$19)*(1+AK$29)*(1+IF(AK$6&lt;OFFSET(Assumptions!$B$8,0,$C$1)+OFFSET(Assumptions!$B$37,0,$C$1),0,AK$25))</f>
        <v>6.9466118356435382</v>
      </c>
      <c r="AL184" s="16">
        <f ca="1">AK$184*(1+AL$19)*(1+AL$29)*(1+IF(AL$6&lt;OFFSET(Assumptions!$B$8,0,$C$1)+OFFSET(Assumptions!$B$37,0,$C$1),0,AL$25))</f>
        <v>7.202957426394371</v>
      </c>
      <c r="AM184" s="16">
        <f ca="1">AL$184*(1+AM$19)*(1+AM$29)*(1+IF(AM$6&lt;OFFSET(Assumptions!$B$8,0,$C$1)+OFFSET(Assumptions!$B$37,0,$C$1),0,AM$25))</f>
        <v>7.4684259654465741</v>
      </c>
      <c r="AN184" s="16">
        <f ca="1">AM$184*(1+AN$19)*(1+AN$29)*(1+IF(AN$6&lt;OFFSET(Assumptions!$B$8,0,$C$1)+OFFSET(Assumptions!$B$37,0,$C$1),0,AN$25))</f>
        <v>7.7435331783536725</v>
      </c>
      <c r="AO184" s="16">
        <f ca="1">AN$184*(1+AO$19)*(1+AO$29)*(1+IF(AO$6&lt;OFFSET(Assumptions!$B$8,0,$C$1)+OFFSET(Assumptions!$B$37,0,$C$1),0,AO$25))</f>
        <v>8.0284322202993934</v>
      </c>
      <c r="AP184" s="16">
        <f ca="1">AO$184*(1+AP$19)*(1+AP$29)*(1+IF(AP$6&lt;OFFSET(Assumptions!$B$8,0,$C$1)+OFFSET(Assumptions!$B$37,0,$C$1),0,AP$25))</f>
        <v>8.3238008865474189</v>
      </c>
      <c r="AQ184" s="16">
        <f ca="1">AP$184*(1+AQ$19)*(1+AQ$29)*(1+IF(AQ$6&lt;OFFSET(Assumptions!$B$8,0,$C$1)+OFFSET(Assumptions!$B$37,0,$C$1),0,AQ$25))</f>
        <v>8.6295712797068287</v>
      </c>
      <c r="AR184" s="16">
        <f ca="1">AQ$184*(1+AR$19)*(1+AR$29)*(1+IF(AR$6&lt;OFFSET(Assumptions!$B$8,0,$C$1)+OFFSET(Assumptions!$B$37,0,$C$1),0,AR$25))</f>
        <v>8.946576010760344</v>
      </c>
      <c r="AS184" s="16">
        <f ca="1">AR$184*(1+AS$19)*(1+AS$29)*(1+IF(AS$6&lt;OFFSET(Assumptions!$B$8,0,$C$1)+OFFSET(Assumptions!$B$37,0,$C$1),0,AS$25))</f>
        <v>9.2745952065597574</v>
      </c>
      <c r="AT184" s="16">
        <f ca="1">AS$184*(1+AT$19)*(1+AT$29)*(1+IF(AT$6&lt;OFFSET(Assumptions!$B$8,0,$C$1)+OFFSET(Assumptions!$B$37,0,$C$1),0,AT$25))</f>
        <v>9.6139977210342433</v>
      </c>
      <c r="AU184" s="16">
        <f ca="1">AT$184*(1+AU$19)*(1+AU$29)*(1+IF(AU$6&lt;OFFSET(Assumptions!$B$8,0,$C$1)+OFFSET(Assumptions!$B$37,0,$C$1),0,AU$25))</f>
        <v>9.965473222278149</v>
      </c>
      <c r="AV184" s="16">
        <f ca="1">AU$184*(1+AV$19)*(1+AV$29)*(1+IF(AV$6&lt;OFFSET(Assumptions!$B$8,0,$C$1)+OFFSET(Assumptions!$B$37,0,$C$1),0,AV$25))</f>
        <v>10.328856629722711</v>
      </c>
      <c r="AW184" s="16">
        <f ca="1">AV$184*(1+AW$19)*(1+AW$29)*(1+IF(AW$6&lt;OFFSET(Assumptions!$B$8,0,$C$1)+OFFSET(Assumptions!$B$37,0,$C$1),0,AW$25))</f>
        <v>10.70478962663775</v>
      </c>
      <c r="AX184" s="16">
        <f ca="1">AW$184*(1+AX$19)*(1+AX$29)*(1+IF(AX$6&lt;OFFSET(Assumptions!$B$8,0,$C$1)+OFFSET(Assumptions!$B$37,0,$C$1),0,AX$25))</f>
        <v>11.093247263418498</v>
      </c>
    </row>
    <row r="185" spans="1:50" x14ac:dyDescent="0.25">
      <c r="A185" s="11" t="s">
        <v>642</v>
      </c>
      <c r="B185" s="10" t="str">
        <f t="shared" si="1102"/>
        <v>From Fiscal Forecasts</v>
      </c>
      <c r="D185" s="35">
        <f>'Fiscal Forecasts'!D$248</f>
        <v>1.64</v>
      </c>
      <c r="E185" s="35">
        <f>'Fiscal Forecasts'!E$248</f>
        <v>1.923</v>
      </c>
      <c r="F185" s="35">
        <f>'Fiscal Forecasts'!F$248</f>
        <v>2.302</v>
      </c>
      <c r="G185" s="35">
        <f>'Fiscal Forecasts'!G$248</f>
        <v>2.3860000000000001</v>
      </c>
      <c r="H185" s="35">
        <f>'Fiscal Forecasts'!H$248</f>
        <v>2.3490000000000002</v>
      </c>
      <c r="I185" s="35">
        <f>'Fiscal Forecasts'!I$248</f>
        <v>2.411</v>
      </c>
      <c r="J185" s="17">
        <f>'Fiscal Forecasts'!J$248</f>
        <v>2.3039999999999998</v>
      </c>
      <c r="K185" s="17">
        <f>'Fiscal Forecasts'!K$248</f>
        <v>2.35</v>
      </c>
      <c r="L185" s="17">
        <f>'Fiscal Forecasts'!L$248</f>
        <v>2.3180000000000001</v>
      </c>
      <c r="M185" s="17">
        <f>'Fiscal Forecasts'!M$248</f>
        <v>2.3109999999999999</v>
      </c>
      <c r="N185" s="17">
        <f>'Fiscal Forecasts'!N$248</f>
        <v>2.1859999999999999</v>
      </c>
      <c r="O185" s="16">
        <f ca="1">N$185*(1+O$19)*(1+O$29)*(1+IF(O$6&lt;OFFSET(Assumptions!$B$8,0,$C$1)+OFFSET(Assumptions!$B$37,0,$C$1),0,O$25))</f>
        <v>2.2597172742162663</v>
      </c>
      <c r="P185" s="16">
        <f ca="1">O$185*(1+P$19)*(1+P$29)*(1+IF(P$6&lt;OFFSET(Assumptions!$B$8,0,$C$1)+OFFSET(Assumptions!$B$37,0,$C$1),0,P$25))</f>
        <v>2.3345645556163617</v>
      </c>
      <c r="Q185" s="16">
        <f ca="1">P$185*(1+Q$19)*(1+Q$29)*(1+IF(Q$6&lt;OFFSET(Assumptions!$B$8,0,$C$1)+OFFSET(Assumptions!$B$37,0,$C$1),0,Q$25))</f>
        <v>2.4109731793026712</v>
      </c>
      <c r="R185" s="16">
        <f ca="1">Q$185*(1+R$19)*(1+R$29)*(1+IF(R$6&lt;OFFSET(Assumptions!$B$8,0,$C$1)+OFFSET(Assumptions!$B$37,0,$C$1),0,R$25))</f>
        <v>2.4884766140734094</v>
      </c>
      <c r="S185" s="16">
        <f ca="1">R$185*(1+S$19)*(1+S$29)*(1+IF(S$6&lt;OFFSET(Assumptions!$B$8,0,$C$1)+OFFSET(Assumptions!$B$37,0,$C$1),0,S$25))</f>
        <v>2.5679413370570474</v>
      </c>
      <c r="T185" s="16">
        <f ca="1">S$185*(1+T$19)*(1+T$29)*(1+IF(T$6&lt;OFFSET(Assumptions!$B$8,0,$C$1)+OFFSET(Assumptions!$B$37,0,$C$1),0,T$25))</f>
        <v>2.6485539180710123</v>
      </c>
      <c r="U185" s="16">
        <f ca="1">T$185*(1+U$19)*(1+U$29)*(1+IF(U$6&lt;OFFSET(Assumptions!$B$8,0,$C$1)+OFFSET(Assumptions!$B$37,0,$C$1),0,U$25))</f>
        <v>2.7314793309366179</v>
      </c>
      <c r="V185" s="16">
        <f ca="1">U$185*(1+V$19)*(1+V$29)*(1+IF(V$6&lt;OFFSET(Assumptions!$B$8,0,$C$1)+OFFSET(Assumptions!$B$37,0,$C$1),0,V$25))</f>
        <v>2.8160171600060742</v>
      </c>
      <c r="W185" s="16">
        <f ca="1">V$185*(1+W$19)*(1+W$29)*(1+IF(W$6&lt;OFFSET(Assumptions!$B$8,0,$C$1)+OFFSET(Assumptions!$B$37,0,$C$1),0,W$25))</f>
        <v>2.9000570749488208</v>
      </c>
      <c r="X185" s="16">
        <f ca="1">W$185*(1+X$19)*(1+X$29)*(1+IF(X$6&lt;OFFSET(Assumptions!$B$8,0,$C$1)+OFFSET(Assumptions!$B$37,0,$C$1),0,X$25))</f>
        <v>2.9858652273019475</v>
      </c>
      <c r="Y185" s="16">
        <f ca="1">X$185*(1+Y$19)*(1+Y$29)*(1+IF(Y$6&lt;OFFSET(Assumptions!$B$8,0,$C$1)+OFFSET(Assumptions!$B$37,0,$C$1),0,Y$25))</f>
        <v>3.101935584210175</v>
      </c>
      <c r="Z185" s="16">
        <f ca="1">Y$185*(1+Z$19)*(1+Z$29)*(1+IF(Z$6&lt;OFFSET(Assumptions!$B$8,0,$C$1)+OFFSET(Assumptions!$B$37,0,$C$1),0,Z$25))</f>
        <v>3.2218231967628808</v>
      </c>
      <c r="AA185" s="16">
        <f ca="1">Z$185*(1+AA$19)*(1+AA$29)*(1+IF(AA$6&lt;OFFSET(Assumptions!$B$8,0,$C$1)+OFFSET(Assumptions!$B$37,0,$C$1),0,AA$25))</f>
        <v>3.3457417288494473</v>
      </c>
      <c r="AB185" s="16">
        <f ca="1">AA$185*(1+AB$19)*(1+AB$29)*(1+IF(AB$6&lt;OFFSET(Assumptions!$B$8,0,$C$1)+OFFSET(Assumptions!$B$37,0,$C$1),0,AB$25))</f>
        <v>3.4736839029364464</v>
      </c>
      <c r="AC185" s="16">
        <f ca="1">AB$185*(1+AC$19)*(1+AC$29)*(1+IF(AC$6&lt;OFFSET(Assumptions!$B$8,0,$C$1)+OFFSET(Assumptions!$B$37,0,$C$1),0,AC$25))</f>
        <v>3.6058328551148908</v>
      </c>
      <c r="AD185" s="16">
        <f ca="1">AC$185*(1+AD$19)*(1+AD$29)*(1+IF(AD$6&lt;OFFSET(Assumptions!$B$8,0,$C$1)+OFFSET(Assumptions!$B$37,0,$C$1),0,AD$25))</f>
        <v>3.7423131572294732</v>
      </c>
      <c r="AE185" s="16">
        <f ca="1">AD$185*(1+AE$19)*(1+AE$29)*(1+IF(AE$6&lt;OFFSET(Assumptions!$B$8,0,$C$1)+OFFSET(Assumptions!$B$37,0,$C$1),0,AE$25))</f>
        <v>3.8833098290912478</v>
      </c>
      <c r="AF185" s="16">
        <f ca="1">AE$185*(1+AF$19)*(1+AF$29)*(1+IF(AF$6&lt;OFFSET(Assumptions!$B$8,0,$C$1)+OFFSET(Assumptions!$B$37,0,$C$1),0,AF$25))</f>
        <v>4.0289298082545457</v>
      </c>
      <c r="AG185" s="16">
        <f ca="1">AF$185*(1+AG$19)*(1+AG$29)*(1+IF(AG$6&lt;OFFSET(Assumptions!$B$8,0,$C$1)+OFFSET(Assumptions!$B$37,0,$C$1),0,AG$25))</f>
        <v>4.1794543034853291</v>
      </c>
      <c r="AH185" s="16">
        <f ca="1">AG$185*(1+AH$19)*(1+AH$29)*(1+IF(AH$6&lt;OFFSET(Assumptions!$B$8,0,$C$1)+OFFSET(Assumptions!$B$37,0,$C$1),0,AH$25))</f>
        <v>4.3349437815072216</v>
      </c>
      <c r="AI185" s="16">
        <f ca="1">AH$185*(1+AI$19)*(1+AI$29)*(1+IF(AI$6&lt;OFFSET(Assumptions!$B$8,0,$C$1)+OFFSET(Assumptions!$B$37,0,$C$1),0,AI$25))</f>
        <v>4.4958448163276206</v>
      </c>
      <c r="AJ185" s="16">
        <f ca="1">AI$185*(1+AJ$19)*(1+AJ$29)*(1+IF(AJ$6&lt;OFFSET(Assumptions!$B$8,0,$C$1)+OFFSET(Assumptions!$B$37,0,$C$1),0,AJ$25))</f>
        <v>4.6622471216021939</v>
      </c>
      <c r="AK185" s="16">
        <f ca="1">AJ$185*(1+AK$19)*(1+AK$29)*(1+IF(AK$6&lt;OFFSET(Assumptions!$B$8,0,$C$1)+OFFSET(Assumptions!$B$37,0,$C$1),0,AK$25))</f>
        <v>4.8345410610368589</v>
      </c>
      <c r="AL185" s="16">
        <f ca="1">AK$185*(1+AL$19)*(1+AL$29)*(1+IF(AL$6&lt;OFFSET(Assumptions!$B$8,0,$C$1)+OFFSET(Assumptions!$B$37,0,$C$1),0,AL$25))</f>
        <v>5.0129464928679059</v>
      </c>
      <c r="AM185" s="16">
        <f ca="1">AL$185*(1+AM$19)*(1+AM$29)*(1+IF(AM$6&lt;OFFSET(Assumptions!$B$8,0,$C$1)+OFFSET(Assumptions!$B$37,0,$C$1),0,AM$25))</f>
        <v>5.1977011017084394</v>
      </c>
      <c r="AN185" s="16">
        <f ca="1">AM$185*(1+AN$19)*(1+AN$29)*(1+IF(AN$6&lt;OFFSET(Assumptions!$B$8,0,$C$1)+OFFSET(Assumptions!$B$37,0,$C$1),0,AN$25))</f>
        <v>5.3891638102136667</v>
      </c>
      <c r="AO185" s="16">
        <f ca="1">AN$185*(1+AO$19)*(1+AO$29)*(1+IF(AO$6&lt;OFFSET(Assumptions!$B$8,0,$C$1)+OFFSET(Assumptions!$B$37,0,$C$1),0,AO$25))</f>
        <v>5.5874412077601008</v>
      </c>
      <c r="AP185" s="16">
        <f ca="1">AO$185*(1+AP$19)*(1+AP$29)*(1+IF(AP$6&lt;OFFSET(Assumptions!$B$8,0,$C$1)+OFFSET(Assumptions!$B$37,0,$C$1),0,AP$25))</f>
        <v>5.7930050105038715</v>
      </c>
      <c r="AQ185" s="16">
        <f ca="1">AP$185*(1+AQ$19)*(1+AQ$29)*(1+IF(AQ$6&lt;OFFSET(Assumptions!$B$8,0,$C$1)+OFFSET(Assumptions!$B$37,0,$C$1),0,AQ$25))</f>
        <v>6.0058079648007414</v>
      </c>
      <c r="AR185" s="16">
        <f ca="1">AQ$185*(1+AR$19)*(1+AR$29)*(1+IF(AR$6&lt;OFFSET(Assumptions!$B$8,0,$C$1)+OFFSET(Assumptions!$B$37,0,$C$1),0,AR$25))</f>
        <v>6.2264295318440368</v>
      </c>
      <c r="AS185" s="16">
        <f ca="1">AR$185*(1+AS$19)*(1+AS$29)*(1+IF(AS$6&lt;OFFSET(Assumptions!$B$8,0,$C$1)+OFFSET(Assumptions!$B$37,0,$C$1),0,AS$25))</f>
        <v>6.4547166894427379</v>
      </c>
      <c r="AT185" s="16">
        <f ca="1">AS$185*(1+AT$19)*(1+AT$29)*(1+IF(AT$6&lt;OFFSET(Assumptions!$B$8,0,$C$1)+OFFSET(Assumptions!$B$37,0,$C$1),0,AT$25))</f>
        <v>6.6909261439607963</v>
      </c>
      <c r="AU185" s="16">
        <f ca="1">AT$185*(1+AU$19)*(1+AU$29)*(1+IF(AU$6&lt;OFFSET(Assumptions!$B$8,0,$C$1)+OFFSET(Assumptions!$B$37,0,$C$1),0,AU$25))</f>
        <v>6.9355378745304179</v>
      </c>
      <c r="AV185" s="16">
        <f ca="1">AU$185*(1+AV$19)*(1+AV$29)*(1+IF(AV$6&lt;OFFSET(Assumptions!$B$8,0,$C$1)+OFFSET(Assumptions!$B$37,0,$C$1),0,AV$25))</f>
        <v>7.1884369922234503</v>
      </c>
      <c r="AW185" s="16">
        <f ca="1">AV$185*(1+AW$19)*(1+AW$29)*(1+IF(AW$6&lt;OFFSET(Assumptions!$B$8,0,$C$1)+OFFSET(Assumptions!$B$37,0,$C$1),0,AW$25))</f>
        <v>7.4500700808118854</v>
      </c>
      <c r="AX185" s="16">
        <f ca="1">AW$185*(1+AX$19)*(1+AX$29)*(1+IF(AX$6&lt;OFFSET(Assumptions!$B$8,0,$C$1)+OFFSET(Assumptions!$B$37,0,$C$1),0,AX$25))</f>
        <v>7.72041977645108</v>
      </c>
    </row>
    <row r="186" spans="1:50" x14ac:dyDescent="0.25">
      <c r="A186" s="11" t="s">
        <v>643</v>
      </c>
      <c r="B186" s="10" t="str">
        <f t="shared" si="1102"/>
        <v>From Fiscal Forecasts</v>
      </c>
      <c r="C186" s="13"/>
      <c r="D186" s="35">
        <f>'Fiscal Forecasts'!D$249</f>
        <v>2.351</v>
      </c>
      <c r="E186" s="35">
        <f>'Fiscal Forecasts'!E$249</f>
        <v>14.971</v>
      </c>
      <c r="F186" s="35">
        <f>'Fiscal Forecasts'!F$249</f>
        <v>5.0529999999999999</v>
      </c>
      <c r="G186" s="35">
        <f>'Fiscal Forecasts'!G$249</f>
        <v>11.973000000000001</v>
      </c>
      <c r="H186" s="35">
        <f>'Fiscal Forecasts'!H$249</f>
        <v>4.1159999999999997</v>
      </c>
      <c r="I186" s="35">
        <f>'Fiscal Forecasts'!I$249</f>
        <v>3.7759999999999998</v>
      </c>
      <c r="J186" s="17">
        <f>'Fiscal Forecasts'!J$249</f>
        <v>4.0570000000000004</v>
      </c>
      <c r="K186" s="17">
        <f>'Fiscal Forecasts'!K$249</f>
        <v>4.3849999999999998</v>
      </c>
      <c r="L186" s="17">
        <f>'Fiscal Forecasts'!L$249</f>
        <v>4.4329999999999998</v>
      </c>
      <c r="M186" s="17">
        <f>'Fiscal Forecasts'!M$249</f>
        <v>4.5750000000000002</v>
      </c>
      <c r="N186" s="17">
        <f>'Fiscal Forecasts'!N$249</f>
        <v>4.6130000000000004</v>
      </c>
      <c r="O186" s="16">
        <f ca="1">N$186*(1+O$19)*(1+O$29)*(1+IF(O$6&lt;OFFSET(Assumptions!$B$8,0,$C$1)+OFFSET(Assumptions!$B$37,0,$C$1),0,O$25))</f>
        <v>4.7685616587189559</v>
      </c>
      <c r="P186" s="16">
        <f ca="1">O$186*(1+P$19)*(1+P$29)*(1+IF(P$6&lt;OFFSET(Assumptions!$B$8,0,$C$1)+OFFSET(Assumptions!$B$37,0,$C$1),0,P$25))</f>
        <v>4.9265079117375468</v>
      </c>
      <c r="Q186" s="16">
        <f ca="1">P$186*(1+Q$19)*(1+Q$29)*(1+IF(Q$6&lt;OFFSET(Assumptions!$B$8,0,$C$1)+OFFSET(Assumptions!$B$37,0,$C$1),0,Q$25))</f>
        <v>5.0877489826730198</v>
      </c>
      <c r="R186" s="16">
        <f ca="1">Q$186*(1+R$19)*(1+R$29)*(1+IF(R$6&lt;OFFSET(Assumptions!$B$8,0,$C$1)+OFFSET(Assumptions!$B$37,0,$C$1),0,R$25))</f>
        <v>5.2513003754440231</v>
      </c>
      <c r="S186" s="16">
        <f ca="1">R$186*(1+S$19)*(1+S$29)*(1+IF(S$6&lt;OFFSET(Assumptions!$B$8,0,$C$1)+OFFSET(Assumptions!$B$37,0,$C$1),0,S$25))</f>
        <v>5.4189905708344721</v>
      </c>
      <c r="T186" s="16">
        <f ca="1">S$186*(1+T$19)*(1+T$29)*(1+IF(T$6&lt;OFFSET(Assumptions!$B$8,0,$C$1)+OFFSET(Assumptions!$B$37,0,$C$1),0,T$25))</f>
        <v>5.5891030302203006</v>
      </c>
      <c r="U186" s="16">
        <f ca="1">T$186*(1+U$19)*(1+U$29)*(1+IF(U$6&lt;OFFSET(Assumptions!$B$8,0,$C$1)+OFFSET(Assumptions!$B$37,0,$C$1),0,U$25))</f>
        <v>5.7640961361439231</v>
      </c>
      <c r="V186" s="16">
        <f ca="1">U$186*(1+V$19)*(1+V$29)*(1+IF(V$6&lt;OFFSET(Assumptions!$B$8,0,$C$1)+OFFSET(Assumptions!$B$37,0,$C$1),0,V$25))</f>
        <v>5.9424918385672543</v>
      </c>
      <c r="W186" s="16">
        <f ca="1">V$186*(1+W$19)*(1+W$29)*(1+IF(W$6&lt;OFFSET(Assumptions!$B$8,0,$C$1)+OFFSET(Assumptions!$B$37,0,$C$1),0,W$25))</f>
        <v>6.1198368191852275</v>
      </c>
      <c r="X186" s="16">
        <f ca="1">W$186*(1+X$19)*(1+X$29)*(1+IF(X$6&lt;OFFSET(Assumptions!$B$8,0,$C$1)+OFFSET(Assumptions!$B$37,0,$C$1),0,X$25))</f>
        <v>6.3009132175406597</v>
      </c>
      <c r="Y186" s="16">
        <f ca="1">X$186*(1+Y$19)*(1+Y$29)*(1+IF(Y$6&lt;OFFSET(Assumptions!$B$8,0,$C$1)+OFFSET(Assumptions!$B$37,0,$C$1),0,Y$25))</f>
        <v>6.5458503430748101</v>
      </c>
      <c r="Z186" s="16">
        <f ca="1">Y$186*(1+Z$19)*(1+Z$29)*(1+IF(Z$6&lt;OFFSET(Assumptions!$B$8,0,$C$1)+OFFSET(Assumptions!$B$37,0,$C$1),0,Z$25))</f>
        <v>6.7988428209822356</v>
      </c>
      <c r="AA186" s="16">
        <f ca="1">Z$186*(1+AA$19)*(1+AA$29)*(1+IF(AA$6&lt;OFFSET(Assumptions!$B$8,0,$C$1)+OFFSET(Assumptions!$B$37,0,$C$1),0,AA$25))</f>
        <v>7.0603415348501821</v>
      </c>
      <c r="AB186" s="16">
        <f ca="1">AA$186*(1+AB$19)*(1+AB$29)*(1+IF(AB$6&lt;OFFSET(Assumptions!$B$8,0,$C$1)+OFFSET(Assumptions!$B$37,0,$C$1),0,AB$25))</f>
        <v>7.3303311272853735</v>
      </c>
      <c r="AC186" s="16">
        <f ca="1">AB$186*(1+AC$19)*(1+AC$29)*(1+IF(AC$6&lt;OFFSET(Assumptions!$B$8,0,$C$1)+OFFSET(Assumptions!$B$37,0,$C$1),0,AC$25))</f>
        <v>7.6091980606793186</v>
      </c>
      <c r="AD186" s="16">
        <f ca="1">AC$186*(1+AD$19)*(1+AD$29)*(1+IF(AD$6&lt;OFFSET(Assumptions!$B$8,0,$C$1)+OFFSET(Assumptions!$B$37,0,$C$1),0,AD$25))</f>
        <v>7.8972052123968712</v>
      </c>
      <c r="AE186" s="16">
        <f ca="1">AD$186*(1+AE$19)*(1+AE$29)*(1+IF(AE$6&lt;OFFSET(Assumptions!$B$8,0,$C$1)+OFFSET(Assumptions!$B$37,0,$C$1),0,AE$25))</f>
        <v>8.1947430199441573</v>
      </c>
      <c r="AF186" s="16">
        <f ca="1">AE$186*(1+AF$19)*(1+AF$29)*(1+IF(AF$6&lt;OFFSET(Assumptions!$B$8,0,$C$1)+OFFSET(Assumptions!$B$37,0,$C$1),0,AF$25))</f>
        <v>8.5020371479772283</v>
      </c>
      <c r="AG186" s="16">
        <f ca="1">AF$186*(1+AG$19)*(1+AG$29)*(1+IF(AG$6&lt;OFFSET(Assumptions!$B$8,0,$C$1)+OFFSET(Assumptions!$B$37,0,$C$1),0,AG$25))</f>
        <v>8.8196810164582899</v>
      </c>
      <c r="AH186" s="16">
        <f ca="1">AG$186*(1+AH$19)*(1+AH$29)*(1+IF(AH$6&lt;OFFSET(Assumptions!$B$8,0,$C$1)+OFFSET(Assumptions!$B$37,0,$C$1),0,AH$25))</f>
        <v>9.1478022251110769</v>
      </c>
      <c r="AI186" s="16">
        <f ca="1">AH$186*(1+AI$19)*(1+AI$29)*(1+IF(AI$6&lt;OFFSET(Assumptions!$B$8,0,$C$1)+OFFSET(Assumptions!$B$37,0,$C$1),0,AI$25))</f>
        <v>9.4873431554068244</v>
      </c>
      <c r="AJ186" s="16">
        <f ca="1">AI$186*(1+AJ$19)*(1+AJ$29)*(1+IF(AJ$6&lt;OFFSET(Assumptions!$B$8,0,$C$1)+OFFSET(Assumptions!$B$37,0,$C$1),0,AJ$25))</f>
        <v>9.8384931253206442</v>
      </c>
      <c r="AK186" s="16">
        <f ca="1">AJ$186*(1+AK$19)*(1+AK$29)*(1+IF(AK$6&lt;OFFSET(Assumptions!$B$8,0,$C$1)+OFFSET(Assumptions!$B$37,0,$C$1),0,AK$25))</f>
        <v>10.202075898702214</v>
      </c>
      <c r="AL186" s="16">
        <f ca="1">AK$186*(1+AL$19)*(1+AL$29)*(1+IF(AL$6&lt;OFFSET(Assumptions!$B$8,0,$C$1)+OFFSET(Assumptions!$B$37,0,$C$1),0,AL$25))</f>
        <v>10.578555430740924</v>
      </c>
      <c r="AM186" s="16">
        <f ca="1">AL$186*(1+AM$19)*(1+AM$29)*(1+IF(AM$6&lt;OFFSET(Assumptions!$B$8,0,$C$1)+OFFSET(Assumptions!$B$37,0,$C$1),0,AM$25))</f>
        <v>10.968433294684832</v>
      </c>
      <c r="AN186" s="16">
        <f ca="1">AM$186*(1+AN$19)*(1+AN$29)*(1+IF(AN$6&lt;OFFSET(Assumptions!$B$8,0,$C$1)+OFFSET(Assumptions!$B$37,0,$C$1),0,AN$25))</f>
        <v>11.372466905999842</v>
      </c>
      <c r="AO186" s="16">
        <f ca="1">AN$186*(1+AO$19)*(1+AO$29)*(1+IF(AO$6&lt;OFFSET(Assumptions!$B$8,0,$C$1)+OFFSET(Assumptions!$B$37,0,$C$1),0,AO$25))</f>
        <v>11.790881194600802</v>
      </c>
      <c r="AP186" s="16">
        <f ca="1">AO$186*(1+AP$19)*(1+AP$29)*(1+IF(AP$6&lt;OFFSET(Assumptions!$B$8,0,$C$1)+OFFSET(Assumptions!$B$37,0,$C$1),0,AP$25))</f>
        <v>12.224671598103555</v>
      </c>
      <c r="AQ186" s="16">
        <f ca="1">AP$186*(1+AQ$19)*(1+AQ$29)*(1+IF(AQ$6&lt;OFFSET(Assumptions!$B$8,0,$C$1)+OFFSET(Assumptions!$B$37,0,$C$1),0,AQ$25))</f>
        <v>12.673738399645851</v>
      </c>
      <c r="AR186" s="16">
        <f ca="1">AQ$186*(1+AR$19)*(1+AR$29)*(1+IF(AR$6&lt;OFFSET(Assumptions!$B$8,0,$C$1)+OFFSET(Assumptions!$B$37,0,$C$1),0,AR$25))</f>
        <v>13.139304405487898</v>
      </c>
      <c r="AS186" s="16">
        <f ca="1">AR$186*(1+AS$19)*(1+AS$29)*(1+IF(AS$6&lt;OFFSET(Assumptions!$B$8,0,$C$1)+OFFSET(Assumptions!$B$37,0,$C$1),0,AS$25))</f>
        <v>13.621046701006106</v>
      </c>
      <c r="AT186" s="16">
        <f ca="1">AS$186*(1+AT$19)*(1+AT$29)*(1+IF(AT$6&lt;OFFSET(Assumptions!$B$8,0,$C$1)+OFFSET(Assumptions!$B$37,0,$C$1),0,AT$25))</f>
        <v>14.119507000041699</v>
      </c>
      <c r="AU186" s="16">
        <f ca="1">AT$186*(1+AU$19)*(1+AU$29)*(1+IF(AU$6&lt;OFFSET(Assumptions!$B$8,0,$C$1)+OFFSET(Assumptions!$B$37,0,$C$1),0,AU$25))</f>
        <v>14.635698177131205</v>
      </c>
      <c r="AV186" s="16">
        <f ca="1">AU$186*(1+AV$19)*(1+AV$29)*(1+IF(AV$6&lt;OFFSET(Assumptions!$B$8,0,$C$1)+OFFSET(Assumptions!$B$37,0,$C$1),0,AV$25))</f>
        <v>15.169377788255613</v>
      </c>
      <c r="AW186" s="16">
        <f ca="1">AV$186*(1+AW$19)*(1+AW$29)*(1+IF(AW$6&lt;OFFSET(Assumptions!$B$8,0,$C$1)+OFFSET(Assumptions!$B$37,0,$C$1),0,AW$25))</f>
        <v>15.721488235491865</v>
      </c>
      <c r="AX186" s="16">
        <f ca="1">AW$186*(1+AX$19)*(1+AX$29)*(1+IF(AX$6&lt;OFFSET(Assumptions!$B$8,0,$C$1)+OFFSET(Assumptions!$B$37,0,$C$1),0,AX$25))</f>
        <v>16.291992876838439</v>
      </c>
    </row>
    <row r="187" spans="1:50" x14ac:dyDescent="0.25">
      <c r="A187" s="9" t="s">
        <v>869</v>
      </c>
      <c r="B187" s="10"/>
      <c r="C187" s="13"/>
      <c r="D187" s="64">
        <f t="shared" ref="D187:AX187" si="1103">SUM(D$180:D$186)</f>
        <v>25.844000000000001</v>
      </c>
      <c r="E187" s="64">
        <f t="shared" si="1103"/>
        <v>40.411000000000001</v>
      </c>
      <c r="F187" s="64">
        <f t="shared" si="1103"/>
        <v>33.116999999999997</v>
      </c>
      <c r="G187" s="64">
        <f t="shared" si="1103"/>
        <v>41.74</v>
      </c>
      <c r="H187" s="64">
        <f t="shared" si="1103"/>
        <v>36.31</v>
      </c>
      <c r="I187" s="64">
        <f t="shared" si="1103"/>
        <v>39.195000000000007</v>
      </c>
      <c r="J187" s="65">
        <f t="shared" si="1103"/>
        <v>42.110000000000007</v>
      </c>
      <c r="K187" s="65">
        <f t="shared" si="1103"/>
        <v>44.347999999999999</v>
      </c>
      <c r="L187" s="65">
        <f t="shared" si="1103"/>
        <v>45.815999999999988</v>
      </c>
      <c r="M187" s="65">
        <f t="shared" si="1103"/>
        <v>47.45600000000001</v>
      </c>
      <c r="N187" s="65">
        <f t="shared" si="1103"/>
        <v>48.509</v>
      </c>
      <c r="O187" s="66">
        <f t="shared" ca="1" si="1103"/>
        <v>50.52946720599931</v>
      </c>
      <c r="P187" s="66">
        <f t="shared" ca="1" si="1103"/>
        <v>52.782092111348909</v>
      </c>
      <c r="Q187" s="66">
        <f t="shared" ca="1" si="1103"/>
        <v>55.147130138497459</v>
      </c>
      <c r="R187" s="66">
        <f t="shared" ca="1" si="1103"/>
        <v>57.599053599251114</v>
      </c>
      <c r="S187" s="66">
        <f t="shared" ca="1" si="1103"/>
        <v>60.156231669579078</v>
      </c>
      <c r="T187" s="66">
        <f t="shared" ca="1" si="1103"/>
        <v>62.77313511471889</v>
      </c>
      <c r="U187" s="66">
        <f t="shared" ca="1" si="1103"/>
        <v>65.537450939781465</v>
      </c>
      <c r="V187" s="66">
        <f t="shared" ca="1" si="1103"/>
        <v>68.359959596402945</v>
      </c>
      <c r="W187" s="66">
        <f t="shared" ca="1" si="1103"/>
        <v>71.185478355403774</v>
      </c>
      <c r="X187" s="66">
        <f t="shared" ca="1" si="1103"/>
        <v>74.025453888643781</v>
      </c>
      <c r="Y187" s="66">
        <f t="shared" ca="1" si="1103"/>
        <v>77.111047580582763</v>
      </c>
      <c r="Z187" s="66">
        <f t="shared" ca="1" si="1103"/>
        <v>80.2387699205659</v>
      </c>
      <c r="AA187" s="66">
        <f t="shared" ca="1" si="1103"/>
        <v>83.484560622008161</v>
      </c>
      <c r="AB187" s="66">
        <f t="shared" ca="1" si="1103"/>
        <v>86.798514906372802</v>
      </c>
      <c r="AC187" s="66">
        <f t="shared" ca="1" si="1103"/>
        <v>90.296396089693687</v>
      </c>
      <c r="AD187" s="66">
        <f t="shared" ca="1" si="1103"/>
        <v>93.960592514254131</v>
      </c>
      <c r="AE187" s="66">
        <f t="shared" ca="1" si="1103"/>
        <v>97.800032902965327</v>
      </c>
      <c r="AF187" s="66">
        <f t="shared" ca="1" si="1103"/>
        <v>101.83531237771632</v>
      </c>
      <c r="AG187" s="66">
        <f t="shared" ca="1" si="1103"/>
        <v>106.10049660877445</v>
      </c>
      <c r="AH187" s="66">
        <f t="shared" ca="1" si="1103"/>
        <v>110.56288892529642</v>
      </c>
      <c r="AI187" s="66">
        <f t="shared" ca="1" si="1103"/>
        <v>115.25163960270848</v>
      </c>
      <c r="AJ187" s="66">
        <f t="shared" ca="1" si="1103"/>
        <v>120.16904732578466</v>
      </c>
      <c r="AK187" s="66">
        <f t="shared" ca="1" si="1103"/>
        <v>125.42344162581907</v>
      </c>
      <c r="AL187" s="66">
        <f t="shared" ca="1" si="1103"/>
        <v>131.02254469064346</v>
      </c>
      <c r="AM187" s="66">
        <f t="shared" ca="1" si="1103"/>
        <v>136.89860366181932</v>
      </c>
      <c r="AN187" s="66">
        <f t="shared" ca="1" si="1103"/>
        <v>143.16700455793105</v>
      </c>
      <c r="AO187" s="66">
        <f t="shared" ca="1" si="1103"/>
        <v>149.73476696641802</v>
      </c>
      <c r="AP187" s="66">
        <f t="shared" ca="1" si="1103"/>
        <v>156.52518074156112</v>
      </c>
      <c r="AQ187" s="66">
        <f t="shared" ca="1" si="1103"/>
        <v>163.48894123808424</v>
      </c>
      <c r="AR187" s="66">
        <f t="shared" ca="1" si="1103"/>
        <v>170.56620630234539</v>
      </c>
      <c r="AS187" s="66">
        <f t="shared" ca="1" si="1103"/>
        <v>177.86079703344305</v>
      </c>
      <c r="AT187" s="66">
        <f t="shared" ca="1" si="1103"/>
        <v>185.31075648611173</v>
      </c>
      <c r="AU187" s="66">
        <f t="shared" ca="1" si="1103"/>
        <v>192.93083560035925</v>
      </c>
      <c r="AV187" s="66">
        <f t="shared" ca="1" si="1103"/>
        <v>200.78447527212387</v>
      </c>
      <c r="AW187" s="66">
        <f t="shared" ca="1" si="1103"/>
        <v>208.79653879930154</v>
      </c>
      <c r="AX187" s="66">
        <f t="shared" ca="1" si="1103"/>
        <v>217.25245308666914</v>
      </c>
    </row>
    <row r="188" spans="1:50" x14ac:dyDescent="0.25">
      <c r="A188" s="11" t="s">
        <v>644</v>
      </c>
      <c r="B188" s="10" t="str">
        <f t="shared" si="1102"/>
        <v>From Fiscal Forecasts</v>
      </c>
      <c r="C188" s="13"/>
      <c r="D188" s="35">
        <f>'Fiscal Forecasts'!D$250</f>
        <v>0.58299999999999996</v>
      </c>
      <c r="E188" s="35">
        <f>'Fiscal Forecasts'!E$250</f>
        <v>0.56699999999999995</v>
      </c>
      <c r="F188" s="35">
        <f>'Fiscal Forecasts'!F$250</f>
        <v>0.59</v>
      </c>
      <c r="G188" s="35">
        <f>'Fiscal Forecasts'!G$250</f>
        <v>0.55600000000000005</v>
      </c>
      <c r="H188" s="35">
        <f>'Fiscal Forecasts'!H$250</f>
        <v>0.52500000000000002</v>
      </c>
      <c r="I188" s="35">
        <f>'Fiscal Forecasts'!I$250</f>
        <v>0.52600000000000002</v>
      </c>
      <c r="J188" s="17">
        <f>'Fiscal Forecasts'!J$250</f>
        <v>0.57799999999999996</v>
      </c>
      <c r="K188" s="17">
        <f>'Fiscal Forecasts'!K$250</f>
        <v>0.63500000000000001</v>
      </c>
      <c r="L188" s="17">
        <f>'Fiscal Forecasts'!L$250</f>
        <v>0.64</v>
      </c>
      <c r="M188" s="17">
        <f>'Fiscal Forecasts'!M$250</f>
        <v>0.63700000000000001</v>
      </c>
      <c r="N188" s="17">
        <f>'Fiscal Forecasts'!N$250</f>
        <v>0.628</v>
      </c>
      <c r="O188" s="16">
        <f ca="1">N$188*(1+'Population Treasury'!Z$328)*(1+O$29)*(1+IF(O$6&lt;OFFSET(Assumptions!$B$8,0,$C$1)+OFFSET(Assumptions!$B$37,0,$C$1),0,O$25))</f>
        <v>0.64417418760845835</v>
      </c>
      <c r="P188" s="16">
        <f ca="1">O$188*(1+'Population Treasury'!AA$328)*(1+P$29)*(1+IF(P$6&lt;OFFSET(Assumptions!$B$8,0,$C$1)+OFFSET(Assumptions!$B$37,0,$C$1),0,P$25))</f>
        <v>0.65934126518153779</v>
      </c>
      <c r="Q188" s="16">
        <f ca="1">P$188*(1+'Population Treasury'!AB$328)*(1+Q$29)*(1+IF(Q$6&lt;OFFSET(Assumptions!$B$8,0,$C$1)+OFFSET(Assumptions!$B$37,0,$C$1),0,Q$25))</f>
        <v>0.67370952831115627</v>
      </c>
      <c r="R188" s="16">
        <f ca="1">Q$188*(1+'Population Treasury'!AC$328)*(1+R$29)*(1+IF(R$6&lt;OFFSET(Assumptions!$B$8,0,$C$1)+OFFSET(Assumptions!$B$37,0,$C$1),0,R$25))</f>
        <v>0.68856200589422512</v>
      </c>
      <c r="S188" s="16">
        <f ca="1">R$188*(1+'Population Treasury'!AD$328)*(1+S$29)*(1+IF(S$6&lt;OFFSET(Assumptions!$B$8,0,$C$1)+OFFSET(Assumptions!$B$37,0,$C$1),0,S$25))</f>
        <v>0.70407554216417345</v>
      </c>
      <c r="T188" s="16">
        <f ca="1">S$188*(1+'Population Treasury'!AE$328)*(1+T$29)*(1+IF(T$6&lt;OFFSET(Assumptions!$B$8,0,$C$1)+OFFSET(Assumptions!$B$37,0,$C$1),0,T$25))</f>
        <v>0.72107401724107778</v>
      </c>
      <c r="U188" s="16">
        <f ca="1">T$188*(1+'Population Treasury'!AF$328)*(1+U$29)*(1+IF(U$6&lt;OFFSET(Assumptions!$B$8,0,$C$1)+OFFSET(Assumptions!$B$37,0,$C$1),0,U$25))</f>
        <v>0.73847913528771725</v>
      </c>
      <c r="V188" s="16">
        <f ca="1">U$188*(1+'Population Treasury'!AG$328)*(1+V$29)*(1+IF(V$6&lt;OFFSET(Assumptions!$B$8,0,$C$1)+OFFSET(Assumptions!$B$37,0,$C$1),0,V$25))</f>
        <v>0.7571676177704233</v>
      </c>
      <c r="W188" s="16">
        <f ca="1">V$188*(1+'Population Treasury'!AH$328)*(1+W$29)*(1+IF(W$6&lt;OFFSET(Assumptions!$B$8,0,$C$1)+OFFSET(Assumptions!$B$37,0,$C$1),0,W$25))</f>
        <v>0.77664207695307519</v>
      </c>
      <c r="X188" s="16">
        <f ca="1">W$188*(1+'Population Treasury'!AI$328)*(1+X$29)*(1+IF(X$6&lt;OFFSET(Assumptions!$B$8,0,$C$1)+OFFSET(Assumptions!$B$37,0,$C$1),0,X$25))</f>
        <v>0.79721617076312634</v>
      </c>
      <c r="Y188" s="16">
        <f ca="1">X$188*(1+'Population Treasury'!AJ$328)*(1+Y$29)*(1+IF(Y$6&lt;OFFSET(Assumptions!$B$8,0,$C$1)+OFFSET(Assumptions!$B$37,0,$C$1),0,Y$25))</f>
        <v>0.82638183138730792</v>
      </c>
      <c r="Z188" s="16">
        <f ca="1">Y$188*(1+'Population Treasury'!AK$328)*(1+Z$29)*(1+IF(Z$6&lt;OFFSET(Assumptions!$B$8,0,$C$1)+OFFSET(Assumptions!$B$37,0,$C$1),0,Z$25))</f>
        <v>0.85349809286428202</v>
      </c>
      <c r="AA188" s="16">
        <f ca="1">Z$188*(1+'Population Treasury'!AL$328)*(1+AA$29)*(1+IF(AA$6&lt;OFFSET(Assumptions!$B$8,0,$C$1)+OFFSET(Assumptions!$B$37,0,$C$1),0,AA$25))</f>
        <v>0.88192707853011276</v>
      </c>
      <c r="AB188" s="16">
        <f ca="1">AA$188*(1+'Population Treasury'!AM$328)*(1+AB$29)*(1+IF(AB$6&lt;OFFSET(Assumptions!$B$8,0,$C$1)+OFFSET(Assumptions!$B$37,0,$C$1),0,AB$25))</f>
        <v>0.91265281804488119</v>
      </c>
      <c r="AC188" s="16">
        <f ca="1">AB$188*(1+'Population Treasury'!AN$328)*(1+AC$29)*(1+IF(AC$6&lt;OFFSET(Assumptions!$B$8,0,$C$1)+OFFSET(Assumptions!$B$37,0,$C$1),0,AC$25))</f>
        <v>0.94419100014715152</v>
      </c>
      <c r="AD188" s="16">
        <f ca="1">AC$188*(1+'Population Treasury'!AO$328)*(1+AD$29)*(1+IF(AD$6&lt;OFFSET(Assumptions!$B$8,0,$C$1)+OFFSET(Assumptions!$B$37,0,$C$1),0,AD$25))</f>
        <v>0.97591504891339464</v>
      </c>
      <c r="AE188" s="16">
        <f ca="1">AD$188*(1+'Population Treasury'!AP$328)*(1+AE$29)*(1+IF(AE$6&lt;OFFSET(Assumptions!$B$8,0,$C$1)+OFFSET(Assumptions!$B$37,0,$C$1),0,AE$25))</f>
        <v>1.0084918563320979</v>
      </c>
      <c r="AF188" s="16">
        <f ca="1">AE$188*(1+'Population Treasury'!AQ$328)*(1+AF$29)*(1+IF(AF$6&lt;OFFSET(Assumptions!$B$8,0,$C$1)+OFFSET(Assumptions!$B$37,0,$C$1),0,AF$25))</f>
        <v>1.0413039409745655</v>
      </c>
      <c r="AG188" s="16">
        <f ca="1">AF$188*(1+'Population Treasury'!AR$328)*(1+AG$29)*(1+IF(AG$6&lt;OFFSET(Assumptions!$B$8,0,$C$1)+OFFSET(Assumptions!$B$37,0,$C$1),0,AG$25))</f>
        <v>1.0723995480223443</v>
      </c>
      <c r="AH188" s="16">
        <f ca="1">AG$188*(1+'Population Treasury'!AS$328)*(1+AH$29)*(1+IF(AH$6&lt;OFFSET(Assumptions!$B$8,0,$C$1)+OFFSET(Assumptions!$B$37,0,$C$1),0,AH$25))</f>
        <v>1.1028018923900502</v>
      </c>
      <c r="AI188" s="16">
        <f ca="1">AH$188*(1+'Population Treasury'!AT$328)*(1+AI$29)*(1+IF(AI$6&lt;OFFSET(Assumptions!$B$8,0,$C$1)+OFFSET(Assumptions!$B$37,0,$C$1),0,AI$25))</f>
        <v>1.1344234049611823</v>
      </c>
      <c r="AJ188" s="16">
        <f ca="1">AI$188*(1+'Population Treasury'!AU$328)*(1+AJ$29)*(1+IF(AJ$6&lt;OFFSET(Assumptions!$B$8,0,$C$1)+OFFSET(Assumptions!$B$37,0,$C$1),0,AJ$25))</f>
        <v>1.1660520694451117</v>
      </c>
      <c r="AK188" s="16">
        <f ca="1">AJ$188*(1+'Population Treasury'!AV$328)*(1+AK$29)*(1+IF(AK$6&lt;OFFSET(Assumptions!$B$8,0,$C$1)+OFFSET(Assumptions!$B$37,0,$C$1),0,AK$25))</f>
        <v>1.1987149050703494</v>
      </c>
      <c r="AL188" s="16">
        <f ca="1">AK$188*(1+'Population Treasury'!AW$328)*(1+AL$29)*(1+IF(AL$6&lt;OFFSET(Assumptions!$B$8,0,$C$1)+OFFSET(Assumptions!$B$37,0,$C$1),0,AL$25))</f>
        <v>1.2324630656836031</v>
      </c>
      <c r="AM188" s="16">
        <f ca="1">AL$188*(1+'Population Treasury'!AX$328)*(1+AM$29)*(1+IF(AM$6&lt;OFFSET(Assumptions!$B$8,0,$C$1)+OFFSET(Assumptions!$B$37,0,$C$1),0,AM$25))</f>
        <v>1.2673847520692156</v>
      </c>
      <c r="AN188" s="16">
        <f ca="1">AM$188*(1+'Population Treasury'!AY$328)*(1+AN$29)*(1+IF(AN$6&lt;OFFSET(Assumptions!$B$8,0,$C$1)+OFFSET(Assumptions!$B$37,0,$C$1),0,AN$25))</f>
        <v>1.3043740455355544</v>
      </c>
      <c r="AO188" s="16">
        <f ca="1">AN$188*(1+'Population Treasury'!AZ$328)*(1+AO$29)*(1+IF(AO$6&lt;OFFSET(Assumptions!$B$8,0,$C$1)+OFFSET(Assumptions!$B$37,0,$C$1),0,AO$25))</f>
        <v>1.3426375839209779</v>
      </c>
      <c r="AP188" s="16">
        <f ca="1">AO$188*(1+'Population Treasury'!BA$328)*(1+AP$29)*(1+IF(AP$6&lt;OFFSET(Assumptions!$B$8,0,$C$1)+OFFSET(Assumptions!$B$37,0,$C$1),0,AP$25))</f>
        <v>1.3828844100995616</v>
      </c>
      <c r="AQ188" s="16">
        <f ca="1">AP$188*(1+'Population Treasury'!BB$328)*(1+AQ$29)*(1+IF(AQ$6&lt;OFFSET(Assumptions!$B$8,0,$C$1)+OFFSET(Assumptions!$B$37,0,$C$1),0,AQ$25))</f>
        <v>1.4245124918989898</v>
      </c>
      <c r="AR188" s="16">
        <f ca="1">AQ$188*(1+'Population Treasury'!BC$328)*(1+AR$29)*(1+IF(AR$6&lt;OFFSET(Assumptions!$B$8,0,$C$1)+OFFSET(Assumptions!$B$37,0,$C$1),0,AR$25))</f>
        <v>1.4684772750399813</v>
      </c>
      <c r="AS188" s="16">
        <f ca="1">AR$188*(1+'Population Treasury'!BD$328)*(1+AS$29)*(1+IF(AS$6&lt;OFFSET(Assumptions!$B$8,0,$C$1)+OFFSET(Assumptions!$B$37,0,$C$1),0,AS$25))</f>
        <v>1.5137868197959896</v>
      </c>
      <c r="AT188" s="16">
        <f ca="1">AS$188*(1+'Population Treasury'!BE$328)*(1+AT$29)*(1+IF(AT$6&lt;OFFSET(Assumptions!$B$8,0,$C$1)+OFFSET(Assumptions!$B$37,0,$C$1),0,AT$25))</f>
        <v>1.5616808978322398</v>
      </c>
      <c r="AU188" s="16">
        <f ca="1">AT$188*(1+'Population Treasury'!BF$328)*(1+AU$29)*(1+IF(AU$6&lt;OFFSET(Assumptions!$B$8,0,$C$1)+OFFSET(Assumptions!$B$37,0,$C$1),0,AU$25))</f>
        <v>1.6106869487446307</v>
      </c>
      <c r="AV188" s="16">
        <f ca="1">AU$188*(1+'Population Treasury'!BG$328)*(1+AV$29)*(1+IF(AV$6&lt;OFFSET(Assumptions!$B$8,0,$C$1)+OFFSET(Assumptions!$B$37,0,$C$1),0,AV$25))</f>
        <v>1.6617083166967896</v>
      </c>
      <c r="AW188" s="16">
        <f ca="1">AV$188*(1+'Population Treasury'!BH$328)*(1+AW$29)*(1+IF(AW$6&lt;OFFSET(Assumptions!$B$8,0,$C$1)+OFFSET(Assumptions!$B$37,0,$C$1),0,AW$25))</f>
        <v>1.7182568717170192</v>
      </c>
      <c r="AX188" s="16">
        <f ca="1">AW$188*(1+'Population Treasury'!BI$328)*(1+AX$29)*(1+IF(AX$6&lt;OFFSET(Assumptions!$B$8,0,$C$1)+OFFSET(Assumptions!$B$37,0,$C$1),0,AX$25))</f>
        <v>1.7767093842847701</v>
      </c>
    </row>
    <row r="189" spans="1:50" x14ac:dyDescent="0.25">
      <c r="A189" s="9" t="s">
        <v>870</v>
      </c>
      <c r="B189" s="10"/>
      <c r="C189" s="13"/>
      <c r="D189" s="64">
        <f t="shared" ref="D189:AX189" si="1104">SUM(D$187:D$188)</f>
        <v>26.427</v>
      </c>
      <c r="E189" s="64">
        <f t="shared" si="1104"/>
        <v>40.978000000000002</v>
      </c>
      <c r="F189" s="64">
        <f t="shared" si="1104"/>
        <v>33.707000000000001</v>
      </c>
      <c r="G189" s="64">
        <f t="shared" si="1104"/>
        <v>42.295999999999999</v>
      </c>
      <c r="H189" s="64">
        <f t="shared" si="1104"/>
        <v>36.835000000000001</v>
      </c>
      <c r="I189" s="64">
        <f t="shared" si="1104"/>
        <v>39.721000000000011</v>
      </c>
      <c r="J189" s="65">
        <f t="shared" si="1104"/>
        <v>42.688000000000009</v>
      </c>
      <c r="K189" s="65">
        <f t="shared" si="1104"/>
        <v>44.982999999999997</v>
      </c>
      <c r="L189" s="65">
        <f t="shared" si="1104"/>
        <v>46.455999999999989</v>
      </c>
      <c r="M189" s="65">
        <f t="shared" si="1104"/>
        <v>48.093000000000011</v>
      </c>
      <c r="N189" s="65">
        <f t="shared" si="1104"/>
        <v>49.137</v>
      </c>
      <c r="O189" s="66">
        <f t="shared" ca="1" si="1104"/>
        <v>51.173641393607767</v>
      </c>
      <c r="P189" s="66">
        <f t="shared" ca="1" si="1104"/>
        <v>53.441433376530448</v>
      </c>
      <c r="Q189" s="66">
        <f t="shared" ca="1" si="1104"/>
        <v>55.820839666808617</v>
      </c>
      <c r="R189" s="66">
        <f t="shared" ca="1" si="1104"/>
        <v>58.287615605145341</v>
      </c>
      <c r="S189" s="66">
        <f t="shared" ca="1" si="1104"/>
        <v>60.860307211743255</v>
      </c>
      <c r="T189" s="66">
        <f t="shared" ca="1" si="1104"/>
        <v>63.49420913195997</v>
      </c>
      <c r="U189" s="66">
        <f t="shared" ca="1" si="1104"/>
        <v>66.275930075069184</v>
      </c>
      <c r="V189" s="66">
        <f t="shared" ca="1" si="1104"/>
        <v>69.117127214173365</v>
      </c>
      <c r="W189" s="66">
        <f t="shared" ca="1" si="1104"/>
        <v>71.962120432356855</v>
      </c>
      <c r="X189" s="66">
        <f t="shared" ca="1" si="1104"/>
        <v>74.822670059406903</v>
      </c>
      <c r="Y189" s="66">
        <f t="shared" ca="1" si="1104"/>
        <v>77.937429411970072</v>
      </c>
      <c r="Z189" s="66">
        <f t="shared" ca="1" si="1104"/>
        <v>81.092268013430186</v>
      </c>
      <c r="AA189" s="66">
        <f t="shared" ca="1" si="1104"/>
        <v>84.366487700538272</v>
      </c>
      <c r="AB189" s="66">
        <f t="shared" ca="1" si="1104"/>
        <v>87.711167724417678</v>
      </c>
      <c r="AC189" s="66">
        <f t="shared" ca="1" si="1104"/>
        <v>91.240587089840844</v>
      </c>
      <c r="AD189" s="66">
        <f t="shared" ca="1" si="1104"/>
        <v>94.936507563167524</v>
      </c>
      <c r="AE189" s="66">
        <f t="shared" ca="1" si="1104"/>
        <v>98.808524759297427</v>
      </c>
      <c r="AF189" s="66">
        <f t="shared" ca="1" si="1104"/>
        <v>102.87661631869089</v>
      </c>
      <c r="AG189" s="66">
        <f t="shared" ca="1" si="1104"/>
        <v>107.1728961567968</v>
      </c>
      <c r="AH189" s="66">
        <f t="shared" ca="1" si="1104"/>
        <v>111.66569081768647</v>
      </c>
      <c r="AI189" s="66">
        <f t="shared" ca="1" si="1104"/>
        <v>116.38606300766966</v>
      </c>
      <c r="AJ189" s="66">
        <f t="shared" ca="1" si="1104"/>
        <v>121.33509939522978</v>
      </c>
      <c r="AK189" s="66">
        <f t="shared" ca="1" si="1104"/>
        <v>126.62215653088941</v>
      </c>
      <c r="AL189" s="66">
        <f t="shared" ca="1" si="1104"/>
        <v>132.25500775632705</v>
      </c>
      <c r="AM189" s="66">
        <f t="shared" ca="1" si="1104"/>
        <v>138.16598841388853</v>
      </c>
      <c r="AN189" s="66">
        <f t="shared" ca="1" si="1104"/>
        <v>144.4713786034666</v>
      </c>
      <c r="AO189" s="66">
        <f t="shared" ca="1" si="1104"/>
        <v>151.077404550339</v>
      </c>
      <c r="AP189" s="66">
        <f t="shared" ca="1" si="1104"/>
        <v>157.90806515166068</v>
      </c>
      <c r="AQ189" s="66">
        <f t="shared" ca="1" si="1104"/>
        <v>164.91345372998322</v>
      </c>
      <c r="AR189" s="66">
        <f t="shared" ca="1" si="1104"/>
        <v>172.03468357738538</v>
      </c>
      <c r="AS189" s="66">
        <f t="shared" ca="1" si="1104"/>
        <v>179.37458385323905</v>
      </c>
      <c r="AT189" s="66">
        <f t="shared" ca="1" si="1104"/>
        <v>186.87243738394397</v>
      </c>
      <c r="AU189" s="66">
        <f t="shared" ca="1" si="1104"/>
        <v>194.54152254910389</v>
      </c>
      <c r="AV189" s="66">
        <f t="shared" ca="1" si="1104"/>
        <v>202.44618358882067</v>
      </c>
      <c r="AW189" s="66">
        <f t="shared" ca="1" si="1104"/>
        <v>210.51479567101856</v>
      </c>
      <c r="AX189" s="66">
        <f t="shared" ca="1" si="1104"/>
        <v>219.02916247095391</v>
      </c>
    </row>
    <row r="190" spans="1:50" x14ac:dyDescent="0.25">
      <c r="A190" s="11" t="s">
        <v>871</v>
      </c>
      <c r="B190" s="10" t="str">
        <f t="shared" si="1102"/>
        <v>From Fiscal Forecasts</v>
      </c>
      <c r="C190" s="13"/>
      <c r="D190" s="35">
        <f>'Fiscal Forecasts'!D$251</f>
        <v>0.95099999999999996</v>
      </c>
      <c r="E190" s="35">
        <f>'Fiscal Forecasts'!E$251</f>
        <v>0.89300000000000002</v>
      </c>
      <c r="F190" s="35">
        <f>'Fiscal Forecasts'!F$251</f>
        <v>0.91600000000000004</v>
      </c>
      <c r="G190" s="35">
        <f>'Fiscal Forecasts'!G$251</f>
        <v>0.96399999999999997</v>
      </c>
      <c r="H190" s="35">
        <f>'Fiscal Forecasts'!H$251</f>
        <v>0.997</v>
      </c>
      <c r="I190" s="35">
        <f>'Fiscal Forecasts'!I$251</f>
        <v>1.014</v>
      </c>
      <c r="J190" s="17">
        <f>'Fiscal Forecasts'!J$251</f>
        <v>1.06</v>
      </c>
      <c r="K190" s="17">
        <f>'Fiscal Forecasts'!K$251</f>
        <v>0.54500000000000004</v>
      </c>
      <c r="L190" s="17">
        <f>'Fiscal Forecasts'!L$251</f>
        <v>0.56499999999999995</v>
      </c>
      <c r="M190" s="17">
        <f>'Fiscal Forecasts'!M$251</f>
        <v>0.58799999999999997</v>
      </c>
      <c r="N190" s="17">
        <f>'Fiscal Forecasts'!N$251</f>
        <v>0.61299999999999999</v>
      </c>
      <c r="O190" s="16">
        <f>IF(ISBLANK(Exogenous!Z$37),N$190*(1+O$14),Exogenous!Z$37)</f>
        <v>0.63900000000000001</v>
      </c>
      <c r="P190" s="16">
        <f>IF(ISBLANK(Exogenous!AA$37),O$190*(1+P$14),Exogenous!AA$37)</f>
        <v>0.67</v>
      </c>
      <c r="Q190" s="16">
        <f>IF(ISBLANK(Exogenous!AB$37),P$190*(1+Q$14),Exogenous!AB$37)</f>
        <v>0.7</v>
      </c>
      <c r="R190" s="16">
        <f ca="1">IF(ISBLANK(Exogenous!AC$37),Q$190*(1+R$14),Exogenous!AC$37)</f>
        <v>0.7285132489500955</v>
      </c>
      <c r="S190" s="16">
        <f ca="1">IF(ISBLANK(Exogenous!AD$37),R$190*(1+S$14),Exogenous!AD$37)</f>
        <v>0.75793824636714247</v>
      </c>
      <c r="T190" s="16">
        <f ca="1">IF(ISBLANK(Exogenous!AE$37),S$190*(1+T$14),Exogenous!AE$37)</f>
        <v>0.78826065250934496</v>
      </c>
      <c r="U190" s="16">
        <f ca="1">IF(ISBLANK(Exogenous!AF$37),T$190*(1+U$14),Exogenous!AF$37)</f>
        <v>0.8196025607624895</v>
      </c>
      <c r="V190" s="16">
        <f ca="1">IF(ISBLANK(Exogenous!AG$37),U$190*(1+V$14),Exogenous!AG$37)</f>
        <v>0.85197271919944018</v>
      </c>
      <c r="W190" s="16">
        <f ca="1">IF(ISBLANK(Exogenous!AH$37),V$190*(1+W$14),Exogenous!AH$37)</f>
        <v>0.88520240584878518</v>
      </c>
      <c r="X190" s="16">
        <f ca="1">IF(ISBLANK(Exogenous!AI$37),W$190*(1+X$14),Exogenous!AI$37)</f>
        <v>0.91934545356025654</v>
      </c>
      <c r="Y190" s="16">
        <f ca="1">IF(ISBLANK(Exogenous!AJ$37),X$190*(1+Y$14),Exogenous!AJ$37)</f>
        <v>0.95458069237224752</v>
      </c>
      <c r="Z190" s="16">
        <f ca="1">IF(ISBLANK(Exogenous!AK$37),Y$190*(1+Z$14),Exogenous!AK$37)</f>
        <v>0.99091419581301143</v>
      </c>
      <c r="AA190" s="16">
        <f ca="1">IF(ISBLANK(Exogenous!AL$37),Z$190*(1+AA$14),Exogenous!AL$37)</f>
        <v>1.0284945687870981</v>
      </c>
      <c r="AB190" s="16">
        <f ca="1">IF(ISBLANK(Exogenous!AM$37),AA$190*(1+AB$14),Exogenous!AM$37)</f>
        <v>1.0672819316238313</v>
      </c>
      <c r="AC190" s="16">
        <f ca="1">IF(ISBLANK(Exogenous!AN$37),AB$190*(1+AC$14),Exogenous!AN$37)</f>
        <v>1.107275286805582</v>
      </c>
      <c r="AD190" s="16">
        <f ca="1">IF(ISBLANK(Exogenous!AO$37),AC$190*(1+AD$14),Exogenous!AO$37)</f>
        <v>1.148503296671268</v>
      </c>
      <c r="AE190" s="16">
        <f ca="1">IF(ISBLANK(Exogenous!AP$37),AD$190*(1+AE$14),Exogenous!AP$37)</f>
        <v>1.1909547143268706</v>
      </c>
      <c r="AF190" s="16">
        <f ca="1">IF(ISBLANK(Exogenous!AQ$37),AE$190*(1+AF$14),Exogenous!AQ$37)</f>
        <v>1.2346394958117746</v>
      </c>
      <c r="AG190" s="16">
        <f ca="1">IF(ISBLANK(Exogenous!AR$37),AF$190*(1+AG$14),Exogenous!AR$37)</f>
        <v>1.2795623481297629</v>
      </c>
      <c r="AH190" s="16">
        <f ca="1">IF(ISBLANK(Exogenous!AS$37),AG$190*(1+AH$14),Exogenous!AS$37)</f>
        <v>1.3257020891143088</v>
      </c>
      <c r="AI190" s="16">
        <f ca="1">IF(ISBLANK(Exogenous!AT$37),AH$190*(1+AI$14),Exogenous!AT$37)</f>
        <v>1.3731024643532215</v>
      </c>
      <c r="AJ190" s="16">
        <f ca="1">IF(ISBLANK(Exogenous!AU$37),AI$190*(1+AJ$14),Exogenous!AU$37)</f>
        <v>1.4218193999323832</v>
      </c>
      <c r="AK190" s="16">
        <f ca="1">IF(ISBLANK(Exogenous!AV$37),AJ$190*(1+AK$14),Exogenous!AV$37)</f>
        <v>1.4717882251293879</v>
      </c>
      <c r="AL190" s="16">
        <f ca="1">IF(ISBLANK(Exogenous!AW$37),AK$190*(1+AL$14),Exogenous!AW$37)</f>
        <v>1.5230774862270877</v>
      </c>
      <c r="AM190" s="16">
        <f ca="1">IF(ISBLANK(Exogenous!AX$37),AL$190*(1+AM$14),Exogenous!AX$37)</f>
        <v>1.5757613831090758</v>
      </c>
      <c r="AN190" s="16">
        <f ca="1">IF(ISBLANK(Exogenous!AY$37),AM$190*(1+AN$14),Exogenous!AY$37)</f>
        <v>1.6298998225030279</v>
      </c>
      <c r="AO190" s="16">
        <f ca="1">IF(ISBLANK(Exogenous!AZ$37),AN$190*(1+AO$14),Exogenous!AZ$37)</f>
        <v>1.6855153111360408</v>
      </c>
      <c r="AP190" s="16">
        <f ca="1">IF(ISBLANK(Exogenous!BA$37),AO$190*(1+AP$14),Exogenous!BA$37)</f>
        <v>1.7427789496890695</v>
      </c>
      <c r="AQ190" s="16">
        <f ca="1">IF(ISBLANK(Exogenous!BB$37),AP$190*(1+AQ$14),Exogenous!BB$37)</f>
        <v>1.8017466875027497</v>
      </c>
      <c r="AR190" s="16">
        <f ca="1">IF(ISBLANK(Exogenous!BC$37),AQ$190*(1+AR$14),Exogenous!BC$37)</f>
        <v>1.8625724127325511</v>
      </c>
      <c r="AS190" s="16">
        <f ca="1">IF(ISBLANK(Exogenous!BD$37),AR$190*(1+AS$14),Exogenous!BD$37)</f>
        <v>1.9253016128327745</v>
      </c>
      <c r="AT190" s="16">
        <f ca="1">IF(ISBLANK(Exogenous!BE$37),AS$190*(1+AT$14),Exogenous!BE$37)</f>
        <v>1.9901294869290667</v>
      </c>
      <c r="AU190" s="16">
        <f ca="1">IF(ISBLANK(Exogenous!BF$37),AT$190*(1+AU$14),Exogenous!BF$37)</f>
        <v>2.0570280077106164</v>
      </c>
      <c r="AV190" s="16">
        <f ca="1">IF(ISBLANK(Exogenous!BG$37),AU$190*(1+AV$14),Exogenous!BG$37)</f>
        <v>2.1261868378692848</v>
      </c>
      <c r="AW190" s="16">
        <f ca="1">IF(ISBLANK(Exogenous!BH$37),AV$190*(1+AW$14),Exogenous!BH$37)</f>
        <v>2.1976669312641892</v>
      </c>
      <c r="AX190" s="16">
        <f ca="1">IF(ISBLANK(Exogenous!BI$37),AW$190*(1+AX$14),Exogenous!BI$37)</f>
        <v>2.2714385877319709</v>
      </c>
    </row>
    <row r="191" spans="1:50" x14ac:dyDescent="0.25">
      <c r="A191" s="11" t="s">
        <v>646</v>
      </c>
      <c r="B191" s="10" t="str">
        <f t="shared" si="1102"/>
        <v>From Fiscal Forecasts</v>
      </c>
      <c r="C191" s="13"/>
      <c r="D191" s="35">
        <f>'Fiscal Forecasts'!D$252</f>
        <v>0.70799999999999996</v>
      </c>
      <c r="E191" s="35">
        <f>'Fiscal Forecasts'!E$252</f>
        <v>0.73599999999999999</v>
      </c>
      <c r="F191" s="35">
        <f>'Fiscal Forecasts'!F$252</f>
        <v>0.80400000000000005</v>
      </c>
      <c r="G191" s="35">
        <f>'Fiscal Forecasts'!G$252</f>
        <v>0.82699999999999996</v>
      </c>
      <c r="H191" s="35">
        <f>'Fiscal Forecasts'!H$252</f>
        <v>0.97099999999999997</v>
      </c>
      <c r="I191" s="35">
        <f>'Fiscal Forecasts'!I$252</f>
        <v>1.202</v>
      </c>
      <c r="J191" s="17">
        <f>'Fiscal Forecasts'!J$252</f>
        <v>1.1160000000000001</v>
      </c>
      <c r="K191" s="17">
        <f>'Fiscal Forecasts'!K$252</f>
        <v>0.995</v>
      </c>
      <c r="L191" s="17">
        <f>'Fiscal Forecasts'!L$252</f>
        <v>0.94099999999999995</v>
      </c>
      <c r="M191" s="17">
        <f>'Fiscal Forecasts'!M$252</f>
        <v>0.94099999999999995</v>
      </c>
      <c r="N191" s="17">
        <f>'Fiscal Forecasts'!N$252</f>
        <v>0.94099999999999995</v>
      </c>
      <c r="O191" s="16">
        <f t="shared" ref="O191:AX191" ca="1" si="1105">N$191*(1+O$29)</f>
        <v>0.95982000000000001</v>
      </c>
      <c r="P191" s="16">
        <f t="shared" ca="1" si="1105"/>
        <v>0.97901640000000001</v>
      </c>
      <c r="Q191" s="16">
        <f t="shared" ca="1" si="1105"/>
        <v>0.99859672799999999</v>
      </c>
      <c r="R191" s="16">
        <f t="shared" ca="1" si="1105"/>
        <v>1.0185686625600001</v>
      </c>
      <c r="S191" s="16">
        <f t="shared" ca="1" si="1105"/>
        <v>1.0389400358112002</v>
      </c>
      <c r="T191" s="16">
        <f t="shared" ca="1" si="1105"/>
        <v>1.0597188365274242</v>
      </c>
      <c r="U191" s="16">
        <f t="shared" ca="1" si="1105"/>
        <v>1.0809132132579726</v>
      </c>
      <c r="V191" s="16">
        <f t="shared" ca="1" si="1105"/>
        <v>1.1025314775231321</v>
      </c>
      <c r="W191" s="16">
        <f t="shared" ca="1" si="1105"/>
        <v>1.1245821070735946</v>
      </c>
      <c r="X191" s="16">
        <f t="shared" ca="1" si="1105"/>
        <v>1.1470737492150664</v>
      </c>
      <c r="Y191" s="16">
        <f t="shared" ca="1" si="1105"/>
        <v>1.1700152241993678</v>
      </c>
      <c r="Z191" s="16">
        <f t="shared" ca="1" si="1105"/>
        <v>1.1934155286833552</v>
      </c>
      <c r="AA191" s="16">
        <f t="shared" ca="1" si="1105"/>
        <v>1.2172838392570224</v>
      </c>
      <c r="AB191" s="16">
        <f t="shared" ca="1" si="1105"/>
        <v>1.2416295160421629</v>
      </c>
      <c r="AC191" s="16">
        <f t="shared" ca="1" si="1105"/>
        <v>1.2664621063630062</v>
      </c>
      <c r="AD191" s="16">
        <f t="shared" ca="1" si="1105"/>
        <v>1.2917913484902663</v>
      </c>
      <c r="AE191" s="16">
        <f t="shared" ca="1" si="1105"/>
        <v>1.3176271754600717</v>
      </c>
      <c r="AF191" s="16">
        <f t="shared" ca="1" si="1105"/>
        <v>1.343979718969273</v>
      </c>
      <c r="AG191" s="16">
        <f t="shared" ca="1" si="1105"/>
        <v>1.3708593133486586</v>
      </c>
      <c r="AH191" s="16">
        <f t="shared" ca="1" si="1105"/>
        <v>1.3982764996156318</v>
      </c>
      <c r="AI191" s="16">
        <f t="shared" ca="1" si="1105"/>
        <v>1.4262420296079446</v>
      </c>
      <c r="AJ191" s="16">
        <f t="shared" ca="1" si="1105"/>
        <v>1.4547668702001035</v>
      </c>
      <c r="AK191" s="16">
        <f t="shared" ca="1" si="1105"/>
        <v>1.4838622076041057</v>
      </c>
      <c r="AL191" s="16">
        <f t="shared" ca="1" si="1105"/>
        <v>1.5135394517561878</v>
      </c>
      <c r="AM191" s="16">
        <f t="shared" ca="1" si="1105"/>
        <v>1.5438102407913115</v>
      </c>
      <c r="AN191" s="16">
        <f t="shared" ca="1" si="1105"/>
        <v>1.5746864456071377</v>
      </c>
      <c r="AO191" s="16">
        <f t="shared" ca="1" si="1105"/>
        <v>1.6061801745192805</v>
      </c>
      <c r="AP191" s="16">
        <f t="shared" ca="1" si="1105"/>
        <v>1.6383037780096661</v>
      </c>
      <c r="AQ191" s="16">
        <f t="shared" ca="1" si="1105"/>
        <v>1.6710698535698594</v>
      </c>
      <c r="AR191" s="16">
        <f t="shared" ca="1" si="1105"/>
        <v>1.7044912506412566</v>
      </c>
      <c r="AS191" s="16">
        <f t="shared" ca="1" si="1105"/>
        <v>1.7385810756540818</v>
      </c>
      <c r="AT191" s="16">
        <f t="shared" ca="1" si="1105"/>
        <v>1.7733526971671636</v>
      </c>
      <c r="AU191" s="16">
        <f t="shared" ca="1" si="1105"/>
        <v>1.8088197511105069</v>
      </c>
      <c r="AV191" s="16">
        <f t="shared" ca="1" si="1105"/>
        <v>1.8449961461327171</v>
      </c>
      <c r="AW191" s="16">
        <f t="shared" ca="1" si="1105"/>
        <v>1.8818960690553714</v>
      </c>
      <c r="AX191" s="16">
        <f t="shared" ca="1" si="1105"/>
        <v>1.919533990436479</v>
      </c>
    </row>
    <row r="192" spans="1:50" x14ac:dyDescent="0.25">
      <c r="A192" s="9" t="s">
        <v>876</v>
      </c>
      <c r="B192" s="10"/>
      <c r="C192" s="13"/>
      <c r="D192" s="64">
        <f t="shared" ref="D192:AX192" si="1106">SUM(D$189:D$191)</f>
        <v>28.085999999999999</v>
      </c>
      <c r="E192" s="64">
        <f t="shared" si="1106"/>
        <v>42.606999999999999</v>
      </c>
      <c r="F192" s="64">
        <f t="shared" si="1106"/>
        <v>35.427</v>
      </c>
      <c r="G192" s="64">
        <f t="shared" si="1106"/>
        <v>44.086999999999996</v>
      </c>
      <c r="H192" s="64">
        <f t="shared" si="1106"/>
        <v>38.802999999999997</v>
      </c>
      <c r="I192" s="64">
        <f t="shared" si="1106"/>
        <v>41.937000000000012</v>
      </c>
      <c r="J192" s="65">
        <f t="shared" si="1106"/>
        <v>44.864000000000011</v>
      </c>
      <c r="K192" s="65">
        <f t="shared" si="1106"/>
        <v>46.522999999999996</v>
      </c>
      <c r="L192" s="65">
        <f t="shared" si="1106"/>
        <v>47.961999999999989</v>
      </c>
      <c r="M192" s="65">
        <f t="shared" si="1106"/>
        <v>49.622000000000014</v>
      </c>
      <c r="N192" s="65">
        <f t="shared" si="1106"/>
        <v>50.691000000000003</v>
      </c>
      <c r="O192" s="66">
        <f t="shared" ca="1" si="1106"/>
        <v>52.77246139360777</v>
      </c>
      <c r="P192" s="66">
        <f t="shared" ca="1" si="1106"/>
        <v>55.090449776530448</v>
      </c>
      <c r="Q192" s="66">
        <f t="shared" ca="1" si="1106"/>
        <v>57.519436394808622</v>
      </c>
      <c r="R192" s="66">
        <f t="shared" ca="1" si="1106"/>
        <v>60.034697516655434</v>
      </c>
      <c r="S192" s="66">
        <f t="shared" ca="1" si="1106"/>
        <v>62.657185493921595</v>
      </c>
      <c r="T192" s="66">
        <f t="shared" ca="1" si="1106"/>
        <v>65.342188620996737</v>
      </c>
      <c r="U192" s="66">
        <f t="shared" ca="1" si="1106"/>
        <v>68.176445849089646</v>
      </c>
      <c r="V192" s="66">
        <f t="shared" ca="1" si="1106"/>
        <v>71.071631410895932</v>
      </c>
      <c r="W192" s="66">
        <f t="shared" ca="1" si="1106"/>
        <v>73.971904945279235</v>
      </c>
      <c r="X192" s="66">
        <f t="shared" ca="1" si="1106"/>
        <v>76.889089262182225</v>
      </c>
      <c r="Y192" s="66">
        <f t="shared" ca="1" si="1106"/>
        <v>80.062025328541694</v>
      </c>
      <c r="Z192" s="66">
        <f t="shared" ca="1" si="1106"/>
        <v>83.276597737926551</v>
      </c>
      <c r="AA192" s="66">
        <f t="shared" ca="1" si="1106"/>
        <v>86.612266108582389</v>
      </c>
      <c r="AB192" s="66">
        <f t="shared" ca="1" si="1106"/>
        <v>90.020079172083669</v>
      </c>
      <c r="AC192" s="66">
        <f t="shared" ca="1" si="1106"/>
        <v>93.61432448300944</v>
      </c>
      <c r="AD192" s="66">
        <f t="shared" ca="1" si="1106"/>
        <v>97.376802208329053</v>
      </c>
      <c r="AE192" s="66">
        <f t="shared" ca="1" si="1106"/>
        <v>101.31710664908437</v>
      </c>
      <c r="AF192" s="66">
        <f t="shared" ca="1" si="1106"/>
        <v>105.45523553347195</v>
      </c>
      <c r="AG192" s="66">
        <f t="shared" ca="1" si="1106"/>
        <v>109.82331781827521</v>
      </c>
      <c r="AH192" s="66">
        <f t="shared" ca="1" si="1106"/>
        <v>114.38966940641642</v>
      </c>
      <c r="AI192" s="66">
        <f t="shared" ca="1" si="1106"/>
        <v>119.18540750163083</v>
      </c>
      <c r="AJ192" s="66">
        <f t="shared" ca="1" si="1106"/>
        <v>124.21168566536227</v>
      </c>
      <c r="AK192" s="66">
        <f t="shared" ca="1" si="1106"/>
        <v>129.57780696362292</v>
      </c>
      <c r="AL192" s="66">
        <f t="shared" ca="1" si="1106"/>
        <v>135.29162469431031</v>
      </c>
      <c r="AM192" s="66">
        <f t="shared" ca="1" si="1106"/>
        <v>141.28556003778891</v>
      </c>
      <c r="AN192" s="66">
        <f t="shared" ca="1" si="1106"/>
        <v>147.67596487157678</v>
      </c>
      <c r="AO192" s="66">
        <f t="shared" ca="1" si="1106"/>
        <v>154.36910003599431</v>
      </c>
      <c r="AP192" s="66">
        <f t="shared" ca="1" si="1106"/>
        <v>161.2891478793594</v>
      </c>
      <c r="AQ192" s="66">
        <f t="shared" ca="1" si="1106"/>
        <v>168.38627027105582</v>
      </c>
      <c r="AR192" s="66">
        <f t="shared" ca="1" si="1106"/>
        <v>175.60174724075921</v>
      </c>
      <c r="AS192" s="66">
        <f t="shared" ca="1" si="1106"/>
        <v>183.03846654172591</v>
      </c>
      <c r="AT192" s="66">
        <f t="shared" ca="1" si="1106"/>
        <v>190.63591956804021</v>
      </c>
      <c r="AU192" s="66">
        <f t="shared" ca="1" si="1106"/>
        <v>198.40737030792502</v>
      </c>
      <c r="AV192" s="66">
        <f t="shared" ca="1" si="1106"/>
        <v>206.41736657282269</v>
      </c>
      <c r="AW192" s="66">
        <f t="shared" ca="1" si="1106"/>
        <v>214.59435867133811</v>
      </c>
      <c r="AX192" s="66">
        <f t="shared" ca="1" si="1106"/>
        <v>223.22013504912238</v>
      </c>
    </row>
    <row r="193" spans="1:50" x14ac:dyDescent="0.25">
      <c r="A193" s="9" t="s">
        <v>995</v>
      </c>
      <c r="B193" s="10" t="str">
        <f t="shared" si="1102"/>
        <v>From Fiscal Forecasts</v>
      </c>
      <c r="C193" s="13"/>
      <c r="D193" s="42">
        <f>'Fiscal Forecasts'!D$170</f>
        <v>29.015000000000001</v>
      </c>
      <c r="E193" s="42">
        <f>'Fiscal Forecasts'!E$170</f>
        <v>43.616</v>
      </c>
      <c r="F193" s="42">
        <f>'Fiscal Forecasts'!F$170</f>
        <v>36.521000000000001</v>
      </c>
      <c r="G193" s="42">
        <f>'Fiscal Forecasts'!G$170</f>
        <v>45.265999999999998</v>
      </c>
      <c r="H193" s="42">
        <f>'Fiscal Forecasts'!H$170</f>
        <v>40.003</v>
      </c>
      <c r="I193" s="42">
        <f>'Fiscal Forecasts'!I$170</f>
        <v>43.265000000000001</v>
      </c>
      <c r="J193" s="43">
        <f>'Fiscal Forecasts'!J$170</f>
        <v>46.338000000000001</v>
      </c>
      <c r="K193" s="43">
        <f>'Fiscal Forecasts'!K$170</f>
        <v>48.189</v>
      </c>
      <c r="L193" s="43">
        <f>'Fiscal Forecasts'!L$170</f>
        <v>49.661999999999999</v>
      </c>
      <c r="M193" s="43">
        <f>'Fiscal Forecasts'!M$170</f>
        <v>51.345999999999997</v>
      </c>
      <c r="N193" s="43">
        <f>'Fiscal Forecasts'!N$170</f>
        <v>52.415999999999997</v>
      </c>
      <c r="O193" s="47">
        <f t="shared" ref="O193:AX193" ca="1" si="1107">O$192</f>
        <v>52.77246139360777</v>
      </c>
      <c r="P193" s="47">
        <f t="shared" ca="1" si="1107"/>
        <v>55.090449776530448</v>
      </c>
      <c r="Q193" s="47">
        <f t="shared" ca="1" si="1107"/>
        <v>57.519436394808622</v>
      </c>
      <c r="R193" s="47">
        <f t="shared" ca="1" si="1107"/>
        <v>60.034697516655434</v>
      </c>
      <c r="S193" s="47">
        <f t="shared" ca="1" si="1107"/>
        <v>62.657185493921595</v>
      </c>
      <c r="T193" s="47">
        <f t="shared" ca="1" si="1107"/>
        <v>65.342188620996737</v>
      </c>
      <c r="U193" s="47">
        <f t="shared" ca="1" si="1107"/>
        <v>68.176445849089646</v>
      </c>
      <c r="V193" s="47">
        <f t="shared" ca="1" si="1107"/>
        <v>71.071631410895932</v>
      </c>
      <c r="W193" s="47">
        <f t="shared" ca="1" si="1107"/>
        <v>73.971904945279235</v>
      </c>
      <c r="X193" s="47">
        <f t="shared" ca="1" si="1107"/>
        <v>76.889089262182225</v>
      </c>
      <c r="Y193" s="47">
        <f t="shared" ca="1" si="1107"/>
        <v>80.062025328541694</v>
      </c>
      <c r="Z193" s="47">
        <f t="shared" ca="1" si="1107"/>
        <v>83.276597737926551</v>
      </c>
      <c r="AA193" s="47">
        <f t="shared" ca="1" si="1107"/>
        <v>86.612266108582389</v>
      </c>
      <c r="AB193" s="47">
        <f t="shared" ca="1" si="1107"/>
        <v>90.020079172083669</v>
      </c>
      <c r="AC193" s="47">
        <f t="shared" ca="1" si="1107"/>
        <v>93.61432448300944</v>
      </c>
      <c r="AD193" s="47">
        <f t="shared" ca="1" si="1107"/>
        <v>97.376802208329053</v>
      </c>
      <c r="AE193" s="47">
        <f t="shared" ca="1" si="1107"/>
        <v>101.31710664908437</v>
      </c>
      <c r="AF193" s="47">
        <f t="shared" ca="1" si="1107"/>
        <v>105.45523553347195</v>
      </c>
      <c r="AG193" s="47">
        <f t="shared" ca="1" si="1107"/>
        <v>109.82331781827521</v>
      </c>
      <c r="AH193" s="47">
        <f t="shared" ca="1" si="1107"/>
        <v>114.38966940641642</v>
      </c>
      <c r="AI193" s="47">
        <f t="shared" ca="1" si="1107"/>
        <v>119.18540750163083</v>
      </c>
      <c r="AJ193" s="47">
        <f t="shared" ca="1" si="1107"/>
        <v>124.21168566536227</v>
      </c>
      <c r="AK193" s="47">
        <f t="shared" ca="1" si="1107"/>
        <v>129.57780696362292</v>
      </c>
      <c r="AL193" s="47">
        <f t="shared" ca="1" si="1107"/>
        <v>135.29162469431031</v>
      </c>
      <c r="AM193" s="47">
        <f t="shared" ca="1" si="1107"/>
        <v>141.28556003778891</v>
      </c>
      <c r="AN193" s="47">
        <f t="shared" ca="1" si="1107"/>
        <v>147.67596487157678</v>
      </c>
      <c r="AO193" s="47">
        <f t="shared" ca="1" si="1107"/>
        <v>154.36910003599431</v>
      </c>
      <c r="AP193" s="47">
        <f t="shared" ca="1" si="1107"/>
        <v>161.2891478793594</v>
      </c>
      <c r="AQ193" s="47">
        <f t="shared" ca="1" si="1107"/>
        <v>168.38627027105582</v>
      </c>
      <c r="AR193" s="47">
        <f t="shared" ca="1" si="1107"/>
        <v>175.60174724075921</v>
      </c>
      <c r="AS193" s="47">
        <f t="shared" ca="1" si="1107"/>
        <v>183.03846654172591</v>
      </c>
      <c r="AT193" s="47">
        <f t="shared" ca="1" si="1107"/>
        <v>190.63591956804021</v>
      </c>
      <c r="AU193" s="47">
        <f t="shared" ca="1" si="1107"/>
        <v>198.40737030792502</v>
      </c>
      <c r="AV193" s="47">
        <f t="shared" ca="1" si="1107"/>
        <v>206.41736657282269</v>
      </c>
      <c r="AW193" s="47">
        <f t="shared" ca="1" si="1107"/>
        <v>214.59435867133811</v>
      </c>
      <c r="AX193" s="47">
        <f t="shared" ca="1" si="1107"/>
        <v>223.22013504912238</v>
      </c>
    </row>
    <row r="194" spans="1:50" x14ac:dyDescent="0.25">
      <c r="A194" s="11" t="s">
        <v>872</v>
      </c>
      <c r="B194" s="10" t="str">
        <f t="shared" si="1102"/>
        <v>From Fiscal Forecasts</v>
      </c>
      <c r="C194" s="63" cm="1">
        <f t="array" aca="1" ref="C194" ca="1">SUMPRODUCT(OFFSET($N$194,0,0,1,-OFFSET(Assumptions!$B$39,0,$C$1))/OFFSET($N$13,0,0,1,-OFFSET(Assumptions!$B$39,0,$C$1)))/OFFSET(Assumptions!$B$39,0,$C$1)</f>
        <v>1.1062058854148817E-2</v>
      </c>
      <c r="D194" s="35">
        <f>'Fiscal Forecasts'!D$57-D$187</f>
        <v>2.8959999999999972</v>
      </c>
      <c r="E194" s="35">
        <f>'Fiscal Forecasts'!E$57-E$187</f>
        <v>3.6169999999999973</v>
      </c>
      <c r="F194" s="35">
        <f>'Fiscal Forecasts'!F$57-F$187</f>
        <v>3.642000000000003</v>
      </c>
      <c r="G194" s="35">
        <f>'Fiscal Forecasts'!G$57-G$187</f>
        <v>1.1199999999999974</v>
      </c>
      <c r="H194" s="35">
        <f>'Fiscal Forecasts'!H$57-H$187</f>
        <v>5.2040000000000006</v>
      </c>
      <c r="I194" s="35">
        <f>'Fiscal Forecasts'!I$57-I$187</f>
        <v>5.3939999999999912</v>
      </c>
      <c r="J194" s="17">
        <f>'Fiscal Forecasts'!J$57-J$187+Allocation!C$12</f>
        <v>5.0219999999999905</v>
      </c>
      <c r="K194" s="17">
        <f>'Fiscal Forecasts'!K$57-K$187+Allocation!D$12</f>
        <v>5.7018000000000022</v>
      </c>
      <c r="L194" s="17">
        <f>'Fiscal Forecasts'!L$57-L$187+Allocation!E$12</f>
        <v>5.9005600000000138</v>
      </c>
      <c r="M194" s="17">
        <f>'Fiscal Forecasts'!M$57-M$187+Allocation!F$12</f>
        <v>5.9285599999999894</v>
      </c>
      <c r="N194" s="17">
        <f>'Fiscal Forecasts'!N$57-N$187+Allocation!G$12</f>
        <v>6.0599199999999973</v>
      </c>
      <c r="O194" s="16">
        <f ca="1">(N$194/N$13+MIN(ABS($C$194-N$194/N$13),OFFSET(Assumptions!$B$40,0,$C$1))*SIGN($C$194-N$194/N$13))*O$13</f>
        <v>6.057976594646183</v>
      </c>
      <c r="P194" s="16">
        <f ca="1">(O$194/O$13+MIN(ABS($C$194-O$194/O$13),OFFSET(Assumptions!$B$40,0,$C$1))*SIGN($C$194-O$194/O$13))*P$13</f>
        <v>6.3257108813466765</v>
      </c>
      <c r="Q194" s="16">
        <f ca="1">(P$194/P$13+MIN(ABS($C$194-P$194/P$13),OFFSET(Assumptions!$B$40,0,$C$1))*SIGN($C$194-P$194/P$13))*Q$13</f>
        <v>6.5943367492523253</v>
      </c>
      <c r="R194" s="16">
        <f ca="1">(Q$194/Q$13+MIN(ABS($C$194-Q$194/Q$13),OFFSET(Assumptions!$B$40,0,$C$1))*SIGN($C$194-Q$194/Q$13))*R$13</f>
        <v>6.862945271241176</v>
      </c>
      <c r="S194" s="16">
        <f ca="1">(R$194/R$13+MIN(ABS($C$194-R$194/R$13),OFFSET(Assumptions!$B$40,0,$C$1))*SIGN($C$194-R$194/R$13))*S$13</f>
        <v>7.1401429024038734</v>
      </c>
      <c r="T194" s="16">
        <f ca="1">(S$194/S$13+MIN(ABS($C$194-S$194/S$13),OFFSET(Assumptions!$B$40,0,$C$1))*SIGN($C$194-S$194/S$13))*T$13</f>
        <v>7.4257945554742744</v>
      </c>
      <c r="U194" s="16">
        <f ca="1">(T$194/T$13+MIN(ABS($C$194-T$194/T$13),OFFSET(Assumptions!$B$40,0,$C$1))*SIGN($C$194-T$194/T$13))*U$13</f>
        <v>7.7210504088819958</v>
      </c>
      <c r="V194" s="16">
        <f ca="1">(U$194/U$13+MIN(ABS($C$194-U$194/U$13),OFFSET(Assumptions!$B$40,0,$C$1))*SIGN($C$194-U$194/U$13))*V$13</f>
        <v>8.0259928736818598</v>
      </c>
      <c r="W194" s="16">
        <f ca="1">(V$194/V$13+MIN(ABS($C$194-V$194/V$13),OFFSET(Assumptions!$B$40,0,$C$1))*SIGN($C$194-V$194/V$13))*W$13</f>
        <v>8.3390325077360234</v>
      </c>
      <c r="X194" s="16">
        <f ca="1">(W$194/W$13+MIN(ABS($C$194-W$194/W$13),OFFSET(Assumptions!$B$40,0,$C$1))*SIGN($C$194-W$194/W$13))*X$13</f>
        <v>8.6606764423863538</v>
      </c>
      <c r="Y194" s="16">
        <f ca="1">(X$194/X$13+MIN(ABS($C$194-X$194/X$13),OFFSET(Assumptions!$B$40,0,$C$1))*SIGN($C$194-X$194/X$13))*Y$13</f>
        <v>8.9926093426243447</v>
      </c>
      <c r="Z194" s="16">
        <f ca="1">(Y$194/Y$13+MIN(ABS($C$194-Y$194/Y$13),OFFSET(Assumptions!$B$40,0,$C$1))*SIGN($C$194-Y$194/Y$13))*Z$13</f>
        <v>9.3348884240079375</v>
      </c>
      <c r="AA194" s="16">
        <f ca="1">(Z$194/Z$13+MIN(ABS($C$194-Z$194/Z$13),OFFSET(Assumptions!$B$40,0,$C$1))*SIGN($C$194-Z$194/Z$13))*AA$13</f>
        <v>9.6889136162274081</v>
      </c>
      <c r="AB194" s="16">
        <f ca="1">(AA$194/AA$13+MIN(ABS($C$194-AA$194/AA$13),OFFSET(Assumptions!$B$40,0,$C$1))*SIGN($C$194-AA$194/AA$13))*AB$13</f>
        <v>10.054309233600058</v>
      </c>
      <c r="AC194" s="16">
        <f ca="1">(AB$194/AB$13+MIN(ABS($C$194-AB$194/AB$13),OFFSET(Assumptions!$B$40,0,$C$1))*SIGN($C$194-AB$194/AB$13))*AC$13</f>
        <v>10.431065879029941</v>
      </c>
      <c r="AD194" s="16">
        <f ca="1">(AC$194/AC$13+MIN(ABS($C$194-AC$194/AC$13),OFFSET(Assumptions!$B$40,0,$C$1))*SIGN($C$194-AC$194/AC$13))*AD$13</f>
        <v>10.819453565538273</v>
      </c>
      <c r="AE194" s="16">
        <f ca="1">(AD$194/AD$13+MIN(ABS($C$194-AD$194/AD$13),OFFSET(Assumptions!$B$40,0,$C$1))*SIGN($C$194-AD$194/AD$13))*AE$13</f>
        <v>11.219366341972844</v>
      </c>
      <c r="AF194" s="16">
        <f ca="1">(AE$194/AE$13+MIN(ABS($C$194-AE$194/AE$13),OFFSET(Assumptions!$B$40,0,$C$1))*SIGN($C$194-AE$194/AE$13))*AF$13</f>
        <v>11.630897999014213</v>
      </c>
      <c r="AG194" s="16">
        <f ca="1">(AF$194/AF$13+MIN(ABS($C$194-AF$194/AF$13),OFFSET(Assumptions!$B$40,0,$C$1))*SIGN($C$194-AF$194/AF$13))*AG$13</f>
        <v>12.054092878902422</v>
      </c>
      <c r="AH194" s="16">
        <f ca="1">(AG$194/AG$13+MIN(ABS($C$194-AG$194/AG$13),OFFSET(Assumptions!$B$40,0,$C$1))*SIGN($C$194-AG$194/AG$13))*AH$13</f>
        <v>12.488751435438671</v>
      </c>
      <c r="AI194" s="16">
        <f ca="1">(AH$194/AH$13+MIN(ABS($C$194-AH$194/AH$13),OFFSET(Assumptions!$B$40,0,$C$1))*SIGN($C$194-AH$194/AH$13))*AI$13</f>
        <v>12.93528577310483</v>
      </c>
      <c r="AJ194" s="16">
        <f ca="1">(AI$194/AI$13+MIN(ABS($C$194-AI$194/AI$13),OFFSET(Assumptions!$B$40,0,$C$1))*SIGN($C$194-AI$194/AI$13))*AJ$13</f>
        <v>13.394222742534293</v>
      </c>
      <c r="AK194" s="16">
        <f ca="1">(AJ$194/AJ$13+MIN(ABS($C$194-AJ$194/AJ$13),OFFSET(Assumptions!$B$40,0,$C$1))*SIGN($C$194-AJ$194/AJ$13))*AK$13</f>
        <v>13.864953114410827</v>
      </c>
      <c r="AL194" s="16">
        <f ca="1">(AK$194/AK$13+MIN(ABS($C$194-AK$194/AK$13),OFFSET(Assumptions!$B$40,0,$C$1))*SIGN($C$194-AK$194/AK$13))*AL$13</f>
        <v>14.348122627694485</v>
      </c>
      <c r="AM194" s="16">
        <f ca="1">(AL$194/AL$13+MIN(ABS($C$194-AL$194/AL$13),OFFSET(Assumptions!$B$40,0,$C$1))*SIGN($C$194-AL$194/AL$13))*AM$13</f>
        <v>14.844430280984076</v>
      </c>
      <c r="AN194" s="16">
        <f ca="1">(AM$194/AM$13+MIN(ABS($C$194-AM$194/AM$13),OFFSET(Assumptions!$B$40,0,$C$1))*SIGN($C$194-AM$194/AM$13))*AN$13</f>
        <v>15.35444042447366</v>
      </c>
      <c r="AO194" s="16">
        <f ca="1">(AN$194/AN$13+MIN(ABS($C$194-AN$194/AN$13),OFFSET(Assumptions!$B$40,0,$C$1))*SIGN($C$194-AN$194/AN$13))*AO$13</f>
        <v>15.878365082359808</v>
      </c>
      <c r="AP194" s="16">
        <f ca="1">(AO$194/AO$13+MIN(ABS($C$194-AO$194/AO$13),OFFSET(Assumptions!$B$40,0,$C$1))*SIGN($C$194-AO$194/AO$13))*AP$13</f>
        <v>16.41781610536858</v>
      </c>
      <c r="AQ194" s="16">
        <f ca="1">(AP$194/AP$13+MIN(ABS($C$194-AP$194/AP$13),OFFSET(Assumptions!$B$40,0,$C$1))*SIGN($C$194-AP$194/AP$13))*AQ$13</f>
        <v>16.973320563204332</v>
      </c>
      <c r="AR194" s="16">
        <f ca="1">(AQ$194/AQ$13+MIN(ABS($C$194-AQ$194/AQ$13),OFFSET(Assumptions!$B$40,0,$C$1))*SIGN($C$194-AQ$194/AQ$13))*AR$13</f>
        <v>17.546328156322627</v>
      </c>
      <c r="AS194" s="16">
        <f ca="1">(AR$194/AR$13+MIN(ABS($C$194-AR$194/AR$13),OFFSET(Assumptions!$B$40,0,$C$1))*SIGN($C$194-AR$194/AR$13))*AS$13</f>
        <v>18.137267398425635</v>
      </c>
      <c r="AT194" s="16">
        <f ca="1">(AS$194/AS$13+MIN(ABS($C$194-AS$194/AS$13),OFFSET(Assumptions!$B$40,0,$C$1))*SIGN($C$194-AS$194/AS$13))*AT$13</f>
        <v>18.747977159181467</v>
      </c>
      <c r="AU194" s="16">
        <f ca="1">(AT$194/AT$13+MIN(ABS($C$194-AT$194/AT$13),OFFSET(Assumptions!$B$40,0,$C$1))*SIGN($C$194-AT$194/AT$13))*AU$13</f>
        <v>19.378193407839174</v>
      </c>
      <c r="AV194" s="16">
        <f ca="1">(AU$194/AU$13+MIN(ABS($C$194-AU$194/AU$13),OFFSET(Assumptions!$B$40,0,$C$1))*SIGN($C$194-AU$194/AU$13))*AV$13</f>
        <v>20.029702858197187</v>
      </c>
      <c r="AW194" s="16">
        <f ca="1">(AV$194/AV$13+MIN(ABS($C$194-AV$194/AV$13),OFFSET(Assumptions!$B$40,0,$C$1))*SIGN($C$194-AV$194/AV$13))*AW$13</f>
        <v>20.703079724931481</v>
      </c>
      <c r="AX194" s="16">
        <f ca="1">(AW$194/AW$13+MIN(ABS($C$194-AW$194/AW$13),OFFSET(Assumptions!$B$40,0,$C$1))*SIGN($C$194-AW$194/AW$13))*AX$13</f>
        <v>21.398044218215357</v>
      </c>
    </row>
    <row r="195" spans="1:50" x14ac:dyDescent="0.25">
      <c r="A195" s="9" t="s">
        <v>873</v>
      </c>
      <c r="B195" s="10"/>
      <c r="C195" s="13"/>
      <c r="D195" s="42">
        <f t="shared" ref="D195:AX195" si="1108">SUM(D$187,D$194)</f>
        <v>28.74</v>
      </c>
      <c r="E195" s="42">
        <f t="shared" si="1108"/>
        <v>44.027999999999999</v>
      </c>
      <c r="F195" s="42">
        <f t="shared" si="1108"/>
        <v>36.759</v>
      </c>
      <c r="G195" s="42">
        <f t="shared" si="1108"/>
        <v>42.86</v>
      </c>
      <c r="H195" s="42">
        <f t="shared" si="1108"/>
        <v>41.514000000000003</v>
      </c>
      <c r="I195" s="42">
        <f t="shared" si="1108"/>
        <v>44.588999999999999</v>
      </c>
      <c r="J195" s="43">
        <f t="shared" si="1108"/>
        <v>47.131999999999998</v>
      </c>
      <c r="K195" s="43">
        <f t="shared" si="1108"/>
        <v>50.049800000000005</v>
      </c>
      <c r="L195" s="43">
        <f t="shared" si="1108"/>
        <v>51.716560000000001</v>
      </c>
      <c r="M195" s="43">
        <f t="shared" si="1108"/>
        <v>53.38456</v>
      </c>
      <c r="N195" s="43">
        <f t="shared" si="1108"/>
        <v>54.568919999999999</v>
      </c>
      <c r="O195" s="47">
        <f t="shared" ca="1" si="1108"/>
        <v>56.587443800645495</v>
      </c>
      <c r="P195" s="47">
        <f t="shared" ca="1" si="1108"/>
        <v>59.107802992695582</v>
      </c>
      <c r="Q195" s="47">
        <f t="shared" ca="1" si="1108"/>
        <v>61.741466887749787</v>
      </c>
      <c r="R195" s="47">
        <f t="shared" ca="1" si="1108"/>
        <v>64.461998870492295</v>
      </c>
      <c r="S195" s="47">
        <f t="shared" ca="1" si="1108"/>
        <v>67.296374571982952</v>
      </c>
      <c r="T195" s="47">
        <f t="shared" ca="1" si="1108"/>
        <v>70.198929670193166</v>
      </c>
      <c r="U195" s="47">
        <f t="shared" ca="1" si="1108"/>
        <v>73.258501348663458</v>
      </c>
      <c r="V195" s="47">
        <f t="shared" ca="1" si="1108"/>
        <v>76.385952470084803</v>
      </c>
      <c r="W195" s="47">
        <f t="shared" ca="1" si="1108"/>
        <v>79.524510863139795</v>
      </c>
      <c r="X195" s="47">
        <f t="shared" ca="1" si="1108"/>
        <v>82.686130331030142</v>
      </c>
      <c r="Y195" s="47">
        <f t="shared" ca="1" si="1108"/>
        <v>86.103656923207112</v>
      </c>
      <c r="Z195" s="47">
        <f t="shared" ca="1" si="1108"/>
        <v>89.573658344573843</v>
      </c>
      <c r="AA195" s="47">
        <f t="shared" ca="1" si="1108"/>
        <v>93.173474238235571</v>
      </c>
      <c r="AB195" s="47">
        <f t="shared" ca="1" si="1108"/>
        <v>96.852824139972853</v>
      </c>
      <c r="AC195" s="47">
        <f t="shared" ca="1" si="1108"/>
        <v>100.72746196872363</v>
      </c>
      <c r="AD195" s="47">
        <f t="shared" ca="1" si="1108"/>
        <v>104.7800460797924</v>
      </c>
      <c r="AE195" s="47">
        <f t="shared" ca="1" si="1108"/>
        <v>109.01939924493817</v>
      </c>
      <c r="AF195" s="47">
        <f t="shared" ca="1" si="1108"/>
        <v>113.46621037673053</v>
      </c>
      <c r="AG195" s="47">
        <f t="shared" ca="1" si="1108"/>
        <v>118.15458948767687</v>
      </c>
      <c r="AH195" s="47">
        <f t="shared" ca="1" si="1108"/>
        <v>123.05164036073509</v>
      </c>
      <c r="AI195" s="47">
        <f t="shared" ca="1" si="1108"/>
        <v>128.1869253758133</v>
      </c>
      <c r="AJ195" s="47">
        <f t="shared" ca="1" si="1108"/>
        <v>133.56327006831896</v>
      </c>
      <c r="AK195" s="47">
        <f t="shared" ca="1" si="1108"/>
        <v>139.2883947402299</v>
      </c>
      <c r="AL195" s="47">
        <f t="shared" ca="1" si="1108"/>
        <v>145.37066731833795</v>
      </c>
      <c r="AM195" s="47">
        <f t="shared" ca="1" si="1108"/>
        <v>151.74303394280341</v>
      </c>
      <c r="AN195" s="47">
        <f t="shared" ca="1" si="1108"/>
        <v>158.52144498240472</v>
      </c>
      <c r="AO195" s="47">
        <f t="shared" ca="1" si="1108"/>
        <v>165.61313204877783</v>
      </c>
      <c r="AP195" s="47">
        <f t="shared" ca="1" si="1108"/>
        <v>172.9429968469297</v>
      </c>
      <c r="AQ195" s="47">
        <f t="shared" ca="1" si="1108"/>
        <v>180.46226180128858</v>
      </c>
      <c r="AR195" s="47">
        <f t="shared" ca="1" si="1108"/>
        <v>188.11253445866802</v>
      </c>
      <c r="AS195" s="47">
        <f t="shared" ca="1" si="1108"/>
        <v>195.99806443186867</v>
      </c>
      <c r="AT195" s="47">
        <f t="shared" ca="1" si="1108"/>
        <v>204.05873364529319</v>
      </c>
      <c r="AU195" s="47">
        <f t="shared" ca="1" si="1108"/>
        <v>212.30902900819842</v>
      </c>
      <c r="AV195" s="47">
        <f t="shared" ca="1" si="1108"/>
        <v>220.81417813032107</v>
      </c>
      <c r="AW195" s="47">
        <f t="shared" ca="1" si="1108"/>
        <v>229.49961852423303</v>
      </c>
      <c r="AX195" s="47">
        <f t="shared" ca="1" si="1108"/>
        <v>238.65049730488448</v>
      </c>
    </row>
    <row r="196" spans="1:50" x14ac:dyDescent="0.25">
      <c r="A196" s="11" t="s">
        <v>874</v>
      </c>
      <c r="B196" s="10" t="str">
        <f t="shared" ref="B196:B197" si="1109">$B$38</f>
        <v>From Fiscal Forecasts</v>
      </c>
      <c r="C196" s="13"/>
      <c r="D196" s="35">
        <f>'Fiscal Forecasts'!D$206</f>
        <v>6.6790000000000003</v>
      </c>
      <c r="E196" s="35">
        <f>'Fiscal Forecasts'!E$206</f>
        <v>7.6630000000000003</v>
      </c>
      <c r="F196" s="35">
        <f>'Fiscal Forecasts'!F$206</f>
        <v>7.968</v>
      </c>
      <c r="G196" s="35">
        <f>'Fiscal Forecasts'!G$206</f>
        <v>7.3879999999999999</v>
      </c>
      <c r="H196" s="35">
        <f>'Fiscal Forecasts'!H$206</f>
        <v>9.3290000000000006</v>
      </c>
      <c r="I196" s="35">
        <f>'Fiscal Forecasts'!I$206</f>
        <v>11.634</v>
      </c>
      <c r="J196" s="17">
        <f>'Fiscal Forecasts'!J$206</f>
        <v>12.664999999999999</v>
      </c>
      <c r="K196" s="17">
        <f>'Fiscal Forecasts'!K$206</f>
        <v>12.111000000000001</v>
      </c>
      <c r="L196" s="17">
        <f>'Fiscal Forecasts'!L$206</f>
        <v>12.856</v>
      </c>
      <c r="M196" s="17">
        <f>'Fiscal Forecasts'!M$206</f>
        <v>13.465</v>
      </c>
      <c r="N196" s="17">
        <f>'Fiscal Forecasts'!N$206</f>
        <v>13.920999999999999</v>
      </c>
      <c r="O196" s="16">
        <f>N$196*Exogenous!Z$28/Exogenous!Y$28</f>
        <v>14.741060183307349</v>
      </c>
      <c r="P196" s="16">
        <f>O$196*Exogenous!AA$28/Exogenous!Z$28</f>
        <v>15.609291136995271</v>
      </c>
      <c r="Q196" s="16">
        <f>P$196*Exogenous!AB$28/Exogenous!AA$28</f>
        <v>16.498221635934527</v>
      </c>
      <c r="R196" s="16">
        <f>Q$196*Exogenous!AC$28/Exogenous!AB$28</f>
        <v>17.390181269487861</v>
      </c>
      <c r="S196" s="16">
        <f>R$196*Exogenous!AD$28/Exogenous!AC$28</f>
        <v>18.295203937066184</v>
      </c>
      <c r="T196" s="16">
        <f>S$196*Exogenous!AE$28/Exogenous!AD$28</f>
        <v>19.182051122296574</v>
      </c>
      <c r="U196" s="16">
        <f>T$196*Exogenous!AF$28/Exogenous!AE$28</f>
        <v>20.126712029200899</v>
      </c>
      <c r="V196" s="16">
        <f>U$196*Exogenous!AG$28/Exogenous!AF$28</f>
        <v>21.078560641678465</v>
      </c>
      <c r="W196" s="16">
        <f>V$196*Exogenous!AH$28/Exogenous!AG$28</f>
        <v>22.065449450621678</v>
      </c>
      <c r="X196" s="16">
        <f>W$196*Exogenous!AI$28/Exogenous!AH$28</f>
        <v>23.098985950547377</v>
      </c>
      <c r="Y196" s="16">
        <f>X$196*Exogenous!AJ$28/Exogenous!AI$28</f>
        <v>24.132454444157666</v>
      </c>
      <c r="Z196" s="16">
        <f>Y$196*Exogenous!AK$28/Exogenous!AJ$28</f>
        <v>25.221676486600433</v>
      </c>
      <c r="AA196" s="16">
        <f>Z$196*Exogenous!AL$28/Exogenous!AK$28</f>
        <v>26.340490009631544</v>
      </c>
      <c r="AB196" s="16">
        <f>AA$196*Exogenous!AM$28/Exogenous!AL$28</f>
        <v>27.488556808375776</v>
      </c>
      <c r="AC196" s="16">
        <f>AB$196*Exogenous!AN$28/Exogenous!AM$28</f>
        <v>28.720049628025869</v>
      </c>
      <c r="AD196" s="16">
        <f>AC$196*Exogenous!AO$28/Exogenous!AN$28</f>
        <v>29.937355757044045</v>
      </c>
      <c r="AE196" s="16">
        <f>AD$196*Exogenous!AP$28/Exogenous!AO$28</f>
        <v>31.206906021021624</v>
      </c>
      <c r="AF196" s="16">
        <f>AE$196*Exogenous!AQ$28/Exogenous!AP$28</f>
        <v>32.558613487470808</v>
      </c>
      <c r="AG196" s="16">
        <f>AF$196*Exogenous!AR$28/Exogenous!AQ$28</f>
        <v>33.924165567755928</v>
      </c>
      <c r="AH196" s="16">
        <f>AG$196*Exogenous!AS$28/Exogenous!AR$28</f>
        <v>35.352079186890315</v>
      </c>
      <c r="AI196" s="16">
        <f>AH$196*Exogenous!AT$28/Exogenous!AS$28</f>
        <v>36.816918391088883</v>
      </c>
      <c r="AJ196" s="16">
        <f>AI$196*Exogenous!AU$28/Exogenous!AT$28</f>
        <v>38.332454825972015</v>
      </c>
      <c r="AK196" s="16">
        <f>AJ$196*Exogenous!AV$28/Exogenous!AU$28</f>
        <v>39.922910287862827</v>
      </c>
      <c r="AL196" s="16">
        <f>AK$196*Exogenous!AW$28/Exogenous!AV$28</f>
        <v>41.553197819467911</v>
      </c>
      <c r="AM196" s="16">
        <f>AL$196*Exogenous!AX$28/Exogenous!AW$28</f>
        <v>43.23301615824316</v>
      </c>
      <c r="AN196" s="16">
        <f>AM$196*Exogenous!AY$28/Exogenous!AX$28</f>
        <v>45.004570947329782</v>
      </c>
      <c r="AO196" s="16">
        <f>AN$196*Exogenous!AZ$28/Exogenous!AY$28</f>
        <v>46.788977101711438</v>
      </c>
      <c r="AP196" s="16">
        <f>AO$196*Exogenous!BA$28/Exogenous!AZ$28</f>
        <v>48.67334471393103</v>
      </c>
      <c r="AQ196" s="16">
        <f>AP$196*Exogenous!BB$28/Exogenous!BA$28</f>
        <v>50.670340734790372</v>
      </c>
      <c r="AR196" s="16">
        <f>AQ$196*Exogenous!BC$28/Exogenous!BB$28</f>
        <v>52.749270576527785</v>
      </c>
      <c r="AS196" s="16">
        <f>AR$196*Exogenous!BD$28/Exogenous!BC$28</f>
        <v>54.913495863770251</v>
      </c>
      <c r="AT196" s="16">
        <f>AS$196*Exogenous!BE$28/Exogenous!BD$28</f>
        <v>57.16651614367796</v>
      </c>
      <c r="AU196" s="16">
        <f>AT$196*Exogenous!BF$28/Exogenous!BE$28</f>
        <v>59.511974544703797</v>
      </c>
      <c r="AV196" s="16">
        <f>AU$196*Exogenous!BG$28/Exogenous!BF$28</f>
        <v>61.953663667523429</v>
      </c>
      <c r="AW196" s="16">
        <f>AV$196*Exogenous!BH$28/Exogenous!BG$28</f>
        <v>64.495531717661578</v>
      </c>
      <c r="AX196" s="16">
        <f>AW$196*Exogenous!BI$28/Exogenous!BH$28</f>
        <v>67.141688889731043</v>
      </c>
    </row>
    <row r="197" spans="1:50" x14ac:dyDescent="0.25">
      <c r="A197" s="11" t="s">
        <v>875</v>
      </c>
      <c r="B197" s="10" t="str">
        <f t="shared" si="1109"/>
        <v>From Fiscal Forecasts</v>
      </c>
      <c r="C197" s="13"/>
      <c r="D197" s="35">
        <f>'Fiscal Forecasts'!D$40-SUM(D$195:D$196)</f>
        <v>-1.5169999999999959</v>
      </c>
      <c r="E197" s="35">
        <f>'Fiscal Forecasts'!E$40-SUM(E$195:E$196)</f>
        <v>-1.7910000000000039</v>
      </c>
      <c r="F197" s="35">
        <f>'Fiscal Forecasts'!F$40-SUM(F$195:F$196)</f>
        <v>-1.8350000000000009</v>
      </c>
      <c r="G197" s="35">
        <f>'Fiscal Forecasts'!G$40-SUM(G$195:G$196)</f>
        <v>-1.9450000000000003</v>
      </c>
      <c r="H197" s="35">
        <f>'Fiscal Forecasts'!H$40-SUM(H$195:H$196)</f>
        <v>-1.9980000000000047</v>
      </c>
      <c r="I197" s="35">
        <f>'Fiscal Forecasts'!I$40-SUM(I$195:I$196)</f>
        <v>-2.2269999999999968</v>
      </c>
      <c r="J197" s="17">
        <f>'Fiscal Forecasts'!J$40-SUM(J$195:J$196)+Allocation!C$12</f>
        <v>-2.4979999999999984</v>
      </c>
      <c r="K197" s="17">
        <f>'Fiscal Forecasts'!K$40-SUM(K$195:K$196)+Allocation!D$12</f>
        <v>-2.7970000000000073</v>
      </c>
      <c r="L197" s="17">
        <f>'Fiscal Forecasts'!L$40-SUM(L$195:L$196)+Allocation!E$12</f>
        <v>-2.9379999999999948</v>
      </c>
      <c r="M197" s="17">
        <f>'Fiscal Forecasts'!M$40-SUM(M$195:M$196)+Allocation!F$12</f>
        <v>-3.0269999999999948</v>
      </c>
      <c r="N197" s="17">
        <f>'Fiscal Forecasts'!N$40-SUM(N$195:N$196)+Allocation!G$12</f>
        <v>-3.0949999999999926</v>
      </c>
      <c r="O197" s="16">
        <f>N$197*Exogenous!Z$27/Exogenous!Y$27</f>
        <v>-3.3271249999999917</v>
      </c>
      <c r="P197" s="16">
        <f>O$197*Exogenous!AA$27/Exogenous!Z$27</f>
        <v>-3.5766593749999909</v>
      </c>
      <c r="Q197" s="16">
        <f>P$197*Exogenous!AB$27/Exogenous!AA$27</f>
        <v>-3.8449088281249901</v>
      </c>
      <c r="R197" s="16">
        <f>Q$197*Exogenous!AC$27/Exogenous!AB$27</f>
        <v>-4.1332769902343642</v>
      </c>
      <c r="S197" s="16">
        <f>R$197*Exogenous!AD$27/Exogenous!AC$27</f>
        <v>-4.4432727645019412</v>
      </c>
      <c r="T197" s="16">
        <f>S$197*Exogenous!AE$27/Exogenous!AD$27</f>
        <v>-4.7765182218395861</v>
      </c>
      <c r="U197" s="16">
        <f>T$197*Exogenous!AF$27/Exogenous!AE$27</f>
        <v>-5.1347570884775564</v>
      </c>
      <c r="V197" s="16">
        <f>U$197*Exogenous!AG$27/Exogenous!AF$27</f>
        <v>-5.339615836036991</v>
      </c>
      <c r="W197" s="16">
        <f>V$197*Exogenous!AH$27/Exogenous!AG$27</f>
        <v>-5.48691862711601</v>
      </c>
      <c r="X197" s="16">
        <f>W$197*Exogenous!AI$27/Exogenous!AH$27</f>
        <v>-5.6476138435834615</v>
      </c>
      <c r="Y197" s="16">
        <f>X$197*Exogenous!AJ$27/Exogenous!AI$27</f>
        <v>-5.8145171214997919</v>
      </c>
      <c r="Z197" s="16">
        <f>Y$197*Exogenous!AK$27/Exogenous!AJ$27</f>
        <v>-5.9967400785266509</v>
      </c>
      <c r="AA197" s="16">
        <f>Z$197*Exogenous!AL$27/Exogenous!AK$27</f>
        <v>-6.1920693611496516</v>
      </c>
      <c r="AB197" s="16">
        <f>AA$197*Exogenous!AM$27/Exogenous!AL$27</f>
        <v>-6.3991529506666378</v>
      </c>
      <c r="AC197" s="16">
        <f>AB$197*Exogenous!AN$27/Exogenous!AM$27</f>
        <v>-6.6211452200461807</v>
      </c>
      <c r="AD197" s="16">
        <f>AC$197*Exogenous!AO$27/Exogenous!AN$27</f>
        <v>-6.852289026493974</v>
      </c>
      <c r="AE197" s="16">
        <f>AD$197*Exogenous!AP$27/Exogenous!AO$27</f>
        <v>-7.0937190395535001</v>
      </c>
      <c r="AF197" s="16">
        <f>AE$197*Exogenous!AQ$27/Exogenous!AP$27</f>
        <v>-7.3427159175861529</v>
      </c>
      <c r="AG197" s="16">
        <f>AF$197*Exogenous!AR$27/Exogenous!AQ$27</f>
        <v>-7.5980311141903041</v>
      </c>
      <c r="AH197" s="16">
        <f>AG$197*Exogenous!AS$27/Exogenous!AR$27</f>
        <v>-7.8612754672326455</v>
      </c>
      <c r="AI197" s="16">
        <f>AH$197*Exogenous!AT$27/Exogenous!AS$27</f>
        <v>-8.127846654991993</v>
      </c>
      <c r="AJ197" s="16">
        <f>AI$197*Exogenous!AU$27/Exogenous!AT$27</f>
        <v>-8.4019430580410184</v>
      </c>
      <c r="AK197" s="16">
        <f>AJ$197*Exogenous!AV$27/Exogenous!AU$27</f>
        <v>-8.6832098530275275</v>
      </c>
      <c r="AL197" s="16">
        <f>AK$197*Exogenous!AW$27/Exogenous!AV$27</f>
        <v>-9.0427614124385443</v>
      </c>
      <c r="AM197" s="16">
        <f>AL$197*Exogenous!AX$27/Exogenous!AW$27</f>
        <v>-9.4187739591473605</v>
      </c>
      <c r="AN197" s="16">
        <f>AM$197*Exogenous!AY$27/Exogenous!AX$27</f>
        <v>-9.8089068828726109</v>
      </c>
      <c r="AO197" s="16">
        <f>AN$197*Exogenous!AZ$27/Exogenous!AY$27</f>
        <v>-10.216740448540623</v>
      </c>
      <c r="AP197" s="16">
        <f>AO$197*Exogenous!BA$27/Exogenous!AZ$27</f>
        <v>-10.643063275713786</v>
      </c>
      <c r="AQ197" s="16">
        <f>AP$197*Exogenous!BB$27/Exogenous!BA$27</f>
        <v>-11.045629008732012</v>
      </c>
      <c r="AR197" s="16">
        <f>AQ$197*Exogenous!BC$27/Exogenous!BB$27</f>
        <v>-11.463421482886908</v>
      </c>
      <c r="AS197" s="16">
        <f>AR$197*Exogenous!BD$27/Exogenous!BC$27</f>
        <v>-11.897016638022896</v>
      </c>
      <c r="AT197" s="16">
        <f>AS$197*Exogenous!BE$27/Exogenous!BD$27</f>
        <v>-12.34701219846877</v>
      </c>
      <c r="AU197" s="16">
        <f>AT$197*Exogenous!BF$27/Exogenous!BE$27</f>
        <v>-12.814028497019171</v>
      </c>
      <c r="AV197" s="16">
        <f>AU$197*Exogenous!BG$27/Exogenous!BF$27</f>
        <v>-13.298709330082527</v>
      </c>
      <c r="AW197" s="16">
        <f>AV$197*Exogenous!BH$27/Exogenous!BG$27</f>
        <v>-13.801722845174305</v>
      </c>
      <c r="AX197" s="16">
        <f>AW$197*Exogenous!BI$27/Exogenous!BH$27</f>
        <v>-14.323762461979024</v>
      </c>
    </row>
    <row r="198" spans="1:50" x14ac:dyDescent="0.25">
      <c r="A198" s="9" t="s">
        <v>877</v>
      </c>
      <c r="C198" s="13"/>
      <c r="D198" s="64">
        <f t="shared" ref="D198:I198" si="1110">SUM(D$195:D$197)</f>
        <v>33.902000000000001</v>
      </c>
      <c r="E198" s="64">
        <f t="shared" si="1110"/>
        <v>49.9</v>
      </c>
      <c r="F198" s="64">
        <f t="shared" si="1110"/>
        <v>42.892000000000003</v>
      </c>
      <c r="G198" s="64">
        <f t="shared" si="1110"/>
        <v>48.302999999999997</v>
      </c>
      <c r="H198" s="64">
        <f t="shared" si="1110"/>
        <v>48.844999999999999</v>
      </c>
      <c r="I198" s="64">
        <f t="shared" si="1110"/>
        <v>53.996000000000002</v>
      </c>
      <c r="J198" s="65">
        <f t="shared" ref="J198:AX198" si="1111">SUM(J$195:J$197)</f>
        <v>57.298999999999999</v>
      </c>
      <c r="K198" s="65">
        <f t="shared" si="1111"/>
        <v>59.363800000000005</v>
      </c>
      <c r="L198" s="65">
        <f t="shared" si="1111"/>
        <v>61.63456</v>
      </c>
      <c r="M198" s="65">
        <f t="shared" si="1111"/>
        <v>63.822560000000003</v>
      </c>
      <c r="N198" s="65">
        <f t="shared" si="1111"/>
        <v>65.394919999999999</v>
      </c>
      <c r="O198" s="66">
        <f t="shared" ca="1" si="1111"/>
        <v>68.001378983952847</v>
      </c>
      <c r="P198" s="66">
        <f t="shared" ca="1" si="1111"/>
        <v>71.140434754690858</v>
      </c>
      <c r="Q198" s="66">
        <f t="shared" ca="1" si="1111"/>
        <v>74.394779695559336</v>
      </c>
      <c r="R198" s="66">
        <f t="shared" ca="1" si="1111"/>
        <v>77.718903149745799</v>
      </c>
      <c r="S198" s="66">
        <f t="shared" ca="1" si="1111"/>
        <v>81.148305744547187</v>
      </c>
      <c r="T198" s="66">
        <f t="shared" ca="1" si="1111"/>
        <v>84.604462570650156</v>
      </c>
      <c r="U198" s="66">
        <f t="shared" ca="1" si="1111"/>
        <v>88.250456289386804</v>
      </c>
      <c r="V198" s="66">
        <f t="shared" ca="1" si="1111"/>
        <v>92.124897275726283</v>
      </c>
      <c r="W198" s="66">
        <f t="shared" ca="1" si="1111"/>
        <v>96.103041686645469</v>
      </c>
      <c r="X198" s="66">
        <f t="shared" ca="1" si="1111"/>
        <v>100.13750243799406</v>
      </c>
      <c r="Y198" s="66">
        <f t="shared" ca="1" si="1111"/>
        <v>104.42159424586498</v>
      </c>
      <c r="Z198" s="66">
        <f t="shared" ca="1" si="1111"/>
        <v>108.79859475264762</v>
      </c>
      <c r="AA198" s="66">
        <f t="shared" ca="1" si="1111"/>
        <v>113.32189488671746</v>
      </c>
      <c r="AB198" s="66">
        <f t="shared" ca="1" si="1111"/>
        <v>117.942227997682</v>
      </c>
      <c r="AC198" s="66">
        <f t="shared" ca="1" si="1111"/>
        <v>122.82636637670333</v>
      </c>
      <c r="AD198" s="66">
        <f t="shared" ca="1" si="1111"/>
        <v>127.86511281034247</v>
      </c>
      <c r="AE198" s="66">
        <f t="shared" ca="1" si="1111"/>
        <v>133.13258622640632</v>
      </c>
      <c r="AF198" s="66">
        <f t="shared" ca="1" si="1111"/>
        <v>138.68210794661516</v>
      </c>
      <c r="AG198" s="66">
        <f t="shared" ca="1" si="1111"/>
        <v>144.4807239412425</v>
      </c>
      <c r="AH198" s="66">
        <f t="shared" ca="1" si="1111"/>
        <v>150.54244408039276</v>
      </c>
      <c r="AI198" s="66">
        <f t="shared" ca="1" si="1111"/>
        <v>156.87599711191018</v>
      </c>
      <c r="AJ198" s="66">
        <f t="shared" ca="1" si="1111"/>
        <v>163.49378183624995</v>
      </c>
      <c r="AK198" s="66">
        <f t="shared" ca="1" si="1111"/>
        <v>170.5280951750652</v>
      </c>
      <c r="AL198" s="66">
        <f t="shared" ca="1" si="1111"/>
        <v>177.88110372536732</v>
      </c>
      <c r="AM198" s="66">
        <f t="shared" ca="1" si="1111"/>
        <v>185.55727614189919</v>
      </c>
      <c r="AN198" s="66">
        <f t="shared" ca="1" si="1111"/>
        <v>193.71710904686191</v>
      </c>
      <c r="AO198" s="66">
        <f t="shared" ca="1" si="1111"/>
        <v>202.18536870194862</v>
      </c>
      <c r="AP198" s="66">
        <f t="shared" ca="1" si="1111"/>
        <v>210.97327828514696</v>
      </c>
      <c r="AQ198" s="66">
        <f t="shared" ca="1" si="1111"/>
        <v>220.08697352734691</v>
      </c>
      <c r="AR198" s="66">
        <f t="shared" ca="1" si="1111"/>
        <v>229.3983835523089</v>
      </c>
      <c r="AS198" s="66">
        <f t="shared" ca="1" si="1111"/>
        <v>239.01454365761603</v>
      </c>
      <c r="AT198" s="66">
        <f t="shared" ca="1" si="1111"/>
        <v>248.87823759050238</v>
      </c>
      <c r="AU198" s="66">
        <f t="shared" ca="1" si="1111"/>
        <v>259.006975055883</v>
      </c>
      <c r="AV198" s="66">
        <f t="shared" ca="1" si="1111"/>
        <v>269.46913246776194</v>
      </c>
      <c r="AW198" s="66">
        <f t="shared" ca="1" si="1111"/>
        <v>280.19342739672032</v>
      </c>
      <c r="AX198" s="66">
        <f t="shared" ca="1" si="1111"/>
        <v>291.4684237326365</v>
      </c>
    </row>
    <row r="199" spans="1:50" x14ac:dyDescent="0.25">
      <c r="A199" s="12" t="s">
        <v>151</v>
      </c>
      <c r="C199" s="13"/>
      <c r="D199" s="11"/>
      <c r="E199" s="11"/>
      <c r="F199" s="11"/>
      <c r="G199" s="11"/>
      <c r="H199" s="11"/>
      <c r="I199" s="11"/>
      <c r="J199" s="11"/>
      <c r="K199" s="11"/>
      <c r="L199" s="11"/>
      <c r="M199" s="11"/>
    </row>
    <row r="200" spans="1:50" x14ac:dyDescent="0.25">
      <c r="A200" s="11" t="s">
        <v>152</v>
      </c>
      <c r="C200" s="13"/>
      <c r="D200" s="39">
        <f>'Economic Forecasts'!Q$18</f>
        <v>1205.79</v>
      </c>
      <c r="E200" s="39">
        <f>'Economic Forecasts'!R$18</f>
        <v>1241.4100000000001</v>
      </c>
      <c r="F200" s="39">
        <f>'Economic Forecasts'!S$18</f>
        <v>1287.81</v>
      </c>
      <c r="G200" s="39">
        <f>'Economic Forecasts'!T$18</f>
        <v>1360.1</v>
      </c>
      <c r="H200" s="39">
        <f>'Economic Forecasts'!U$18</f>
        <v>1462.81</v>
      </c>
      <c r="I200" s="39">
        <f>'Economic Forecasts'!V$18</f>
        <v>1556.16</v>
      </c>
      <c r="J200" s="27">
        <f>'Economic Forecasts'!W$18</f>
        <v>1622.73</v>
      </c>
      <c r="K200" s="27">
        <f>'Economic Forecasts'!X$18</f>
        <v>1651.37</v>
      </c>
      <c r="L200" s="27">
        <f>'Economic Forecasts'!Y$18</f>
        <v>1688.46</v>
      </c>
      <c r="M200" s="27">
        <f>'Economic Forecasts'!Z$18</f>
        <v>1731.59</v>
      </c>
      <c r="N200" s="27">
        <f>'Economic Forecasts'!AA$18</f>
        <v>1778.16</v>
      </c>
      <c r="O200" s="26">
        <f t="shared" ref="O200:AX200" ca="1" si="1112">N$200*(1+O$26)</f>
        <v>1830.0467088</v>
      </c>
      <c r="P200" s="26">
        <f t="shared" ca="1" si="1112"/>
        <v>1883.4474717627841</v>
      </c>
      <c r="Q200" s="26">
        <f t="shared" ca="1" si="1112"/>
        <v>1938.4064689888221</v>
      </c>
      <c r="R200" s="26">
        <f t="shared" ca="1" si="1112"/>
        <v>1994.9691697539158</v>
      </c>
      <c r="S200" s="26">
        <f t="shared" ca="1" si="1112"/>
        <v>2053.1823701273352</v>
      </c>
      <c r="T200" s="26">
        <f t="shared" ca="1" si="1112"/>
        <v>2113.0942316876508</v>
      </c>
      <c r="U200" s="26">
        <f t="shared" ca="1" si="1112"/>
        <v>2174.7543213682966</v>
      </c>
      <c r="V200" s="26">
        <f t="shared" ca="1" si="1112"/>
        <v>2238.2136524658235</v>
      </c>
      <c r="W200" s="26">
        <f t="shared" ca="1" si="1112"/>
        <v>2303.5247268447761</v>
      </c>
      <c r="X200" s="26">
        <f t="shared" ca="1" si="1112"/>
        <v>2370.7415783741067</v>
      </c>
      <c r="Y200" s="26">
        <f t="shared" ca="1" si="1112"/>
        <v>2439.9198176310629</v>
      </c>
      <c r="Z200" s="26">
        <f t="shared" ca="1" si="1112"/>
        <v>2511.1166779095374</v>
      </c>
      <c r="AA200" s="26">
        <f t="shared" ca="1" si="1112"/>
        <v>2584.3910625709377</v>
      </c>
      <c r="AB200" s="26">
        <f t="shared" ca="1" si="1112"/>
        <v>2659.8035937767577</v>
      </c>
      <c r="AC200" s="26">
        <f t="shared" ca="1" si="1112"/>
        <v>2737.4166626431634</v>
      </c>
      <c r="AD200" s="26">
        <f t="shared" ca="1" si="1112"/>
        <v>2817.294480859091</v>
      </c>
      <c r="AE200" s="26">
        <f t="shared" ca="1" si="1112"/>
        <v>2899.5031338105591</v>
      </c>
      <c r="AF200" s="26">
        <f t="shared" ca="1" si="1112"/>
        <v>2984.110635255151</v>
      </c>
      <c r="AG200" s="26">
        <f t="shared" ca="1" si="1112"/>
        <v>3071.1869835918965</v>
      </c>
      <c r="AH200" s="26">
        <f t="shared" ca="1" si="1112"/>
        <v>3160.8042197731079</v>
      </c>
      <c r="AI200" s="26">
        <f t="shared" ca="1" si="1112"/>
        <v>3253.0364869060872</v>
      </c>
      <c r="AJ200" s="26">
        <f t="shared" ca="1" si="1112"/>
        <v>3347.9600915940068</v>
      </c>
      <c r="AK200" s="26">
        <f t="shared" ca="1" si="1112"/>
        <v>3445.6535670667199</v>
      </c>
      <c r="AL200" s="26">
        <f t="shared" ca="1" si="1112"/>
        <v>3546.1977381537267</v>
      </c>
      <c r="AM200" s="26">
        <f t="shared" ca="1" si="1112"/>
        <v>3649.6757881530525</v>
      </c>
      <c r="AN200" s="26">
        <f t="shared" ca="1" si="1112"/>
        <v>3756.1733276513587</v>
      </c>
      <c r="AO200" s="26">
        <f t="shared" ca="1" si="1112"/>
        <v>3865.7784653522253</v>
      </c>
      <c r="AP200" s="26">
        <f t="shared" ca="1" si="1112"/>
        <v>3978.5818809712032</v>
      </c>
      <c r="AQ200" s="26">
        <f t="shared" ca="1" si="1112"/>
        <v>4094.6769002579426</v>
      </c>
      <c r="AR200" s="26">
        <f t="shared" ca="1" si="1112"/>
        <v>4214.159572207469</v>
      </c>
      <c r="AS200" s="26">
        <f t="shared" ca="1" si="1112"/>
        <v>4337.1287485244829</v>
      </c>
      <c r="AT200" s="26">
        <f t="shared" ca="1" si="1112"/>
        <v>4463.6861654064269</v>
      </c>
      <c r="AU200" s="26">
        <f t="shared" ca="1" si="1112"/>
        <v>4593.9365277129864</v>
      </c>
      <c r="AV200" s="26">
        <f t="shared" ca="1" si="1112"/>
        <v>4727.9875955916514</v>
      </c>
      <c r="AW200" s="26">
        <f t="shared" ca="1" si="1112"/>
        <v>4865.950273631016</v>
      </c>
      <c r="AX200" s="26">
        <f t="shared" ca="1" si="1112"/>
        <v>5007.9387026155691</v>
      </c>
    </row>
    <row r="201" spans="1:50" x14ac:dyDescent="0.25">
      <c r="A201" s="11" t="s">
        <v>68</v>
      </c>
      <c r="C201" s="13"/>
      <c r="D201" s="39">
        <f>'Economic Forecasts'!Q$19</f>
        <v>958.37</v>
      </c>
      <c r="E201" s="39">
        <f>'Economic Forecasts'!R$19</f>
        <v>987.95</v>
      </c>
      <c r="F201" s="39">
        <f>'Economic Forecasts'!S$19</f>
        <v>1018.53</v>
      </c>
      <c r="G201" s="39">
        <f>'Economic Forecasts'!T$19</f>
        <v>1066.06</v>
      </c>
      <c r="H201" s="39">
        <f>'Economic Forecasts'!U$19</f>
        <v>1132.5999999999999</v>
      </c>
      <c r="I201" s="39">
        <f>'Economic Forecasts'!V$19</f>
        <v>1192.4000000000001</v>
      </c>
      <c r="J201" s="27">
        <f>'Economic Forecasts'!W$19</f>
        <v>1255.05</v>
      </c>
      <c r="K201" s="27">
        <f>'Economic Forecasts'!X$19</f>
        <v>1272.31</v>
      </c>
      <c r="L201" s="27">
        <f>'Economic Forecasts'!Y$19</f>
        <v>1295.19</v>
      </c>
      <c r="M201" s="27">
        <f>'Economic Forecasts'!Z$19</f>
        <v>1323.35</v>
      </c>
      <c r="N201" s="27">
        <f>'Economic Forecasts'!AA$19</f>
        <v>1353.55</v>
      </c>
      <c r="O201" s="26">
        <f ca="1">IF(O$6&lt;OFFSET(Assumptions!$B$8,0,$C$1)+OFFSET(Assumptions!$B$34,0,$C$1),O$200-ROUND(IF(ROUNDDOWN(52*O$200,0)&gt;Exogenous!$C$59,(ROUNDDOWN(52*O$200,0)-Exogenous!$C$59)*Exogenous!$B$60+Exogenous!$E$59,IF(ROUNDDOWN(52*O$200,0)&gt;Exogenous!$C$58,(ROUNDDOWN(52*O$200,0)-Exogenous!$C$58)*Exogenous!$B$59+Exogenous!$E$58,IF(ROUNDDOWN(52*O$200,0)&gt;Exogenous!$C$57,(ROUNDDOWN(52*O$200,0)-Exogenous!$C$57)*Exogenous!$B$58+Exogenous!$E$57,IF(ROUNDDOWN(52*O$200,0)&gt;Exogenous!$C$56,(ROUNDDOWN(52*O$200,0)-Exogenous!$C$56)*Exogenous!$B$57+Exogenous!$E$56,ROUNDDOWN(52*O$200,0)*Exogenous!$B$56))))/52+O$200*Exogenous!$B$61,2),ROUND(N$201*(1+O$26),2))</f>
        <v>1393.05</v>
      </c>
      <c r="P201" s="26">
        <f ca="1">IF(P$6&lt;OFFSET(Assumptions!$B$8,0,$C$1)+OFFSET(Assumptions!$B$34,0,$C$1),P$200-ROUND(IF(ROUNDDOWN(52*P$200,0)&gt;Exogenous!$C$59,(ROUNDDOWN(52*P$200,0)-Exogenous!$C$59)*Exogenous!$B$60+Exogenous!$E$59,IF(ROUNDDOWN(52*P$200,0)&gt;Exogenous!$C$58,(ROUNDDOWN(52*P$200,0)-Exogenous!$C$58)*Exogenous!$B$59+Exogenous!$E$58,IF(ROUNDDOWN(52*P$200,0)&gt;Exogenous!$C$57,(ROUNDDOWN(52*P$200,0)-Exogenous!$C$57)*Exogenous!$B$58+Exogenous!$E$57,IF(ROUNDDOWN(52*P$200,0)&gt;Exogenous!$C$56,(ROUNDDOWN(52*P$200,0)-Exogenous!$C$56)*Exogenous!$B$57+Exogenous!$E$56,ROUNDDOWN(52*P$200,0)*Exogenous!$B$56))))/52+P$200*Exogenous!$B$61,2),ROUND(O$201*(1+P$26),2))</f>
        <v>1433.7</v>
      </c>
      <c r="Q201" s="26">
        <f ca="1">IF(Q$6&lt;OFFSET(Assumptions!$B$8,0,$C$1)+OFFSET(Assumptions!$B$34,0,$C$1),Q$200-ROUND(IF(ROUNDDOWN(52*Q$200,0)&gt;Exogenous!$C$59,(ROUNDDOWN(52*Q$200,0)-Exogenous!$C$59)*Exogenous!$B$60+Exogenous!$E$59,IF(ROUNDDOWN(52*Q$200,0)&gt;Exogenous!$C$58,(ROUNDDOWN(52*Q$200,0)-Exogenous!$C$58)*Exogenous!$B$59+Exogenous!$E$58,IF(ROUNDDOWN(52*Q$200,0)&gt;Exogenous!$C$57,(ROUNDDOWN(52*Q$200,0)-Exogenous!$C$57)*Exogenous!$B$58+Exogenous!$E$57,IF(ROUNDDOWN(52*Q$200,0)&gt;Exogenous!$C$56,(ROUNDDOWN(52*Q$200,0)-Exogenous!$C$56)*Exogenous!$B$57+Exogenous!$E$56,ROUNDDOWN(52*Q$200,0)*Exogenous!$B$56))))/52+Q$200*Exogenous!$B$61,2),ROUND(P$201*(1+Q$26),2))</f>
        <v>1475.54</v>
      </c>
      <c r="R201" s="26">
        <f ca="1">IF(R$6&lt;OFFSET(Assumptions!$B$8,0,$C$1)+OFFSET(Assumptions!$B$34,0,$C$1),R$200-ROUND(IF(ROUNDDOWN(52*R$200,0)&gt;Exogenous!$C$59,(ROUNDDOWN(52*R$200,0)-Exogenous!$C$59)*Exogenous!$B$60+Exogenous!$E$59,IF(ROUNDDOWN(52*R$200,0)&gt;Exogenous!$C$58,(ROUNDDOWN(52*R$200,0)-Exogenous!$C$58)*Exogenous!$B$59+Exogenous!$E$58,IF(ROUNDDOWN(52*R$200,0)&gt;Exogenous!$C$57,(ROUNDDOWN(52*R$200,0)-Exogenous!$C$57)*Exogenous!$B$58+Exogenous!$E$57,IF(ROUNDDOWN(52*R$200,0)&gt;Exogenous!$C$56,(ROUNDDOWN(52*R$200,0)-Exogenous!$C$56)*Exogenous!$B$57+Exogenous!$E$56,ROUNDDOWN(52*R$200,0)*Exogenous!$B$56))))/52+R$200*Exogenous!$B$61,2),ROUND(Q$201*(1+R$26),2))</f>
        <v>1518.6</v>
      </c>
      <c r="S201" s="26">
        <f ca="1">IF(S$6&lt;OFFSET(Assumptions!$B$8,0,$C$1)+OFFSET(Assumptions!$B$34,0,$C$1),S$200-ROUND(IF(ROUNDDOWN(52*S$200,0)&gt;Exogenous!$C$59,(ROUNDDOWN(52*S$200,0)-Exogenous!$C$59)*Exogenous!$B$60+Exogenous!$E$59,IF(ROUNDDOWN(52*S$200,0)&gt;Exogenous!$C$58,(ROUNDDOWN(52*S$200,0)-Exogenous!$C$58)*Exogenous!$B$59+Exogenous!$E$58,IF(ROUNDDOWN(52*S$200,0)&gt;Exogenous!$C$57,(ROUNDDOWN(52*S$200,0)-Exogenous!$C$57)*Exogenous!$B$58+Exogenous!$E$57,IF(ROUNDDOWN(52*S$200,0)&gt;Exogenous!$C$56,(ROUNDDOWN(52*S$200,0)-Exogenous!$C$56)*Exogenous!$B$57+Exogenous!$E$56,ROUNDDOWN(52*S$200,0)*Exogenous!$B$56))))/52+S$200*Exogenous!$B$61,2),ROUND(R$201*(1+S$26),2))</f>
        <v>1562.91</v>
      </c>
      <c r="T201" s="26">
        <f ca="1">IF(T$6&lt;OFFSET(Assumptions!$B$8,0,$C$1)+OFFSET(Assumptions!$B$34,0,$C$1),T$200-ROUND(IF(ROUNDDOWN(52*T$200,0)&gt;Exogenous!$C$59,(ROUNDDOWN(52*T$200,0)-Exogenous!$C$59)*Exogenous!$B$60+Exogenous!$E$59,IF(ROUNDDOWN(52*T$200,0)&gt;Exogenous!$C$58,(ROUNDDOWN(52*T$200,0)-Exogenous!$C$58)*Exogenous!$B$59+Exogenous!$E$58,IF(ROUNDDOWN(52*T$200,0)&gt;Exogenous!$C$57,(ROUNDDOWN(52*T$200,0)-Exogenous!$C$57)*Exogenous!$B$58+Exogenous!$E$57,IF(ROUNDDOWN(52*T$200,0)&gt;Exogenous!$C$56,(ROUNDDOWN(52*T$200,0)-Exogenous!$C$56)*Exogenous!$B$57+Exogenous!$E$56,ROUNDDOWN(52*T$200,0)*Exogenous!$B$56))))/52+T$200*Exogenous!$B$61,2),ROUND(S$201*(1+T$26),2))</f>
        <v>1608.52</v>
      </c>
      <c r="U201" s="26">
        <f ca="1">IF(U$6&lt;OFFSET(Assumptions!$B$8,0,$C$1)+OFFSET(Assumptions!$B$34,0,$C$1),U$200-ROUND(IF(ROUNDDOWN(52*U$200,0)&gt;Exogenous!$C$59,(ROUNDDOWN(52*U$200,0)-Exogenous!$C$59)*Exogenous!$B$60+Exogenous!$E$59,IF(ROUNDDOWN(52*U$200,0)&gt;Exogenous!$C$58,(ROUNDDOWN(52*U$200,0)-Exogenous!$C$58)*Exogenous!$B$59+Exogenous!$E$58,IF(ROUNDDOWN(52*U$200,0)&gt;Exogenous!$C$57,(ROUNDDOWN(52*U$200,0)-Exogenous!$C$57)*Exogenous!$B$58+Exogenous!$E$57,IF(ROUNDDOWN(52*U$200,0)&gt;Exogenous!$C$56,(ROUNDDOWN(52*U$200,0)-Exogenous!$C$56)*Exogenous!$B$57+Exogenous!$E$56,ROUNDDOWN(52*U$200,0)*Exogenous!$B$56))))/52+U$200*Exogenous!$B$61,2),ROUND(T$201*(1+U$26),2))</f>
        <v>1655.46</v>
      </c>
      <c r="V201" s="26">
        <f ca="1">IF(V$6&lt;OFFSET(Assumptions!$B$8,0,$C$1)+OFFSET(Assumptions!$B$34,0,$C$1),V$200-ROUND(IF(ROUNDDOWN(52*V$200,0)&gt;Exogenous!$C$59,(ROUNDDOWN(52*V$200,0)-Exogenous!$C$59)*Exogenous!$B$60+Exogenous!$E$59,IF(ROUNDDOWN(52*V$200,0)&gt;Exogenous!$C$58,(ROUNDDOWN(52*V$200,0)-Exogenous!$C$58)*Exogenous!$B$59+Exogenous!$E$58,IF(ROUNDDOWN(52*V$200,0)&gt;Exogenous!$C$57,(ROUNDDOWN(52*V$200,0)-Exogenous!$C$57)*Exogenous!$B$58+Exogenous!$E$57,IF(ROUNDDOWN(52*V$200,0)&gt;Exogenous!$C$56,(ROUNDDOWN(52*V$200,0)-Exogenous!$C$56)*Exogenous!$B$57+Exogenous!$E$56,ROUNDDOWN(52*V$200,0)*Exogenous!$B$56))))/52+V$200*Exogenous!$B$61,2),ROUND(U$201*(1+V$26),2))</f>
        <v>1703.77</v>
      </c>
      <c r="W201" s="26">
        <f ca="1">IF(W$6&lt;OFFSET(Assumptions!$B$8,0,$C$1)+OFFSET(Assumptions!$B$34,0,$C$1),W$200-ROUND(IF(ROUNDDOWN(52*W$200,0)&gt;Exogenous!$C$59,(ROUNDDOWN(52*W$200,0)-Exogenous!$C$59)*Exogenous!$B$60+Exogenous!$E$59,IF(ROUNDDOWN(52*W$200,0)&gt;Exogenous!$C$58,(ROUNDDOWN(52*W$200,0)-Exogenous!$C$58)*Exogenous!$B$59+Exogenous!$E$58,IF(ROUNDDOWN(52*W$200,0)&gt;Exogenous!$C$57,(ROUNDDOWN(52*W$200,0)-Exogenous!$C$57)*Exogenous!$B$58+Exogenous!$E$57,IF(ROUNDDOWN(52*W$200,0)&gt;Exogenous!$C$56,(ROUNDDOWN(52*W$200,0)-Exogenous!$C$56)*Exogenous!$B$57+Exogenous!$E$56,ROUNDDOWN(52*W$200,0)*Exogenous!$B$56))))/52+W$200*Exogenous!$B$61,2),ROUND(V$201*(1+W$26),2))</f>
        <v>1753.49</v>
      </c>
      <c r="X201" s="26">
        <f ca="1">IF(X$6&lt;OFFSET(Assumptions!$B$8,0,$C$1)+OFFSET(Assumptions!$B$34,0,$C$1),X$200-ROUND(IF(ROUNDDOWN(52*X$200,0)&gt;Exogenous!$C$59,(ROUNDDOWN(52*X$200,0)-Exogenous!$C$59)*Exogenous!$B$60+Exogenous!$E$59,IF(ROUNDDOWN(52*X$200,0)&gt;Exogenous!$C$58,(ROUNDDOWN(52*X$200,0)-Exogenous!$C$58)*Exogenous!$B$59+Exogenous!$E$58,IF(ROUNDDOWN(52*X$200,0)&gt;Exogenous!$C$57,(ROUNDDOWN(52*X$200,0)-Exogenous!$C$57)*Exogenous!$B$58+Exogenous!$E$57,IF(ROUNDDOWN(52*X$200,0)&gt;Exogenous!$C$56,(ROUNDDOWN(52*X$200,0)-Exogenous!$C$56)*Exogenous!$B$57+Exogenous!$E$56,ROUNDDOWN(52*X$200,0)*Exogenous!$B$56))))/52+X$200*Exogenous!$B$61,2),ROUND(W$201*(1+X$26),2))</f>
        <v>1804.66</v>
      </c>
      <c r="Y201" s="26">
        <f ca="1">IF(Y$6&lt;OFFSET(Assumptions!$B$8,0,$C$1)+OFFSET(Assumptions!$B$34,0,$C$1),Y$200-ROUND(IF(ROUNDDOWN(52*Y$200,0)&gt;Exogenous!$C$59,(ROUNDDOWN(52*Y$200,0)-Exogenous!$C$59)*Exogenous!$B$60+Exogenous!$E$59,IF(ROUNDDOWN(52*Y$200,0)&gt;Exogenous!$C$58,(ROUNDDOWN(52*Y$200,0)-Exogenous!$C$58)*Exogenous!$B$59+Exogenous!$E$58,IF(ROUNDDOWN(52*Y$200,0)&gt;Exogenous!$C$57,(ROUNDDOWN(52*Y$200,0)-Exogenous!$C$57)*Exogenous!$B$58+Exogenous!$E$57,IF(ROUNDDOWN(52*Y$200,0)&gt;Exogenous!$C$56,(ROUNDDOWN(52*Y$200,0)-Exogenous!$C$56)*Exogenous!$B$57+Exogenous!$E$56,ROUNDDOWN(52*Y$200,0)*Exogenous!$B$56))))/52+Y$200*Exogenous!$B$61,2),ROUND(X$201*(1+Y$26),2))</f>
        <v>1857.32</v>
      </c>
      <c r="Z201" s="26">
        <f ca="1">IF(Z$6&lt;OFFSET(Assumptions!$B$8,0,$C$1)+OFFSET(Assumptions!$B$34,0,$C$1),Z$200-ROUND(IF(ROUNDDOWN(52*Z$200,0)&gt;Exogenous!$C$59,(ROUNDDOWN(52*Z$200,0)-Exogenous!$C$59)*Exogenous!$B$60+Exogenous!$E$59,IF(ROUNDDOWN(52*Z$200,0)&gt;Exogenous!$C$58,(ROUNDDOWN(52*Z$200,0)-Exogenous!$C$58)*Exogenous!$B$59+Exogenous!$E$58,IF(ROUNDDOWN(52*Z$200,0)&gt;Exogenous!$C$57,(ROUNDDOWN(52*Z$200,0)-Exogenous!$C$57)*Exogenous!$B$58+Exogenous!$E$57,IF(ROUNDDOWN(52*Z$200,0)&gt;Exogenous!$C$56,(ROUNDDOWN(52*Z$200,0)-Exogenous!$C$56)*Exogenous!$B$57+Exogenous!$E$56,ROUNDDOWN(52*Z$200,0)*Exogenous!$B$56))))/52+Z$200*Exogenous!$B$61,2),ROUND(Y$201*(1+Z$26),2))</f>
        <v>1911.52</v>
      </c>
      <c r="AA201" s="26">
        <f ca="1">IF(AA$6&lt;OFFSET(Assumptions!$B$8,0,$C$1)+OFFSET(Assumptions!$B$34,0,$C$1),AA$200-ROUND(IF(ROUNDDOWN(52*AA$200,0)&gt;Exogenous!$C$59,(ROUNDDOWN(52*AA$200,0)-Exogenous!$C$59)*Exogenous!$B$60+Exogenous!$E$59,IF(ROUNDDOWN(52*AA$200,0)&gt;Exogenous!$C$58,(ROUNDDOWN(52*AA$200,0)-Exogenous!$C$58)*Exogenous!$B$59+Exogenous!$E$58,IF(ROUNDDOWN(52*AA$200,0)&gt;Exogenous!$C$57,(ROUNDDOWN(52*AA$200,0)-Exogenous!$C$57)*Exogenous!$B$58+Exogenous!$E$57,IF(ROUNDDOWN(52*AA$200,0)&gt;Exogenous!$C$56,(ROUNDDOWN(52*AA$200,0)-Exogenous!$C$56)*Exogenous!$B$57+Exogenous!$E$56,ROUNDDOWN(52*AA$200,0)*Exogenous!$B$56))))/52+AA$200*Exogenous!$B$61,2),ROUND(Z$201*(1+AA$26),2))</f>
        <v>1967.3</v>
      </c>
      <c r="AB201" s="26">
        <f ca="1">IF(AB$6&lt;OFFSET(Assumptions!$B$8,0,$C$1)+OFFSET(Assumptions!$B$34,0,$C$1),AB$200-ROUND(IF(ROUNDDOWN(52*AB$200,0)&gt;Exogenous!$C$59,(ROUNDDOWN(52*AB$200,0)-Exogenous!$C$59)*Exogenous!$B$60+Exogenous!$E$59,IF(ROUNDDOWN(52*AB$200,0)&gt;Exogenous!$C$58,(ROUNDDOWN(52*AB$200,0)-Exogenous!$C$58)*Exogenous!$B$59+Exogenous!$E$58,IF(ROUNDDOWN(52*AB$200,0)&gt;Exogenous!$C$57,(ROUNDDOWN(52*AB$200,0)-Exogenous!$C$57)*Exogenous!$B$58+Exogenous!$E$57,IF(ROUNDDOWN(52*AB$200,0)&gt;Exogenous!$C$56,(ROUNDDOWN(52*AB$200,0)-Exogenous!$C$56)*Exogenous!$B$57+Exogenous!$E$56,ROUNDDOWN(52*AB$200,0)*Exogenous!$B$56))))/52+AB$200*Exogenous!$B$61,2),ROUND(AA$201*(1+AB$26),2))</f>
        <v>2024.71</v>
      </c>
      <c r="AC201" s="26">
        <f ca="1">IF(AC$6&lt;OFFSET(Assumptions!$B$8,0,$C$1)+OFFSET(Assumptions!$B$34,0,$C$1),AC$200-ROUND(IF(ROUNDDOWN(52*AC$200,0)&gt;Exogenous!$C$59,(ROUNDDOWN(52*AC$200,0)-Exogenous!$C$59)*Exogenous!$B$60+Exogenous!$E$59,IF(ROUNDDOWN(52*AC$200,0)&gt;Exogenous!$C$58,(ROUNDDOWN(52*AC$200,0)-Exogenous!$C$58)*Exogenous!$B$59+Exogenous!$E$58,IF(ROUNDDOWN(52*AC$200,0)&gt;Exogenous!$C$57,(ROUNDDOWN(52*AC$200,0)-Exogenous!$C$57)*Exogenous!$B$58+Exogenous!$E$57,IF(ROUNDDOWN(52*AC$200,0)&gt;Exogenous!$C$56,(ROUNDDOWN(52*AC$200,0)-Exogenous!$C$56)*Exogenous!$B$57+Exogenous!$E$56,ROUNDDOWN(52*AC$200,0)*Exogenous!$B$56))))/52+AC$200*Exogenous!$B$61,2),ROUND(AB$201*(1+AC$26),2))</f>
        <v>2083.79</v>
      </c>
      <c r="AD201" s="26">
        <f ca="1">IF(AD$6&lt;OFFSET(Assumptions!$B$8,0,$C$1)+OFFSET(Assumptions!$B$34,0,$C$1),AD$200-ROUND(IF(ROUNDDOWN(52*AD$200,0)&gt;Exogenous!$C$59,(ROUNDDOWN(52*AD$200,0)-Exogenous!$C$59)*Exogenous!$B$60+Exogenous!$E$59,IF(ROUNDDOWN(52*AD$200,0)&gt;Exogenous!$C$58,(ROUNDDOWN(52*AD$200,0)-Exogenous!$C$58)*Exogenous!$B$59+Exogenous!$E$58,IF(ROUNDDOWN(52*AD$200,0)&gt;Exogenous!$C$57,(ROUNDDOWN(52*AD$200,0)-Exogenous!$C$57)*Exogenous!$B$58+Exogenous!$E$57,IF(ROUNDDOWN(52*AD$200,0)&gt;Exogenous!$C$56,(ROUNDDOWN(52*AD$200,0)-Exogenous!$C$56)*Exogenous!$B$57+Exogenous!$E$56,ROUNDDOWN(52*AD$200,0)*Exogenous!$B$56))))/52+AD$200*Exogenous!$B$61,2),ROUND(AC$201*(1+AD$26),2))</f>
        <v>2144.59</v>
      </c>
      <c r="AE201" s="26">
        <f ca="1">IF(AE$6&lt;OFFSET(Assumptions!$B$8,0,$C$1)+OFFSET(Assumptions!$B$34,0,$C$1),AE$200-ROUND(IF(ROUNDDOWN(52*AE$200,0)&gt;Exogenous!$C$59,(ROUNDDOWN(52*AE$200,0)-Exogenous!$C$59)*Exogenous!$B$60+Exogenous!$E$59,IF(ROUNDDOWN(52*AE$200,0)&gt;Exogenous!$C$58,(ROUNDDOWN(52*AE$200,0)-Exogenous!$C$58)*Exogenous!$B$59+Exogenous!$E$58,IF(ROUNDDOWN(52*AE$200,0)&gt;Exogenous!$C$57,(ROUNDDOWN(52*AE$200,0)-Exogenous!$C$57)*Exogenous!$B$58+Exogenous!$E$57,IF(ROUNDDOWN(52*AE$200,0)&gt;Exogenous!$C$56,(ROUNDDOWN(52*AE$200,0)-Exogenous!$C$56)*Exogenous!$B$57+Exogenous!$E$56,ROUNDDOWN(52*AE$200,0)*Exogenous!$B$56))))/52+AE$200*Exogenous!$B$61,2),ROUND(AD$201*(1+AE$26),2))</f>
        <v>2207.17</v>
      </c>
      <c r="AF201" s="26">
        <f ca="1">IF(AF$6&lt;OFFSET(Assumptions!$B$8,0,$C$1)+OFFSET(Assumptions!$B$34,0,$C$1),AF$200-ROUND(IF(ROUNDDOWN(52*AF$200,0)&gt;Exogenous!$C$59,(ROUNDDOWN(52*AF$200,0)-Exogenous!$C$59)*Exogenous!$B$60+Exogenous!$E$59,IF(ROUNDDOWN(52*AF$200,0)&gt;Exogenous!$C$58,(ROUNDDOWN(52*AF$200,0)-Exogenous!$C$58)*Exogenous!$B$59+Exogenous!$E$58,IF(ROUNDDOWN(52*AF$200,0)&gt;Exogenous!$C$57,(ROUNDDOWN(52*AF$200,0)-Exogenous!$C$57)*Exogenous!$B$58+Exogenous!$E$57,IF(ROUNDDOWN(52*AF$200,0)&gt;Exogenous!$C$56,(ROUNDDOWN(52*AF$200,0)-Exogenous!$C$56)*Exogenous!$B$57+Exogenous!$E$56,ROUNDDOWN(52*AF$200,0)*Exogenous!$B$56))))/52+AF$200*Exogenous!$B$61,2),ROUND(AE$201*(1+AF$26),2))</f>
        <v>2271.58</v>
      </c>
      <c r="AG201" s="26">
        <f ca="1">IF(AG$6&lt;OFFSET(Assumptions!$B$8,0,$C$1)+OFFSET(Assumptions!$B$34,0,$C$1),AG$200-ROUND(IF(ROUNDDOWN(52*AG$200,0)&gt;Exogenous!$C$59,(ROUNDDOWN(52*AG$200,0)-Exogenous!$C$59)*Exogenous!$B$60+Exogenous!$E$59,IF(ROUNDDOWN(52*AG$200,0)&gt;Exogenous!$C$58,(ROUNDDOWN(52*AG$200,0)-Exogenous!$C$58)*Exogenous!$B$59+Exogenous!$E$58,IF(ROUNDDOWN(52*AG$200,0)&gt;Exogenous!$C$57,(ROUNDDOWN(52*AG$200,0)-Exogenous!$C$57)*Exogenous!$B$58+Exogenous!$E$57,IF(ROUNDDOWN(52*AG$200,0)&gt;Exogenous!$C$56,(ROUNDDOWN(52*AG$200,0)-Exogenous!$C$56)*Exogenous!$B$57+Exogenous!$E$56,ROUNDDOWN(52*AG$200,0)*Exogenous!$B$56))))/52+AG$200*Exogenous!$B$61,2),ROUND(AF$201*(1+AG$26),2))</f>
        <v>2337.86</v>
      </c>
      <c r="AH201" s="26">
        <f ca="1">IF(AH$6&lt;OFFSET(Assumptions!$B$8,0,$C$1)+OFFSET(Assumptions!$B$34,0,$C$1),AH$200-ROUND(IF(ROUNDDOWN(52*AH$200,0)&gt;Exogenous!$C$59,(ROUNDDOWN(52*AH$200,0)-Exogenous!$C$59)*Exogenous!$B$60+Exogenous!$E$59,IF(ROUNDDOWN(52*AH$200,0)&gt;Exogenous!$C$58,(ROUNDDOWN(52*AH$200,0)-Exogenous!$C$58)*Exogenous!$B$59+Exogenous!$E$58,IF(ROUNDDOWN(52*AH$200,0)&gt;Exogenous!$C$57,(ROUNDDOWN(52*AH$200,0)-Exogenous!$C$57)*Exogenous!$B$58+Exogenous!$E$57,IF(ROUNDDOWN(52*AH$200,0)&gt;Exogenous!$C$56,(ROUNDDOWN(52*AH$200,0)-Exogenous!$C$56)*Exogenous!$B$57+Exogenous!$E$56,ROUNDDOWN(52*AH$200,0)*Exogenous!$B$56))))/52+AH$200*Exogenous!$B$61,2),ROUND(AG$201*(1+AH$26),2))</f>
        <v>2406.08</v>
      </c>
      <c r="AI201" s="26">
        <f ca="1">IF(AI$6&lt;OFFSET(Assumptions!$B$8,0,$C$1)+OFFSET(Assumptions!$B$34,0,$C$1),AI$200-ROUND(IF(ROUNDDOWN(52*AI$200,0)&gt;Exogenous!$C$59,(ROUNDDOWN(52*AI$200,0)-Exogenous!$C$59)*Exogenous!$B$60+Exogenous!$E$59,IF(ROUNDDOWN(52*AI$200,0)&gt;Exogenous!$C$58,(ROUNDDOWN(52*AI$200,0)-Exogenous!$C$58)*Exogenous!$B$59+Exogenous!$E$58,IF(ROUNDDOWN(52*AI$200,0)&gt;Exogenous!$C$57,(ROUNDDOWN(52*AI$200,0)-Exogenous!$C$57)*Exogenous!$B$58+Exogenous!$E$57,IF(ROUNDDOWN(52*AI$200,0)&gt;Exogenous!$C$56,(ROUNDDOWN(52*AI$200,0)-Exogenous!$C$56)*Exogenous!$B$57+Exogenous!$E$56,ROUNDDOWN(52*AI$200,0)*Exogenous!$B$56))))/52+AI$200*Exogenous!$B$61,2),ROUND(AH$201*(1+AI$26),2))</f>
        <v>2476.29</v>
      </c>
      <c r="AJ201" s="26">
        <f ca="1">IF(AJ$6&lt;OFFSET(Assumptions!$B$8,0,$C$1)+OFFSET(Assumptions!$B$34,0,$C$1),AJ$200-ROUND(IF(ROUNDDOWN(52*AJ$200,0)&gt;Exogenous!$C$59,(ROUNDDOWN(52*AJ$200,0)-Exogenous!$C$59)*Exogenous!$B$60+Exogenous!$E$59,IF(ROUNDDOWN(52*AJ$200,0)&gt;Exogenous!$C$58,(ROUNDDOWN(52*AJ$200,0)-Exogenous!$C$58)*Exogenous!$B$59+Exogenous!$E$58,IF(ROUNDDOWN(52*AJ$200,0)&gt;Exogenous!$C$57,(ROUNDDOWN(52*AJ$200,0)-Exogenous!$C$57)*Exogenous!$B$58+Exogenous!$E$57,IF(ROUNDDOWN(52*AJ$200,0)&gt;Exogenous!$C$56,(ROUNDDOWN(52*AJ$200,0)-Exogenous!$C$56)*Exogenous!$B$57+Exogenous!$E$56,ROUNDDOWN(52*AJ$200,0)*Exogenous!$B$56))))/52+AJ$200*Exogenous!$B$61,2),ROUND(AI$201*(1+AJ$26),2))</f>
        <v>2548.5500000000002</v>
      </c>
      <c r="AK201" s="26">
        <f ca="1">IF(AK$6&lt;OFFSET(Assumptions!$B$8,0,$C$1)+OFFSET(Assumptions!$B$34,0,$C$1),AK$200-ROUND(IF(ROUNDDOWN(52*AK$200,0)&gt;Exogenous!$C$59,(ROUNDDOWN(52*AK$200,0)-Exogenous!$C$59)*Exogenous!$B$60+Exogenous!$E$59,IF(ROUNDDOWN(52*AK$200,0)&gt;Exogenous!$C$58,(ROUNDDOWN(52*AK$200,0)-Exogenous!$C$58)*Exogenous!$B$59+Exogenous!$E$58,IF(ROUNDDOWN(52*AK$200,0)&gt;Exogenous!$C$57,(ROUNDDOWN(52*AK$200,0)-Exogenous!$C$57)*Exogenous!$B$58+Exogenous!$E$57,IF(ROUNDDOWN(52*AK$200,0)&gt;Exogenous!$C$56,(ROUNDDOWN(52*AK$200,0)-Exogenous!$C$56)*Exogenous!$B$57+Exogenous!$E$56,ROUNDDOWN(52*AK$200,0)*Exogenous!$B$56))))/52+AK$200*Exogenous!$B$61,2),ROUND(AJ$201*(1+AK$26),2))</f>
        <v>2622.92</v>
      </c>
      <c r="AL201" s="26">
        <f ca="1">IF(AL$6&lt;OFFSET(Assumptions!$B$8,0,$C$1)+OFFSET(Assumptions!$B$34,0,$C$1),AL$200-ROUND(IF(ROUNDDOWN(52*AL$200,0)&gt;Exogenous!$C$59,(ROUNDDOWN(52*AL$200,0)-Exogenous!$C$59)*Exogenous!$B$60+Exogenous!$E$59,IF(ROUNDDOWN(52*AL$200,0)&gt;Exogenous!$C$58,(ROUNDDOWN(52*AL$200,0)-Exogenous!$C$58)*Exogenous!$B$59+Exogenous!$E$58,IF(ROUNDDOWN(52*AL$200,0)&gt;Exogenous!$C$57,(ROUNDDOWN(52*AL$200,0)-Exogenous!$C$57)*Exogenous!$B$58+Exogenous!$E$57,IF(ROUNDDOWN(52*AL$200,0)&gt;Exogenous!$C$56,(ROUNDDOWN(52*AL$200,0)-Exogenous!$C$56)*Exogenous!$B$57+Exogenous!$E$56,ROUNDDOWN(52*AL$200,0)*Exogenous!$B$56))))/52+AL$200*Exogenous!$B$61,2),ROUND(AK$201*(1+AL$26),2))</f>
        <v>2699.46</v>
      </c>
      <c r="AM201" s="26">
        <f ca="1">IF(AM$6&lt;OFFSET(Assumptions!$B$8,0,$C$1)+OFFSET(Assumptions!$B$34,0,$C$1),AM$200-ROUND(IF(ROUNDDOWN(52*AM$200,0)&gt;Exogenous!$C$59,(ROUNDDOWN(52*AM$200,0)-Exogenous!$C$59)*Exogenous!$B$60+Exogenous!$E$59,IF(ROUNDDOWN(52*AM$200,0)&gt;Exogenous!$C$58,(ROUNDDOWN(52*AM$200,0)-Exogenous!$C$58)*Exogenous!$B$59+Exogenous!$E$58,IF(ROUNDDOWN(52*AM$200,0)&gt;Exogenous!$C$57,(ROUNDDOWN(52*AM$200,0)-Exogenous!$C$57)*Exogenous!$B$58+Exogenous!$E$57,IF(ROUNDDOWN(52*AM$200,0)&gt;Exogenous!$C$56,(ROUNDDOWN(52*AM$200,0)-Exogenous!$C$56)*Exogenous!$B$57+Exogenous!$E$56,ROUNDDOWN(52*AM$200,0)*Exogenous!$B$56))))/52+AM$200*Exogenous!$B$61,2),ROUND(AL$201*(1+AM$26),2))</f>
        <v>2778.23</v>
      </c>
      <c r="AN201" s="26">
        <f ca="1">IF(AN$6&lt;OFFSET(Assumptions!$B$8,0,$C$1)+OFFSET(Assumptions!$B$34,0,$C$1),AN$200-ROUND(IF(ROUNDDOWN(52*AN$200,0)&gt;Exogenous!$C$59,(ROUNDDOWN(52*AN$200,0)-Exogenous!$C$59)*Exogenous!$B$60+Exogenous!$E$59,IF(ROUNDDOWN(52*AN$200,0)&gt;Exogenous!$C$58,(ROUNDDOWN(52*AN$200,0)-Exogenous!$C$58)*Exogenous!$B$59+Exogenous!$E$58,IF(ROUNDDOWN(52*AN$200,0)&gt;Exogenous!$C$57,(ROUNDDOWN(52*AN$200,0)-Exogenous!$C$57)*Exogenous!$B$58+Exogenous!$E$57,IF(ROUNDDOWN(52*AN$200,0)&gt;Exogenous!$C$56,(ROUNDDOWN(52*AN$200,0)-Exogenous!$C$56)*Exogenous!$B$57+Exogenous!$E$56,ROUNDDOWN(52*AN$200,0)*Exogenous!$B$56))))/52+AN$200*Exogenous!$B$61,2),ROUND(AM$201*(1+AN$26),2))</f>
        <v>2859.3</v>
      </c>
      <c r="AO201" s="26">
        <f ca="1">IF(AO$6&lt;OFFSET(Assumptions!$B$8,0,$C$1)+OFFSET(Assumptions!$B$34,0,$C$1),AO$200-ROUND(IF(ROUNDDOWN(52*AO$200,0)&gt;Exogenous!$C$59,(ROUNDDOWN(52*AO$200,0)-Exogenous!$C$59)*Exogenous!$B$60+Exogenous!$E$59,IF(ROUNDDOWN(52*AO$200,0)&gt;Exogenous!$C$58,(ROUNDDOWN(52*AO$200,0)-Exogenous!$C$58)*Exogenous!$B$59+Exogenous!$E$58,IF(ROUNDDOWN(52*AO$200,0)&gt;Exogenous!$C$57,(ROUNDDOWN(52*AO$200,0)-Exogenous!$C$57)*Exogenous!$B$58+Exogenous!$E$57,IF(ROUNDDOWN(52*AO$200,0)&gt;Exogenous!$C$56,(ROUNDDOWN(52*AO$200,0)-Exogenous!$C$56)*Exogenous!$B$57+Exogenous!$E$56,ROUNDDOWN(52*AO$200,0)*Exogenous!$B$56))))/52+AO$200*Exogenous!$B$61,2),ROUND(AN$201*(1+AO$26),2))</f>
        <v>2942.73</v>
      </c>
      <c r="AP201" s="26">
        <f ca="1">IF(AP$6&lt;OFFSET(Assumptions!$B$8,0,$C$1)+OFFSET(Assumptions!$B$34,0,$C$1),AP$200-ROUND(IF(ROUNDDOWN(52*AP$200,0)&gt;Exogenous!$C$59,(ROUNDDOWN(52*AP$200,0)-Exogenous!$C$59)*Exogenous!$B$60+Exogenous!$E$59,IF(ROUNDDOWN(52*AP$200,0)&gt;Exogenous!$C$58,(ROUNDDOWN(52*AP$200,0)-Exogenous!$C$58)*Exogenous!$B$59+Exogenous!$E$58,IF(ROUNDDOWN(52*AP$200,0)&gt;Exogenous!$C$57,(ROUNDDOWN(52*AP$200,0)-Exogenous!$C$57)*Exogenous!$B$58+Exogenous!$E$57,IF(ROUNDDOWN(52*AP$200,0)&gt;Exogenous!$C$56,(ROUNDDOWN(52*AP$200,0)-Exogenous!$C$56)*Exogenous!$B$57+Exogenous!$E$56,ROUNDDOWN(52*AP$200,0)*Exogenous!$B$56))))/52+AP$200*Exogenous!$B$61,2),ROUND(AO$201*(1+AP$26),2))</f>
        <v>3028.6</v>
      </c>
      <c r="AQ201" s="26">
        <f ca="1">IF(AQ$6&lt;OFFSET(Assumptions!$B$8,0,$C$1)+OFFSET(Assumptions!$B$34,0,$C$1),AQ$200-ROUND(IF(ROUNDDOWN(52*AQ$200,0)&gt;Exogenous!$C$59,(ROUNDDOWN(52*AQ$200,0)-Exogenous!$C$59)*Exogenous!$B$60+Exogenous!$E$59,IF(ROUNDDOWN(52*AQ$200,0)&gt;Exogenous!$C$58,(ROUNDDOWN(52*AQ$200,0)-Exogenous!$C$58)*Exogenous!$B$59+Exogenous!$E$58,IF(ROUNDDOWN(52*AQ$200,0)&gt;Exogenous!$C$57,(ROUNDDOWN(52*AQ$200,0)-Exogenous!$C$57)*Exogenous!$B$58+Exogenous!$E$57,IF(ROUNDDOWN(52*AQ$200,0)&gt;Exogenous!$C$56,(ROUNDDOWN(52*AQ$200,0)-Exogenous!$C$56)*Exogenous!$B$57+Exogenous!$E$56,ROUNDDOWN(52*AQ$200,0)*Exogenous!$B$56))))/52+AQ$200*Exogenous!$B$61,2),ROUND(AP$201*(1+AQ$26),2))</f>
        <v>3116.97</v>
      </c>
      <c r="AR201" s="26">
        <f ca="1">IF(AR$6&lt;OFFSET(Assumptions!$B$8,0,$C$1)+OFFSET(Assumptions!$B$34,0,$C$1),AR$200-ROUND(IF(ROUNDDOWN(52*AR$200,0)&gt;Exogenous!$C$59,(ROUNDDOWN(52*AR$200,0)-Exogenous!$C$59)*Exogenous!$B$60+Exogenous!$E$59,IF(ROUNDDOWN(52*AR$200,0)&gt;Exogenous!$C$58,(ROUNDDOWN(52*AR$200,0)-Exogenous!$C$58)*Exogenous!$B$59+Exogenous!$E$58,IF(ROUNDDOWN(52*AR$200,0)&gt;Exogenous!$C$57,(ROUNDDOWN(52*AR$200,0)-Exogenous!$C$57)*Exogenous!$B$58+Exogenous!$E$57,IF(ROUNDDOWN(52*AR$200,0)&gt;Exogenous!$C$56,(ROUNDDOWN(52*AR$200,0)-Exogenous!$C$56)*Exogenous!$B$57+Exogenous!$E$56,ROUNDDOWN(52*AR$200,0)*Exogenous!$B$56))))/52+AR$200*Exogenous!$B$61,2),ROUND(AQ$201*(1+AR$26),2))</f>
        <v>3207.92</v>
      </c>
      <c r="AS201" s="26">
        <f ca="1">IF(AS$6&lt;OFFSET(Assumptions!$B$8,0,$C$1)+OFFSET(Assumptions!$B$34,0,$C$1),AS$200-ROUND(IF(ROUNDDOWN(52*AS$200,0)&gt;Exogenous!$C$59,(ROUNDDOWN(52*AS$200,0)-Exogenous!$C$59)*Exogenous!$B$60+Exogenous!$E$59,IF(ROUNDDOWN(52*AS$200,0)&gt;Exogenous!$C$58,(ROUNDDOWN(52*AS$200,0)-Exogenous!$C$58)*Exogenous!$B$59+Exogenous!$E$58,IF(ROUNDDOWN(52*AS$200,0)&gt;Exogenous!$C$57,(ROUNDDOWN(52*AS$200,0)-Exogenous!$C$57)*Exogenous!$B$58+Exogenous!$E$57,IF(ROUNDDOWN(52*AS$200,0)&gt;Exogenous!$C$56,(ROUNDDOWN(52*AS$200,0)-Exogenous!$C$56)*Exogenous!$B$57+Exogenous!$E$56,ROUNDDOWN(52*AS$200,0)*Exogenous!$B$56))))/52+AS$200*Exogenous!$B$61,2),ROUND(AR$201*(1+AS$26),2))</f>
        <v>3301.53</v>
      </c>
      <c r="AT201" s="26">
        <f ca="1">IF(AT$6&lt;OFFSET(Assumptions!$B$8,0,$C$1)+OFFSET(Assumptions!$B$34,0,$C$1),AT$200-ROUND(IF(ROUNDDOWN(52*AT$200,0)&gt;Exogenous!$C$59,(ROUNDDOWN(52*AT$200,0)-Exogenous!$C$59)*Exogenous!$B$60+Exogenous!$E$59,IF(ROUNDDOWN(52*AT$200,0)&gt;Exogenous!$C$58,(ROUNDDOWN(52*AT$200,0)-Exogenous!$C$58)*Exogenous!$B$59+Exogenous!$E$58,IF(ROUNDDOWN(52*AT$200,0)&gt;Exogenous!$C$57,(ROUNDDOWN(52*AT$200,0)-Exogenous!$C$57)*Exogenous!$B$58+Exogenous!$E$57,IF(ROUNDDOWN(52*AT$200,0)&gt;Exogenous!$C$56,(ROUNDDOWN(52*AT$200,0)-Exogenous!$C$56)*Exogenous!$B$57+Exogenous!$E$56,ROUNDDOWN(52*AT$200,0)*Exogenous!$B$56))))/52+AT$200*Exogenous!$B$61,2),ROUND(AS$201*(1+AT$26),2))</f>
        <v>3397.87</v>
      </c>
      <c r="AU201" s="26">
        <f ca="1">IF(AU$6&lt;OFFSET(Assumptions!$B$8,0,$C$1)+OFFSET(Assumptions!$B$34,0,$C$1),AU$200-ROUND(IF(ROUNDDOWN(52*AU$200,0)&gt;Exogenous!$C$59,(ROUNDDOWN(52*AU$200,0)-Exogenous!$C$59)*Exogenous!$B$60+Exogenous!$E$59,IF(ROUNDDOWN(52*AU$200,0)&gt;Exogenous!$C$58,(ROUNDDOWN(52*AU$200,0)-Exogenous!$C$58)*Exogenous!$B$59+Exogenous!$E$58,IF(ROUNDDOWN(52*AU$200,0)&gt;Exogenous!$C$57,(ROUNDDOWN(52*AU$200,0)-Exogenous!$C$57)*Exogenous!$B$58+Exogenous!$E$57,IF(ROUNDDOWN(52*AU$200,0)&gt;Exogenous!$C$56,(ROUNDDOWN(52*AU$200,0)-Exogenous!$C$56)*Exogenous!$B$57+Exogenous!$E$56,ROUNDDOWN(52*AU$200,0)*Exogenous!$B$56))))/52+AU$200*Exogenous!$B$61,2),ROUND(AT$201*(1+AU$26),2))</f>
        <v>3497.02</v>
      </c>
      <c r="AV201" s="26">
        <f ca="1">IF(AV$6&lt;OFFSET(Assumptions!$B$8,0,$C$1)+OFFSET(Assumptions!$B$34,0,$C$1),AV$200-ROUND(IF(ROUNDDOWN(52*AV$200,0)&gt;Exogenous!$C$59,(ROUNDDOWN(52*AV$200,0)-Exogenous!$C$59)*Exogenous!$B$60+Exogenous!$E$59,IF(ROUNDDOWN(52*AV$200,0)&gt;Exogenous!$C$58,(ROUNDDOWN(52*AV$200,0)-Exogenous!$C$58)*Exogenous!$B$59+Exogenous!$E$58,IF(ROUNDDOWN(52*AV$200,0)&gt;Exogenous!$C$57,(ROUNDDOWN(52*AV$200,0)-Exogenous!$C$57)*Exogenous!$B$58+Exogenous!$E$57,IF(ROUNDDOWN(52*AV$200,0)&gt;Exogenous!$C$56,(ROUNDDOWN(52*AV$200,0)-Exogenous!$C$56)*Exogenous!$B$57+Exogenous!$E$56,ROUNDDOWN(52*AV$200,0)*Exogenous!$B$56))))/52+AV$200*Exogenous!$B$61,2),ROUND(AU$201*(1+AV$26),2))</f>
        <v>3599.06</v>
      </c>
      <c r="AW201" s="26">
        <f ca="1">IF(AW$6&lt;OFFSET(Assumptions!$B$8,0,$C$1)+OFFSET(Assumptions!$B$34,0,$C$1),AW$200-ROUND(IF(ROUNDDOWN(52*AW$200,0)&gt;Exogenous!$C$59,(ROUNDDOWN(52*AW$200,0)-Exogenous!$C$59)*Exogenous!$B$60+Exogenous!$E$59,IF(ROUNDDOWN(52*AW$200,0)&gt;Exogenous!$C$58,(ROUNDDOWN(52*AW$200,0)-Exogenous!$C$58)*Exogenous!$B$59+Exogenous!$E$58,IF(ROUNDDOWN(52*AW$200,0)&gt;Exogenous!$C$57,(ROUNDDOWN(52*AW$200,0)-Exogenous!$C$57)*Exogenous!$B$58+Exogenous!$E$57,IF(ROUNDDOWN(52*AW$200,0)&gt;Exogenous!$C$56,(ROUNDDOWN(52*AW$200,0)-Exogenous!$C$56)*Exogenous!$B$57+Exogenous!$E$56,ROUNDDOWN(52*AW$200,0)*Exogenous!$B$56))))/52+AW$200*Exogenous!$B$61,2),ROUND(AV$201*(1+AW$26),2))</f>
        <v>3704.08</v>
      </c>
      <c r="AX201" s="26">
        <f ca="1">IF(AX$6&lt;OFFSET(Assumptions!$B$8,0,$C$1)+OFFSET(Assumptions!$B$34,0,$C$1),AX$200-ROUND(IF(ROUNDDOWN(52*AX$200,0)&gt;Exogenous!$C$59,(ROUNDDOWN(52*AX$200,0)-Exogenous!$C$59)*Exogenous!$B$60+Exogenous!$E$59,IF(ROUNDDOWN(52*AX$200,0)&gt;Exogenous!$C$58,(ROUNDDOWN(52*AX$200,0)-Exogenous!$C$58)*Exogenous!$B$59+Exogenous!$E$58,IF(ROUNDDOWN(52*AX$200,0)&gt;Exogenous!$C$57,(ROUNDDOWN(52*AX$200,0)-Exogenous!$C$57)*Exogenous!$B$58+Exogenous!$E$57,IF(ROUNDDOWN(52*AX$200,0)&gt;Exogenous!$C$56,(ROUNDDOWN(52*AX$200,0)-Exogenous!$C$56)*Exogenous!$B$57+Exogenous!$E$56,ROUNDDOWN(52*AX$200,0)*Exogenous!$B$56))))/52+AX$200*Exogenous!$B$61,2),ROUND(AW$201*(1+AX$26),2))</f>
        <v>3812.17</v>
      </c>
    </row>
    <row r="202" spans="1:50" x14ac:dyDescent="0.25">
      <c r="A202" s="11" t="s">
        <v>67</v>
      </c>
      <c r="C202" s="13"/>
      <c r="D202" s="39">
        <f>'Economic Forecasts'!Q$20</f>
        <v>360.42</v>
      </c>
      <c r="E202" s="39">
        <f>'Economic Forecasts'!R$20</f>
        <v>372.27</v>
      </c>
      <c r="F202" s="39">
        <f>'Economic Forecasts'!S$20</f>
        <v>384.46</v>
      </c>
      <c r="G202" s="39">
        <f>'Economic Forecasts'!T$20</f>
        <v>408.66</v>
      </c>
      <c r="H202" s="39">
        <f>'Economic Forecasts'!U$20</f>
        <v>439.79</v>
      </c>
      <c r="I202" s="39">
        <f>'Economic Forecasts'!V$20</f>
        <v>461.41</v>
      </c>
      <c r="J202" s="27">
        <f>'Economic Forecasts'!W$20</f>
        <v>476.47</v>
      </c>
      <c r="K202" s="27">
        <f>'Economic Forecasts'!X$20</f>
        <v>488.1</v>
      </c>
      <c r="L202" s="27">
        <f>'Economic Forecasts'!Y$20</f>
        <v>498.32</v>
      </c>
      <c r="M202" s="27">
        <f>'Economic Forecasts'!Z$20</f>
        <v>508.71</v>
      </c>
      <c r="N202" s="27">
        <f>'Economic Forecasts'!AA$20</f>
        <v>519.45000000000005</v>
      </c>
      <c r="O202" s="26">
        <f ca="1">IF(O$6&lt;OFFSET(Assumptions!$B$8,0,$C$1)+OFFSET(Assumptions!$B$34,0,$C$1),IF(52*O$203&gt;Exogenous!$D$59,(52*O$203-Exogenous!$C$59*Exogenous!$B$60+Exogenous!$E$59)/(1-Exogenous!$B$60),IF(52*O$203&gt;Exogenous!$D$58,(52*O$203-Exogenous!$C$58*Exogenous!$B$59+Exogenous!$E$58)/(1-Exogenous!$B$59),IF(52*O$203&gt;Exogenous!$D$57,(52*O$203-Exogenous!$C$57*Exogenous!$B$58+Exogenous!$E$57)/(1-Exogenous!$B$58),IF(52*O$203&gt;Exogenous!$D$56,(52*O$203-Exogenous!$C$56*Exogenous!$B$57+Exogenous!$E$56)/(1-Exogenous!$B$57),52*O$203/(1-Exogenous!$B$56)))))/52,N$202*O$203/N$203)</f>
        <v>531.09121149611906</v>
      </c>
      <c r="P202" s="26">
        <f ca="1">IF(P$6&lt;OFFSET(Assumptions!$B$8,0,$C$1)+OFFSET(Assumptions!$B$34,0,$C$1),IF(52*P$203&gt;Exogenous!$D$59,(52*P$203-Exogenous!$C$59*Exogenous!$B$60+Exogenous!$E$59)/(1-Exogenous!$B$60),IF(52*P$203&gt;Exogenous!$D$58,(52*P$203-Exogenous!$C$58*Exogenous!$B$59+Exogenous!$E$58)/(1-Exogenous!$B$59),IF(52*P$203&gt;Exogenous!$D$57,(52*P$203-Exogenous!$C$57*Exogenous!$B$58+Exogenous!$E$57)/(1-Exogenous!$B$58),IF(52*P$203&gt;Exogenous!$D$56,(52*P$203-Exogenous!$C$56*Exogenous!$B$57+Exogenous!$E$56)/(1-Exogenous!$B$57),52*P$203/(1-Exogenous!$B$56)))))/52,O$202*P$203/O$203)</f>
        <v>546.58875842359282</v>
      </c>
      <c r="Q202" s="26">
        <f ca="1">IF(Q$6&lt;OFFSET(Assumptions!$B$8,0,$C$1)+OFFSET(Assumptions!$B$34,0,$C$1),IF(52*Q$203&gt;Exogenous!$D$59,(52*Q$203-Exogenous!$C$59*Exogenous!$B$60+Exogenous!$E$59)/(1-Exogenous!$B$60),IF(52*Q$203&gt;Exogenous!$D$58,(52*Q$203-Exogenous!$C$58*Exogenous!$B$59+Exogenous!$E$58)/(1-Exogenous!$B$59),IF(52*Q$203&gt;Exogenous!$D$57,(52*Q$203-Exogenous!$C$57*Exogenous!$B$58+Exogenous!$E$57)/(1-Exogenous!$B$58),IF(52*Q$203&gt;Exogenous!$D$56,(52*Q$203-Exogenous!$C$56*Exogenous!$B$57+Exogenous!$E$56)/(1-Exogenous!$B$57),52*Q$203/(1-Exogenous!$B$56)))))/52,P$202*Q$203/P$203)</f>
        <v>562.53998507661856</v>
      </c>
      <c r="R202" s="26">
        <f ca="1">IF(R$6&lt;OFFSET(Assumptions!$B$8,0,$C$1)+OFFSET(Assumptions!$B$34,0,$C$1),IF(52*R$203&gt;Exogenous!$D$59,(52*R$203-Exogenous!$C$59*Exogenous!$B$60+Exogenous!$E$59)/(1-Exogenous!$B$60),IF(52*R$203&gt;Exogenous!$D$58,(52*R$203-Exogenous!$C$58*Exogenous!$B$59+Exogenous!$E$58)/(1-Exogenous!$B$59),IF(52*R$203&gt;Exogenous!$D$57,(52*R$203-Exogenous!$C$57*Exogenous!$B$58+Exogenous!$E$57)/(1-Exogenous!$B$58),IF(52*R$203&gt;Exogenous!$D$56,(52*R$203-Exogenous!$C$56*Exogenous!$B$57+Exogenous!$E$56)/(1-Exogenous!$B$57),52*R$203/(1-Exogenous!$B$56)))))/52,Q$202*R$203/Q$203)</f>
        <v>578.95632875920194</v>
      </c>
      <c r="S202" s="26">
        <f ca="1">IF(S$6&lt;OFFSET(Assumptions!$B$8,0,$C$1)+OFFSET(Assumptions!$B$34,0,$C$1),IF(52*S$203&gt;Exogenous!$D$59,(52*S$203-Exogenous!$C$59*Exogenous!$B$60+Exogenous!$E$59)/(1-Exogenous!$B$60),IF(52*S$203&gt;Exogenous!$D$58,(52*S$203-Exogenous!$C$58*Exogenous!$B$59+Exogenous!$E$58)/(1-Exogenous!$B$59),IF(52*S$203&gt;Exogenous!$D$57,(52*S$203-Exogenous!$C$57*Exogenous!$B$58+Exogenous!$E$57)/(1-Exogenous!$B$58),IF(52*S$203&gt;Exogenous!$D$56,(52*S$203-Exogenous!$C$56*Exogenous!$B$57+Exogenous!$E$56)/(1-Exogenous!$B$57),52*S$203/(1-Exogenous!$B$56)))))/52,R$202*S$203/R$203)</f>
        <v>595.8492267753486</v>
      </c>
      <c r="T202" s="26">
        <f ca="1">IF(T$6&lt;OFFSET(Assumptions!$B$8,0,$C$1)+OFFSET(Assumptions!$B$34,0,$C$1),IF(52*T$203&gt;Exogenous!$D$59,(52*T$203-Exogenous!$C$59*Exogenous!$B$60+Exogenous!$E$59)/(1-Exogenous!$B$60),IF(52*T$203&gt;Exogenous!$D$58,(52*T$203-Exogenous!$C$58*Exogenous!$B$59+Exogenous!$E$58)/(1-Exogenous!$B$59),IF(52*T$203&gt;Exogenous!$D$57,(52*T$203-Exogenous!$C$57*Exogenous!$B$58+Exogenous!$E$57)/(1-Exogenous!$B$58),IF(52*T$203&gt;Exogenous!$D$56,(52*T$203-Exogenous!$C$56*Exogenous!$B$57+Exogenous!$E$56)/(1-Exogenous!$B$57),52*T$203/(1-Exogenous!$B$56)))))/52,S$202*T$203/S$203)</f>
        <v>613.23774129840081</v>
      </c>
      <c r="U202" s="26">
        <f ca="1">IF(U$6&lt;OFFSET(Assumptions!$B$8,0,$C$1)+OFFSET(Assumptions!$B$34,0,$C$1),IF(52*U$203&gt;Exogenous!$D$59,(52*U$203-Exogenous!$C$59*Exogenous!$B$60+Exogenous!$E$59)/(1-Exogenous!$B$60),IF(52*U$203&gt;Exogenous!$D$58,(52*U$203-Exogenous!$C$58*Exogenous!$B$59+Exogenous!$E$58)/(1-Exogenous!$B$59),IF(52*U$203&gt;Exogenous!$D$57,(52*U$203-Exogenous!$C$57*Exogenous!$B$58+Exogenous!$E$57)/(1-Exogenous!$B$58),IF(52*U$203&gt;Exogenous!$D$56,(52*U$203-Exogenous!$C$56*Exogenous!$B$57+Exogenous!$E$56)/(1-Exogenous!$B$57),52*U$203/(1-Exogenous!$B$56)))))/52,T$202*U$203/T$203)</f>
        <v>631.13330963236433</v>
      </c>
      <c r="V202" s="26">
        <f ca="1">IF(V$6&lt;OFFSET(Assumptions!$B$8,0,$C$1)+OFFSET(Assumptions!$B$34,0,$C$1),IF(52*V$203&gt;Exogenous!$D$59,(52*V$203-Exogenous!$C$59*Exogenous!$B$60+Exogenous!$E$59)/(1-Exogenous!$B$60),IF(52*V$203&gt;Exogenous!$D$58,(52*V$203-Exogenous!$C$58*Exogenous!$B$59+Exogenous!$E$58)/(1-Exogenous!$B$59),IF(52*V$203&gt;Exogenous!$D$57,(52*V$203-Exogenous!$C$57*Exogenous!$B$58+Exogenous!$E$57)/(1-Exogenous!$B$58),IF(52*V$203&gt;Exogenous!$D$56,(52*V$203-Exogenous!$C$56*Exogenous!$B$57+Exogenous!$E$56)/(1-Exogenous!$B$57),52*V$203/(1-Exogenous!$B$56)))))/52,U$202*V$203/U$203)</f>
        <v>649.55118151591284</v>
      </c>
      <c r="W202" s="26">
        <f ca="1">IF(W$6&lt;OFFSET(Assumptions!$B$8,0,$C$1)+OFFSET(Assumptions!$B$34,0,$C$1),IF(52*W$203&gt;Exogenous!$D$59,(52*W$203-Exogenous!$C$59*Exogenous!$B$60+Exogenous!$E$59)/(1-Exogenous!$B$60),IF(52*W$203&gt;Exogenous!$D$58,(52*W$203-Exogenous!$C$58*Exogenous!$B$59+Exogenous!$E$58)/(1-Exogenous!$B$59),IF(52*W$203&gt;Exogenous!$D$57,(52*W$203-Exogenous!$C$57*Exogenous!$B$58+Exogenous!$E$57)/(1-Exogenous!$B$58),IF(52*W$203&gt;Exogenous!$D$56,(52*W$203-Exogenous!$C$56*Exogenous!$B$57+Exogenous!$E$56)/(1-Exogenous!$B$57),52*W$203/(1-Exogenous!$B$56)))))/52,V$202*W$203/V$203)</f>
        <v>668.5066066877207</v>
      </c>
      <c r="X202" s="26">
        <f ca="1">IF(X$6&lt;OFFSET(Assumptions!$B$8,0,$C$1)+OFFSET(Assumptions!$B$34,0,$C$1),IF(52*X$203&gt;Exogenous!$D$59,(52*X$203-Exogenous!$C$59*Exogenous!$B$60+Exogenous!$E$59)/(1-Exogenous!$B$60),IF(52*X$203&gt;Exogenous!$D$58,(52*X$203-Exogenous!$C$58*Exogenous!$B$59+Exogenous!$E$58)/(1-Exogenous!$B$59),IF(52*X$203&gt;Exogenous!$D$57,(52*X$203-Exogenous!$C$57*Exogenous!$B$58+Exogenous!$E$57)/(1-Exogenous!$B$58),IF(52*X$203&gt;Exogenous!$D$56,(52*X$203-Exogenous!$C$56*Exogenous!$B$57+Exogenous!$E$56)/(1-Exogenous!$B$57),52*X$203/(1-Exogenous!$B$56)))))/52,W$202*X$203/W$203)</f>
        <v>688.01483488646193</v>
      </c>
      <c r="Y202" s="26">
        <f ca="1">IF(Y$6&lt;OFFSET(Assumptions!$B$8,0,$C$1)+OFFSET(Assumptions!$B$34,0,$C$1),IF(52*Y$203&gt;Exogenous!$D$59,(52*Y$203-Exogenous!$C$59*Exogenous!$B$60+Exogenous!$E$59)/(1-Exogenous!$B$60),IF(52*Y$203&gt;Exogenous!$D$58,(52*Y$203-Exogenous!$C$58*Exogenous!$B$59+Exogenous!$E$58)/(1-Exogenous!$B$59),IF(52*Y$203&gt;Exogenous!$D$57,(52*Y$203-Exogenous!$C$57*Exogenous!$B$58+Exogenous!$E$57)/(1-Exogenous!$B$58),IF(52*Y$203&gt;Exogenous!$D$56,(52*Y$203-Exogenous!$C$56*Exogenous!$B$57+Exogenous!$E$56)/(1-Exogenous!$B$57),52*Y$203/(1-Exogenous!$B$56)))))/52,X$202*Y$203/X$203)</f>
        <v>708.09111585081041</v>
      </c>
      <c r="Z202" s="26">
        <f ca="1">IF(Z$6&lt;OFFSET(Assumptions!$B$8,0,$C$1)+OFFSET(Assumptions!$B$34,0,$C$1),IF(52*Z$203&gt;Exogenous!$D$59,(52*Z$203-Exogenous!$C$59*Exogenous!$B$60+Exogenous!$E$59)/(1-Exogenous!$B$60),IF(52*Z$203&gt;Exogenous!$D$58,(52*Z$203-Exogenous!$C$58*Exogenous!$B$59+Exogenous!$E$58)/(1-Exogenous!$B$59),IF(52*Z$203&gt;Exogenous!$D$57,(52*Z$203-Exogenous!$C$57*Exogenous!$B$58+Exogenous!$E$57)/(1-Exogenous!$B$58),IF(52*Z$203&gt;Exogenous!$D$56,(52*Z$203-Exogenous!$C$56*Exogenous!$B$57+Exogenous!$E$56)/(1-Exogenous!$B$57),52*Z$203/(1-Exogenous!$B$56)))))/52,Y$202*Z$203/Y$203)</f>
        <v>728.75451175410865</v>
      </c>
      <c r="AA202" s="26">
        <f ca="1">IF(AA$6&lt;OFFSET(Assumptions!$B$8,0,$C$1)+OFFSET(Assumptions!$B$34,0,$C$1),IF(52*AA$203&gt;Exogenous!$D$59,(52*AA$203-Exogenous!$C$59*Exogenous!$B$60+Exogenous!$E$59)/(1-Exogenous!$B$60),IF(52*AA$203&gt;Exogenous!$D$58,(52*AA$203-Exogenous!$C$58*Exogenous!$B$59+Exogenous!$E$58)/(1-Exogenous!$B$59),IF(52*AA$203&gt;Exogenous!$D$57,(52*AA$203-Exogenous!$C$57*Exogenous!$B$58+Exogenous!$E$57)/(1-Exogenous!$B$58),IF(52*AA$203&gt;Exogenous!$D$56,(52*AA$203-Exogenous!$C$56*Exogenous!$B$57+Exogenous!$E$56)/(1-Exogenous!$B$57),52*AA$203/(1-Exogenous!$B$56)))))/52,Z$202*AA$203/Z$203)</f>
        <v>750.02027233503077</v>
      </c>
      <c r="AB202" s="26">
        <f ca="1">IF(AB$6&lt;OFFSET(Assumptions!$B$8,0,$C$1)+OFFSET(Assumptions!$B$34,0,$C$1),IF(52*AB$203&gt;Exogenous!$D$59,(52*AB$203-Exogenous!$C$59*Exogenous!$B$60+Exogenous!$E$59)/(1-Exogenous!$B$60),IF(52*AB$203&gt;Exogenous!$D$58,(52*AB$203-Exogenous!$C$58*Exogenous!$B$59+Exogenous!$E$58)/(1-Exogenous!$B$59),IF(52*AB$203&gt;Exogenous!$D$57,(52*AB$203-Exogenous!$C$57*Exogenous!$B$58+Exogenous!$E$57)/(1-Exogenous!$B$58),IF(52*AB$203&gt;Exogenous!$D$56,(52*AB$203-Exogenous!$C$56*Exogenous!$B$57+Exogenous!$E$56)/(1-Exogenous!$B$57),52*AB$203/(1-Exogenous!$B$56)))))/52,AA$202*AB$203/AA$203)</f>
        <v>771.90745976691915</v>
      </c>
      <c r="AC202" s="26">
        <f ca="1">IF(AC$6&lt;OFFSET(Assumptions!$B$8,0,$C$1)+OFFSET(Assumptions!$B$34,0,$C$1),IF(52*AC$203&gt;Exogenous!$D$59,(52*AC$203-Exogenous!$C$59*Exogenous!$B$60+Exogenous!$E$59)/(1-Exogenous!$B$60),IF(52*AC$203&gt;Exogenous!$D$58,(52*AC$203-Exogenous!$C$58*Exogenous!$B$59+Exogenous!$E$58)/(1-Exogenous!$B$59),IF(52*AC$203&gt;Exogenous!$D$57,(52*AC$203-Exogenous!$C$57*Exogenous!$B$58+Exogenous!$E$57)/(1-Exogenous!$B$58),IF(52*AC$203&gt;Exogenous!$D$56,(52*AC$203-Exogenous!$C$56*Exogenous!$B$57+Exogenous!$E$56)/(1-Exogenous!$B$57),52*AC$203/(1-Exogenous!$B$56)))))/52,AB$202*AC$203/AB$203)</f>
        <v>794.43132378844803</v>
      </c>
      <c r="AD202" s="26">
        <f ca="1">IF(AD$6&lt;OFFSET(Assumptions!$B$8,0,$C$1)+OFFSET(Assumptions!$B$34,0,$C$1),IF(52*AD$203&gt;Exogenous!$D$59,(52*AD$203-Exogenous!$C$59*Exogenous!$B$60+Exogenous!$E$59)/(1-Exogenous!$B$60),IF(52*AD$203&gt;Exogenous!$D$58,(52*AD$203-Exogenous!$C$58*Exogenous!$B$59+Exogenous!$E$58)/(1-Exogenous!$B$59),IF(52*AD$203&gt;Exogenous!$D$57,(52*AD$203-Exogenous!$C$57*Exogenous!$B$58+Exogenous!$E$57)/(1-Exogenous!$B$58),IF(52*AD$203&gt;Exogenous!$D$56,(52*AD$203-Exogenous!$C$56*Exogenous!$B$57+Exogenous!$E$56)/(1-Exogenous!$B$57),52*AD$203/(1-Exogenous!$B$56)))))/52,AC$202*AD$203/AC$203)</f>
        <v>817.6109265729599</v>
      </c>
      <c r="AE202" s="26">
        <f ca="1">IF(AE$6&lt;OFFSET(Assumptions!$B$8,0,$C$1)+OFFSET(Assumptions!$B$34,0,$C$1),IF(52*AE$203&gt;Exogenous!$D$59,(52*AE$203-Exogenous!$C$59*Exogenous!$B$60+Exogenous!$E$59)/(1-Exogenous!$B$60),IF(52*AE$203&gt;Exogenous!$D$58,(52*AE$203-Exogenous!$C$58*Exogenous!$B$59+Exogenous!$E$58)/(1-Exogenous!$B$59),IF(52*AE$203&gt;Exogenous!$D$57,(52*AE$203-Exogenous!$C$57*Exogenous!$B$58+Exogenous!$E$57)/(1-Exogenous!$B$58),IF(52*AE$203&gt;Exogenous!$D$56,(52*AE$203-Exogenous!$C$56*Exogenous!$B$57+Exogenous!$E$56)/(1-Exogenous!$B$57),52*AE$203/(1-Exogenous!$B$56)))))/52,AD$202*AE$203/AD$203)</f>
        <v>841.4691427284655</v>
      </c>
      <c r="AF202" s="26">
        <f ca="1">IF(AF$6&lt;OFFSET(Assumptions!$B$8,0,$C$1)+OFFSET(Assumptions!$B$34,0,$C$1),IF(52*AF$203&gt;Exogenous!$D$59,(52*AF$203-Exogenous!$C$59*Exogenous!$B$60+Exogenous!$E$59)/(1-Exogenous!$B$60),IF(52*AF$203&gt;Exogenous!$D$58,(52*AF$203-Exogenous!$C$58*Exogenous!$B$59+Exogenous!$E$58)/(1-Exogenous!$B$59),IF(52*AF$203&gt;Exogenous!$D$57,(52*AF$203-Exogenous!$C$57*Exogenous!$B$58+Exogenous!$E$57)/(1-Exogenous!$B$58),IF(52*AF$203&gt;Exogenous!$D$56,(52*AF$203-Exogenous!$C$56*Exogenous!$B$57+Exogenous!$E$56)/(1-Exogenous!$B$57),52*AF$203/(1-Exogenous!$B$56)))))/52,AE$202*AF$203/AE$203)</f>
        <v>866.02503442830744</v>
      </c>
      <c r="AG202" s="26">
        <f ca="1">IF(AG$6&lt;OFFSET(Assumptions!$B$8,0,$C$1)+OFFSET(Assumptions!$B$34,0,$C$1),IF(52*AG$203&gt;Exogenous!$D$59,(52*AG$203-Exogenous!$C$59*Exogenous!$B$60+Exogenous!$E$59)/(1-Exogenous!$B$60),IF(52*AG$203&gt;Exogenous!$D$58,(52*AG$203-Exogenous!$C$58*Exogenous!$B$59+Exogenous!$E$58)/(1-Exogenous!$B$59),IF(52*AG$203&gt;Exogenous!$D$57,(52*AG$203-Exogenous!$C$57*Exogenous!$B$58+Exogenous!$E$57)/(1-Exogenous!$B$58),IF(52*AG$203&gt;Exogenous!$D$56,(52*AG$203-Exogenous!$C$56*Exogenous!$B$57+Exogenous!$E$56)/(1-Exogenous!$B$57),52*AG$203/(1-Exogenous!$B$56)))))/52,AF$202*AG$203/AF$203)</f>
        <v>891.29385141116006</v>
      </c>
      <c r="AH202" s="26">
        <f ca="1">IF(AH$6&lt;OFFSET(Assumptions!$B$8,0,$C$1)+OFFSET(Assumptions!$B$34,0,$C$1),IF(52*AH$203&gt;Exogenous!$D$59,(52*AH$203-Exogenous!$C$59*Exogenous!$B$60+Exogenous!$E$59)/(1-Exogenous!$B$60),IF(52*AH$203&gt;Exogenous!$D$58,(52*AH$203-Exogenous!$C$58*Exogenous!$B$59+Exogenous!$E$58)/(1-Exogenous!$B$59),IF(52*AH$203&gt;Exogenous!$D$57,(52*AH$203-Exogenous!$C$57*Exogenous!$B$58+Exogenous!$E$57)/(1-Exogenous!$B$58),IF(52*AH$203&gt;Exogenous!$D$56,(52*AH$203-Exogenous!$C$56*Exogenous!$B$57+Exogenous!$E$56)/(1-Exogenous!$B$57),52*AH$203/(1-Exogenous!$B$56)))))/52,AG$202*AH$203/AG$203)</f>
        <v>917.30228071970248</v>
      </c>
      <c r="AI202" s="26">
        <f ca="1">IF(AI$6&lt;OFFSET(Assumptions!$B$8,0,$C$1)+OFFSET(Assumptions!$B$34,0,$C$1),IF(52*AI$203&gt;Exogenous!$D$59,(52*AI$203-Exogenous!$C$59*Exogenous!$B$60+Exogenous!$E$59)/(1-Exogenous!$B$60),IF(52*AI$203&gt;Exogenous!$D$58,(52*AI$203-Exogenous!$C$58*Exogenous!$B$59+Exogenous!$E$58)/(1-Exogenous!$B$59),IF(52*AI$203&gt;Exogenous!$D$57,(52*AI$203-Exogenous!$C$57*Exogenous!$B$58+Exogenous!$E$57)/(1-Exogenous!$B$58),IF(52*AI$203&gt;Exogenous!$D$56,(52*AI$203-Exogenous!$C$56*Exogenous!$B$57+Exogenous!$E$56)/(1-Exogenous!$B$57),52*AI$203/(1-Exogenous!$B$56)))))/52,AH$202*AI$203/AH$203)</f>
        <v>944.06938452727763</v>
      </c>
      <c r="AJ202" s="26">
        <f ca="1">IF(AJ$6&lt;OFFSET(Assumptions!$B$8,0,$C$1)+OFFSET(Assumptions!$B$34,0,$C$1),IF(52*AJ$203&gt;Exogenous!$D$59,(52*AJ$203-Exogenous!$C$59*Exogenous!$B$60+Exogenous!$E$59)/(1-Exogenous!$B$60),IF(52*AJ$203&gt;Exogenous!$D$58,(52*AJ$203-Exogenous!$C$58*Exogenous!$B$59+Exogenous!$E$58)/(1-Exogenous!$B$59),IF(52*AJ$203&gt;Exogenous!$D$57,(52*AJ$203-Exogenous!$C$57*Exogenous!$B$58+Exogenous!$E$57)/(1-Exogenous!$B$58),IF(52*AJ$203&gt;Exogenous!$D$56,(52*AJ$203-Exogenous!$C$56*Exogenous!$B$57+Exogenous!$E$56)/(1-Exogenous!$B$57),52*AJ$203/(1-Exogenous!$B$56)))))/52,AI$202*AJ$203/AI$203)</f>
        <v>971.61803744189626</v>
      </c>
      <c r="AK202" s="26">
        <f ca="1">IF(AK$6&lt;OFFSET(Assumptions!$B$8,0,$C$1)+OFFSET(Assumptions!$B$34,0,$C$1),IF(52*AK$203&gt;Exogenous!$D$59,(52*AK$203-Exogenous!$C$59*Exogenous!$B$60+Exogenous!$E$59)/(1-Exogenous!$B$60),IF(52*AK$203&gt;Exogenous!$D$58,(52*AK$203-Exogenous!$C$58*Exogenous!$B$59+Exogenous!$E$58)/(1-Exogenous!$B$59),IF(52*AK$203&gt;Exogenous!$D$57,(52*AK$203-Exogenous!$C$57*Exogenous!$B$58+Exogenous!$E$57)/(1-Exogenous!$B$58),IF(52*AK$203&gt;Exogenous!$D$56,(52*AK$203-Exogenous!$C$56*Exogenous!$B$57+Exogenous!$E$56)/(1-Exogenous!$B$57),52*AK$203/(1-Exogenous!$B$56)))))/52,AJ$202*AK$203/AJ$203)</f>
        <v>999.97111407156956</v>
      </c>
      <c r="AL202" s="26">
        <f ca="1">IF(AL$6&lt;OFFSET(Assumptions!$B$8,0,$C$1)+OFFSET(Assumptions!$B$34,0,$C$1),IF(52*AL$203&gt;Exogenous!$D$59,(52*AL$203-Exogenous!$C$59*Exogenous!$B$60+Exogenous!$E$59)/(1-Exogenous!$B$60),IF(52*AL$203&gt;Exogenous!$D$58,(52*AL$203-Exogenous!$C$58*Exogenous!$B$59+Exogenous!$E$58)/(1-Exogenous!$B$59),IF(52*AL$203&gt;Exogenous!$D$57,(52*AL$203-Exogenous!$C$57*Exogenous!$B$58+Exogenous!$E$57)/(1-Exogenous!$B$58),IF(52*AL$203&gt;Exogenous!$D$56,(52*AL$203-Exogenous!$C$56*Exogenous!$B$57+Exogenous!$E$56)/(1-Exogenous!$B$57),52*AL$203/(1-Exogenous!$B$56)))))/52,AK$202*AL$203/AK$203)</f>
        <v>1029.1514890243084</v>
      </c>
      <c r="AM202" s="26">
        <f ca="1">IF(AM$6&lt;OFFSET(Assumptions!$B$8,0,$C$1)+OFFSET(Assumptions!$B$34,0,$C$1),IF(52*AM$203&gt;Exogenous!$D$59,(52*AM$203-Exogenous!$C$59*Exogenous!$B$60+Exogenous!$E$59)/(1-Exogenous!$B$60),IF(52*AM$203&gt;Exogenous!$D$58,(52*AM$203-Exogenous!$C$58*Exogenous!$B$59+Exogenous!$E$58)/(1-Exogenous!$B$59),IF(52*AM$203&gt;Exogenous!$D$57,(52*AM$203-Exogenous!$C$57*Exogenous!$B$58+Exogenous!$E$57)/(1-Exogenous!$B$58),IF(52*AM$203&gt;Exogenous!$D$56,(52*AM$203-Exogenous!$C$56*Exogenous!$B$57+Exogenous!$E$56)/(1-Exogenous!$B$57),52*AM$203/(1-Exogenous!$B$56)))))/52,AL$202*AM$203/AL$203)</f>
        <v>1059.182036908124</v>
      </c>
      <c r="AN202" s="26">
        <f ca="1">IF(AN$6&lt;OFFSET(Assumptions!$B$8,0,$C$1)+OFFSET(Assumptions!$B$34,0,$C$1),IF(52*AN$203&gt;Exogenous!$D$59,(52*AN$203-Exogenous!$C$59*Exogenous!$B$60+Exogenous!$E$59)/(1-Exogenous!$B$60),IF(52*AN$203&gt;Exogenous!$D$58,(52*AN$203-Exogenous!$C$58*Exogenous!$B$59+Exogenous!$E$58)/(1-Exogenous!$B$59),IF(52*AN$203&gt;Exogenous!$D$57,(52*AN$203-Exogenous!$C$57*Exogenous!$B$58+Exogenous!$E$57)/(1-Exogenous!$B$58),IF(52*AN$203&gt;Exogenous!$D$56,(52*AN$203-Exogenous!$C$56*Exogenous!$B$57+Exogenous!$E$56)/(1-Exogenous!$B$57),52*AN$203/(1-Exogenous!$B$56)))))/52,AM$202*AN$203/AM$203)</f>
        <v>1090.0894447656958</v>
      </c>
      <c r="AO202" s="26">
        <f ca="1">IF(AO$6&lt;OFFSET(Assumptions!$B$8,0,$C$1)+OFFSET(Assumptions!$B$34,0,$C$1),IF(52*AO$203&gt;Exogenous!$D$59,(52*AO$203-Exogenous!$C$59*Exogenous!$B$60+Exogenous!$E$59)/(1-Exogenous!$B$60),IF(52*AO$203&gt;Exogenous!$D$58,(52*AO$203-Exogenous!$C$58*Exogenous!$B$59+Exogenous!$E$58)/(1-Exogenous!$B$59),IF(52*AO$203&gt;Exogenous!$D$57,(52*AO$203-Exogenous!$C$57*Exogenous!$B$58+Exogenous!$E$57)/(1-Exogenous!$B$58),IF(52*AO$203&gt;Exogenous!$D$56,(52*AO$203-Exogenous!$C$56*Exogenous!$B$57+Exogenous!$E$56)/(1-Exogenous!$B$57),52*AO$203/(1-Exogenous!$B$56)))))/52,AN$202*AO$203/AN$203)</f>
        <v>1121.8965872050346</v>
      </c>
      <c r="AP202" s="26">
        <f ca="1">IF(AP$6&lt;OFFSET(Assumptions!$B$8,0,$C$1)+OFFSET(Assumptions!$B$34,0,$C$1),IF(52*AP$203&gt;Exogenous!$D$59,(52*AP$203-Exogenous!$C$59*Exogenous!$B$60+Exogenous!$E$59)/(1-Exogenous!$B$60),IF(52*AP$203&gt;Exogenous!$D$58,(52*AP$203-Exogenous!$C$58*Exogenous!$B$59+Exogenous!$E$58)/(1-Exogenous!$B$59),IF(52*AP$203&gt;Exogenous!$D$57,(52*AP$203-Exogenous!$C$57*Exogenous!$B$58+Exogenous!$E$57)/(1-Exogenous!$B$58),IF(52*AP$203&gt;Exogenous!$D$56,(52*AP$203-Exogenous!$C$56*Exogenous!$B$57+Exogenous!$E$56)/(1-Exogenous!$B$57),52*AP$203/(1-Exogenous!$B$56)))))/52,AO$202*AP$203/AO$203)</f>
        <v>1154.6339637034887</v>
      </c>
      <c r="AQ202" s="26">
        <f ca="1">IF(AQ$6&lt;OFFSET(Assumptions!$B$8,0,$C$1)+OFFSET(Assumptions!$B$34,0,$C$1),IF(52*AQ$203&gt;Exogenous!$D$59,(52*AQ$203-Exogenous!$C$59*Exogenous!$B$60+Exogenous!$E$59)/(1-Exogenous!$B$60),IF(52*AQ$203&gt;Exogenous!$D$58,(52*AQ$203-Exogenous!$C$58*Exogenous!$B$59+Exogenous!$E$58)/(1-Exogenous!$B$59),IF(52*AQ$203&gt;Exogenous!$D$57,(52*AQ$203-Exogenous!$C$57*Exogenous!$B$58+Exogenous!$E$57)/(1-Exogenous!$B$58),IF(52*AQ$203&gt;Exogenous!$D$56,(52*AQ$203-Exogenous!$C$56*Exogenous!$B$57+Exogenous!$E$56)/(1-Exogenous!$B$57),52*AQ$203/(1-Exogenous!$B$56)))))/52,AP$202*AQ$203/AP$203)</f>
        <v>1188.3244488690691</v>
      </c>
      <c r="AR202" s="26">
        <f ca="1">IF(AR$6&lt;OFFSET(Assumptions!$B$8,0,$C$1)+OFFSET(Assumptions!$B$34,0,$C$1),IF(52*AR$203&gt;Exogenous!$D$59,(52*AR$203-Exogenous!$C$59*Exogenous!$B$60+Exogenous!$E$59)/(1-Exogenous!$B$60),IF(52*AR$203&gt;Exogenous!$D$58,(52*AR$203-Exogenous!$C$58*Exogenous!$B$59+Exogenous!$E$58)/(1-Exogenous!$B$59),IF(52*AR$203&gt;Exogenous!$D$57,(52*AR$203-Exogenous!$C$57*Exogenous!$B$58+Exogenous!$E$57)/(1-Exogenous!$B$58),IF(52*AR$203&gt;Exogenous!$D$56,(52*AR$203-Exogenous!$C$56*Exogenous!$B$57+Exogenous!$E$56)/(1-Exogenous!$B$57),52*AR$203/(1-Exogenous!$B$56)))))/52,AQ$202*AR$203/AQ$203)</f>
        <v>1222.9985421791241</v>
      </c>
      <c r="AS202" s="26">
        <f ca="1">IF(AS$6&lt;OFFSET(Assumptions!$B$8,0,$C$1)+OFFSET(Assumptions!$B$34,0,$C$1),IF(52*AS$203&gt;Exogenous!$D$59,(52*AS$203-Exogenous!$C$59*Exogenous!$B$60+Exogenous!$E$59)/(1-Exogenous!$B$60),IF(52*AS$203&gt;Exogenous!$D$58,(52*AS$203-Exogenous!$C$58*Exogenous!$B$59+Exogenous!$E$58)/(1-Exogenous!$B$59),IF(52*AS$203&gt;Exogenous!$D$57,(52*AS$203-Exogenous!$C$57*Exogenous!$B$58+Exogenous!$E$57)/(1-Exogenous!$B$58),IF(52*AS$203&gt;Exogenous!$D$56,(52*AS$203-Exogenous!$C$56*Exogenous!$B$57+Exogenous!$E$56)/(1-Exogenous!$B$57),52*AS$203/(1-Exogenous!$B$56)))))/52,AR$202*AS$203/AR$203)</f>
        <v>1258.6867431110015</v>
      </c>
      <c r="AT202" s="26">
        <f ca="1">IF(AT$6&lt;OFFSET(Assumptions!$B$8,0,$C$1)+OFFSET(Assumptions!$B$34,0,$C$1),IF(52*AT$203&gt;Exogenous!$D$59,(52*AT$203-Exogenous!$C$59*Exogenous!$B$60+Exogenous!$E$59)/(1-Exogenous!$B$60),IF(52*AT$203&gt;Exogenous!$D$58,(52*AT$203-Exogenous!$C$58*Exogenous!$B$59+Exogenous!$E$58)/(1-Exogenous!$B$59),IF(52*AT$203&gt;Exogenous!$D$57,(52*AT$203-Exogenous!$C$57*Exogenous!$B$58+Exogenous!$E$57)/(1-Exogenous!$B$58),IF(52*AT$203&gt;Exogenous!$D$56,(52*AT$203-Exogenous!$C$56*Exogenous!$B$57+Exogenous!$E$56)/(1-Exogenous!$B$57),52*AT$203/(1-Exogenous!$B$56)))))/52,AS$202*AT$203/AS$203)</f>
        <v>1295.4157387073806</v>
      </c>
      <c r="AU202" s="26">
        <f ca="1">IF(AU$6&lt;OFFSET(Assumptions!$B$8,0,$C$1)+OFFSET(Assumptions!$B$34,0,$C$1),IF(52*AU$203&gt;Exogenous!$D$59,(52*AU$203-Exogenous!$C$59*Exogenous!$B$60+Exogenous!$E$59)/(1-Exogenous!$B$60),IF(52*AU$203&gt;Exogenous!$D$58,(52*AU$203-Exogenous!$C$58*Exogenous!$B$59+Exogenous!$E$58)/(1-Exogenous!$B$59),IF(52*AU$203&gt;Exogenous!$D$57,(52*AU$203-Exogenous!$C$57*Exogenous!$B$58+Exogenous!$E$57)/(1-Exogenous!$B$58),IF(52*AU$203&gt;Exogenous!$D$56,(52*AU$203-Exogenous!$C$56*Exogenous!$B$57+Exogenous!$E$56)/(1-Exogenous!$B$57),52*AU$203/(1-Exogenous!$B$56)))))/52,AT$202*AU$203/AT$203)</f>
        <v>1333.2160284456099</v>
      </c>
      <c r="AV202" s="26">
        <f ca="1">IF(AV$6&lt;OFFSET(Assumptions!$B$8,0,$C$1)+OFFSET(Assumptions!$B$34,0,$C$1),IF(52*AV$203&gt;Exogenous!$D$59,(52*AV$203-Exogenous!$C$59*Exogenous!$B$60+Exogenous!$E$59)/(1-Exogenous!$B$60),IF(52*AV$203&gt;Exogenous!$D$58,(52*AV$203-Exogenous!$C$58*Exogenous!$B$59+Exogenous!$E$58)/(1-Exogenous!$B$59),IF(52*AV$203&gt;Exogenous!$D$57,(52*AV$203-Exogenous!$C$57*Exogenous!$B$58+Exogenous!$E$57)/(1-Exogenous!$B$58),IF(52*AV$203&gt;Exogenous!$D$56,(52*AV$203-Exogenous!$C$56*Exogenous!$B$57+Exogenous!$E$56)/(1-Exogenous!$B$57),52*AV$203/(1-Exogenous!$B$56)))))/52,AU$202*AV$203/AU$203)</f>
        <v>1372.118111803037</v>
      </c>
      <c r="AW202" s="26">
        <f ca="1">IF(AW$6&lt;OFFSET(Assumptions!$B$8,0,$C$1)+OFFSET(Assumptions!$B$34,0,$C$1),IF(52*AW$203&gt;Exogenous!$D$59,(52*AW$203-Exogenous!$C$59*Exogenous!$B$60+Exogenous!$E$59)/(1-Exogenous!$B$60),IF(52*AW$203&gt;Exogenous!$D$58,(52*AW$203-Exogenous!$C$58*Exogenous!$B$59+Exogenous!$E$58)/(1-Exogenous!$B$59),IF(52*AW$203&gt;Exogenous!$D$57,(52*AW$203-Exogenous!$C$57*Exogenous!$B$58+Exogenous!$E$57)/(1-Exogenous!$B$58),IF(52*AW$203&gt;Exogenous!$D$56,(52*AW$203-Exogenous!$C$56*Exogenous!$B$57+Exogenous!$E$56)/(1-Exogenous!$B$57),52*AW$203/(1-Exogenous!$B$56)))))/52,AV$202*AW$203/AV$203)</f>
        <v>1412.1563006916788</v>
      </c>
      <c r="AX202" s="26">
        <f ca="1">IF(AX$6&lt;OFFSET(Assumptions!$B$8,0,$C$1)+OFFSET(Assumptions!$B$34,0,$C$1),IF(52*AX$203&gt;Exogenous!$D$59,(52*AX$203-Exogenous!$C$59*Exogenous!$B$60+Exogenous!$E$59)/(1-Exogenous!$B$60),IF(52*AX$203&gt;Exogenous!$D$58,(52*AX$203-Exogenous!$C$58*Exogenous!$B$59+Exogenous!$E$58)/(1-Exogenous!$B$59),IF(52*AX$203&gt;Exogenous!$D$57,(52*AX$203-Exogenous!$C$57*Exogenous!$B$58+Exogenous!$E$57)/(1-Exogenous!$B$58),IF(52*AX$203&gt;Exogenous!$D$56,(52*AX$203-Exogenous!$C$56*Exogenous!$B$57+Exogenous!$E$56)/(1-Exogenous!$B$57),52*AX$203/(1-Exogenous!$B$56)))))/52,AW$202*AX$203/AW$203)</f>
        <v>1453.3649070235515</v>
      </c>
    </row>
    <row r="203" spans="1:50" x14ac:dyDescent="0.25">
      <c r="A203" s="11" t="s">
        <v>66</v>
      </c>
      <c r="C203" s="13"/>
      <c r="D203" s="39">
        <f>'Economic Forecasts'!Q$21</f>
        <v>316.27</v>
      </c>
      <c r="E203" s="39">
        <f>'Economic Forecasts'!R$21</f>
        <v>326.02</v>
      </c>
      <c r="F203" s="39">
        <f>'Economic Forecasts'!S$21</f>
        <v>336.11</v>
      </c>
      <c r="G203" s="39">
        <f>'Economic Forecasts'!T$21</f>
        <v>356.11</v>
      </c>
      <c r="H203" s="39">
        <f>'Economic Forecasts'!U$21</f>
        <v>381.82</v>
      </c>
      <c r="I203" s="39">
        <f>'Economic Forecasts'!V$21</f>
        <v>399.59</v>
      </c>
      <c r="J203" s="27">
        <f>'Economic Forecasts'!W$21</f>
        <v>414.17</v>
      </c>
      <c r="K203" s="27">
        <f>'Economic Forecasts'!X$21</f>
        <v>423.7</v>
      </c>
      <c r="L203" s="27">
        <f>'Economic Forecasts'!Y$21</f>
        <v>432.17</v>
      </c>
      <c r="M203" s="27">
        <f>'Economic Forecasts'!Z$21</f>
        <v>440.81</v>
      </c>
      <c r="N203" s="27">
        <f>'Economic Forecasts'!AA$21</f>
        <v>449.63</v>
      </c>
      <c r="O203" s="26">
        <f ca="1">IF(2*N$203*(1+O$29)&gt;OFFSET(Assumptions!$B$36,0,$C$1)*O$201,OFFSET(Assumptions!$B$36,0,$C$1)*O$201,IF(2*N$203*(1+O$29)&lt;OFFSET(Assumptions!$B$35,0,$C$1)*O$201,OFFSET(Assumptions!$B$35,0,$C$1)*O$201,2*N$203*(1+O$29)))/2</f>
        <v>459.70650000000001</v>
      </c>
      <c r="P203" s="26">
        <f ca="1">IF(2*O$203*(1+P$29)&gt;OFFSET(Assumptions!$B$36,0,$C$1)*P$201,OFFSET(Assumptions!$B$36,0,$C$1)*P$201,IF(2*O$203*(1+P$29)&lt;OFFSET(Assumptions!$B$35,0,$C$1)*P$201,OFFSET(Assumptions!$B$35,0,$C$1)*P$201,2*O$203*(1+P$29)))/2</f>
        <v>473.12100000000004</v>
      </c>
      <c r="Q203" s="26">
        <f ca="1">IF(2*P$203*(1+Q$29)&gt;OFFSET(Assumptions!$B$36,0,$C$1)*Q$201,OFFSET(Assumptions!$B$36,0,$C$1)*Q$201,IF(2*P$203*(1+Q$29)&lt;OFFSET(Assumptions!$B$35,0,$C$1)*Q$201,OFFSET(Assumptions!$B$35,0,$C$1)*Q$201,2*P$203*(1+Q$29)))/2</f>
        <v>486.9282</v>
      </c>
      <c r="R203" s="26">
        <f ca="1">IF(2*Q$203*(1+R$29)&gt;OFFSET(Assumptions!$B$36,0,$C$1)*R$201,OFFSET(Assumptions!$B$36,0,$C$1)*R$201,IF(2*Q$203*(1+R$29)&lt;OFFSET(Assumptions!$B$35,0,$C$1)*R$201,OFFSET(Assumptions!$B$35,0,$C$1)*R$201,2*Q$203*(1+R$29)))/2</f>
        <v>501.13799999999998</v>
      </c>
      <c r="S203" s="26">
        <f ca="1">IF(2*R$203*(1+S$29)&gt;OFFSET(Assumptions!$B$36,0,$C$1)*S$201,OFFSET(Assumptions!$B$36,0,$C$1)*S$201,IF(2*R$203*(1+S$29)&lt;OFFSET(Assumptions!$B$35,0,$C$1)*S$201,OFFSET(Assumptions!$B$35,0,$C$1)*S$201,2*R$203*(1+S$29)))/2</f>
        <v>515.76030000000003</v>
      </c>
      <c r="T203" s="26">
        <f ca="1">IF(2*S$203*(1+T$29)&gt;OFFSET(Assumptions!$B$36,0,$C$1)*T$201,OFFSET(Assumptions!$B$36,0,$C$1)*T$201,IF(2*S$203*(1+T$29)&lt;OFFSET(Assumptions!$B$35,0,$C$1)*T$201,OFFSET(Assumptions!$B$35,0,$C$1)*T$201,2*S$203*(1+T$29)))/2</f>
        <v>530.8116</v>
      </c>
      <c r="U203" s="26">
        <f ca="1">IF(2*T$203*(1+U$29)&gt;OFFSET(Assumptions!$B$36,0,$C$1)*U$201,OFFSET(Assumptions!$B$36,0,$C$1)*U$201,IF(2*T$203*(1+U$29)&lt;OFFSET(Assumptions!$B$35,0,$C$1)*U$201,OFFSET(Assumptions!$B$35,0,$C$1)*U$201,2*T$203*(1+U$29)))/2</f>
        <v>546.30180000000007</v>
      </c>
      <c r="V203" s="26">
        <f ca="1">IF(2*U$203*(1+V$29)&gt;OFFSET(Assumptions!$B$36,0,$C$1)*V$201,OFFSET(Assumptions!$B$36,0,$C$1)*V$201,IF(2*U$203*(1+V$29)&lt;OFFSET(Assumptions!$B$35,0,$C$1)*V$201,OFFSET(Assumptions!$B$35,0,$C$1)*V$201,2*U$203*(1+V$29)))/2</f>
        <v>562.2441</v>
      </c>
      <c r="W203" s="26">
        <f ca="1">IF(2*V$203*(1+W$29)&gt;OFFSET(Assumptions!$B$36,0,$C$1)*W$201,OFFSET(Assumptions!$B$36,0,$C$1)*W$201,IF(2*V$203*(1+W$29)&lt;OFFSET(Assumptions!$B$35,0,$C$1)*W$201,OFFSET(Assumptions!$B$35,0,$C$1)*W$201,2*V$203*(1+W$29)))/2</f>
        <v>578.65170000000001</v>
      </c>
      <c r="X203" s="26">
        <f ca="1">IF(2*W$203*(1+X$29)&gt;OFFSET(Assumptions!$B$36,0,$C$1)*X$201,OFFSET(Assumptions!$B$36,0,$C$1)*X$201,IF(2*W$203*(1+X$29)&lt;OFFSET(Assumptions!$B$35,0,$C$1)*X$201,OFFSET(Assumptions!$B$35,0,$C$1)*X$201,2*W$203*(1+X$29)))/2</f>
        <v>595.53780000000006</v>
      </c>
      <c r="Y203" s="26">
        <f ca="1">IF(2*X$203*(1+Y$29)&gt;OFFSET(Assumptions!$B$36,0,$C$1)*Y$201,OFFSET(Assumptions!$B$36,0,$C$1)*Y$201,IF(2*X$203*(1+Y$29)&lt;OFFSET(Assumptions!$B$35,0,$C$1)*Y$201,OFFSET(Assumptions!$B$35,0,$C$1)*Y$201,2*X$203*(1+Y$29)))/2</f>
        <v>612.91560000000004</v>
      </c>
      <c r="Z203" s="26">
        <f ca="1">IF(2*Y$203*(1+Z$29)&gt;OFFSET(Assumptions!$B$36,0,$C$1)*Z$201,OFFSET(Assumptions!$B$36,0,$C$1)*Z$201,IF(2*Y$203*(1+Z$29)&lt;OFFSET(Assumptions!$B$35,0,$C$1)*Z$201,OFFSET(Assumptions!$B$35,0,$C$1)*Z$201,2*Y$203*(1+Z$29)))/2</f>
        <v>630.80160000000001</v>
      </c>
      <c r="AA203" s="26">
        <f ca="1">IF(2*Z$203*(1+AA$29)&gt;OFFSET(Assumptions!$B$36,0,$C$1)*AA$201,OFFSET(Assumptions!$B$36,0,$C$1)*AA$201,IF(2*Z$203*(1+AA$29)&lt;OFFSET(Assumptions!$B$35,0,$C$1)*AA$201,OFFSET(Assumptions!$B$35,0,$C$1)*AA$201,2*Z$203*(1+AA$29)))/2</f>
        <v>649.20900000000006</v>
      </c>
      <c r="AB203" s="26">
        <f ca="1">IF(2*AA$203*(1+AB$29)&gt;OFFSET(Assumptions!$B$36,0,$C$1)*AB$201,OFFSET(Assumptions!$B$36,0,$C$1)*AB$201,IF(2*AA$203*(1+AB$29)&lt;OFFSET(Assumptions!$B$35,0,$C$1)*AB$201,OFFSET(Assumptions!$B$35,0,$C$1)*AB$201,2*AA$203*(1+AB$29)))/2</f>
        <v>668.15430000000003</v>
      </c>
      <c r="AC203" s="26">
        <f ca="1">IF(2*AB$203*(1+AC$29)&gt;OFFSET(Assumptions!$B$36,0,$C$1)*AC$201,OFFSET(Assumptions!$B$36,0,$C$1)*AC$201,IF(2*AB$203*(1+AC$29)&lt;OFFSET(Assumptions!$B$35,0,$C$1)*AC$201,OFFSET(Assumptions!$B$35,0,$C$1)*AC$201,2*AB$203*(1+AC$29)))/2</f>
        <v>687.65070000000003</v>
      </c>
      <c r="AD203" s="26">
        <f ca="1">IF(2*AC$203*(1+AD$29)&gt;OFFSET(Assumptions!$B$36,0,$C$1)*AD$201,OFFSET(Assumptions!$B$36,0,$C$1)*AD$201,IF(2*AC$203*(1+AD$29)&lt;OFFSET(Assumptions!$B$35,0,$C$1)*AD$201,OFFSET(Assumptions!$B$35,0,$C$1)*AD$201,2*AC$203*(1+AD$29)))/2</f>
        <v>707.71470000000011</v>
      </c>
      <c r="AE203" s="26">
        <f ca="1">IF(2*AD$203*(1+AE$29)&gt;OFFSET(Assumptions!$B$36,0,$C$1)*AE$201,OFFSET(Assumptions!$B$36,0,$C$1)*AE$201,IF(2*AD$203*(1+AE$29)&lt;OFFSET(Assumptions!$B$35,0,$C$1)*AE$201,OFFSET(Assumptions!$B$35,0,$C$1)*AE$201,2*AD$203*(1+AE$29)))/2</f>
        <v>728.36610000000007</v>
      </c>
      <c r="AF203" s="26">
        <f ca="1">IF(2*AE$203*(1+AF$29)&gt;OFFSET(Assumptions!$B$36,0,$C$1)*AF$201,OFFSET(Assumptions!$B$36,0,$C$1)*AF$201,IF(2*AE$203*(1+AF$29)&lt;OFFSET(Assumptions!$B$35,0,$C$1)*AF$201,OFFSET(Assumptions!$B$35,0,$C$1)*AF$201,2*AE$203*(1+AF$29)))/2</f>
        <v>749.62139999999999</v>
      </c>
      <c r="AG203" s="26">
        <f ca="1">IF(2*AF$203*(1+AG$29)&gt;OFFSET(Assumptions!$B$36,0,$C$1)*AG$201,OFFSET(Assumptions!$B$36,0,$C$1)*AG$201,IF(2*AF$203*(1+AG$29)&lt;OFFSET(Assumptions!$B$35,0,$C$1)*AG$201,OFFSET(Assumptions!$B$35,0,$C$1)*AG$201,2*AF$203*(1+AG$29)))/2</f>
        <v>771.49380000000008</v>
      </c>
      <c r="AH203" s="26">
        <f ca="1">IF(2*AG$203*(1+AH$29)&gt;OFFSET(Assumptions!$B$36,0,$C$1)*AH$201,OFFSET(Assumptions!$B$36,0,$C$1)*AH$201,IF(2*AG$203*(1+AH$29)&lt;OFFSET(Assumptions!$B$35,0,$C$1)*AH$201,OFFSET(Assumptions!$B$35,0,$C$1)*AH$201,2*AG$203*(1+AH$29)))/2</f>
        <v>794.00639999999999</v>
      </c>
      <c r="AI203" s="26">
        <f ca="1">IF(2*AH$203*(1+AI$29)&gt;OFFSET(Assumptions!$B$36,0,$C$1)*AI$201,OFFSET(Assumptions!$B$36,0,$C$1)*AI$201,IF(2*AH$203*(1+AI$29)&lt;OFFSET(Assumptions!$B$35,0,$C$1)*AI$201,OFFSET(Assumptions!$B$35,0,$C$1)*AI$201,2*AH$203*(1+AI$29)))/2</f>
        <v>817.17570000000001</v>
      </c>
      <c r="AJ203" s="26">
        <f ca="1">IF(2*AI$203*(1+AJ$29)&gt;OFFSET(Assumptions!$B$36,0,$C$1)*AJ$201,OFFSET(Assumptions!$B$36,0,$C$1)*AJ$201,IF(2*AI$203*(1+AJ$29)&lt;OFFSET(Assumptions!$B$35,0,$C$1)*AJ$201,OFFSET(Assumptions!$B$35,0,$C$1)*AJ$201,2*AI$203*(1+AJ$29)))/2</f>
        <v>841.02150000000006</v>
      </c>
      <c r="AK203" s="26">
        <f ca="1">IF(2*AJ$203*(1+AK$29)&gt;OFFSET(Assumptions!$B$36,0,$C$1)*AK$201,OFFSET(Assumptions!$B$36,0,$C$1)*AK$201,IF(2*AJ$203*(1+AK$29)&lt;OFFSET(Assumptions!$B$35,0,$C$1)*AK$201,OFFSET(Assumptions!$B$35,0,$C$1)*AK$201,2*AJ$203*(1+AK$29)))/2</f>
        <v>865.56360000000006</v>
      </c>
      <c r="AL203" s="26">
        <f ca="1">IF(2*AK$203*(1+AL$29)&gt;OFFSET(Assumptions!$B$36,0,$C$1)*AL$201,OFFSET(Assumptions!$B$36,0,$C$1)*AL$201,IF(2*AK$203*(1+AL$29)&lt;OFFSET(Assumptions!$B$35,0,$C$1)*AL$201,OFFSET(Assumptions!$B$35,0,$C$1)*AL$201,2*AK$203*(1+AL$29)))/2</f>
        <v>890.82180000000005</v>
      </c>
      <c r="AM203" s="26">
        <f ca="1">IF(2*AL$203*(1+AM$29)&gt;OFFSET(Assumptions!$B$36,0,$C$1)*AM$201,OFFSET(Assumptions!$B$36,0,$C$1)*AM$201,IF(2*AL$203*(1+AM$29)&lt;OFFSET(Assumptions!$B$35,0,$C$1)*AM$201,OFFSET(Assumptions!$B$35,0,$C$1)*AM$201,2*AL$203*(1+AM$29)))/2</f>
        <v>916.81590000000006</v>
      </c>
      <c r="AN203" s="26">
        <f ca="1">IF(2*AM$203*(1+AN$29)&gt;OFFSET(Assumptions!$B$36,0,$C$1)*AN$201,OFFSET(Assumptions!$B$36,0,$C$1)*AN$201,IF(2*AM$203*(1+AN$29)&lt;OFFSET(Assumptions!$B$35,0,$C$1)*AN$201,OFFSET(Assumptions!$B$35,0,$C$1)*AN$201,2*AM$203*(1+AN$29)))/2</f>
        <v>943.56900000000007</v>
      </c>
      <c r="AO203" s="26">
        <f ca="1">IF(2*AN$203*(1+AO$29)&gt;OFFSET(Assumptions!$B$36,0,$C$1)*AO$201,OFFSET(Assumptions!$B$36,0,$C$1)*AO$201,IF(2*AN$203*(1+AO$29)&lt;OFFSET(Assumptions!$B$35,0,$C$1)*AO$201,OFFSET(Assumptions!$B$35,0,$C$1)*AO$201,2*AN$203*(1+AO$29)))/2</f>
        <v>971.10090000000002</v>
      </c>
      <c r="AP203" s="26">
        <f ca="1">IF(2*AO$203*(1+AP$29)&gt;OFFSET(Assumptions!$B$36,0,$C$1)*AP$201,OFFSET(Assumptions!$B$36,0,$C$1)*AP$201,IF(2*AO$203*(1+AP$29)&lt;OFFSET(Assumptions!$B$35,0,$C$1)*AP$201,OFFSET(Assumptions!$B$35,0,$C$1)*AP$201,2*AO$203*(1+AP$29)))/2</f>
        <v>999.43799999999999</v>
      </c>
      <c r="AQ203" s="26">
        <f ca="1">IF(2*AP$203*(1+AQ$29)&gt;OFFSET(Assumptions!$B$36,0,$C$1)*AQ$201,OFFSET(Assumptions!$B$36,0,$C$1)*AQ$201,IF(2*AP$203*(1+AQ$29)&lt;OFFSET(Assumptions!$B$35,0,$C$1)*AQ$201,OFFSET(Assumptions!$B$35,0,$C$1)*AQ$201,2*AP$203*(1+AQ$29)))/2</f>
        <v>1028.6000999999999</v>
      </c>
      <c r="AR203" s="26">
        <f ca="1">IF(2*AQ$203*(1+AR$29)&gt;OFFSET(Assumptions!$B$36,0,$C$1)*AR$201,OFFSET(Assumptions!$B$36,0,$C$1)*AR$201,IF(2*AQ$203*(1+AR$29)&lt;OFFSET(Assumptions!$B$35,0,$C$1)*AR$201,OFFSET(Assumptions!$B$35,0,$C$1)*AR$201,2*AQ$203*(1+AR$29)))/2</f>
        <v>1058.6136000000001</v>
      </c>
      <c r="AS203" s="26">
        <f ca="1">IF(2*AR$203*(1+AS$29)&gt;OFFSET(Assumptions!$B$36,0,$C$1)*AS$201,OFFSET(Assumptions!$B$36,0,$C$1)*AS$201,IF(2*AR$203*(1+AS$29)&lt;OFFSET(Assumptions!$B$35,0,$C$1)*AS$201,OFFSET(Assumptions!$B$35,0,$C$1)*AS$201,2*AR$203*(1+AS$29)))/2</f>
        <v>1089.5049000000001</v>
      </c>
      <c r="AT203" s="26">
        <f ca="1">IF(2*AS$203*(1+AT$29)&gt;OFFSET(Assumptions!$B$36,0,$C$1)*AT$201,OFFSET(Assumptions!$B$36,0,$C$1)*AT$201,IF(2*AS$203*(1+AT$29)&lt;OFFSET(Assumptions!$B$35,0,$C$1)*AT$201,OFFSET(Assumptions!$B$35,0,$C$1)*AT$201,2*AS$203*(1+AT$29)))/2</f>
        <v>1121.2971</v>
      </c>
      <c r="AU203" s="26">
        <f ca="1">IF(2*AT$203*(1+AU$29)&gt;OFFSET(Assumptions!$B$36,0,$C$1)*AU$201,OFFSET(Assumptions!$B$36,0,$C$1)*AU$201,IF(2*AT$203*(1+AU$29)&lt;OFFSET(Assumptions!$B$35,0,$C$1)*AU$201,OFFSET(Assumptions!$B$35,0,$C$1)*AU$201,2*AT$203*(1+AU$29)))/2</f>
        <v>1154.0166000000002</v>
      </c>
      <c r="AV203" s="26">
        <f ca="1">IF(2*AU$203*(1+AV$29)&gt;OFFSET(Assumptions!$B$36,0,$C$1)*AV$201,OFFSET(Assumptions!$B$36,0,$C$1)*AV$201,IF(2*AU$203*(1+AV$29)&lt;OFFSET(Assumptions!$B$35,0,$C$1)*AV$201,OFFSET(Assumptions!$B$35,0,$C$1)*AV$201,2*AU$203*(1+AV$29)))/2</f>
        <v>1187.6898000000001</v>
      </c>
      <c r="AW203" s="26">
        <f ca="1">IF(2*AV$203*(1+AW$29)&gt;OFFSET(Assumptions!$B$36,0,$C$1)*AW$201,OFFSET(Assumptions!$B$36,0,$C$1)*AW$201,IF(2*AV$203*(1+AW$29)&lt;OFFSET(Assumptions!$B$35,0,$C$1)*AW$201,OFFSET(Assumptions!$B$35,0,$C$1)*AW$201,2*AV$203*(1+AW$29)))/2</f>
        <v>1222.3464000000001</v>
      </c>
      <c r="AX203" s="26">
        <f ca="1">IF(2*AW$203*(1+AX$29)&gt;OFFSET(Assumptions!$B$36,0,$C$1)*AX$201,OFFSET(Assumptions!$B$36,0,$C$1)*AX$201,IF(2*AW$203*(1+AX$29)&lt;OFFSET(Assumptions!$B$35,0,$C$1)*AX$201,OFFSET(Assumptions!$B$35,0,$C$1)*AX$201,2*AW$203*(1+AX$29)))/2</f>
        <v>1258.0161000000001</v>
      </c>
    </row>
    <row r="205" spans="1:50" x14ac:dyDescent="0.25">
      <c r="A205" s="9" t="s">
        <v>458</v>
      </c>
    </row>
    <row r="206" spans="1:50" x14ac:dyDescent="0.25">
      <c r="A206" s="9" t="s">
        <v>996</v>
      </c>
      <c r="B206" s="10" t="str">
        <f t="shared" ref="B206:B209" si="1113">$B$38</f>
        <v>From Fiscal Forecasts</v>
      </c>
      <c r="C206" s="70"/>
      <c r="D206" s="42">
        <f>'Fiscal Forecasts'!D$171</f>
        <v>7.7939999999999996</v>
      </c>
      <c r="E206" s="42">
        <f>'Fiscal Forecasts'!E$171</f>
        <v>8.48</v>
      </c>
      <c r="F206" s="42">
        <f>'Fiscal Forecasts'!F$171</f>
        <v>9.3580000000000005</v>
      </c>
      <c r="G206" s="42">
        <f>'Fiscal Forecasts'!G$171</f>
        <v>9.9450000000000003</v>
      </c>
      <c r="H206" s="42">
        <f>'Fiscal Forecasts'!H$171</f>
        <v>10.449</v>
      </c>
      <c r="I206" s="42">
        <f>'Fiscal Forecasts'!I$171</f>
        <v>11.26</v>
      </c>
      <c r="J206" s="43">
        <f>'Fiscal Forecasts'!J$171</f>
        <v>11.407</v>
      </c>
      <c r="K206" s="43">
        <f>'Fiscal Forecasts'!K$171</f>
        <v>11.778</v>
      </c>
      <c r="L206" s="43">
        <f>'Fiscal Forecasts'!L$171</f>
        <v>11.878</v>
      </c>
      <c r="M206" s="43">
        <f>'Fiscal Forecasts'!M$171</f>
        <v>11.847</v>
      </c>
      <c r="N206" s="43">
        <f>'Fiscal Forecasts'!N$171</f>
        <v>11.896000000000001</v>
      </c>
      <c r="O206" s="47">
        <f ca="1">SUM(O$244,IF(O$6=OFFSET(Assumptions!$B$8,0,$C$1),AVERAGE((L$206-L$244)/SUM(L$206,L$213,L$221,-L$244,-L$325),(M$206-M$244)/SUM(M$206,M$213,M$221,-M$244,-M$325),(N$206-N$244)/SUM(N$206,N$213,N$221,-N$244,-N$325)),(N$206-N$244)/SUM(N$206,N$213,N$221,-N$244,-N$325))*(O$324-O$253-SUM(O$259:O$262,O$265)))</f>
        <v>14.347664697763657</v>
      </c>
      <c r="P206" s="47">
        <f ca="1">SUM(P$244,IF(P$6=OFFSET(Assumptions!$B$8,0,$C$1),AVERAGE((M$206-M$244)/SUM(M$206,M$213,M$221,-M$244,-M$325),(N$206-N$244)/SUM(N$206,N$213,N$221,-N$244,-N$325),(O$206-O$244)/SUM(O$206,O$213,O$221,-O$244,-O$325)),(O$206-O$244)/SUM(O$206,O$213,O$221,-O$244,-O$325))*(P$324-P$253-SUM(P$259:P$262,P$265)))</f>
        <v>15.751151510070546</v>
      </c>
      <c r="Q206" s="47">
        <f ca="1">SUM(Q$244,IF(Q$6=OFFSET(Assumptions!$B$8,0,$C$1),AVERAGE((N$206-N$244)/SUM(N$206,N$213,N$221,-N$244,-N$325),(O$206-O$244)/SUM(O$206,O$213,O$221,-O$244,-O$325),(P$206-P$244)/SUM(P$206,P$213,P$221,-P$244,-P$325)),(P$206-P$244)/SUM(P$206,P$213,P$221,-P$244,-P$325))*(Q$324-Q$253-SUM(Q$259:Q$262,Q$265)))</f>
        <v>17.109114459715773</v>
      </c>
      <c r="R206" s="47">
        <f ca="1">SUM(R$244,IF(R$6=OFFSET(Assumptions!$B$8,0,$C$1),AVERAGE((O$206-O$244)/SUM(O$206,O$213,O$221,-O$244,-O$325),(P$206-P$244)/SUM(P$206,P$213,P$221,-P$244,-P$325),(Q$206-Q$244)/SUM(Q$206,Q$213,Q$221,-Q$244,-Q$325)),(Q$206-Q$244)/SUM(Q$206,Q$213,Q$221,-Q$244,-Q$325))*(R$324-R$253-SUM(R$259:R$262,R$265)))</f>
        <v>18.512530466364225</v>
      </c>
      <c r="S206" s="47">
        <f ca="1">SUM(S$244,IF(S$6=OFFSET(Assumptions!$B$8,0,$C$1),AVERAGE((P$206-P$244)/SUM(P$206,P$213,P$221,-P$244,-P$325),(Q$206-Q$244)/SUM(Q$206,Q$213,Q$221,-Q$244,-Q$325),(R$206-R$244)/SUM(R$206,R$213,R$221,-R$244,-R$325)),(R$206-R$244)/SUM(R$206,R$213,R$221,-R$244,-R$325))*(S$324-S$253-SUM(S$259:S$262,S$265)))</f>
        <v>19.881341742111534</v>
      </c>
      <c r="T206" s="47">
        <f ca="1">SUM(T$244,IF(T$6=OFFSET(Assumptions!$B$8,0,$C$1),AVERAGE((Q$206-Q$244)/SUM(Q$206,Q$213,Q$221,-Q$244,-Q$325),(R$206-R$244)/SUM(R$206,R$213,R$221,-R$244,-R$325),(S$206-S$244)/SUM(S$206,S$213,S$221,-S$244,-S$325)),(S$206-S$244)/SUM(S$206,S$213,S$221,-S$244,-S$325))*(T$324-T$253-SUM(T$259:T$262,T$265)))</f>
        <v>21.163796677948319</v>
      </c>
      <c r="U206" s="47">
        <f ca="1">SUM(U$244,IF(U$6=OFFSET(Assumptions!$B$8,0,$C$1),AVERAGE((R$206-R$244)/SUM(R$206,R$213,R$221,-R$244,-R$325),(S$206-S$244)/SUM(S$206,S$213,S$221,-S$244,-S$325),(T$206-T$244)/SUM(T$206,T$213,T$221,-T$244,-T$325)),(T$206-T$244)/SUM(T$206,T$213,T$221,-T$244,-T$325))*(U$324-U$253-SUM(U$259:U$262,U$265)))</f>
        <v>22.061869344435205</v>
      </c>
      <c r="V206" s="47">
        <f ca="1">SUM(V$244,IF(V$6=OFFSET(Assumptions!$B$8,0,$C$1),AVERAGE((S$206-S$244)/SUM(S$206,S$213,S$221,-S$244,-S$325),(T$206-T$244)/SUM(T$206,T$213,T$221,-T$244,-T$325),(U$206-U$244)/SUM(U$206,U$213,U$221,-U$244,-U$325)),(U$206-U$244)/SUM(U$206,U$213,U$221,-U$244,-U$325))*(V$324-V$253-SUM(V$259:V$262,V$265)))</f>
        <v>22.917317940253756</v>
      </c>
      <c r="W206" s="47">
        <f ca="1">SUM(W$244,IF(W$6=OFFSET(Assumptions!$B$8,0,$C$1),AVERAGE((T$206-T$244)/SUM(T$206,T$213,T$221,-T$244,-T$325),(U$206-U$244)/SUM(U$206,U$213,U$221,-U$244,-U$325),(V$206-V$244)/SUM(V$206,V$213,V$221,-V$244,-V$325)),(V$206-V$244)/SUM(V$206,V$213,V$221,-V$244,-V$325))*(W$324-W$253-SUM(W$259:W$262,W$265)))</f>
        <v>23.795329419061236</v>
      </c>
      <c r="X206" s="47">
        <f ca="1">SUM(X$244,IF(X$6=OFFSET(Assumptions!$B$8,0,$C$1),AVERAGE((U$206-U$244)/SUM(U$206,U$213,U$221,-U$244,-U$325),(V$206-V$244)/SUM(V$206,V$213,V$221,-V$244,-V$325),(W$206-W$244)/SUM(W$206,W$213,W$221,-W$244,-W$325)),(W$206-W$244)/SUM(W$206,W$213,W$221,-W$244,-W$325))*(X$324-X$253-SUM(X$259:X$262,X$265)))</f>
        <v>24.697427385920282</v>
      </c>
      <c r="Y206" s="47">
        <f ca="1">SUM(Y$244,IF(Y$6=OFFSET(Assumptions!$B$8,0,$C$1),AVERAGE((V$206-V$244)/SUM(V$206,V$213,V$221,-V$244,-V$325),(W$206-W$244)/SUM(W$206,W$213,W$221,-W$244,-W$325),(X$206-X$244)/SUM(X$206,X$213,X$221,-X$244,-X$325)),(X$206-X$244)/SUM(X$206,X$213,X$221,-X$244,-X$325))*(Y$324-Y$253-SUM(Y$259:Y$262,Y$265)))</f>
        <v>25.628509717795001</v>
      </c>
      <c r="Z206" s="47">
        <f ca="1">SUM(Z$244,IF(Z$6=OFFSET(Assumptions!$B$8,0,$C$1),AVERAGE((W$206-W$244)/SUM(W$206,W$213,W$221,-W$244,-W$325),(X$206-X$244)/SUM(X$206,X$213,X$221,-X$244,-X$325),(Y$206-Y$244)/SUM(Y$206,Y$213,Y$221,-Y$244,-Y$325)),(Y$206-Y$244)/SUM(Y$206,Y$213,Y$221,-Y$244,-Y$325))*(Z$324-Z$253-SUM(Z$259:Z$262,Z$265)))</f>
        <v>26.58851125820517</v>
      </c>
      <c r="AA206" s="47">
        <f ca="1">SUM(AA$244,IF(AA$6=OFFSET(Assumptions!$B$8,0,$C$1),AVERAGE((X$206-X$244)/SUM(X$206,X$213,X$221,-X$244,-X$325),(Y$206-Y$244)/SUM(Y$206,Y$213,Y$221,-Y$244,-Y$325),(Z$206-Z$244)/SUM(Z$206,Z$213,Z$221,-Z$244,-Z$325)),(Z$206-Z$244)/SUM(Z$206,Z$213,Z$221,-Z$244,-Z$325))*(AA$324-AA$253-SUM(AA$259:AA$262,AA$265)))</f>
        <v>27.581312885259809</v>
      </c>
      <c r="AB206" s="47">
        <f ca="1">SUM(AB$244,IF(AB$6=OFFSET(Assumptions!$B$8,0,$C$1),AVERAGE((Y$206-Y$244)/SUM(Y$206,Y$213,Y$221,-Y$244,-Y$325),(Z$206-Z$244)/SUM(Z$206,Z$213,Z$221,-Z$244,-Z$325),(AA$206-AA$244)/SUM(AA$206,AA$213,AA$221,-AA$244,-AA$325)),(AA$206-AA$244)/SUM(AA$206,AA$213,AA$221,-AA$244,-AA$325))*(AB$324-AB$253-SUM(AB$259:AB$262,AB$265)))</f>
        <v>28.605994812278244</v>
      </c>
      <c r="AC206" s="47">
        <f ca="1">SUM(AC$244,IF(AC$6=OFFSET(Assumptions!$B$8,0,$C$1),AVERAGE((Z$206-Z$244)/SUM(Z$206,Z$213,Z$221,-Z$244,-Z$325),(AA$206-AA$244)/SUM(AA$206,AA$213,AA$221,-AA$244,-AA$325),(AB$206-AB$244)/SUM(AB$206,AB$213,AB$221,-AB$244,-AB$325)),(AB$206-AB$244)/SUM(AB$206,AB$213,AB$221,-AB$244,-AB$325))*(AC$324-AC$253-SUM(AC$259:AC$262,AC$265)))</f>
        <v>29.66230781940396</v>
      </c>
      <c r="AD206" s="47">
        <f ca="1">SUM(AD$244,IF(AD$6=OFFSET(Assumptions!$B$8,0,$C$1),AVERAGE((AA$206-AA$244)/SUM(AA$206,AA$213,AA$221,-AA$244,-AA$325),(AB$206-AB$244)/SUM(AB$206,AB$213,AB$221,-AB$244,-AB$325),(AC$206-AC$244)/SUM(AC$206,AC$213,AC$221,-AC$244,-AC$325)),(AC$206-AC$244)/SUM(AC$206,AC$213,AC$221,-AC$244,-AC$325))*(AD$324-AD$253-SUM(AD$259:AD$262,AD$265)))</f>
        <v>30.751463292192192</v>
      </c>
      <c r="AE206" s="47">
        <f ca="1">SUM(AE$244,IF(AE$6=OFFSET(Assumptions!$B$8,0,$C$1),AVERAGE((AB$206-AB$244)/SUM(AB$206,AB$213,AB$221,-AB$244,-AB$325),(AC$206-AC$244)/SUM(AC$206,AC$213,AC$221,-AC$244,-AC$325),(AD$206-AD$244)/SUM(AD$206,AD$213,AD$221,-AD$244,-AD$325)),(AD$206-AD$244)/SUM(AD$206,AD$213,AD$221,-AD$244,-AD$325))*(AE$324-AE$253-SUM(AE$259:AE$262,AE$265)))</f>
        <v>31.872715955395002</v>
      </c>
      <c r="AF206" s="47">
        <f ca="1">SUM(AF$244,IF(AF$6=OFFSET(Assumptions!$B$8,0,$C$1),AVERAGE((AC$206-AC$244)/SUM(AC$206,AC$213,AC$221,-AC$244,-AC$325),(AD$206-AD$244)/SUM(AD$206,AD$213,AD$221,-AD$244,-AD$325),(AE$206-AE$244)/SUM(AE$206,AE$213,AE$221,-AE$244,-AE$325)),(AE$206-AE$244)/SUM(AE$206,AE$213,AE$221,-AE$244,-AE$325))*(AF$324-AF$253-SUM(AF$259:AF$262,AF$265)))</f>
        <v>33.026560605147466</v>
      </c>
      <c r="AG206" s="47">
        <f ca="1">SUM(AG$244,IF(AG$6=OFFSET(Assumptions!$B$8,0,$C$1),AVERAGE((AD$206-AD$244)/SUM(AD$206,AD$213,AD$221,-AD$244,-AD$325),(AE$206-AE$244)/SUM(AE$206,AE$213,AE$221,-AE$244,-AE$325),(AF$206-AF$244)/SUM(AF$206,AF$213,AF$221,-AF$244,-AF$325)),(AF$206-AF$244)/SUM(AF$206,AF$213,AF$221,-AF$244,-AF$325))*(AG$324-AG$253-SUM(AG$259:AG$262,AG$265)))</f>
        <v>34.213126269294989</v>
      </c>
      <c r="AH206" s="47">
        <f ca="1">SUM(AH$244,IF(AH$6=OFFSET(Assumptions!$B$8,0,$C$1),AVERAGE((AE$206-AE$244)/SUM(AE$206,AE$213,AE$221,-AE$244,-AE$325),(AF$206-AF$244)/SUM(AF$206,AF$213,AF$221,-AF$244,-AF$325),(AG$206-AG$244)/SUM(AG$206,AG$213,AG$221,-AG$244,-AG$325)),(AG$206-AG$244)/SUM(AG$206,AG$213,AG$221,-AG$244,-AG$325))*(AH$324-AH$253-SUM(AH$259:AH$262,AH$265)))</f>
        <v>35.431866966316008</v>
      </c>
      <c r="AI206" s="47">
        <f ca="1">SUM(AI$244,IF(AI$6=OFFSET(Assumptions!$B$8,0,$C$1),AVERAGE((AF$206-AF$244)/SUM(AF$206,AF$213,AF$221,-AF$244,-AF$325),(AG$206-AG$244)/SUM(AG$206,AG$213,AG$221,-AG$244,-AG$325),(AH$206-AH$244)/SUM(AH$206,AH$213,AH$221,-AH$244,-AH$325)),(AH$206-AH$244)/SUM(AH$206,AH$213,AH$221,-AH$244,-AH$325))*(AI$324-AI$253-SUM(AI$259:AI$262,AI$265)))</f>
        <v>36.683815517836329</v>
      </c>
      <c r="AJ206" s="47">
        <f ca="1">SUM(AJ$244,IF(AJ$6=OFFSET(Assumptions!$B$8,0,$C$1),AVERAGE((AG$206-AG$244)/SUM(AG$206,AG$213,AG$221,-AG$244,-AG$325),(AH$206-AH$244)/SUM(AH$206,AH$213,AH$221,-AH$244,-AH$325),(AI$206-AI$244)/SUM(AI$206,AI$213,AI$221,-AI$244,-AI$325)),(AI$206-AI$244)/SUM(AI$206,AI$213,AI$221,-AI$244,-AI$325))*(AJ$324-AJ$253-SUM(AJ$259:AJ$262,AJ$265)))</f>
        <v>37.970551525466604</v>
      </c>
      <c r="AK206" s="47">
        <f ca="1">SUM(AK$244,IF(AK$6=OFFSET(Assumptions!$B$8,0,$C$1),AVERAGE((AH$206-AH$244)/SUM(AH$206,AH$213,AH$221,-AH$244,-AH$325),(AI$206-AI$244)/SUM(AI$206,AI$213,AI$221,-AI$244,-AI$325),(AJ$206-AJ$244)/SUM(AJ$206,AJ$213,AJ$221,-AJ$244,-AJ$325)),(AJ$206-AJ$244)/SUM(AJ$206,AJ$213,AJ$221,-AJ$244,-AJ$325))*(AK$324-AK$253-SUM(AK$259:AK$262,AK$265)))</f>
        <v>39.290395309904348</v>
      </c>
      <c r="AL206" s="47">
        <f ca="1">SUM(AL$244,IF(AL$6=OFFSET(Assumptions!$B$8,0,$C$1),AVERAGE((AI$206-AI$244)/SUM(AI$206,AI$213,AI$221,-AI$244,-AI$325),(AJ$206-AJ$244)/SUM(AJ$206,AJ$213,AJ$221,-AJ$244,-AJ$325),(AK$206-AK$244)/SUM(AK$206,AK$213,AK$221,-AK$244,-AK$325)),(AK$206-AK$244)/SUM(AK$206,AK$213,AK$221,-AK$244,-AK$325))*(AL$324-AL$253-SUM(AL$259:AL$262,AL$265)))</f>
        <v>40.645141346261767</v>
      </c>
      <c r="AM206" s="47">
        <f ca="1">SUM(AM$244,IF(AM$6=OFFSET(Assumptions!$B$8,0,$C$1),AVERAGE((AJ$206-AJ$244)/SUM(AJ$206,AJ$213,AJ$221,-AJ$244,-AJ$325),(AK$206-AK$244)/SUM(AK$206,AK$213,AK$221,-AK$244,-AK$325),(AL$206-AL$244)/SUM(AL$206,AL$213,AL$221,-AL$244,-AL$325)),(AL$206-AL$244)/SUM(AL$206,AL$213,AL$221,-AL$244,-AL$325))*(AM$324-AM$253-SUM(AM$259:AM$262,AM$265)))</f>
        <v>42.036617178468703</v>
      </c>
      <c r="AN206" s="47">
        <f ca="1">SUM(AN$244,IF(AN$6=OFFSET(Assumptions!$B$8,0,$C$1),AVERAGE((AK$206-AK$244)/SUM(AK$206,AK$213,AK$221,-AK$244,-AK$325),(AL$206-AL$244)/SUM(AL$206,AL$213,AL$221,-AL$244,-AL$325),(AM$206-AM$244)/SUM(AM$206,AM$213,AM$221,-AM$244,-AM$325)),(AM$206-AM$244)/SUM(AM$206,AM$213,AM$221,-AM$244,-AM$325))*(AN$324-AN$253-SUM(AN$259:AN$262,AN$265)))</f>
        <v>43.466392260342218</v>
      </c>
      <c r="AO206" s="47">
        <f ca="1">SUM(AO$244,IF(AO$6=OFFSET(Assumptions!$B$8,0,$C$1),AVERAGE((AL$206-AL$244)/SUM(AL$206,AL$213,AL$221,-AL$244,-AL$325),(AM$206-AM$244)/SUM(AM$206,AM$213,AM$221,-AM$244,-AM$325),(AN$206-AN$244)/SUM(AN$206,AN$213,AN$221,-AN$244,-AN$325)),(AN$206-AN$244)/SUM(AN$206,AN$213,AN$221,-AN$244,-AN$325))*(AO$324-AO$253-SUM(AO$259:AO$262,AO$265)))</f>
        <v>44.935175380649937</v>
      </c>
      <c r="AP206" s="47">
        <f ca="1">SUM(AP$244,IF(AP$6=OFFSET(Assumptions!$B$8,0,$C$1),AVERAGE((AM$206-AM$244)/SUM(AM$206,AM$213,AM$221,-AM$244,-AM$325),(AN$206-AN$244)/SUM(AN$206,AN$213,AN$221,-AN$244,-AN$325),(AO$206-AO$244)/SUM(AO$206,AO$213,AO$221,-AO$244,-AO$325)),(AO$206-AO$244)/SUM(AO$206,AO$213,AO$221,-AO$244,-AO$325))*(AP$324-AP$253-SUM(AP$259:AP$262,AP$265)))</f>
        <v>46.447435988345177</v>
      </c>
      <c r="AQ206" s="47">
        <f ca="1">SUM(AQ$244,IF(AQ$6=OFFSET(Assumptions!$B$8,0,$C$1),AVERAGE((AN$206-AN$244)/SUM(AN$206,AN$213,AN$221,-AN$244,-AN$325),(AO$206-AO$244)/SUM(AO$206,AO$213,AO$221,-AO$244,-AO$325),(AP$206-AP$244)/SUM(AP$206,AP$213,AP$221,-AP$244,-AP$325)),(AP$206-AP$244)/SUM(AP$206,AP$213,AP$221,-AP$244,-AP$325))*(AQ$324-AQ$253-SUM(AQ$259:AQ$262,AQ$265)))</f>
        <v>48.004640778415684</v>
      </c>
      <c r="AR206" s="47">
        <f ca="1">SUM(AR$244,IF(AR$6=OFFSET(Assumptions!$B$8,0,$C$1),AVERAGE((AO$206-AO$244)/SUM(AO$206,AO$213,AO$221,-AO$244,-AO$325),(AP$206-AP$244)/SUM(AP$206,AP$213,AP$221,-AP$244,-AP$325),(AQ$206-AQ$244)/SUM(AQ$206,AQ$213,AQ$221,-AQ$244,-AQ$325)),(AQ$206-AQ$244)/SUM(AQ$206,AQ$213,AQ$221,-AQ$244,-AQ$325))*(AR$324-AR$253-SUM(AR$259:AR$262,AR$265)))</f>
        <v>49.610581628992449</v>
      </c>
      <c r="AS206" s="47">
        <f ca="1">SUM(AS$244,IF(AS$6=OFFSET(Assumptions!$B$8,0,$C$1),AVERAGE((AP$206-AP$244)/SUM(AP$206,AP$213,AP$221,-AP$244,-AP$325),(AQ$206-AQ$244)/SUM(AQ$206,AQ$213,AQ$221,-AQ$244,-AQ$325),(AR$206-AR$244)/SUM(AR$206,AR$213,AR$221,-AR$244,-AR$325)),(AR$206-AR$244)/SUM(AR$206,AR$213,AR$221,-AR$244,-AR$325))*(AS$324-AS$253-SUM(AS$259:AS$262,AS$265)))</f>
        <v>51.266796231817267</v>
      </c>
      <c r="AT206" s="47">
        <f ca="1">SUM(AT$244,IF(AT$6=OFFSET(Assumptions!$B$8,0,$C$1),AVERAGE((AQ$206-AQ$244)/SUM(AQ$206,AQ$213,AQ$221,-AQ$244,-AQ$325),(AR$206-AR$244)/SUM(AR$206,AR$213,AR$221,-AR$244,-AR$325),(AS$206-AS$244)/SUM(AS$206,AS$213,AS$221,-AS$244,-AS$325)),(AS$206-AS$244)/SUM(AS$206,AS$213,AS$221,-AS$244,-AS$325))*(AT$324-AT$253-SUM(AT$259:AT$262,AT$265)))</f>
        <v>52.97815408339352</v>
      </c>
      <c r="AU206" s="47">
        <f ca="1">SUM(AU$244,IF(AU$6=OFFSET(Assumptions!$B$8,0,$C$1),AVERAGE((AR$206-AR$244)/SUM(AR$206,AR$213,AR$221,-AR$244,-AR$325),(AS$206-AS$244)/SUM(AS$206,AS$213,AS$221,-AS$244,-AS$325),(AT$206-AT$244)/SUM(AT$206,AT$213,AT$221,-AT$244,-AT$325)),(AT$206-AT$244)/SUM(AT$206,AT$213,AT$221,-AT$244,-AT$325))*(AU$324-AU$253-SUM(AU$259:AU$262,AU$265)))</f>
        <v>54.74393257573827</v>
      </c>
      <c r="AV206" s="47">
        <f ca="1">SUM(AV$244,IF(AV$6=OFFSET(Assumptions!$B$8,0,$C$1),AVERAGE((AS$206-AS$244)/SUM(AS$206,AS$213,AS$221,-AS$244,-AS$325),(AT$206-AT$244)/SUM(AT$206,AT$213,AT$221,-AT$244,-AT$325),(AU$206-AU$244)/SUM(AU$206,AU$213,AU$221,-AU$244,-AU$325)),(AU$206-AU$244)/SUM(AU$206,AU$213,AU$221,-AU$244,-AU$325))*(AV$324-AV$253-SUM(AV$259:AV$262,AV$265)))</f>
        <v>56.569086162631891</v>
      </c>
      <c r="AW206" s="47">
        <f ca="1">SUM(AW$244,IF(AW$6=OFFSET(Assumptions!$B$8,0,$C$1),AVERAGE((AT$206-AT$244)/SUM(AT$206,AT$213,AT$221,-AT$244,-AT$325),(AU$206-AU$244)/SUM(AU$206,AU$213,AU$221,-AU$244,-AU$325),(AV$206-AV$244)/SUM(AV$206,AV$213,AV$221,-AV$244,-AV$325)),(AV$206-AV$244)/SUM(AV$206,AV$213,AV$221,-AV$244,-AV$325))*(AW$324-AW$253-SUM(AW$259:AW$262,AW$265)))</f>
        <v>58.455213012020714</v>
      </c>
      <c r="AX206" s="47">
        <f ca="1">SUM(AX$244,IF(AX$6=OFFSET(Assumptions!$B$8,0,$C$1),AVERAGE((AU$206-AU$244)/SUM(AU$206,AU$213,AU$221,-AU$244,-AU$325),(AV$206-AV$244)/SUM(AV$206,AV$213,AV$221,-AV$244,-AV$325),(AW$206-AW$244)/SUM(AW$206,AW$213,AW$221,-AW$244,-AW$325)),(AW$206-AW$244)/SUM(AW$206,AW$213,AW$221,-AW$244,-AW$325))*(AX$324-AX$253-SUM(AX$259:AX$262,AX$265)))</f>
        <v>60.401661902391119</v>
      </c>
    </row>
    <row r="207" spans="1:50" x14ac:dyDescent="0.25">
      <c r="A207" s="11" t="s">
        <v>630</v>
      </c>
      <c r="B207" s="10" t="str">
        <f t="shared" si="1113"/>
        <v>From Fiscal Forecasts</v>
      </c>
      <c r="D207" s="35">
        <f>'Fiscal Forecasts'!D$255</f>
        <v>15.085000000000001</v>
      </c>
      <c r="E207" s="35">
        <f>'Fiscal Forecasts'!E$255</f>
        <v>16.317</v>
      </c>
      <c r="F207" s="35">
        <f>'Fiscal Forecasts'!F$255</f>
        <v>17.928999999999998</v>
      </c>
      <c r="G207" s="35">
        <f>'Fiscal Forecasts'!G$255</f>
        <v>19.896999999999998</v>
      </c>
      <c r="H207" s="35">
        <f>'Fiscal Forecasts'!H$255</f>
        <v>22.326000000000001</v>
      </c>
      <c r="I207" s="35">
        <f>'Fiscal Forecasts'!I$255</f>
        <v>24.337</v>
      </c>
      <c r="J207" s="17">
        <f>'Fiscal Forecasts'!J$255</f>
        <v>24.657</v>
      </c>
      <c r="K207" s="17">
        <f>'Fiscal Forecasts'!K$255</f>
        <v>25.32</v>
      </c>
      <c r="L207" s="17">
        <f>'Fiscal Forecasts'!L$255</f>
        <v>25.808</v>
      </c>
      <c r="M207" s="17">
        <f>'Fiscal Forecasts'!M$255</f>
        <v>26.111999999999998</v>
      </c>
      <c r="N207" s="17">
        <f>'Fiscal Forecasts'!N$255</f>
        <v>26.395</v>
      </c>
      <c r="O207" s="16">
        <f ca="1">SUM(O$245-O$244,IF(O$6=OFFSET(Assumptions!$B$8,0,$C$1),AVERAGE(SUM(L$207,-(L$245-L$244))/SUM(L$207,-(L$245-L$244),L$214,L$222),(M$207-(M$245-M$244))/SUM(M$207,-(M$245-M$244),M$214,M$222),(N$207-(N$245-N$244))/SUM(N$207,-(N$245-N$244),N$214,N$222)),(N$207-(N$245-N$244))/SUM(N$207,-(N$245-N$244),N$214,N$222))*SUM(O$196-O$237,O$254,O$267,O$285,O$327,-(O$245-O$244)))</f>
        <v>27.356508334154789</v>
      </c>
      <c r="P207" s="16">
        <f ca="1">SUM(P$245-P$244,IF(P$6=OFFSET(Assumptions!$B$8,0,$C$1),AVERAGE(SUM(M$207,-(M$245-M$244))/SUM(M$207,-(M$245-M$244),M$214,M$222),(N$207-(N$245-N$244))/SUM(N$207,-(N$245-N$244),N$214,N$222),(O$207-(O$245-O$244))/SUM(O$207,-(O$245-O$244),O$214,O$222)),(O$207-(O$245-O$244))/SUM(O$207,-(O$245-O$244),O$214,O$222))*SUM(P$196-P$237,P$254,P$267,P$285,P$327,-(P$245-P$244)))</f>
        <v>28.649958450506997</v>
      </c>
      <c r="Q207" s="16">
        <f ca="1">SUM(Q$245-Q$244,IF(Q$6=OFFSET(Assumptions!$B$8,0,$C$1),AVERAGE(SUM(N$207,-(N$245-N$244))/SUM(N$207,-(N$245-N$244),N$214,N$222),(O$207-(O$245-O$244))/SUM(O$207,-(O$245-O$244),O$214,O$222),(P$207-(P$245-P$244))/SUM(P$207,-(P$245-P$244),P$214,P$222)),(P$207-(P$245-P$244))/SUM(P$207,-(P$245-P$244),P$214,P$222))*SUM(Q$196-Q$237,Q$254,Q$267,Q$285,Q$327,-(Q$245-Q$244)))</f>
        <v>30.101441492725389</v>
      </c>
      <c r="R207" s="16">
        <f ca="1">SUM(R$245-R$244,IF(R$6=OFFSET(Assumptions!$B$8,0,$C$1),AVERAGE(SUM(O$207,-(O$245-O$244))/SUM(O$207,-(O$245-O$244),O$214,O$222),(P$207-(P$245-P$244))/SUM(P$207,-(P$245-P$244),P$214,P$222),(Q$207-(Q$245-Q$244))/SUM(Q$207,-(Q$245-Q$244),Q$214,Q$222)),(Q$207-(Q$245-Q$244))/SUM(Q$207,-(Q$245-Q$244),Q$214,Q$222))*SUM(R$196-R$237,R$254,R$267,R$285,R$327,-(R$245-R$244)))</f>
        <v>31.603498467182732</v>
      </c>
      <c r="S207" s="16">
        <f ca="1">SUM(S$245-S$244,IF(S$6=OFFSET(Assumptions!$B$8,0,$C$1),AVERAGE(SUM(P$207,-(P$245-P$244))/SUM(P$207,-(P$245-P$244),P$214,P$222),(Q$207-(Q$245-Q$244))/SUM(Q$207,-(Q$245-Q$244),Q$214,Q$222),(R$207-(R$245-R$244))/SUM(R$207,-(R$245-R$244),R$214,R$222)),(R$207-(R$245-R$244))/SUM(R$207,-(R$245-R$244),R$214,R$222))*SUM(S$196-S$237,S$254,S$267,S$285,S$327,-(S$245-S$244)))</f>
        <v>33.159993188197397</v>
      </c>
      <c r="T207" s="16">
        <f ca="1">SUM(T$245-T$244,IF(T$6=OFFSET(Assumptions!$B$8,0,$C$1),AVERAGE(SUM(Q$207,-(Q$245-Q$244))/SUM(Q$207,-(Q$245-Q$244),Q$214,Q$222),(R$207-(R$245-R$244))/SUM(R$207,-(R$245-R$244),R$214,R$222),(S$207-(S$245-S$244))/SUM(S$207,-(S$245-S$244),S$214,S$222)),(S$207-(S$245-S$244))/SUM(S$207,-(S$245-S$244),S$214,S$222))*SUM(T$196-T$237,T$254,T$267,T$285,T$327,-(T$245-T$244)))</f>
        <v>34.765728874384727</v>
      </c>
      <c r="U207" s="16">
        <f ca="1">SUM(U$245-U$244,IF(U$6=OFFSET(Assumptions!$B$8,0,$C$1),AVERAGE(SUM(R$207,-(R$245-R$244))/SUM(R$207,-(R$245-R$244),R$214,R$222),(S$207-(S$245-S$244))/SUM(S$207,-(S$245-S$244),S$214,S$222),(T$207-(T$245-T$244))/SUM(T$207,-(T$245-T$244),T$214,T$222)),(T$207-(T$245-T$244))/SUM(T$207,-(T$245-T$244),T$214,T$222))*SUM(U$196-U$237,U$254,U$267,U$285,U$327,-(U$245-U$244)))</f>
        <v>36.432999046588314</v>
      </c>
      <c r="V207" s="16">
        <f ca="1">SUM(V$245-V$244,IF(V$6=OFFSET(Assumptions!$B$8,0,$C$1),AVERAGE(SUM(S$207,-(S$245-S$244))/SUM(S$207,-(S$245-S$244),S$214,S$222),(T$207-(T$245-T$244))/SUM(T$207,-(T$245-T$244),T$214,T$222),(U$207-(U$245-U$244))/SUM(U$207,-(U$245-U$244),U$214,U$222)),(U$207-(U$245-U$244))/SUM(U$207,-(U$245-U$244),U$214,U$222))*SUM(V$196-V$237,V$254,V$267,V$285,V$327,-(V$245-V$244)))</f>
        <v>38.161741072274268</v>
      </c>
      <c r="W207" s="16">
        <f ca="1">SUM(W$245-W$244,IF(W$6=OFFSET(Assumptions!$B$8,0,$C$1),AVERAGE(SUM(T$207,-(T$245-T$244))/SUM(T$207,-(T$245-T$244),T$214,T$222),(U$207-(U$245-U$244))/SUM(U$207,-(U$245-U$244),U$214,U$222),(V$207-(V$245-V$244))/SUM(V$207,-(V$245-V$244),V$214,V$222)),(V$207-(V$245-V$244))/SUM(V$207,-(V$245-V$244),V$214,V$222))*SUM(W$196-W$237,W$254,W$267,W$285,W$327,-(W$245-W$244)))</f>
        <v>39.955396385098588</v>
      </c>
      <c r="X207" s="16">
        <f ca="1">SUM(X$245-X$244,IF(X$6=OFFSET(Assumptions!$B$8,0,$C$1),AVERAGE(SUM(U$207,-(U$245-U$244))/SUM(U$207,-(U$245-U$244),U$214,U$222),(V$207-(V$245-V$244))/SUM(V$207,-(V$245-V$244),V$214,V$222),(W$207-(W$245-W$244))/SUM(W$207,-(W$245-W$244),W$214,W$222)),(W$207-(W$245-W$244))/SUM(W$207,-(W$245-W$244),W$214,W$222))*SUM(X$196-X$237,X$254,X$267,X$285,X$327,-(X$245-X$244)))</f>
        <v>41.829398391819936</v>
      </c>
      <c r="Y207" s="16">
        <f ca="1">SUM(Y$245-Y$244,IF(Y$6=OFFSET(Assumptions!$B$8,0,$C$1),AVERAGE(SUM(V$207,-(V$245-V$244))/SUM(V$207,-(V$245-V$244),V$214,V$222),(W$207-(W$245-W$244))/SUM(W$207,-(W$245-W$244),W$214,W$222),(X$207-(X$245-X$244))/SUM(X$207,-(X$245-X$244),X$214,X$222)),(X$207-(X$245-X$244))/SUM(X$207,-(X$245-X$244),X$214,X$222))*SUM(Y$196-Y$237,Y$254,Y$267,Y$285,Y$327,-(Y$245-Y$244)))</f>
        <v>43.778915066130175</v>
      </c>
      <c r="Z207" s="16">
        <f ca="1">SUM(Z$245-Z$244,IF(Z$6=OFFSET(Assumptions!$B$8,0,$C$1),AVERAGE(SUM(W$207,-(W$245-W$244))/SUM(W$207,-(W$245-W$244),W$214,W$222),(X$207-(X$245-X$244))/SUM(X$207,-(X$245-X$244),X$214,X$222),(Y$207-(Y$245-Y$244))/SUM(Y$207,-(Y$245-Y$244),Y$214,Y$222)),(Y$207-(Y$245-Y$244))/SUM(Y$207,-(Y$245-Y$244),Y$214,Y$222))*SUM(Z$196-Z$237,Z$254,Z$267,Z$285,Z$327,-(Z$245-Z$244)))</f>
        <v>45.823287770051884</v>
      </c>
      <c r="AA207" s="16">
        <f ca="1">SUM(AA$245-AA$244,IF(AA$6=OFFSET(Assumptions!$B$8,0,$C$1),AVERAGE(SUM(X$207,-(X$245-X$244))/SUM(X$207,-(X$245-X$244),X$214,X$222),(Y$207-(Y$245-Y$244))/SUM(Y$207,-(Y$245-Y$244),Y$214,Y$222),(Z$207-(Z$245-Z$244))/SUM(Z$207,-(Z$245-Z$244),Z$214,Z$222)),(Z$207-(Z$245-Z$244))/SUM(Z$207,-(Z$245-Z$244),Z$214,Z$222))*SUM(AA$196-AA$237,AA$254,AA$267,AA$285,AA$327,-(AA$245-AA$244)))</f>
        <v>47.950608278024347</v>
      </c>
      <c r="AB207" s="16">
        <f ca="1">SUM(AB$245-AB$244,IF(AB$6=OFFSET(Assumptions!$B$8,0,$C$1),AVERAGE(SUM(Y$207,-(Y$245-Y$244))/SUM(Y$207,-(Y$245-Y$244),Y$214,Y$222),(Z$207-(Z$245-Z$244))/SUM(Z$207,-(Z$245-Z$244),Z$214,Z$222),(AA$207-(AA$245-AA$244))/SUM(AA$207,-(AA$245-AA$244),AA$214,AA$222)),(AA$207-(AA$245-AA$244))/SUM(AA$207,-(AA$245-AA$244),AA$214,AA$222))*SUM(AB$196-AB$237,AB$254,AB$267,AB$285,AB$327,-(AB$245-AB$244)))</f>
        <v>50.157632183364548</v>
      </c>
      <c r="AC207" s="16">
        <f ca="1">SUM(AC$245-AC$244,IF(AC$6=OFFSET(Assumptions!$B$8,0,$C$1),AVERAGE(SUM(Z$207,-(Z$245-Z$244))/SUM(Z$207,-(Z$245-Z$244),Z$214,Z$222),(AA$207-(AA$245-AA$244))/SUM(AA$207,-(AA$245-AA$244),AA$214,AA$222),(AB$207-(AB$245-AB$244))/SUM(AB$207,-(AB$245-AB$244),AB$214,AB$222)),(AB$207-(AB$245-AB$244))/SUM(AB$207,-(AB$245-AB$244),AB$214,AB$222))*SUM(AC$196-AC$237,AC$254,AC$267,AC$285,AC$327,-(AC$245-AC$244)))</f>
        <v>52.446998629264193</v>
      </c>
      <c r="AD207" s="16">
        <f ca="1">SUM(AD$245-AD$244,IF(AD$6=OFFSET(Assumptions!$B$8,0,$C$1),AVERAGE(SUM(AA$207,-(AA$245-AA$244))/SUM(AA$207,-(AA$245-AA$244),AA$214,AA$222),(AB$207-(AB$245-AB$244))/SUM(AB$207,-(AB$245-AB$244),AB$214,AB$222),(AC$207-(AC$245-AC$244))/SUM(AC$207,-(AC$245-AC$244),AC$214,AC$222)),(AC$207-(AC$245-AC$244))/SUM(AC$207,-(AC$245-AC$244),AC$214,AC$222))*SUM(AD$196-AD$237,AD$254,AD$267,AD$285,AD$327,-(AD$245-AD$244)))</f>
        <v>54.814348747757236</v>
      </c>
      <c r="AE207" s="16">
        <f ca="1">SUM(AE$245-AE$244,IF(AE$6=OFFSET(Assumptions!$B$8,0,$C$1),AVERAGE(SUM(AB$207,-(AB$245-AB$244))/SUM(AB$207,-(AB$245-AB$244),AB$214,AB$222),(AC$207-(AC$245-AC$244))/SUM(AC$207,-(AC$245-AC$244),AC$214,AC$222),(AD$207-(AD$245-AD$244))/SUM(AD$207,-(AD$245-AD$244),AD$214,AD$222)),(AD$207-(AD$245-AD$244))/SUM(AD$207,-(AD$245-AD$244),AD$214,AD$222))*SUM(AE$196-AE$237,AE$254,AE$267,AE$285,AE$327,-(AE$245-AE$244)))</f>
        <v>57.270072310998394</v>
      </c>
      <c r="AF207" s="16">
        <f ca="1">SUM(AF$245-AF$244,IF(AF$6=OFFSET(Assumptions!$B$8,0,$C$1),AVERAGE(SUM(AC$207,-(AC$245-AC$244))/SUM(AC$207,-(AC$245-AC$244),AC$214,AC$222),(AD$207-(AD$245-AD$244))/SUM(AD$207,-(AD$245-AD$244),AD$214,AD$222),(AE$207-(AE$245-AE$244))/SUM(AE$207,-(AE$245-AE$244),AE$214,AE$222)),(AE$207-(AE$245-AE$244))/SUM(AE$207,-(AE$245-AE$244),AE$214,AE$222))*SUM(AF$196-AF$237,AF$254,AF$267,AF$285,AF$327,-(AF$245-AF$244)))</f>
        <v>59.817996553205894</v>
      </c>
      <c r="AG207" s="16">
        <f ca="1">SUM(AG$245-AG$244,IF(AG$6=OFFSET(Assumptions!$B$8,0,$C$1),AVERAGE(SUM(AD$207,-(AD$245-AD$244))/SUM(AD$207,-(AD$245-AD$244),AD$214,AD$222),(AE$207-(AE$245-AE$244))/SUM(AE$207,-(AE$245-AE$244),AE$214,AE$222),(AF$207-(AF$245-AF$244))/SUM(AF$207,-(AF$245-AF$244),AF$214,AF$222)),(AF$207-(AF$245-AF$244))/SUM(AF$207,-(AF$245-AF$244),AF$214,AF$222))*SUM(AG$196-AG$237,AG$254,AG$267,AG$285,AG$327,-(AG$245-AG$244)))</f>
        <v>62.464991512162534</v>
      </c>
      <c r="AH207" s="16">
        <f ca="1">SUM(AH$245-AH$244,IF(AH$6=OFFSET(Assumptions!$B$8,0,$C$1),AVERAGE(SUM(AE$207,-(AE$245-AE$244))/SUM(AE$207,-(AE$245-AE$244),AE$214,AE$222),(AF$207-(AF$245-AF$244))/SUM(AF$207,-(AF$245-AF$244),AF$214,AF$222),(AG$207-(AG$245-AG$244))/SUM(AG$207,-(AG$245-AG$244),AG$214,AG$222)),(AG$207-(AG$245-AG$244))/SUM(AG$207,-(AG$245-AG$244),AG$214,AG$222))*SUM(AH$196-AH$237,AH$254,AH$267,AH$285,AH$327,-(AH$245-AH$244)))</f>
        <v>65.205422415936397</v>
      </c>
      <c r="AI207" s="16">
        <f ca="1">SUM(AI$245-AI$244,IF(AI$6=OFFSET(Assumptions!$B$8,0,$C$1),AVERAGE(SUM(AF$207,-(AF$245-AF$244))/SUM(AF$207,-(AF$245-AF$244),AF$214,AF$222),(AG$207-(AG$245-AG$244))/SUM(AG$207,-(AG$245-AG$244),AG$214,AG$222),(AH$207-(AH$245-AH$244))/SUM(AH$207,-(AH$245-AH$244),AH$214,AH$222)),(AH$207-(AH$245-AH$244))/SUM(AH$207,-(AH$245-AH$244),AH$214,AH$222))*SUM(AI$196-AI$237,AI$254,AI$267,AI$285,AI$327,-(AI$245-AI$244)))</f>
        <v>68.039947278040628</v>
      </c>
      <c r="AJ207" s="16">
        <f ca="1">SUM(AJ$245-AJ$244,IF(AJ$6=OFFSET(Assumptions!$B$8,0,$C$1),AVERAGE(SUM(AG$207,-(AG$245-AG$244))/SUM(AG$207,-(AG$245-AG$244),AG$214,AG$222),(AH$207-(AH$245-AH$244))/SUM(AH$207,-(AH$245-AH$244),AH$214,AH$222),(AI$207-(AI$245-AI$244))/SUM(AI$207,-(AI$245-AI$244),AI$214,AI$222)),(AI$207-(AI$245-AI$244))/SUM(AI$207,-(AI$245-AI$244),AI$214,AI$222))*SUM(AJ$196-AJ$237,AJ$254,AJ$267,AJ$285,AJ$327,-(AJ$245-AJ$244)))</f>
        <v>70.977668763490357</v>
      </c>
      <c r="AK207" s="16">
        <f ca="1">SUM(AK$245-AK$244,IF(AK$6=OFFSET(Assumptions!$B$8,0,$C$1),AVERAGE(SUM(AH$207,-(AH$245-AH$244))/SUM(AH$207,-(AH$245-AH$244),AH$214,AH$222),(AI$207-(AI$245-AI$244))/SUM(AI$207,-(AI$245-AI$244),AI$214,AI$222),(AJ$207-(AJ$245-AJ$244))/SUM(AJ$207,-(AJ$245-AJ$244),AJ$214,AJ$222)),(AJ$207-(AJ$245-AJ$244))/SUM(AJ$207,-(AJ$245-AJ$244),AJ$214,AJ$222))*SUM(AK$196-AK$237,AK$254,AK$267,AK$285,AK$327,-(AK$245-AK$244)))</f>
        <v>74.027289797622998</v>
      </c>
      <c r="AL207" s="16">
        <f ca="1">SUM(AL$245-AL$244,IF(AL$6=OFFSET(Assumptions!$B$8,0,$C$1),AVERAGE(SUM(AI$207,-(AI$245-AI$244))/SUM(AI$207,-(AI$245-AI$244),AI$214,AI$222),(AJ$207-(AJ$245-AJ$244))/SUM(AJ$207,-(AJ$245-AJ$244),AJ$214,AJ$222),(AK$207-(AK$245-AK$244))/SUM(AK$207,-(AK$245-AK$244),AK$214,AK$222)),(AK$207-(AK$245-AK$244))/SUM(AK$207,-(AK$245-AK$244),AK$214,AK$222))*SUM(AL$196-AL$237,AL$254,AL$267,AL$285,AL$327,-(AL$245-AL$244)))</f>
        <v>77.187829672995292</v>
      </c>
      <c r="AM207" s="16">
        <f ca="1">SUM(AM$245-AM$244,IF(AM$6=OFFSET(Assumptions!$B$8,0,$C$1),AVERAGE(SUM(AJ$207,-(AJ$245-AJ$244))/SUM(AJ$207,-(AJ$245-AJ$244),AJ$214,AJ$222),(AK$207-(AK$245-AK$244))/SUM(AK$207,-(AK$245-AK$244),AK$214,AK$222),(AL$207-(AL$245-AL$244))/SUM(AL$207,-(AL$245-AL$244),AL$214,AL$222)),(AL$207-(AL$245-AL$244))/SUM(AL$207,-(AL$245-AL$244),AL$214,AL$222))*SUM(AM$196-AM$237,AM$254,AM$267,AM$285,AM$327,-(AM$245-AM$244)))</f>
        <v>80.466489693505267</v>
      </c>
      <c r="AN207" s="16">
        <f ca="1">SUM(AN$245-AN$244,IF(AN$6=OFFSET(Assumptions!$B$8,0,$C$1),AVERAGE(SUM(AK$207,-(AK$245-AK$244))/SUM(AK$207,-(AK$245-AK$244),AK$214,AK$222),(AL$207-(AL$245-AL$244))/SUM(AL$207,-(AL$245-AL$244),AL$214,AL$222),(AM$207-(AM$245-AM$244))/SUM(AM$207,-(AM$245-AM$244),AM$214,AM$222)),(AM$207-(AM$245-AM$244))/SUM(AM$207,-(AM$245-AM$244),AM$214,AM$222))*SUM(AN$196-AN$237,AN$254,AN$267,AN$285,AN$327,-(AN$245-AN$244)))</f>
        <v>83.874324414073371</v>
      </c>
      <c r="AO207" s="16">
        <f ca="1">SUM(AO$245-AO$244,IF(AO$6=OFFSET(Assumptions!$B$8,0,$C$1),AVERAGE(SUM(AL$207,-(AL$245-AL$244))/SUM(AL$207,-(AL$245-AL$244),AL$214,AL$222),(AM$207-(AM$245-AM$244))/SUM(AM$207,-(AM$245-AM$244),AM$214,AM$222),(AN$207-(AN$245-AN$244))/SUM(AN$207,-(AN$245-AN$244),AN$214,AN$222)),(AN$207-(AN$245-AN$244))/SUM(AN$207,-(AN$245-AN$244),AN$214,AN$222))*SUM(AO$196-AO$237,AO$254,AO$267,AO$285,AO$327,-(AO$245-AO$244)))</f>
        <v>87.409002407879314</v>
      </c>
      <c r="AP207" s="16">
        <f ca="1">SUM(AP$245-AP$244,IF(AP$6=OFFSET(Assumptions!$B$8,0,$C$1),AVERAGE(SUM(AM$207,-(AM$245-AM$244))/SUM(AM$207,-(AM$245-AM$244),AM$214,AM$222),(AN$207-(AN$245-AN$244))/SUM(AN$207,-(AN$245-AN$244),AN$214,AN$222),(AO$207-(AO$245-AO$244))/SUM(AO$207,-(AO$245-AO$244),AO$214,AO$222)),(AO$207-(AO$245-AO$244))/SUM(AO$207,-(AO$245-AO$244),AO$214,AO$222))*SUM(AP$196-AP$237,AP$254,AP$267,AP$285,AP$327,-(AP$245-AP$244)))</f>
        <v>91.085734814074357</v>
      </c>
      <c r="AQ207" s="16">
        <f ca="1">SUM(AQ$245-AQ$244,IF(AQ$6=OFFSET(Assumptions!$B$8,0,$C$1),AVERAGE(SUM(AN$207,-(AN$245-AN$244))/SUM(AN$207,-(AN$245-AN$244),AN$214,AN$222),(AO$207-(AO$245-AO$244))/SUM(AO$207,-(AO$245-AO$244),AO$214,AO$222),(AP$207-(AP$245-AP$244))/SUM(AP$207,-(AP$245-AP$244),AP$214,AP$222)),(AP$207-(AP$245-AP$244))/SUM(AP$207,-(AP$245-AP$244),AP$214,AP$222))*SUM(AQ$196-AQ$237,AQ$254,AQ$267,AQ$285,AQ$327,-(AQ$245-AQ$244)))</f>
        <v>94.911770871705016</v>
      </c>
      <c r="AR207" s="16">
        <f ca="1">SUM(AR$245-AR$244,IF(AR$6=OFFSET(Assumptions!$B$8,0,$C$1),AVERAGE(SUM(AO$207,-(AO$245-AO$244))/SUM(AO$207,-(AO$245-AO$244),AO$214,AO$222),(AP$207-(AP$245-AP$244))/SUM(AP$207,-(AP$245-AP$244),AP$214,AP$222),(AQ$207-(AQ$245-AQ$244))/SUM(AQ$207,-(AQ$245-AQ$244),AQ$214,AQ$222)),(AQ$207-(AQ$245-AQ$244))/SUM(AQ$207,-(AQ$245-AQ$244),AQ$214,AQ$222))*SUM(AR$196-AR$237,AR$254,AR$267,AR$285,AR$327,-(AR$245-AR$244)))</f>
        <v>98.881630634740475</v>
      </c>
      <c r="AS207" s="16">
        <f ca="1">SUM(AS$245-AS$244,IF(AS$6=OFFSET(Assumptions!$B$8,0,$C$1),AVERAGE(SUM(AP$207,-(AP$245-AP$244))/SUM(AP$207,-(AP$245-AP$244),AP$214,AP$222),(AQ$207-(AQ$245-AQ$244))/SUM(AQ$207,-(AQ$245-AQ$244),AQ$214,AQ$222),(AR$207-(AR$245-AR$244))/SUM(AR$207,-(AR$245-AR$244),AR$214,AR$222)),(AR$207-(AR$245-AR$244))/SUM(AR$207,-(AR$245-AR$244),AR$214,AR$222))*SUM(AS$196-AS$237,AS$254,AS$267,AS$285,AS$327,-(AS$245-AS$244)))</f>
        <v>103.01305388995746</v>
      </c>
      <c r="AT207" s="16">
        <f ca="1">SUM(AT$245-AT$244,IF(AT$6=OFFSET(Assumptions!$B$8,0,$C$1),AVERAGE(SUM(AQ$207,-(AQ$245-AQ$244))/SUM(AQ$207,-(AQ$245-AQ$244),AQ$214,AQ$222),(AR$207-(AR$245-AR$244))/SUM(AR$207,-(AR$245-AR$244),AR$214,AR$222),(AS$207-(AS$245-AS$244))/SUM(AS$207,-(AS$245-AS$244),AS$214,AS$222)),(AS$207-(AS$245-AS$244))/SUM(AS$207,-(AS$245-AS$244),AS$214,AS$222))*SUM(AT$196-AT$237,AT$254,AT$267,AT$285,AT$327,-(AT$245-AT$244)))</f>
        <v>107.29842785080641</v>
      </c>
      <c r="AU207" s="16">
        <f ca="1">SUM(AU$245-AU$244,IF(AU$6=OFFSET(Assumptions!$B$8,0,$C$1),AVERAGE(SUM(AR$207,-(AR$245-AR$244))/SUM(AR$207,-(AR$245-AR$244),AR$214,AR$222),(AS$207-(AS$245-AS$244))/SUM(AS$207,-(AS$245-AS$244),AS$214,AS$222),(AT$207-(AT$245-AT$244))/SUM(AT$207,-(AT$245-AT$244),AT$214,AT$222)),(AT$207-(AT$245-AT$244))/SUM(AT$207,-(AT$245-AT$244),AT$214,AT$222))*SUM(AU$196-AU$237,AU$254,AU$267,AU$285,AU$327,-(AU$245-AU$244)))</f>
        <v>111.7612302725128</v>
      </c>
      <c r="AV207" s="16">
        <f ca="1">SUM(AV$245-AV$244,IF(AV$6=OFFSET(Assumptions!$B$8,0,$C$1),AVERAGE(SUM(AS$207,-(AS$245-AS$244))/SUM(AS$207,-(AS$245-AS$244),AS$214,AS$222),(AT$207-(AT$245-AT$244))/SUM(AT$207,-(AT$245-AT$244),AT$214,AT$222),(AU$207-(AU$245-AU$244))/SUM(AU$207,-(AU$245-AU$244),AU$214,AU$222)),(AU$207-(AU$245-AU$244))/SUM(AU$207,-(AU$245-AU$244),AU$214,AU$222))*SUM(AV$196-AV$237,AV$254,AV$267,AV$285,AV$327,-(AV$245-AV$244)))</f>
        <v>116.41456607620579</v>
      </c>
      <c r="AW207" s="16">
        <f ca="1">SUM(AW$245-AW$244,IF(AW$6=OFFSET(Assumptions!$B$8,0,$C$1),AVERAGE(SUM(AT$207,-(AT$245-AT$244))/SUM(AT$207,-(AT$245-AT$244),AT$214,AT$222),(AU$207-(AU$245-AU$244))/SUM(AU$207,-(AU$245-AU$244),AU$214,AU$222),(AV$207-(AV$245-AV$244))/SUM(AV$207,-(AV$245-AV$244),AV$214,AV$222)),(AV$207-(AV$245-AV$244))/SUM(AV$207,-(AV$245-AV$244),AV$214,AV$222))*SUM(AW$196-AW$237,AW$254,AW$267,AW$285,AW$327,-(AW$245-AW$244)))</f>
        <v>121.25176334417429</v>
      </c>
      <c r="AX207" s="16">
        <f ca="1">SUM(AX$245-AX$244,IF(AX$6=OFFSET(Assumptions!$B$8,0,$C$1),AVERAGE(SUM(AU$207,-(AU$245-AU$244))/SUM(AU$207,-(AU$245-AU$244),AU$214,AU$222),(AV$207-(AV$245-AV$244))/SUM(AV$207,-(AV$245-AV$244),AV$214,AV$222),(AW$207-(AW$245-AW$244))/SUM(AW$207,-(AW$245-AW$244),AW$214,AW$222)),(AW$207-(AW$245-AW$244))/SUM(AW$207,-(AW$245-AW$244),AW$214,AW$222))*SUM(AX$196-AX$237,AX$254,AX$267,AX$285,AX$327,-(AX$245-AX$244)))</f>
        <v>126.2869147627644</v>
      </c>
    </row>
    <row r="208" spans="1:50" x14ac:dyDescent="0.25">
      <c r="A208" s="11" t="s">
        <v>825</v>
      </c>
      <c r="B208" s="10" t="str">
        <f t="shared" si="1113"/>
        <v>From Fiscal Forecasts</v>
      </c>
      <c r="D208" s="35">
        <f>'Fiscal Forecasts'!D$256</f>
        <v>3.0960000000000001</v>
      </c>
      <c r="E208" s="35">
        <f>'Fiscal Forecasts'!E$256</f>
        <v>3.0230000000000001</v>
      </c>
      <c r="F208" s="35">
        <f>'Fiscal Forecasts'!F$256</f>
        <v>2.5819999999999999</v>
      </c>
      <c r="G208" s="35">
        <f>'Fiscal Forecasts'!G$256</f>
        <v>2.8610000000000002</v>
      </c>
      <c r="H208" s="35">
        <f>'Fiscal Forecasts'!H$256</f>
        <v>3.33</v>
      </c>
      <c r="I208" s="35">
        <f>'Fiscal Forecasts'!I$256</f>
        <v>3.5459999999999998</v>
      </c>
      <c r="J208" s="17">
        <f>'Fiscal Forecasts'!J$256</f>
        <v>3.6120000000000001</v>
      </c>
      <c r="K208" s="17">
        <f>'Fiscal Forecasts'!K$256</f>
        <v>3.7280000000000002</v>
      </c>
      <c r="L208" s="17">
        <f>'Fiscal Forecasts'!L$256</f>
        <v>3.8580000000000001</v>
      </c>
      <c r="M208" s="17">
        <f>'Fiscal Forecasts'!M$256</f>
        <v>3.9929999999999999</v>
      </c>
      <c r="N208" s="17">
        <f>'Fiscal Forecasts'!N$256</f>
        <v>4.09</v>
      </c>
      <c r="O208" s="16">
        <f ca="1">IF(O$6=OFFSET(Assumptions!$B$8,0,$C$1),AVERAGE(L$208/SUM(L$208,L$215,L$223),M$208/SUM(M$208,M$215,M$223),N$208/SUM(N$208,N$215,N$223)),N$208/SUM(N$208,N$215,N$223))*SUM(O$286,O$328-O$238)</f>
        <v>4.2510056877352733</v>
      </c>
      <c r="P208" s="16">
        <f ca="1">IF(P$6=OFFSET(Assumptions!$B$8,0,$C$1),AVERAGE(M$208/SUM(M$208,M$215,M$223),N$208/SUM(N$208,N$215,N$223),O$208/SUM(O$208,O$215,O$223)),O$208/SUM(O$208,O$215,O$223))*SUM(P$286,P$328-P$238)</f>
        <v>4.4136728737546065</v>
      </c>
      <c r="Q208" s="16">
        <f ca="1">IF(Q$6=OFFSET(Assumptions!$B$8,0,$C$1),AVERAGE(N$208/SUM(N$208,N$215,N$223),O$208/SUM(O$208,O$215,O$223),P$208/SUM(P$208,P$215,P$223)),P$208/SUM(P$208,P$215,P$223))*SUM(Q$286,Q$328-Q$238)</f>
        <v>4.5781977048924629</v>
      </c>
      <c r="R208" s="16">
        <f ca="1">IF(R$6=OFFSET(Assumptions!$B$8,0,$C$1),AVERAGE(O$208/SUM(O$208,O$215,O$223),P$208/SUM(P$208,P$215,P$223),Q$208/SUM(Q$208,Q$215,Q$223)),Q$208/SUM(Q$208,Q$215,Q$223))*SUM(R$286,R$328-R$238)</f>
        <v>4.7438172763115789</v>
      </c>
      <c r="S208" s="16">
        <f ca="1">IF(S$6=OFFSET(Assumptions!$B$8,0,$C$1),AVERAGE(P$208/SUM(P$208,P$215,P$223),Q$208/SUM(Q$208,Q$215,Q$223),R$208/SUM(R$208,R$215,R$223)),R$208/SUM(R$208,R$215,R$223))*SUM(S$286,S$328-S$238)</f>
        <v>4.9142159495016733</v>
      </c>
      <c r="T208" s="16">
        <f ca="1">IF(T$6=OFFSET(Assumptions!$B$8,0,$C$1),AVERAGE(Q$208/SUM(Q$208,Q$215,Q$223),R$208/SUM(R$208,R$215,R$223),S$208/SUM(S$208,S$215,S$223)),S$208/SUM(S$208,S$215,S$223))*SUM(T$286,T$328-T$238)</f>
        <v>5.08853779609424</v>
      </c>
      <c r="U208" s="16">
        <f ca="1">IF(U$6=OFFSET(Assumptions!$B$8,0,$C$1),AVERAGE(R$208/SUM(R$208,R$215,R$223),S$208/SUM(S$208,S$215,S$223),T$208/SUM(T$208,T$215,T$223)),T$208/SUM(T$208,T$215,T$223))*SUM(U$286,U$328-U$238)</f>
        <v>5.2683152692733515</v>
      </c>
      <c r="V208" s="16">
        <f ca="1">IF(V$6=OFFSET(Assumptions!$B$8,0,$C$1),AVERAGE(S$208/SUM(S$208,S$215,S$223),T$208/SUM(T$208,T$215,T$223),U$208/SUM(U$208,U$215,U$223)),U$208/SUM(U$208,U$215,U$223))*SUM(V$286,V$328-V$238)</f>
        <v>5.4528811475031853</v>
      </c>
      <c r="W208" s="16">
        <f ca="1">IF(W$6=OFFSET(Assumptions!$B$8,0,$C$1),AVERAGE(T$208/SUM(T$208,T$215,T$223),U$208/SUM(U$208,U$215,U$223),V$208/SUM(V$208,V$215,V$223)),V$208/SUM(V$208,V$215,V$223))*SUM(W$286,W$328-W$238)</f>
        <v>5.6395876299360577</v>
      </c>
      <c r="X208" s="16">
        <f ca="1">IF(X$6=OFFSET(Assumptions!$B$8,0,$C$1),AVERAGE(U$208/SUM(U$208,U$215,U$223),V$208/SUM(V$208,V$215,V$223),W$208/SUM(W$208,W$215,W$223)),W$208/SUM(W$208,W$215,W$223))*SUM(X$286,X$328-X$238)</f>
        <v>5.8308772602207926</v>
      </c>
      <c r="Y208" s="16">
        <f ca="1">IF(Y$6=OFFSET(Assumptions!$B$8,0,$C$1),AVERAGE(V$208/SUM(V$208,V$215,V$223),W$208/SUM(W$208,W$215,W$223),X$208/SUM(X$208,X$215,X$223)),X$208/SUM(X$208,X$215,X$223))*SUM(Y$286,Y$328-Y$238)</f>
        <v>6.0281407307361867</v>
      </c>
      <c r="Z208" s="16">
        <f ca="1">IF(Z$6=OFFSET(Assumptions!$B$8,0,$C$1),AVERAGE(W$208/SUM(W$208,W$215,W$223),X$208/SUM(X$208,X$215,X$223),Y$208/SUM(Y$208,Y$215,Y$223)),Y$208/SUM(Y$208,Y$215,Y$223))*SUM(Z$286,Z$328-Z$238)</f>
        <v>6.2307228128493408</v>
      </c>
      <c r="AA208" s="16">
        <f ca="1">IF(AA$6=OFFSET(Assumptions!$B$8,0,$C$1),AVERAGE(X$208/SUM(X$208,X$215,X$223),Y$208/SUM(Y$208,Y$215,Y$223),Z$208/SUM(Z$208,Z$215,Z$223)),Z$208/SUM(Z$208,Z$215,Z$223))*SUM(AA$286,AA$328-AA$238)</f>
        <v>6.4392204305724192</v>
      </c>
      <c r="AB208" s="16">
        <f ca="1">IF(AB$6=OFFSET(Assumptions!$B$8,0,$C$1),AVERAGE(Y$208/SUM(Y$208,Y$215,Y$223),Z$208/SUM(Z$208,Z$215,Z$223),AA$208/SUM(AA$208,AA$215,AA$223)),AA$208/SUM(AA$208,AA$215,AA$223))*SUM(AB$286,AB$328-AB$238)</f>
        <v>6.6534241852480651</v>
      </c>
      <c r="AC208" s="16">
        <f ca="1">IF(AC$6=OFFSET(Assumptions!$B$8,0,$C$1),AVERAGE(Z$208/SUM(Z$208,Z$215,Z$223),AA$208/SUM(AA$208,AA$215,AA$223),AB$208/SUM(AB$208,AB$215,AB$223)),AB$208/SUM(AB$208,AB$215,AB$223))*SUM(AC$286,AC$328-AC$238)</f>
        <v>6.8734184092800801</v>
      </c>
      <c r="AD208" s="16">
        <f ca="1">IF(AD$6=OFFSET(Assumptions!$B$8,0,$C$1),AVERAGE(AA$208/SUM(AA$208,AA$215,AA$223),AB$208/SUM(AB$208,AB$215,AB$223),AC$208/SUM(AC$208,AC$215,AC$223)),AC$208/SUM(AC$208,AC$215,AC$223))*SUM(AD$286,AD$328-AD$238)</f>
        <v>7.0993488913339089</v>
      </c>
      <c r="AE208" s="16">
        <f ca="1">IF(AE$6=OFFSET(Assumptions!$B$8,0,$C$1),AVERAGE(AB$208/SUM(AB$208,AB$215,AB$223),AC$208/SUM(AC$208,AC$215,AC$223),AD$208/SUM(AD$208,AD$215,AD$223)),AD$208/SUM(AD$208,AD$215,AD$223))*SUM(AE$286,AE$328-AE$238)</f>
        <v>7.3312598108736315</v>
      </c>
      <c r="AF208" s="16">
        <f ca="1">IF(AF$6=OFFSET(Assumptions!$B$8,0,$C$1),AVERAGE(AC$208/SUM(AC$208,AC$215,AC$223),AD$208/SUM(AD$208,AD$215,AD$223),AE$208/SUM(AE$208,AE$215,AE$223)),AE$208/SUM(AE$208,AE$215,AE$223))*SUM(AF$286,AF$328-AF$238)</f>
        <v>7.5691903488297809</v>
      </c>
      <c r="AG208" s="16">
        <f ca="1">IF(AG$6=OFFSET(Assumptions!$B$8,0,$C$1),AVERAGE(AD$208/SUM(AD$208,AD$215,AD$223),AE$208/SUM(AE$208,AE$215,AE$223),AF$208/SUM(AF$208,AF$215,AF$223)),AF$208/SUM(AF$208,AF$215,AF$223))*SUM(AG$286,AG$328-AG$238)</f>
        <v>7.8133431310830144</v>
      </c>
      <c r="AH208" s="16">
        <f ca="1">IF(AH$6=OFFSET(Assumptions!$B$8,0,$C$1),AVERAGE(AE$208/SUM(AE$208,AE$215,AE$223),AF$208/SUM(AF$208,AF$215,AF$223),AG$208/SUM(AG$208,AG$215,AG$223)),AG$208/SUM(AG$208,AG$215,AG$223))*SUM(AH$286,AH$328-AH$238)</f>
        <v>8.0636068729444794</v>
      </c>
      <c r="AI208" s="16">
        <f ca="1">IF(AI$6=OFFSET(Assumptions!$B$8,0,$C$1),AVERAGE(AF$208/SUM(AF$208,AF$215,AF$223),AG$208/SUM(AG$208,AG$215,AG$223),AH$208/SUM(AH$208,AH$215,AH$223)),AH$208/SUM(AH$208,AH$215,AH$223))*SUM(AI$286,AI$328-AI$238)</f>
        <v>8.3204369481650886</v>
      </c>
      <c r="AJ208" s="16">
        <f ca="1">IF(AJ$6=OFFSET(Assumptions!$B$8,0,$C$1),AVERAGE(AG$208/SUM(AG$208,AG$215,AG$223),AH$208/SUM(AH$208,AH$215,AH$223),AI$208/SUM(AI$208,AI$215,AI$223)),AI$208/SUM(AI$208,AI$215,AI$223))*SUM(AJ$286,AJ$328-AJ$238)</f>
        <v>8.5839833363533184</v>
      </c>
      <c r="AK208" s="16">
        <f ca="1">IF(AK$6=OFFSET(Assumptions!$B$8,0,$C$1),AVERAGE(AH$208/SUM(AH$208,AH$215,AH$223),AI$208/SUM(AI$208,AI$215,AI$223),AJ$208/SUM(AJ$208,AJ$215,AJ$223)),AJ$208/SUM(AJ$208,AJ$215,AJ$223))*SUM(AK$286,AK$328-AK$238)</f>
        <v>8.854290515283104</v>
      </c>
      <c r="AL208" s="16">
        <f ca="1">IF(AL$6=OFFSET(Assumptions!$B$8,0,$C$1),AVERAGE(AI$208/SUM(AI$208,AI$215,AI$223),AJ$208/SUM(AJ$208,AJ$215,AJ$223),AK$208/SUM(AK$208,AK$215,AK$223)),AK$208/SUM(AK$208,AK$215,AK$223))*SUM(AL$286,AL$328-AL$238)</f>
        <v>9.1316636584635624</v>
      </c>
      <c r="AM208" s="16">
        <f ca="1">IF(AM$6=OFFSET(Assumptions!$B$8,0,$C$1),AVERAGE(AJ$208/SUM(AJ$208,AJ$215,AJ$223),AK$208/SUM(AK$208,AK$215,AK$223),AL$208/SUM(AL$208,AL$215,AL$223)),AL$208/SUM(AL$208,AL$215,AL$223))*SUM(AM$286,AM$328-AM$238)</f>
        <v>9.4164271543374038</v>
      </c>
      <c r="AN208" s="16">
        <f ca="1">IF(AN$6=OFFSET(Assumptions!$B$8,0,$C$1),AVERAGE(AK$208/SUM(AK$208,AK$215,AK$223),AL$208/SUM(AL$208,AL$215,AL$223),AM$208/SUM(AM$208,AM$215,AM$223)),AM$208/SUM(AM$208,AM$215,AM$223))*SUM(AN$286,AN$328-AN$238)</f>
        <v>9.7089551553507984</v>
      </c>
      <c r="AO208" s="16">
        <f ca="1">IF(AO$6=OFFSET(Assumptions!$B$8,0,$C$1),AVERAGE(AL$208/SUM(AL$208,AL$215,AL$223),AM$208/SUM(AM$208,AM$215,AM$223),AN$208/SUM(AN$208,AN$215,AN$223)),AN$208/SUM(AN$208,AN$215,AN$223))*SUM(AO$286,AO$328-AO$238)</f>
        <v>10.009304178868678</v>
      </c>
      <c r="AP208" s="16">
        <f ca="1">IF(AP$6=OFFSET(Assumptions!$B$8,0,$C$1),AVERAGE(AM$208/SUM(AM$208,AM$215,AM$223),AN$208/SUM(AN$208,AN$215,AN$223),AO$208/SUM(AO$208,AO$215,AO$223)),AO$208/SUM(AO$208,AO$215,AO$223))*SUM(AP$286,AP$328-AP$238)</f>
        <v>10.318266684930055</v>
      </c>
      <c r="AQ208" s="16">
        <f ca="1">IF(AQ$6=OFFSET(Assumptions!$B$8,0,$C$1),AVERAGE(AN$208/SUM(AN$208,AN$215,AN$223),AO$208/SUM(AO$208,AO$215,AO$223),AP$208/SUM(AP$208,AP$215,AP$223)),AP$208/SUM(AP$208,AP$215,AP$223))*SUM(AQ$286,AQ$328-AQ$238)</f>
        <v>10.635843086214186</v>
      </c>
      <c r="AR208" s="16">
        <f ca="1">IF(AR$6=OFFSET(Assumptions!$B$8,0,$C$1),AVERAGE(AO$208/SUM(AO$208,AO$215,AO$223),AP$208/SUM(AP$208,AP$215,AP$223),AQ$208/SUM(AQ$208,AQ$215,AQ$223)),AQ$208/SUM(AQ$208,AQ$215,AQ$223))*SUM(AR$286,AR$328-AR$238)</f>
        <v>10.962875139622458</v>
      </c>
      <c r="AS208" s="16">
        <f ca="1">IF(AS$6=OFFSET(Assumptions!$B$8,0,$C$1),AVERAGE(AP$208/SUM(AP$208,AP$215,AP$223),AQ$208/SUM(AQ$208,AQ$215,AQ$223),AR$208/SUM(AR$208,AR$215,AR$223)),AR$208/SUM(AR$208,AR$215,AR$223))*SUM(AS$286,AS$328-AS$238)</f>
        <v>11.299238506540224</v>
      </c>
      <c r="AT208" s="16">
        <f ca="1">IF(AT$6=OFFSET(Assumptions!$B$8,0,$C$1),AVERAGE(AQ$208/SUM(AQ$208,AQ$215,AQ$223),AR$208/SUM(AR$208,AR$215,AR$223),AS$208/SUM(AS$208,AS$215,AS$223)),AS$208/SUM(AS$208,AS$215,AS$223))*SUM(AT$286,AT$328-AT$238)</f>
        <v>11.645615660297956</v>
      </c>
      <c r="AU208" s="16">
        <f ca="1">IF(AU$6=OFFSET(Assumptions!$B$8,0,$C$1),AVERAGE(AR$208/SUM(AR$208,AR$215,AR$223),AS$208/SUM(AS$208,AS$215,AS$223),AT$208/SUM(AT$208,AT$215,AT$223)),AT$208/SUM(AT$208,AT$215,AT$223))*SUM(AU$286,AU$328-AU$238)</f>
        <v>12.002178946726163</v>
      </c>
      <c r="AV208" s="16">
        <f ca="1">IF(AV$6=OFFSET(Assumptions!$B$8,0,$C$1),AVERAGE(AS$208/SUM(AS$208,AS$215,AS$223),AT$208/SUM(AT$208,AT$215,AT$223),AU$208/SUM(AU$208,AU$215,AU$223)),AU$208/SUM(AU$208,AU$215,AU$223))*SUM(AV$286,AV$328-AV$238)</f>
        <v>12.36927754549756</v>
      </c>
      <c r="AW208" s="16">
        <f ca="1">IF(AW$6=OFFSET(Assumptions!$B$8,0,$C$1),AVERAGE(AT$208/SUM(AT$208,AT$215,AT$223),AU$208/SUM(AU$208,AU$215,AU$223),AV$208/SUM(AV$208,AV$215,AV$223)),AV$208/SUM(AV$208,AV$215,AV$223))*SUM(AW$286,AW$328-AW$238)</f>
        <v>12.747321453299595</v>
      </c>
      <c r="AX208" s="16">
        <f ca="1">IF(AX$6=OFFSET(Assumptions!$B$8,0,$C$1),AVERAGE(AU$208/SUM(AU$208,AU$215,AU$223),AV$208/SUM(AV$208,AV$215,AV$223),AW$208/SUM(AW$208,AW$215,AW$223)),AW$208/SUM(AW$208,AW$215,AW$223))*SUM(AX$286,AX$328-AX$238)</f>
        <v>13.136061553360667</v>
      </c>
    </row>
    <row r="209" spans="1:50" x14ac:dyDescent="0.25">
      <c r="A209" s="11" t="s">
        <v>787</v>
      </c>
      <c r="B209" s="10" t="str">
        <f t="shared" si="1113"/>
        <v>From Fiscal Forecasts</v>
      </c>
      <c r="D209" s="35">
        <f>'Fiscal Forecasts'!D$257</f>
        <v>-4.2000000000000003E-2</v>
      </c>
      <c r="E209" s="35">
        <f>'Fiscal Forecasts'!E$257</f>
        <v>-4.4999999999999998E-2</v>
      </c>
      <c r="F209" s="35">
        <f>'Fiscal Forecasts'!F$257</f>
        <v>-5.1999999999999998E-2</v>
      </c>
      <c r="G209" s="35">
        <f>'Fiscal Forecasts'!G$257</f>
        <v>-5.5E-2</v>
      </c>
      <c r="H209" s="35">
        <f>'Fiscal Forecasts'!H$257</f>
        <v>-5.2999999999999999E-2</v>
      </c>
      <c r="I209" s="35">
        <f>'Fiscal Forecasts'!I$257</f>
        <v>-0.06</v>
      </c>
      <c r="J209" s="17">
        <f>'Fiscal Forecasts'!J$257</f>
        <v>-6.6000000000000003E-2</v>
      </c>
      <c r="K209" s="17">
        <f>'Fiscal Forecasts'!K$257</f>
        <v>-6.8000000000000005E-2</v>
      </c>
      <c r="L209" s="17">
        <f>'Fiscal Forecasts'!L$257</f>
        <v>-6.9000000000000006E-2</v>
      </c>
      <c r="M209" s="17">
        <f>'Fiscal Forecasts'!M$257</f>
        <v>-6.8000000000000005E-2</v>
      </c>
      <c r="N209" s="17">
        <f>'Fiscal Forecasts'!N$257</f>
        <v>-7.0000000000000007E-2</v>
      </c>
      <c r="O209" s="16">
        <f ca="1">IF(O$6=OFFSET(Assumptions!$B$8,0,$C$1),AVERAGE(L$209/SUM(L$209,L$224),M$209/SUM(M$209,M$224),N$209/SUM(N$209,N$224)),N$209/SUM(N$209,N$224))*SUM(O$197,O$255,O$268,O$287,O$329)</f>
        <v>-7.5424826732226474E-2</v>
      </c>
      <c r="P209" s="16">
        <f ca="1">IF(P$6=OFFSET(Assumptions!$B$8,0,$C$1),AVERAGE(M$209/SUM(M$209,M$224),N$209/SUM(N$209,N$224),O$209/SUM(O$209,O$224)),O$209/SUM(O$209,O$224))*SUM(P$197,P$255,P$268,P$287,P$329)</f>
        <v>-7.9260626257275882E-2</v>
      </c>
      <c r="Q209" s="16">
        <f ca="1">IF(Q$6=OFFSET(Assumptions!$B$8,0,$C$1),AVERAGE(N$209/SUM(N$209,N$224),O$209/SUM(O$209,O$224),P$209/SUM(P$209,P$224)),P$209/SUM(P$209,P$224))*SUM(Q$197,Q$255,Q$268,Q$287,Q$329)</f>
        <v>-8.3580578288859217E-2</v>
      </c>
      <c r="R209" s="16">
        <f ca="1">IF(R$6=OFFSET(Assumptions!$B$8,0,$C$1),AVERAGE(O$209/SUM(O$209,O$224),P$209/SUM(P$209,P$224),Q$209/SUM(Q$209,Q$224)),Q$209/SUM(Q$209,Q$224))*SUM(R$197,R$255,R$268,R$287,R$329)</f>
        <v>-8.8070988764866048E-2</v>
      </c>
      <c r="S209" s="16">
        <f ca="1">IF(S$6=OFFSET(Assumptions!$B$8,0,$C$1),AVERAGE(P$209/SUM(P$209,P$224),Q$209/SUM(Q$209,Q$224),R$209/SUM(R$209,R$224)),R$209/SUM(R$209,R$224))*SUM(S$197,S$255,S$268,S$287,S$329)</f>
        <v>-9.2744145375519407E-2</v>
      </c>
      <c r="T209" s="16">
        <f ca="1">IF(T$6=OFFSET(Assumptions!$B$8,0,$C$1),AVERAGE(Q$209/SUM(Q$209,Q$224),R$209/SUM(R$209,R$224),S$209/SUM(S$209,S$224)),S$209/SUM(S$209,S$224))*SUM(T$197,T$255,T$268,T$287,T$329)</f>
        <v>-9.7593446398212061E-2</v>
      </c>
      <c r="U209" s="16">
        <f ca="1">IF(U$6=OFFSET(Assumptions!$B$8,0,$C$1),AVERAGE(R$209/SUM(R$209,R$224),S$209/SUM(S$209,S$224),T$209/SUM(T$209,T$224)),T$209/SUM(T$209,T$224))*SUM(U$197,U$255,U$268,U$287,U$329)</f>
        <v>-0.10264046295431765</v>
      </c>
      <c r="V209" s="16">
        <f ca="1">IF(V$6=OFFSET(Assumptions!$B$8,0,$C$1),AVERAGE(S$209/SUM(S$209,S$224),T$209/SUM(T$209,T$224),U$209/SUM(U$209,U$224)),U$209/SUM(U$209,U$224))*SUM(V$197,V$255,V$268,V$287,V$329)</f>
        <v>-0.1076811366603054</v>
      </c>
      <c r="W209" s="16">
        <f ca="1">IF(W$6=OFFSET(Assumptions!$B$8,0,$C$1),AVERAGE(T$209/SUM(T$209,T$224),U$209/SUM(U$209,U$224),V$209/SUM(V$209,V$224)),V$209/SUM(V$209,V$224))*SUM(W$197,W$255,W$268,W$287,W$329)</f>
        <v>-0.11283523040980376</v>
      </c>
      <c r="X209" s="16">
        <f ca="1">IF(X$6=OFFSET(Assumptions!$B$8,0,$C$1),AVERAGE(U$209/SUM(U$209,U$224),V$209/SUM(V$209,V$224),W$209/SUM(W$209,W$224)),W$209/SUM(W$209,W$224))*SUM(X$197,X$255,X$268,X$287,X$329)</f>
        <v>-0.11823147487292668</v>
      </c>
      <c r="Y209" s="16">
        <f ca="1">IF(Y$6=OFFSET(Assumptions!$B$8,0,$C$1),AVERAGE(V$209/SUM(V$209,V$224),W$209/SUM(W$209,W$224),X$209/SUM(X$209,X$224)),X$209/SUM(X$209,X$224))*SUM(Y$197,Y$255,Y$268,Y$287,Y$329)</f>
        <v>-0.12385649803732758</v>
      </c>
      <c r="Z209" s="16">
        <f ca="1">IF(Z$6=OFFSET(Assumptions!$B$8,0,$C$1),AVERAGE(W$209/SUM(W$209,W$224),X$209/SUM(X$209,X$224),Y$209/SUM(Y$209,Y$224)),Y$209/SUM(Y$209,Y$224))*SUM(Z$197,Z$255,Z$268,Z$287,Z$329)</f>
        <v>-0.12976720616401488</v>
      </c>
      <c r="AA209" s="16">
        <f ca="1">IF(AA$6=OFFSET(Assumptions!$B$8,0,$C$1),AVERAGE(X$209/SUM(X$209,X$224),Y$209/SUM(Y$209,Y$224),Z$209/SUM(Z$209,Z$224)),Z$209/SUM(Z$209,Z$224))*SUM(AA$197,AA$255,AA$268,AA$287,AA$329)</f>
        <v>-0.13593131373050271</v>
      </c>
      <c r="AB209" s="16">
        <f ca="1">IF(AB$6=OFFSET(Assumptions!$B$8,0,$C$1),AVERAGE(Y$209/SUM(Y$209,Y$224),Z$209/SUM(Z$209,Z$224),AA$209/SUM(AA$209,AA$224)),AA$209/SUM(AA$209,AA$224))*SUM(AB$197,AB$255,AB$268,AB$287,AB$329)</f>
        <v>-0.14233720991088647</v>
      </c>
      <c r="AC209" s="16">
        <f ca="1">IF(AC$6=OFFSET(Assumptions!$B$8,0,$C$1),AVERAGE(Z$209/SUM(Z$209,Z$224),AA$209/SUM(AA$209,AA$224),AB$209/SUM(AB$209,AB$224)),AB$209/SUM(AB$209,AB$224))*SUM(AC$197,AC$255,AC$268,AC$287,AC$329)</f>
        <v>-0.14898540903751911</v>
      </c>
      <c r="AD209" s="16">
        <f ca="1">IF(AD$6=OFFSET(Assumptions!$B$8,0,$C$1),AVERAGE(AA$209/SUM(AA$209,AA$224),AB$209/SUM(AB$209,AB$224),AC$209/SUM(AC$209,AC$224)),AC$209/SUM(AC$209,AC$224))*SUM(AD$197,AD$255,AD$268,AD$287,AD$329)</f>
        <v>-0.15587577413812836</v>
      </c>
      <c r="AE209" s="16">
        <f ca="1">IF(AE$6=OFFSET(Assumptions!$B$8,0,$C$1),AVERAGE(AB$209/SUM(AB$209,AB$224),AC$209/SUM(AC$209,AC$224),AD$209/SUM(AD$209,AD$224)),AD$209/SUM(AD$209,AD$224))*SUM(AE$197,AE$255,AE$268,AE$287,AE$329)</f>
        <v>-0.16302731633528864</v>
      </c>
      <c r="AF209" s="16">
        <f ca="1">IF(AF$6=OFFSET(Assumptions!$B$8,0,$C$1),AVERAGE(AC$209/SUM(AC$209,AC$224),AD$209/SUM(AD$209,AD$224),AE$209/SUM(AE$209,AE$224)),AE$209/SUM(AE$209,AE$224))*SUM(AF$197,AF$255,AF$268,AF$287,AF$329)</f>
        <v>-0.17044105130816542</v>
      </c>
      <c r="AG209" s="16">
        <f ca="1">IF(AG$6=OFFSET(Assumptions!$B$8,0,$C$1),AVERAGE(AD$209/SUM(AD$209,AD$224),AE$209/SUM(AE$209,AE$224),AF$209/SUM(AF$209,AF$224)),AF$209/SUM(AF$209,AF$224))*SUM(AG$197,AG$255,AG$268,AG$287,AG$329)</f>
        <v>-0.17815044492735671</v>
      </c>
      <c r="AH209" s="16">
        <f ca="1">IF(AH$6=OFFSET(Assumptions!$B$8,0,$C$1),AVERAGE(AE$209/SUM(AE$209,AE$224),AF$209/SUM(AF$209,AF$224),AG$209/SUM(AG$209,AG$224)),AG$209/SUM(AG$209,AG$224))*SUM(AH$197,AH$255,AH$268,AH$287,AH$329)</f>
        <v>-0.1861301888475887</v>
      </c>
      <c r="AI209" s="16">
        <f ca="1">IF(AI$6=OFFSET(Assumptions!$B$8,0,$C$1),AVERAGE(AF$209/SUM(AF$209,AF$224),AG$209/SUM(AG$209,AG$224),AH$209/SUM(AH$209,AH$224)),AH$209/SUM(AH$209,AH$224))*SUM(AI$197,AI$255,AI$268,AI$287,AI$329)</f>
        <v>-0.1943824054868962</v>
      </c>
      <c r="AJ209" s="16">
        <f ca="1">IF(AJ$6=OFFSET(Assumptions!$B$8,0,$C$1),AVERAGE(AG$209/SUM(AG$209,AG$224),AH$209/SUM(AH$209,AH$224),AI$209/SUM(AI$209,AI$224)),AI$209/SUM(AI$209,AI$224))*SUM(AJ$197,AJ$255,AJ$268,AJ$287,AJ$329)</f>
        <v>-0.20293591652628379</v>
      </c>
      <c r="AK209" s="16">
        <f ca="1">IF(AK$6=OFFSET(Assumptions!$B$8,0,$C$1),AVERAGE(AH$209/SUM(AH$209,AH$224),AI$209/SUM(AI$209,AI$224),AJ$209/SUM(AJ$209,AJ$224)),AJ$209/SUM(AJ$209,AJ$224))*SUM(AK$197,AK$255,AK$268,AK$287,AK$329)</f>
        <v>-0.21181076261644158</v>
      </c>
      <c r="AL209" s="16">
        <f ca="1">IF(AL$6=OFFSET(Assumptions!$B$8,0,$C$1),AVERAGE(AI$209/SUM(AI$209,AI$224),AJ$209/SUM(AJ$209,AJ$224),AK$209/SUM(AK$209,AK$224)),AK$209/SUM(AK$209,AK$224))*SUM(AL$197,AL$255,AL$268,AL$287,AL$329)</f>
        <v>-0.22109735810910028</v>
      </c>
      <c r="AM209" s="16">
        <f ca="1">IF(AM$6=OFFSET(Assumptions!$B$8,0,$C$1),AVERAGE(AJ$209/SUM(AJ$209,AJ$224),AK$209/SUM(AK$209,AK$224),AL$209/SUM(AL$209,AL$224)),AL$209/SUM(AL$209,AL$224))*SUM(AM$197,AM$255,AM$268,AM$287,AM$329)</f>
        <v>-0.23074069236619044</v>
      </c>
      <c r="AN209" s="16">
        <f ca="1">IF(AN$6=OFFSET(Assumptions!$B$8,0,$C$1),AVERAGE(AK$209/SUM(AK$209,AK$224),AL$209/SUM(AL$209,AL$224),AM$209/SUM(AM$209,AM$224)),AM$209/SUM(AM$209,AM$224))*SUM(AN$197,AN$255,AN$268,AN$287,AN$329)</f>
        <v>-0.24076168536787404</v>
      </c>
      <c r="AO209" s="16">
        <f ca="1">IF(AO$6=OFFSET(Assumptions!$B$8,0,$C$1),AVERAGE(AL$209/SUM(AL$209,AL$224),AM$209/SUM(AM$209,AM$224),AN$209/SUM(AN$209,AN$224)),AN$209/SUM(AN$209,AN$224))*SUM(AO$197,AO$255,AO$268,AO$287,AO$329)</f>
        <v>-0.25117429685797388</v>
      </c>
      <c r="AP209" s="16">
        <f ca="1">IF(AP$6=OFFSET(Assumptions!$B$8,0,$C$1),AVERAGE(AM$209/SUM(AM$209,AM$224),AN$209/SUM(AN$209,AN$224),AO$209/SUM(AO$209,AO$224)),AO$209/SUM(AO$209,AO$224))*SUM(AP$197,AP$255,AP$268,AP$287,AP$329)</f>
        <v>-0.26200607058119674</v>
      </c>
      <c r="AQ209" s="16">
        <f ca="1">IF(AQ$6=OFFSET(Assumptions!$B$8,0,$C$1),AVERAGE(AN$209/SUM(AN$209,AN$224),AO$209/SUM(AO$209,AO$224),AP$209/SUM(AP$209,AP$224)),AP$209/SUM(AP$209,AP$224))*SUM(AQ$197,AQ$255,AQ$268,AQ$287,AQ$329)</f>
        <v>-0.2732247924121447</v>
      </c>
      <c r="AR209" s="16">
        <f ca="1">IF(AR$6=OFFSET(Assumptions!$B$8,0,$C$1),AVERAGE(AO$209/SUM(AO$209,AO$224),AP$209/SUM(AP$209,AP$224),AQ$209/SUM(AQ$209,AQ$224)),AQ$209/SUM(AQ$209,AQ$224))*SUM(AR$197,AR$255,AR$268,AR$287,AR$329)</f>
        <v>-0.28486849607151782</v>
      </c>
      <c r="AS209" s="16">
        <f ca="1">IF(AS$6=OFFSET(Assumptions!$B$8,0,$C$1),AVERAGE(AP$209/SUM(AP$209,AP$224),AQ$209/SUM(AQ$209,AQ$224),AR$209/SUM(AR$209,AR$224)),AR$209/SUM(AR$209,AR$224))*SUM(AS$197,AS$255,AS$268,AS$287,AS$329)</f>
        <v>-0.29698888691372971</v>
      </c>
      <c r="AT209" s="16">
        <f ca="1">IF(AT$6=OFFSET(Assumptions!$B$8,0,$C$1),AVERAGE(AQ$209/SUM(AQ$209,AQ$224),AR$209/SUM(AR$209,AR$224),AS$209/SUM(AS$209,AS$224)),AS$209/SUM(AS$209,AS$224))*SUM(AT$197,AT$255,AT$268,AT$287,AT$329)</f>
        <v>-0.3095640545138143</v>
      </c>
      <c r="AU209" s="16">
        <f ca="1">IF(AU$6=OFFSET(Assumptions!$B$8,0,$C$1),AVERAGE(AR$209/SUM(AR$209,AR$224),AS$209/SUM(AS$209,AS$224),AT$209/SUM(AT$209,AT$224)),AT$209/SUM(AT$209,AT$224))*SUM(AU$197,AU$255,AU$268,AU$287,AU$329)</f>
        <v>-0.3226635133973238</v>
      </c>
      <c r="AV209" s="16">
        <f ca="1">IF(AV$6=OFFSET(Assumptions!$B$8,0,$C$1),AVERAGE(AS$209/SUM(AS$209,AS$224),AT$209/SUM(AT$209,AT$224),AU$209/SUM(AU$209,AU$224)),AU$209/SUM(AU$209,AU$224))*SUM(AV$197,AV$255,AV$268,AV$287,AV$329)</f>
        <v>-0.33632624242265929</v>
      </c>
      <c r="AW209" s="16">
        <f ca="1">IF(AW$6=OFFSET(Assumptions!$B$8,0,$C$1),AVERAGE(AT$209/SUM(AT$209,AT$224),AU$209/SUM(AU$209,AU$224),AV$209/SUM(AV$209,AV$224)),AV$209/SUM(AV$209,AV$224))*SUM(AW$197,AW$255,AW$268,AW$287,AW$329)</f>
        <v>-0.35053236439390112</v>
      </c>
      <c r="AX209" s="16">
        <f ca="1">IF(AX$6=OFFSET(Assumptions!$B$8,0,$C$1),AVERAGE(AU$209/SUM(AU$209,AU$224),AV$209/SUM(AV$209,AV$224),AW$209/SUM(AW$209,AW$224)),AW$209/SUM(AW$209,AW$224))*SUM(AX$197,AX$255,AX$268,AX$287,AX$329)</f>
        <v>-0.36532321015355668</v>
      </c>
    </row>
    <row r="210" spans="1:50" x14ac:dyDescent="0.25">
      <c r="A210" s="9" t="s">
        <v>878</v>
      </c>
      <c r="D210" s="64">
        <f t="shared" ref="D210:AX210" si="1114">SUM(D$206:D$209)</f>
        <v>25.933</v>
      </c>
      <c r="E210" s="64">
        <f t="shared" si="1114"/>
        <v>27.774999999999999</v>
      </c>
      <c r="F210" s="64">
        <f t="shared" si="1114"/>
        <v>29.817</v>
      </c>
      <c r="G210" s="64">
        <f t="shared" si="1114"/>
        <v>32.647999999999996</v>
      </c>
      <c r="H210" s="64">
        <f t="shared" si="1114"/>
        <v>36.052</v>
      </c>
      <c r="I210" s="64">
        <f t="shared" si="1114"/>
        <v>39.082999999999998</v>
      </c>
      <c r="J210" s="65">
        <f t="shared" si="1114"/>
        <v>39.61</v>
      </c>
      <c r="K210" s="65">
        <f t="shared" si="1114"/>
        <v>40.758000000000003</v>
      </c>
      <c r="L210" s="65">
        <f t="shared" si="1114"/>
        <v>41.474999999999994</v>
      </c>
      <c r="M210" s="65">
        <f t="shared" si="1114"/>
        <v>41.884</v>
      </c>
      <c r="N210" s="65">
        <f t="shared" si="1114"/>
        <v>42.311</v>
      </c>
      <c r="O210" s="66">
        <f t="shared" ca="1" si="1114"/>
        <v>45.879753892921492</v>
      </c>
      <c r="P210" s="66">
        <f t="shared" ca="1" si="1114"/>
        <v>48.735522208074876</v>
      </c>
      <c r="Q210" s="66">
        <f t="shared" ca="1" si="1114"/>
        <v>51.705173079044762</v>
      </c>
      <c r="R210" s="66">
        <f t="shared" ca="1" si="1114"/>
        <v>54.771775221093669</v>
      </c>
      <c r="S210" s="66">
        <f t="shared" ca="1" si="1114"/>
        <v>57.86280673443509</v>
      </c>
      <c r="T210" s="66">
        <f t="shared" ca="1" si="1114"/>
        <v>60.920469902029076</v>
      </c>
      <c r="U210" s="66">
        <f t="shared" ca="1" si="1114"/>
        <v>63.660543197342548</v>
      </c>
      <c r="V210" s="66">
        <f t="shared" ca="1" si="1114"/>
        <v>66.424259023370908</v>
      </c>
      <c r="W210" s="66">
        <f t="shared" ca="1" si="1114"/>
        <v>69.277478203686087</v>
      </c>
      <c r="X210" s="66">
        <f t="shared" ca="1" si="1114"/>
        <v>72.239471563088074</v>
      </c>
      <c r="Y210" s="66">
        <f t="shared" ca="1" si="1114"/>
        <v>75.311709016624036</v>
      </c>
      <c r="Z210" s="66">
        <f t="shared" ca="1" si="1114"/>
        <v>78.512754634942368</v>
      </c>
      <c r="AA210" s="66">
        <f t="shared" ca="1" si="1114"/>
        <v>81.835210280126063</v>
      </c>
      <c r="AB210" s="66">
        <f t="shared" ca="1" si="1114"/>
        <v>85.274713970979974</v>
      </c>
      <c r="AC210" s="66">
        <f t="shared" ca="1" si="1114"/>
        <v>88.833739448910706</v>
      </c>
      <c r="AD210" s="66">
        <f t="shared" ca="1" si="1114"/>
        <v>92.509285157145214</v>
      </c>
      <c r="AE210" s="66">
        <f t="shared" ca="1" si="1114"/>
        <v>96.31102076093174</v>
      </c>
      <c r="AF210" s="66">
        <f t="shared" ca="1" si="1114"/>
        <v>100.24330645587497</v>
      </c>
      <c r="AG210" s="66">
        <f t="shared" ca="1" si="1114"/>
        <v>104.31331046761319</v>
      </c>
      <c r="AH210" s="66">
        <f t="shared" ca="1" si="1114"/>
        <v>108.5147660663493</v>
      </c>
      <c r="AI210" s="66">
        <f t="shared" ca="1" si="1114"/>
        <v>112.84981733855514</v>
      </c>
      <c r="AJ210" s="66">
        <f t="shared" ca="1" si="1114"/>
        <v>117.32926770878399</v>
      </c>
      <c r="AK210" s="66">
        <f t="shared" ca="1" si="1114"/>
        <v>121.96016486019403</v>
      </c>
      <c r="AL210" s="66">
        <f t="shared" ca="1" si="1114"/>
        <v>126.74353731961152</v>
      </c>
      <c r="AM210" s="66">
        <f t="shared" ca="1" si="1114"/>
        <v>131.68879333394517</v>
      </c>
      <c r="AN210" s="66">
        <f t="shared" ca="1" si="1114"/>
        <v>136.80891014439851</v>
      </c>
      <c r="AO210" s="66">
        <f t="shared" ca="1" si="1114"/>
        <v>142.10230767053994</v>
      </c>
      <c r="AP210" s="66">
        <f t="shared" ca="1" si="1114"/>
        <v>147.58943141676838</v>
      </c>
      <c r="AQ210" s="66">
        <f t="shared" ca="1" si="1114"/>
        <v>153.27902994392272</v>
      </c>
      <c r="AR210" s="66">
        <f t="shared" ca="1" si="1114"/>
        <v>159.1702189072839</v>
      </c>
      <c r="AS210" s="66">
        <f t="shared" ca="1" si="1114"/>
        <v>165.28209974140123</v>
      </c>
      <c r="AT210" s="66">
        <f t="shared" ca="1" si="1114"/>
        <v>171.61263353998405</v>
      </c>
      <c r="AU210" s="66">
        <f t="shared" ca="1" si="1114"/>
        <v>178.18467828157992</v>
      </c>
      <c r="AV210" s="66">
        <f t="shared" ca="1" si="1114"/>
        <v>185.01660354191259</v>
      </c>
      <c r="AW210" s="66">
        <f t="shared" ca="1" si="1114"/>
        <v>192.10376544510072</v>
      </c>
      <c r="AX210" s="66">
        <f t="shared" ca="1" si="1114"/>
        <v>199.45931500836264</v>
      </c>
    </row>
    <row r="212" spans="1:50" x14ac:dyDescent="0.25">
      <c r="A212" s="9" t="s">
        <v>459</v>
      </c>
    </row>
    <row r="213" spans="1:50" x14ac:dyDescent="0.25">
      <c r="A213" s="9" t="s">
        <v>997</v>
      </c>
      <c r="B213" s="10" t="str">
        <f t="shared" ref="B213:B218" si="1115">$B$38</f>
        <v>From Fiscal Forecasts</v>
      </c>
      <c r="C213" s="63" cm="1">
        <f t="array" aca="1" ref="C213" ca="1">SUMPRODUCT(OFFSET($I$213,0,0,1,-OFFSET(Assumptions!$B$45,0,$C$1))/OFFSET($H$419,0,0,1,-OFFSET(Assumptions!$B$45,0,$C$1)))/OFFSET(Assumptions!$B$45,0,$C$1)</f>
        <v>4.1127064377711839E-2</v>
      </c>
      <c r="D213" s="42">
        <f>'Fiscal Forecasts'!D$260</f>
        <v>1.5009999999999999</v>
      </c>
      <c r="E213" s="42">
        <f>'Fiscal Forecasts'!E$260</f>
        <v>1.675</v>
      </c>
      <c r="F213" s="42">
        <f>'Fiscal Forecasts'!F$260</f>
        <v>1.883</v>
      </c>
      <c r="G213" s="42">
        <f>'Fiscal Forecasts'!G$260</f>
        <v>2.0019999999999998</v>
      </c>
      <c r="H213" s="42">
        <f>'Fiscal Forecasts'!H$260</f>
        <v>2.4</v>
      </c>
      <c r="I213" s="42">
        <f>'Fiscal Forecasts'!I$260</f>
        <v>2.81</v>
      </c>
      <c r="J213" s="43">
        <f>'Fiscal Forecasts'!J$260</f>
        <v>2.7429999999999999</v>
      </c>
      <c r="K213" s="43">
        <f>'Fiscal Forecasts'!K$260</f>
        <v>2.9079999999999999</v>
      </c>
      <c r="L213" s="43">
        <f>'Fiscal Forecasts'!L$260</f>
        <v>2.9940000000000002</v>
      </c>
      <c r="M213" s="43">
        <f>'Fiscal Forecasts'!M$260</f>
        <v>3.069</v>
      </c>
      <c r="N213" s="43">
        <f>'Fiscal Forecasts'!N$260</f>
        <v>3.073</v>
      </c>
      <c r="O213" s="47">
        <f t="shared" ref="O213:AX213" ca="1" si="1116">$C$213*N$419</f>
        <v>3.0122819143360617</v>
      </c>
      <c r="P213" s="47">
        <f t="shared" ca="1" si="1116"/>
        <v>3.1924663779017957</v>
      </c>
      <c r="Q213" s="47">
        <f t="shared" ca="1" si="1116"/>
        <v>3.3805945649616058</v>
      </c>
      <c r="R213" s="47">
        <f t="shared" ca="1" si="1116"/>
        <v>3.5731874441205798</v>
      </c>
      <c r="S213" s="47">
        <f t="shared" ca="1" si="1116"/>
        <v>3.7697656369448964</v>
      </c>
      <c r="T213" s="47">
        <f t="shared" ca="1" si="1116"/>
        <v>3.975120214325806</v>
      </c>
      <c r="U213" s="47">
        <f t="shared" ca="1" si="1116"/>
        <v>4.1891665032909087</v>
      </c>
      <c r="V213" s="47">
        <f t="shared" ca="1" si="1116"/>
        <v>4.355731296021994</v>
      </c>
      <c r="W213" s="47">
        <f t="shared" ca="1" si="1116"/>
        <v>4.5277606660008365</v>
      </c>
      <c r="X213" s="47">
        <f t="shared" ca="1" si="1116"/>
        <v>4.7043579498854822</v>
      </c>
      <c r="Y213" s="47">
        <f t="shared" ca="1" si="1116"/>
        <v>4.885809239300773</v>
      </c>
      <c r="Z213" s="47">
        <f t="shared" ca="1" si="1116"/>
        <v>5.0730649163369907</v>
      </c>
      <c r="AA213" s="47">
        <f t="shared" ca="1" si="1116"/>
        <v>5.2661572584153609</v>
      </c>
      <c r="AB213" s="47">
        <f t="shared" ca="1" si="1116"/>
        <v>5.4658760178676555</v>
      </c>
      <c r="AC213" s="47">
        <f t="shared" ca="1" si="1116"/>
        <v>5.6720092564472733</v>
      </c>
      <c r="AD213" s="47">
        <f t="shared" ca="1" si="1116"/>
        <v>5.884551672903382</v>
      </c>
      <c r="AE213" s="47">
        <f t="shared" ca="1" si="1116"/>
        <v>6.1036555916095514</v>
      </c>
      <c r="AF213" s="47">
        <f t="shared" ca="1" si="1116"/>
        <v>6.3292612415857867</v>
      </c>
      <c r="AG213" s="47">
        <f t="shared" ca="1" si="1116"/>
        <v>6.561421533638387</v>
      </c>
      <c r="AH213" s="47">
        <f t="shared" ca="1" si="1116"/>
        <v>6.8001614828718298</v>
      </c>
      <c r="AI213" s="47">
        <f t="shared" ca="1" si="1116"/>
        <v>7.0453685178642136</v>
      </c>
      <c r="AJ213" s="47">
        <f t="shared" ca="1" si="1116"/>
        <v>7.297275122059351</v>
      </c>
      <c r="AK213" s="47">
        <f t="shared" ca="1" si="1116"/>
        <v>7.5561785114668103</v>
      </c>
      <c r="AL213" s="47">
        <f t="shared" ca="1" si="1116"/>
        <v>7.8217349972024843</v>
      </c>
      <c r="AM213" s="47">
        <f t="shared" ca="1" si="1116"/>
        <v>8.0943088645965293</v>
      </c>
      <c r="AN213" s="47">
        <f t="shared" ca="1" si="1116"/>
        <v>8.3742944447193945</v>
      </c>
      <c r="AO213" s="47">
        <f t="shared" ca="1" si="1116"/>
        <v>8.6620101084755543</v>
      </c>
      <c r="AP213" s="47">
        <f t="shared" ca="1" si="1116"/>
        <v>8.9575754665888887</v>
      </c>
      <c r="AQ213" s="47">
        <f t="shared" ca="1" si="1116"/>
        <v>9.2618998239182186</v>
      </c>
      <c r="AR213" s="47">
        <f t="shared" ca="1" si="1116"/>
        <v>9.5752805200591844</v>
      </c>
      <c r="AS213" s="47">
        <f t="shared" ca="1" si="1116"/>
        <v>9.8985353848807431</v>
      </c>
      <c r="AT213" s="47">
        <f t="shared" ca="1" si="1116"/>
        <v>10.231906158877321</v>
      </c>
      <c r="AU213" s="47">
        <f t="shared" ca="1" si="1116"/>
        <v>10.576430216724454</v>
      </c>
      <c r="AV213" s="47">
        <f t="shared" ca="1" si="1116"/>
        <v>10.931958608869408</v>
      </c>
      <c r="AW213" s="47">
        <f t="shared" ca="1" si="1116"/>
        <v>11.299499286924558</v>
      </c>
      <c r="AX213" s="47">
        <f t="shared" ca="1" si="1116"/>
        <v>11.679376186714999</v>
      </c>
    </row>
    <row r="214" spans="1:50" x14ac:dyDescent="0.25">
      <c r="A214" s="11" t="s">
        <v>630</v>
      </c>
      <c r="B214" s="10" t="str">
        <f t="shared" si="1115"/>
        <v>From Fiscal Forecasts</v>
      </c>
      <c r="C214" s="63" cm="1">
        <f t="array" aca="1" ref="C214" ca="1">SUMPRODUCT(OFFSET($I$214,0,0,1,-OFFSET(Assumptions!$B$45,0,$C$1))/OFFSET($H$420,0,0,1,-OFFSET(Assumptions!$B$45,0,$C$1)))/OFFSET(Assumptions!$B$45,0,$C$1)</f>
        <v>1.8698140409388241E-2</v>
      </c>
      <c r="D214" s="35">
        <f>'Fiscal Forecasts'!D$261</f>
        <v>1.587</v>
      </c>
      <c r="E214" s="35">
        <f>'Fiscal Forecasts'!E$261</f>
        <v>1.776</v>
      </c>
      <c r="F214" s="35">
        <f>'Fiscal Forecasts'!F$261</f>
        <v>1.9530000000000001</v>
      </c>
      <c r="G214" s="35">
        <f>'Fiscal Forecasts'!G$261</f>
        <v>2.2509999999999999</v>
      </c>
      <c r="H214" s="35">
        <f>'Fiscal Forecasts'!H$261</f>
        <v>2.5110000000000001</v>
      </c>
      <c r="I214" s="35">
        <f>'Fiscal Forecasts'!I$261</f>
        <v>2.9</v>
      </c>
      <c r="J214" s="17">
        <f>'Fiscal Forecasts'!J$261</f>
        <v>3.012</v>
      </c>
      <c r="K214" s="17">
        <f>'Fiscal Forecasts'!K$261</f>
        <v>3.129</v>
      </c>
      <c r="L214" s="17">
        <f>'Fiscal Forecasts'!L$261</f>
        <v>3.177</v>
      </c>
      <c r="M214" s="17">
        <f>'Fiscal Forecasts'!M$261</f>
        <v>3.226</v>
      </c>
      <c r="N214" s="17">
        <f>'Fiscal Forecasts'!N$261</f>
        <v>3.274</v>
      </c>
      <c r="O214" s="16">
        <f t="shared" ref="O214:AX214" ca="1" si="1117">$C$214*N$420</f>
        <v>3.4183398050371712</v>
      </c>
      <c r="P214" s="16">
        <f t="shared" ca="1" si="1117"/>
        <v>3.5121635044747777</v>
      </c>
      <c r="Q214" s="16">
        <f t="shared" ca="1" si="1117"/>
        <v>3.6072355039995285</v>
      </c>
      <c r="R214" s="16">
        <f t="shared" ca="1" si="1117"/>
        <v>3.7014132421860655</v>
      </c>
      <c r="S214" s="16">
        <f t="shared" ca="1" si="1117"/>
        <v>3.7944231377319615</v>
      </c>
      <c r="T214" s="16">
        <f t="shared" ca="1" si="1117"/>
        <v>3.8888755784538844</v>
      </c>
      <c r="U214" s="16">
        <f t="shared" ca="1" si="1117"/>
        <v>3.9846564825114004</v>
      </c>
      <c r="V214" s="16">
        <f t="shared" ca="1" si="1117"/>
        <v>4.08203302145923</v>
      </c>
      <c r="W214" s="16">
        <f t="shared" ca="1" si="1117"/>
        <v>4.1809456985733133</v>
      </c>
      <c r="X214" s="16">
        <f t="shared" ca="1" si="1117"/>
        <v>4.2949360081714278</v>
      </c>
      <c r="Y214" s="16">
        <f t="shared" ca="1" si="1117"/>
        <v>4.425734683445814</v>
      </c>
      <c r="Z214" s="16">
        <f t="shared" ca="1" si="1117"/>
        <v>4.5602673385306556</v>
      </c>
      <c r="AA214" s="16">
        <f t="shared" ca="1" si="1117"/>
        <v>4.6985655795080028</v>
      </c>
      <c r="AB214" s="16">
        <f t="shared" ca="1" si="1117"/>
        <v>4.841050609757799</v>
      </c>
      <c r="AC214" s="16">
        <f t="shared" ca="1" si="1117"/>
        <v>4.987629129770375</v>
      </c>
      <c r="AD214" s="16">
        <f t="shared" ca="1" si="1117"/>
        <v>5.1383143516162049</v>
      </c>
      <c r="AE214" s="16">
        <f t="shared" ca="1" si="1117"/>
        <v>5.2932008162723223</v>
      </c>
      <c r="AF214" s="16">
        <f t="shared" ca="1" si="1117"/>
        <v>5.4522743854539799</v>
      </c>
      <c r="AG214" s="16">
        <f t="shared" ca="1" si="1117"/>
        <v>5.6155791642061503</v>
      </c>
      <c r="AH214" s="16">
        <f t="shared" ca="1" si="1117"/>
        <v>5.7831452590868757</v>
      </c>
      <c r="AI214" s="16">
        <f t="shared" ca="1" si="1117"/>
        <v>5.9549324103871122</v>
      </c>
      <c r="AJ214" s="16">
        <f t="shared" ca="1" si="1117"/>
        <v>6.1310780479353157</v>
      </c>
      <c r="AK214" s="16">
        <f t="shared" ca="1" si="1117"/>
        <v>6.3117532291838616</v>
      </c>
      <c r="AL214" s="16">
        <f t="shared" ca="1" si="1117"/>
        <v>6.4967999907980261</v>
      </c>
      <c r="AM214" s="16">
        <f t="shared" ca="1" si="1117"/>
        <v>6.6864245994309472</v>
      </c>
      <c r="AN214" s="16">
        <f t="shared" ca="1" si="1117"/>
        <v>6.88084914436938</v>
      </c>
      <c r="AO214" s="16">
        <f t="shared" ca="1" si="1117"/>
        <v>7.0802570644353482</v>
      </c>
      <c r="AP214" s="16">
        <f t="shared" ca="1" si="1117"/>
        <v>7.2847300438695992</v>
      </c>
      <c r="AQ214" s="16">
        <f t="shared" ca="1" si="1117"/>
        <v>7.4947560268524089</v>
      </c>
      <c r="AR214" s="16">
        <f t="shared" ca="1" si="1117"/>
        <v>7.710508856212825</v>
      </c>
      <c r="AS214" s="16">
        <f t="shared" ca="1" si="1117"/>
        <v>7.932430296313111</v>
      </c>
      <c r="AT214" s="16">
        <f t="shared" ca="1" si="1117"/>
        <v>8.1606664648899248</v>
      </c>
      <c r="AU214" s="16">
        <f t="shared" ca="1" si="1117"/>
        <v>8.3957728257705675</v>
      </c>
      <c r="AV214" s="16">
        <f t="shared" ca="1" si="1117"/>
        <v>8.6376955891494873</v>
      </c>
      <c r="AW214" s="16">
        <f t="shared" ca="1" si="1117"/>
        <v>8.8869759986828658</v>
      </c>
      <c r="AX214" s="16">
        <f t="shared" ca="1" si="1117"/>
        <v>9.1438042190198221</v>
      </c>
    </row>
    <row r="215" spans="1:50" x14ac:dyDescent="0.25">
      <c r="A215" s="11" t="s">
        <v>825</v>
      </c>
      <c r="B215" s="10" t="str">
        <f t="shared" si="1115"/>
        <v>From Fiscal Forecasts</v>
      </c>
      <c r="C215" s="63" cm="1">
        <f t="array" aca="1" ref="C215" ca="1">SUMPRODUCT(OFFSET($I$215,0,0,1,-OFFSET(Assumptions!$B$45,0,$C$1))/OFFSET($H$421,0,0,1,-OFFSET(Assumptions!$B$45,0,$C$1)))/OFFSET(Assumptions!$B$45,0,$C$1)</f>
        <v>4.1269487391936234E-2</v>
      </c>
      <c r="D215" s="35">
        <f>'Fiscal Forecasts'!D$262</f>
        <v>1.466</v>
      </c>
      <c r="E215" s="35">
        <f>'Fiscal Forecasts'!E$262</f>
        <v>1.843</v>
      </c>
      <c r="F215" s="35">
        <f>'Fiscal Forecasts'!F$262</f>
        <v>1.73</v>
      </c>
      <c r="G215" s="35">
        <f>'Fiscal Forecasts'!G$262</f>
        <v>1.899</v>
      </c>
      <c r="H215" s="35">
        <f>'Fiscal Forecasts'!H$262</f>
        <v>1.69</v>
      </c>
      <c r="I215" s="35">
        <f>'Fiscal Forecasts'!I$262</f>
        <v>1.911</v>
      </c>
      <c r="J215" s="17">
        <f>'Fiscal Forecasts'!J$262</f>
        <v>2.3050000000000002</v>
      </c>
      <c r="K215" s="17">
        <f>'Fiscal Forecasts'!K$262</f>
        <v>2.387</v>
      </c>
      <c r="L215" s="17">
        <f>'Fiscal Forecasts'!L$262</f>
        <v>2.5459999999999998</v>
      </c>
      <c r="M215" s="17">
        <f>'Fiscal Forecasts'!M$262</f>
        <v>2.7690000000000001</v>
      </c>
      <c r="N215" s="17">
        <f>'Fiscal Forecasts'!N$262</f>
        <v>2.8580000000000001</v>
      </c>
      <c r="O215" s="16">
        <f t="shared" ref="O215:AX215" ca="1" si="1118">$C$215*N$421</f>
        <v>2.8019093075007269</v>
      </c>
      <c r="P215" s="16">
        <f t="shared" ca="1" si="1118"/>
        <v>2.9728118741848033</v>
      </c>
      <c r="Q215" s="16">
        <f t="shared" ca="1" si="1118"/>
        <v>3.1218070743888173</v>
      </c>
      <c r="R215" s="16">
        <f t="shared" ca="1" si="1118"/>
        <v>3.2543768599072407</v>
      </c>
      <c r="S215" s="16">
        <f t="shared" ca="1" si="1118"/>
        <v>3.3869380850271917</v>
      </c>
      <c r="T215" s="16">
        <f t="shared" ca="1" si="1118"/>
        <v>3.5237381288798604</v>
      </c>
      <c r="U215" s="16">
        <f t="shared" ca="1" si="1118"/>
        <v>3.6647103244311365</v>
      </c>
      <c r="V215" s="16">
        <f t="shared" ca="1" si="1118"/>
        <v>3.8104222972373782</v>
      </c>
      <c r="W215" s="16">
        <f t="shared" ca="1" si="1118"/>
        <v>3.9609147180498692</v>
      </c>
      <c r="X215" s="16">
        <f t="shared" ca="1" si="1118"/>
        <v>4.1154031798978652</v>
      </c>
      <c r="Y215" s="16">
        <f t="shared" ca="1" si="1118"/>
        <v>4.2741379576106091</v>
      </c>
      <c r="Z215" s="16">
        <f t="shared" ca="1" si="1118"/>
        <v>4.4379504516721076</v>
      </c>
      <c r="AA215" s="16">
        <f t="shared" ca="1" si="1118"/>
        <v>4.606868898582082</v>
      </c>
      <c r="AB215" s="16">
        <f t="shared" ca="1" si="1118"/>
        <v>4.7815841788585844</v>
      </c>
      <c r="AC215" s="16">
        <f t="shared" ca="1" si="1118"/>
        <v>4.9619108875338576</v>
      </c>
      <c r="AD215" s="16">
        <f t="shared" ca="1" si="1118"/>
        <v>5.1478443870389148</v>
      </c>
      <c r="AE215" s="16">
        <f t="shared" ca="1" si="1118"/>
        <v>5.3395179317345107</v>
      </c>
      <c r="AF215" s="16">
        <f t="shared" ca="1" si="1118"/>
        <v>5.5368792335754398</v>
      </c>
      <c r="AG215" s="16">
        <f t="shared" ca="1" si="1118"/>
        <v>5.7399745792819763</v>
      </c>
      <c r="AH215" s="16">
        <f t="shared" ca="1" si="1118"/>
        <v>5.9488258522315363</v>
      </c>
      <c r="AI215" s="16">
        <f t="shared" ca="1" si="1118"/>
        <v>6.163334574206135</v>
      </c>
      <c r="AJ215" s="16">
        <f t="shared" ca="1" si="1118"/>
        <v>6.3837041232467611</v>
      </c>
      <c r="AK215" s="16">
        <f t="shared" ca="1" si="1118"/>
        <v>6.6101945058673532</v>
      </c>
      <c r="AL215" s="16">
        <f t="shared" ca="1" si="1118"/>
        <v>6.8425050607786142</v>
      </c>
      <c r="AM215" s="16">
        <f t="shared" ca="1" si="1118"/>
        <v>7.0809544671758928</v>
      </c>
      <c r="AN215" s="16">
        <f t="shared" ca="1" si="1118"/>
        <v>7.3258876884651531</v>
      </c>
      <c r="AO215" s="16">
        <f t="shared" ca="1" si="1118"/>
        <v>7.5775832376011074</v>
      </c>
      <c r="AP215" s="16">
        <f t="shared" ca="1" si="1118"/>
        <v>7.8361457508292682</v>
      </c>
      <c r="AQ215" s="16">
        <f t="shared" ca="1" si="1118"/>
        <v>8.1023706940022233</v>
      </c>
      <c r="AR215" s="16">
        <f t="shared" ca="1" si="1118"/>
        <v>8.3765181817478211</v>
      </c>
      <c r="AS215" s="16">
        <f t="shared" ca="1" si="1118"/>
        <v>8.6593036569977375</v>
      </c>
      <c r="AT215" s="16">
        <f t="shared" ca="1" si="1118"/>
        <v>8.9509385959215351</v>
      </c>
      <c r="AU215" s="16">
        <f t="shared" ca="1" si="1118"/>
        <v>9.252330500687183</v>
      </c>
      <c r="AV215" s="16">
        <f t="shared" ca="1" si="1118"/>
        <v>9.5633490692493268</v>
      </c>
      <c r="AW215" s="16">
        <f t="shared" ca="1" si="1118"/>
        <v>9.8848760642873632</v>
      </c>
      <c r="AX215" s="16">
        <f t="shared" ca="1" si="1118"/>
        <v>10.217194866985057</v>
      </c>
    </row>
    <row r="216" spans="1:50" x14ac:dyDescent="0.25">
      <c r="A216" s="9" t="s">
        <v>880</v>
      </c>
      <c r="D216" s="64">
        <f t="shared" ref="D216:AX216" si="1119">SUM(D$213:D$215)</f>
        <v>4.5540000000000003</v>
      </c>
      <c r="E216" s="64">
        <f t="shared" si="1119"/>
        <v>5.2940000000000005</v>
      </c>
      <c r="F216" s="64">
        <f t="shared" si="1119"/>
        <v>5.5660000000000007</v>
      </c>
      <c r="G216" s="64">
        <f t="shared" si="1119"/>
        <v>6.1520000000000001</v>
      </c>
      <c r="H216" s="64">
        <f t="shared" si="1119"/>
        <v>6.6009999999999991</v>
      </c>
      <c r="I216" s="64">
        <f t="shared" si="1119"/>
        <v>7.6210000000000004</v>
      </c>
      <c r="J216" s="65">
        <f t="shared" si="1119"/>
        <v>8.06</v>
      </c>
      <c r="K216" s="65">
        <f t="shared" si="1119"/>
        <v>8.4239999999999995</v>
      </c>
      <c r="L216" s="65">
        <f t="shared" si="1119"/>
        <v>8.7170000000000005</v>
      </c>
      <c r="M216" s="65">
        <f t="shared" si="1119"/>
        <v>9.0640000000000001</v>
      </c>
      <c r="N216" s="65">
        <f t="shared" si="1119"/>
        <v>9.2050000000000001</v>
      </c>
      <c r="O216" s="66">
        <f t="shared" ca="1" si="1119"/>
        <v>9.2325310268739607</v>
      </c>
      <c r="P216" s="66">
        <f t="shared" ca="1" si="1119"/>
        <v>9.6774417565613771</v>
      </c>
      <c r="Q216" s="66">
        <f t="shared" ca="1" si="1119"/>
        <v>10.109637143349952</v>
      </c>
      <c r="R216" s="66">
        <f t="shared" ca="1" si="1119"/>
        <v>10.528977546213886</v>
      </c>
      <c r="S216" s="66">
        <f t="shared" ca="1" si="1119"/>
        <v>10.951126859704049</v>
      </c>
      <c r="T216" s="66">
        <f t="shared" ca="1" si="1119"/>
        <v>11.387733921659549</v>
      </c>
      <c r="U216" s="66">
        <f t="shared" ca="1" si="1119"/>
        <v>11.838533310233444</v>
      </c>
      <c r="V216" s="66">
        <f t="shared" ca="1" si="1119"/>
        <v>12.248186614718604</v>
      </c>
      <c r="W216" s="66">
        <f t="shared" ca="1" si="1119"/>
        <v>12.669621082624019</v>
      </c>
      <c r="X216" s="66">
        <f t="shared" ca="1" si="1119"/>
        <v>13.114697137954774</v>
      </c>
      <c r="Y216" s="66">
        <f t="shared" ca="1" si="1119"/>
        <v>13.585681880357196</v>
      </c>
      <c r="Z216" s="66">
        <f t="shared" ca="1" si="1119"/>
        <v>14.071282706539755</v>
      </c>
      <c r="AA216" s="66">
        <f t="shared" ca="1" si="1119"/>
        <v>14.571591736505447</v>
      </c>
      <c r="AB216" s="66">
        <f t="shared" ca="1" si="1119"/>
        <v>15.088510806484038</v>
      </c>
      <c r="AC216" s="66">
        <f t="shared" ca="1" si="1119"/>
        <v>15.621549273751505</v>
      </c>
      <c r="AD216" s="66">
        <f t="shared" ca="1" si="1119"/>
        <v>16.170710411558503</v>
      </c>
      <c r="AE216" s="66">
        <f t="shared" ca="1" si="1119"/>
        <v>16.736374339616383</v>
      </c>
      <c r="AF216" s="66">
        <f t="shared" ca="1" si="1119"/>
        <v>17.318414860615206</v>
      </c>
      <c r="AG216" s="66">
        <f t="shared" ca="1" si="1119"/>
        <v>17.916975277126514</v>
      </c>
      <c r="AH216" s="66">
        <f t="shared" ca="1" si="1119"/>
        <v>18.532132594190241</v>
      </c>
      <c r="AI216" s="66">
        <f t="shared" ca="1" si="1119"/>
        <v>19.16363550245746</v>
      </c>
      <c r="AJ216" s="66">
        <f t="shared" ca="1" si="1119"/>
        <v>19.812057293241427</v>
      </c>
      <c r="AK216" s="66">
        <f t="shared" ca="1" si="1119"/>
        <v>20.478126246518023</v>
      </c>
      <c r="AL216" s="66">
        <f t="shared" ca="1" si="1119"/>
        <v>21.161040048779125</v>
      </c>
      <c r="AM216" s="66">
        <f t="shared" ca="1" si="1119"/>
        <v>21.86168793120337</v>
      </c>
      <c r="AN216" s="66">
        <f t="shared" ca="1" si="1119"/>
        <v>22.581031277553926</v>
      </c>
      <c r="AO216" s="66">
        <f t="shared" ca="1" si="1119"/>
        <v>23.319850410512011</v>
      </c>
      <c r="AP216" s="66">
        <f t="shared" ca="1" si="1119"/>
        <v>24.078451261287753</v>
      </c>
      <c r="AQ216" s="66">
        <f t="shared" ca="1" si="1119"/>
        <v>24.859026544772853</v>
      </c>
      <c r="AR216" s="66">
        <f t="shared" ca="1" si="1119"/>
        <v>25.662307558019833</v>
      </c>
      <c r="AS216" s="66">
        <f t="shared" ca="1" si="1119"/>
        <v>26.490269338191588</v>
      </c>
      <c r="AT216" s="66">
        <f t="shared" ca="1" si="1119"/>
        <v>27.343511219688779</v>
      </c>
      <c r="AU216" s="66">
        <f t="shared" ca="1" si="1119"/>
        <v>28.224533543182204</v>
      </c>
      <c r="AV216" s="66">
        <f t="shared" ca="1" si="1119"/>
        <v>29.133003267268222</v>
      </c>
      <c r="AW216" s="66">
        <f t="shared" ca="1" si="1119"/>
        <v>30.071351349894783</v>
      </c>
      <c r="AX216" s="66">
        <f t="shared" ca="1" si="1119"/>
        <v>31.040375272719878</v>
      </c>
    </row>
    <row r="217" spans="1:50" x14ac:dyDescent="0.25">
      <c r="A217" s="9" t="s">
        <v>1343</v>
      </c>
      <c r="B217" s="10" t="str">
        <f t="shared" si="1115"/>
        <v>From Fiscal Forecasts</v>
      </c>
      <c r="D217" s="42">
        <f>'Fiscal Forecasts'!D$265</f>
        <v>0.29399999999999998</v>
      </c>
      <c r="E217" s="42">
        <f>'Fiscal Forecasts'!E$265</f>
        <v>0.57399999999999995</v>
      </c>
      <c r="F217" s="42">
        <f>'Fiscal Forecasts'!F$265</f>
        <v>0.37</v>
      </c>
      <c r="G217" s="42">
        <f>'Fiscal Forecasts'!G$265</f>
        <v>0.316</v>
      </c>
      <c r="H217" s="42">
        <f>'Fiscal Forecasts'!H$265</f>
        <v>0.29399999999999998</v>
      </c>
      <c r="I217" s="42">
        <f>'Fiscal Forecasts'!I$265</f>
        <v>0.33</v>
      </c>
      <c r="J217" s="43">
        <f>'Fiscal Forecasts'!J$265</f>
        <v>0.33600000000000002</v>
      </c>
      <c r="K217" s="43">
        <f>'Fiscal Forecasts'!K$265</f>
        <v>0.34399999999999997</v>
      </c>
      <c r="L217" s="43">
        <f>'Fiscal Forecasts'!L$265</f>
        <v>0.34300000000000003</v>
      </c>
      <c r="M217" s="43">
        <f>'Fiscal Forecasts'!M$265</f>
        <v>0.34200000000000003</v>
      </c>
      <c r="N217" s="43">
        <f>'Fiscal Forecasts'!N$265</f>
        <v>0.34200000000000003</v>
      </c>
      <c r="O217" s="69">
        <f ca="1">IF(O$6=OFFSET(Assumptions!$B$8,0,$C$1),AVERAGE(L$217/K$429,M$217/L$429,N$217/M$429),N$217/M$429)*N$429</f>
        <v>0.33504034527693211</v>
      </c>
      <c r="P217" s="69">
        <f ca="1">IF(P$6=OFFSET(Assumptions!$B$8,0,$C$1),AVERAGE(M$217/L$429,N$217/M$429,O$217/N$429),O$217/N$429)*O$429</f>
        <v>0.42451527785145304</v>
      </c>
      <c r="Q217" s="69">
        <f ca="1">IF(Q$6=OFFSET(Assumptions!$B$8,0,$C$1),AVERAGE(N$217/M$429,O$217/N$429,P$217/O$429),P$217/O$429)*P$429</f>
        <v>0.44327687148479045</v>
      </c>
      <c r="R217" s="69">
        <f ca="1">IF(R$6=OFFSET(Assumptions!$B$8,0,$C$1),AVERAGE(O$217/N$429,P$217/O$429,Q$217/P$429),Q$217/P$429)*Q$429</f>
        <v>0.46210094304902105</v>
      </c>
      <c r="S217" s="69">
        <f ca="1">IF(S$6=OFFSET(Assumptions!$B$8,0,$C$1),AVERAGE(P$217/O$429,Q$217/P$429,R$217/Q$429),R$217/Q$429)*R$429</f>
        <v>0.48092379909077915</v>
      </c>
      <c r="T217" s="69">
        <f ca="1">IF(T$6=OFFSET(Assumptions!$B$8,0,$C$1),AVERAGE(Q$217/P$429,R$217/Q$429,S$217/R$429),S$217/R$429)*S$429</f>
        <v>0.50034854059882561</v>
      </c>
      <c r="U217" s="69">
        <f ca="1">IF(U$6=OFFSET(Assumptions!$B$8,0,$C$1),AVERAGE(R$217/Q$429,S$217/R$429,T$217/S$429),T$217/S$429)*T$429</f>
        <v>0.52036570127572168</v>
      </c>
      <c r="V217" s="69">
        <f ca="1">IF(V$6=OFFSET(Assumptions!$B$8,0,$C$1),AVERAGE(S$217/R$429,T$217/S$429,U$217/T$429),U$217/T$429)*U$429</f>
        <v>0.54105588036248442</v>
      </c>
      <c r="W217" s="69">
        <f ca="1">IF(W$6=OFFSET(Assumptions!$B$8,0,$C$1),AVERAGE(T$217/S$429,U$217/T$429,V$217/U$429),V$217/U$429)*V$429</f>
        <v>0.56242485284871468</v>
      </c>
      <c r="X217" s="69">
        <f ca="1">IF(X$6=OFFSET(Assumptions!$B$8,0,$C$1),AVERAGE(U$217/T$429,V$217/U$429,W$217/V$429),W$217/V$429)*W$429</f>
        <v>0.58436123790283723</v>
      </c>
      <c r="Y217" s="69">
        <f ca="1">IF(Y$6=OFFSET(Assumptions!$B$8,0,$C$1),AVERAGE(V$217/U$429,W$217/V$429,X$217/W$429),X$217/W$429)*X$429</f>
        <v>0.60690057296860678</v>
      </c>
      <c r="Z217" s="69">
        <f ca="1">IF(Z$6=OFFSET(Assumptions!$B$8,0,$C$1),AVERAGE(W$217/V$429,X$217/W$429,Y$217/X$429),Y$217/X$429)*Y$429</f>
        <v>0.63016091165943322</v>
      </c>
      <c r="AA217" s="69">
        <f ca="1">IF(AA$6=OFFSET(Assumptions!$B$8,0,$C$1),AVERAGE(X$217/W$429,Y$217/X$429,Z$217/Y$429),Z$217/Y$429)*Z$429</f>
        <v>0.65414626337979309</v>
      </c>
      <c r="AB217" s="69">
        <f ca="1">IF(AB$6=OFFSET(Assumptions!$B$8,0,$C$1),AVERAGE(Y$217/X$429,Z$217/Y$429,AA$217/Z$429),AA$217/Z$429)*AA$429</f>
        <v>0.67895472879616381</v>
      </c>
      <c r="AC217" s="69">
        <f ca="1">IF(AC$6=OFFSET(Assumptions!$B$8,0,$C$1),AVERAGE(Z$217/Y$429,AA$217/Z$429,AB$217/AA$429),AB$217/AA$429)*AB$429</f>
        <v>0.70455998157507671</v>
      </c>
      <c r="AD217" s="69">
        <f ca="1">IF(AD$6=OFFSET(Assumptions!$B$8,0,$C$1),AVERAGE(AA$217/Z$429,AB$217/AA$429,AC$217/AB$429),AC$217/AB$429)*AC$429</f>
        <v>0.73096136321105021</v>
      </c>
      <c r="AE217" s="69">
        <f ca="1">IF(AE$6=OFFSET(Assumptions!$B$8,0,$C$1),AVERAGE(AB$217/AA$429,AC$217/AB$429,AD$217/AC$429),AD$217/AC$429)*AD$429</f>
        <v>0.75817779498100446</v>
      </c>
      <c r="AF217" s="69">
        <f ca="1">IF(AF$6=OFFSET(Assumptions!$B$8,0,$C$1),AVERAGE(AC$217/AB$429,AD$217/AC$429,AE$217/AD$429),AE$217/AD$429)*AE$429</f>
        <v>0.78620185231303563</v>
      </c>
      <c r="AG217" s="69">
        <f ca="1">IF(AG$6=OFFSET(Assumptions!$B$8,0,$C$1),AVERAGE(AD$217/AC$429,AE$217/AD$429,AF$217/AE$429),AF$217/AE$429)*AF$429</f>
        <v>0.81504010762884205</v>
      </c>
      <c r="AH217" s="69">
        <f ca="1">IF(AH$6=OFFSET(Assumptions!$B$8,0,$C$1),AVERAGE(AE$217/AD$429,AF$217/AE$429,AG$217/AF$429),AG$217/AF$429)*AG$429</f>
        <v>0.84469566822969111</v>
      </c>
      <c r="AI217" s="69">
        <f ca="1">IF(AI$6=OFFSET(Assumptions!$B$8,0,$C$1),AVERAGE(AF$217/AE$429,AG$217/AF$429,AH$217/AG$429),AH$217/AG$429)*AH$429</f>
        <v>0.87515455083111426</v>
      </c>
      <c r="AJ217" s="69">
        <f ca="1">IF(AJ$6=OFFSET(Assumptions!$B$8,0,$C$1),AVERAGE(AG$217/AF$429,AH$217/AG$429,AI$217/AH$429),AI$217/AH$429)*AI$429</f>
        <v>0.90644563382937005</v>
      </c>
      <c r="AK217" s="69">
        <f ca="1">IF(AK$6=OFFSET(Assumptions!$B$8,0,$C$1),AVERAGE(AH$217/AG$429,AI$217/AH$429,AJ$217/AI$429),AJ$217/AI$429)*AJ$429</f>
        <v>0.93860583650592566</v>
      </c>
      <c r="AL217" s="69">
        <f ca="1">IF(AL$6=OFFSET(Assumptions!$B$8,0,$C$1),AVERAGE(AI$217/AH$429,AJ$217/AI$429,AK$217/AJ$429),AK$217/AJ$429)*AK$429</f>
        <v>0.97159246685819378</v>
      </c>
      <c r="AM217" s="69">
        <f ca="1">IF(AM$6=OFFSET(Assumptions!$B$8,0,$C$1),AVERAGE(AJ$217/AI$429,AK$217/AJ$429,AL$217/AK$429),AL$217/AK$429)*AL$429</f>
        <v>1.0054507753175288</v>
      </c>
      <c r="AN217" s="69">
        <f ca="1">IF(AN$6=OFFSET(Assumptions!$B$8,0,$C$1),AVERAGE(AK$217/AJ$429,AL$217/AK$429,AM$217/AL$429),AM$217/AL$429)*AM$429</f>
        <v>1.040229744507049</v>
      </c>
      <c r="AO217" s="69">
        <f ca="1">IF(AO$6=OFFSET(Assumptions!$B$8,0,$C$1),AVERAGE(AL$217/AK$429,AM$217/AL$429,AN$217/AM$429),AN$217/AM$429)*AN$429</f>
        <v>1.0759689215058315</v>
      </c>
      <c r="AP217" s="69">
        <f ca="1">IF(AP$6=OFFSET(Assumptions!$B$8,0,$C$1),AVERAGE(AM$217/AL$429,AN$217/AM$429,AO$217/AN$429),AO$217/AN$429)*AO$429</f>
        <v>1.112683163999328</v>
      </c>
      <c r="AQ217" s="69">
        <f ca="1">IF(AQ$6=OFFSET(Assumptions!$B$8,0,$C$1),AVERAGE(AN$217/AM$429,AO$217/AN$429,AP$217/AO$429),AP$217/AO$429)*AP$429</f>
        <v>1.150485423110432</v>
      </c>
      <c r="AR217" s="69">
        <f ca="1">IF(AR$6=OFFSET(Assumptions!$B$8,0,$C$1),AVERAGE(AO$217/AN$429,AP$217/AO$429,AQ$217/AP$429),AQ$217/AP$429)*AQ$429</f>
        <v>1.189412633472102</v>
      </c>
      <c r="AS217" s="69">
        <f ca="1">IF(AS$6=OFFSET(Assumptions!$B$8,0,$C$1),AVERAGE(AP$217/AO$429,AQ$217/AP$429,AR$217/AQ$429),AR$217/AQ$429)*AR$429</f>
        <v>1.2295663834582906</v>
      </c>
      <c r="AT217" s="69">
        <f ca="1">IF(AT$6=OFFSET(Assumptions!$B$8,0,$C$1),AVERAGE(AQ$217/AP$429,AR$217/AQ$429,AS$217/AR$429),AS$217/AR$429)*AS$429</f>
        <v>1.2709767013483249</v>
      </c>
      <c r="AU217" s="69">
        <f ca="1">IF(AU$6=OFFSET(Assumptions!$B$8,0,$C$1),AVERAGE(AR$217/AQ$429,AS$217/AR$429,AT$217/AS$429),AT$217/AS$429)*AT$429</f>
        <v>1.313772446713696</v>
      </c>
      <c r="AV217" s="69">
        <f ca="1">IF(AV$6=OFFSET(Assumptions!$B$8,0,$C$1),AVERAGE(AS$217/AR$429,AT$217/AS$429,AU$217/AT$429),AU$217/AT$429)*AU$429</f>
        <v>1.3579351174876086</v>
      </c>
      <c r="AW217" s="69">
        <f ca="1">IF(AW$6=OFFSET(Assumptions!$B$8,0,$C$1),AVERAGE(AT$217/AS$429,AU$217/AT$429,AV$217/AU$429),AV$217/AU$429)*AV$429</f>
        <v>1.4035899183968772</v>
      </c>
      <c r="AX217" s="69">
        <f ca="1">IF(AX$6=OFFSET(Assumptions!$B$8,0,$C$1),AVERAGE(AU$217/AT$429,AV$217/AU$429,AW$217/AV$429),AW$217/AV$429)*AW$429</f>
        <v>1.4507770877783308</v>
      </c>
    </row>
    <row r="218" spans="1:50" x14ac:dyDescent="0.25">
      <c r="A218" s="9" t="s">
        <v>1344</v>
      </c>
      <c r="B218" s="10" t="str">
        <f t="shared" si="1115"/>
        <v>From Fiscal Forecasts</v>
      </c>
      <c r="D218" s="35">
        <f>SUM('Fiscal Forecasts'!D$266:D$267)</f>
        <v>0.64</v>
      </c>
      <c r="E218" s="35">
        <f>SUM('Fiscal Forecasts'!E$266:E$267)</f>
        <v>1.8010000000000002</v>
      </c>
      <c r="F218" s="35">
        <f>SUM('Fiscal Forecasts'!F$266:F$267)</f>
        <v>0.82799999999999996</v>
      </c>
      <c r="G218" s="35">
        <f>SUM('Fiscal Forecasts'!G$266:G$267)</f>
        <v>-0.54</v>
      </c>
      <c r="H218" s="35">
        <f>SUM('Fiscal Forecasts'!H$266:H$267)</f>
        <v>0.76800000000000002</v>
      </c>
      <c r="I218" s="35">
        <f>SUM('Fiscal Forecasts'!I$266:I$267)</f>
        <v>0.71100000000000008</v>
      </c>
      <c r="J218" s="17">
        <f>SUM('Fiscal Forecasts'!J$266:J$267)</f>
        <v>0.50800000000000001</v>
      </c>
      <c r="K218" s="17">
        <f>SUM('Fiscal Forecasts'!K$266:K$267)</f>
        <v>0.51300000000000001</v>
      </c>
      <c r="L218" s="17">
        <f>SUM('Fiscal Forecasts'!L$266:L$267)</f>
        <v>0.48699999999999999</v>
      </c>
      <c r="M218" s="17">
        <f>SUM('Fiscal Forecasts'!M$266:M$267)</f>
        <v>0.47000000000000003</v>
      </c>
      <c r="N218" s="17">
        <f>SUM('Fiscal Forecasts'!N$266:N$267)</f>
        <v>0.46799999999999997</v>
      </c>
      <c r="O218" s="106">
        <f ca="1">IF(O$6=OFFSET(Assumptions!$B$8,0,$C$1),AVERAGE(L$218/K$430,M$218/L$430,N$218/M$430),N$218/M$430)*N$430</f>
        <v>0.47470046887478673</v>
      </c>
      <c r="P218" s="106">
        <f ca="1">IF(P$6=OFFSET(Assumptions!$B$8,0,$C$1),AVERAGE(M$218/L$430,N$218/M$430,O$218/N$430),O$218/N$430)*O$430</f>
        <v>0.495996826105433</v>
      </c>
      <c r="Q218" s="106">
        <f ca="1">IF(Q$6=OFFSET(Assumptions!$B$8,0,$C$1),AVERAGE(N$218/M$430,O$218/N$430,P$218/O$430),P$218/O$430)*P$430</f>
        <v>0.51791757049398124</v>
      </c>
      <c r="R218" s="106">
        <f ca="1">IF(R$6=OFFSET(Assumptions!$B$8,0,$C$1),AVERAGE(O$218/N$430,P$218/O$430,Q$218/P$430),Q$218/P$430)*Q$430</f>
        <v>0.53991131309258578</v>
      </c>
      <c r="S218" s="106">
        <f ca="1">IF(S$6=OFFSET(Assumptions!$B$8,0,$C$1),AVERAGE(P$218/O$430,Q$218/P$430,R$218/Q$430),R$218/Q$430)*R$430</f>
        <v>0.56190363549427425</v>
      </c>
      <c r="T218" s="106">
        <f ca="1">IF(T$6=OFFSET(Assumptions!$B$8,0,$C$1),AVERAGE(Q$218/P$430,R$218/Q$430,S$218/R$430),S$218/R$430)*S$430</f>
        <v>0.58459919119882253</v>
      </c>
      <c r="U218" s="106">
        <f ca="1">IF(U$6=OFFSET(Assumptions!$B$8,0,$C$1),AVERAGE(R$218/Q$430,S$218/R$430,T$218/S$430),T$218/S$430)*T$430</f>
        <v>0.60798691993648435</v>
      </c>
      <c r="V218" s="106">
        <f ca="1">IF(V$6=OFFSET(Assumptions!$B$8,0,$C$1),AVERAGE(S$218/R$430,T$218/S$430,U$218/T$430),U$218/T$430)*U$430</f>
        <v>0.63216099256474512</v>
      </c>
      <c r="W218" s="106">
        <f ca="1">IF(W$6=OFFSET(Assumptions!$B$8,0,$C$1),AVERAGE(T$218/S$430,U$218/T$430,V$218/U$430),V$218/U$430)*V$430</f>
        <v>0.65712815648861522</v>
      </c>
      <c r="X218" s="106">
        <f ca="1">IF(X$6=OFFSET(Assumptions!$B$8,0,$C$1),AVERAGE(U$218/T$430,V$218/U$430,W$218/V$430),W$218/V$430)*W$430</f>
        <v>0.68275827613504803</v>
      </c>
      <c r="Y218" s="106">
        <f ca="1">IF(Y$6=OFFSET(Assumptions!$B$8,0,$C$1),AVERAGE(V$218/U$430,W$218/V$430,X$218/W$430),X$218/W$430)*X$430</f>
        <v>0.70909287288202427</v>
      </c>
      <c r="Z218" s="106">
        <f ca="1">IF(Z$6=OFFSET(Assumptions!$B$8,0,$C$1),AVERAGE(W$218/V$430,X$218/W$430,Y$218/X$430),Y$218/X$430)*Y$430</f>
        <v>0.73626987867361404</v>
      </c>
      <c r="AA218" s="106">
        <f ca="1">IF(AA$6=OFFSET(Assumptions!$B$8,0,$C$1),AVERAGE(X$218/W$430,Y$218/X$430,Z$218/Y$430),Z$218/Y$430)*Z$430</f>
        <v>0.76429397803355248</v>
      </c>
      <c r="AB218" s="106">
        <f ca="1">IF(AB$6=OFFSET(Assumptions!$B$8,0,$C$1),AVERAGE(Y$218/X$430,Z$218/Y$430,AA$218/Z$430),AA$218/Z$430)*AA$430</f>
        <v>0.7932797902034785</v>
      </c>
      <c r="AC218" s="106">
        <f ca="1">IF(AC$6=OFFSET(Assumptions!$B$8,0,$C$1),AVERAGE(Z$218/Y$430,AA$218/Z$430,AB$218/AA$430),AB$218/AA$430)*AB$430</f>
        <v>0.82319655591859175</v>
      </c>
      <c r="AD218" s="106">
        <f ca="1">IF(AD$6=OFFSET(Assumptions!$B$8,0,$C$1),AVERAGE(AA$218/Z$430,AB$218/AA$430,AC$218/AB$430),AC$218/AB$430)*AC$430</f>
        <v>0.85404350579167321</v>
      </c>
      <c r="AE218" s="106">
        <f ca="1">IF(AE$6=OFFSET(Assumptions!$B$8,0,$C$1),AVERAGE(AB$218/AA$430,AC$218/AB$430,AD$218/AC$430),AD$218/AC$430)*AD$430</f>
        <v>0.88584274713849709</v>
      </c>
      <c r="AF218" s="106">
        <f ca="1">IF(AF$6=OFFSET(Assumptions!$B$8,0,$C$1),AVERAGE(AC$218/AB$430,AD$218/AC$430,AE$218/AD$430),AE$218/AD$430)*AE$430</f>
        <v>0.91858560520860888</v>
      </c>
      <c r="AG218" s="106">
        <f ca="1">IF(AG$6=OFFSET(Assumptions!$B$8,0,$C$1),AVERAGE(AD$218/AC$430,AE$218/AD$430,AF$218/AE$430),AF$218/AE$430)*AF$430</f>
        <v>0.95227975911386209</v>
      </c>
      <c r="AH218" s="106">
        <f ca="1">IF(AH$6=OFFSET(Assumptions!$B$8,0,$C$1),AVERAGE(AE$218/AD$430,AF$218/AE$430,AG$218/AF$430),AG$218/AF$430)*AG$430</f>
        <v>0.98692883937510401</v>
      </c>
      <c r="AI218" s="106">
        <f ca="1">IF(AI$6=OFFSET(Assumptions!$B$8,0,$C$1),AVERAGE(AF$218/AE$430,AG$218/AF$430,AH$218/AG$430),AH$218/AG$430)*AH$430</f>
        <v>1.0225165081475582</v>
      </c>
      <c r="AJ218" s="106">
        <f ca="1">IF(AJ$6=OFFSET(Assumptions!$B$8,0,$C$1),AVERAGE(AG$218/AF$430,AH$218/AG$430,AI$218/AH$430),AI$218/AH$430)*AI$430</f>
        <v>1.0590765064851622</v>
      </c>
      <c r="AK218" s="106">
        <f ca="1">IF(AK$6=OFFSET(Assumptions!$B$8,0,$C$1),AVERAGE(AH$218/AG$430,AI$218/AH$430,AJ$218/AI$430),AJ$218/AI$430)*AJ$430</f>
        <v>1.0966519702828652</v>
      </c>
      <c r="AL218" s="106">
        <f ca="1">IF(AL$6=OFFSET(Assumptions!$B$8,0,$C$1),AVERAGE(AI$218/AH$430,AJ$218/AI$430,AK$218/AJ$430),AK$218/AJ$430)*AK$430</f>
        <v>1.1351930188911634</v>
      </c>
      <c r="AM218" s="106">
        <f ca="1">IF(AM$6=OFFSET(Assumptions!$B$8,0,$C$1),AVERAGE(AJ$218/AI$430,AK$218/AJ$430,AL$218/AK$430),AL$218/AK$430)*AL$430</f>
        <v>1.1747525221866026</v>
      </c>
      <c r="AN218" s="106">
        <f ca="1">IF(AN$6=OFFSET(Assumptions!$B$8,0,$C$1),AVERAGE(AK$218/AJ$430,AL$218/AK$430,AM$218/AL$430),AM$218/AL$430)*AM$430</f>
        <v>1.2153877106785864</v>
      </c>
      <c r="AO218" s="106">
        <f ca="1">IF(AO$6=OFFSET(Assumptions!$B$8,0,$C$1),AVERAGE(AL$218/AK$430,AM$218/AL$430,AN$218/AM$430),AN$218/AM$430)*AN$430</f>
        <v>1.2571447905385467</v>
      </c>
      <c r="AP218" s="106">
        <f ca="1">IF(AP$6=OFFSET(Assumptions!$B$8,0,$C$1),AVERAGE(AM$218/AL$430,AN$218/AM$430,AO$218/AN$430),AO$218/AN$430)*AO$430</f>
        <v>1.300041121247312</v>
      </c>
      <c r="AQ218" s="106">
        <f ca="1">IF(AQ$6=OFFSET(Assumptions!$B$8,0,$C$1),AVERAGE(AN$218/AM$430,AO$218/AN$430,AP$218/AO$430),AP$218/AO$430)*AP$430</f>
        <v>1.3442086730810618</v>
      </c>
      <c r="AR218" s="106">
        <f ca="1">IF(AR$6=OFFSET(Assumptions!$B$8,0,$C$1),AVERAGE(AO$218/AN$430,AP$218/AO$430,AQ$218/AP$430),AQ$218/AP$430)*AQ$430</f>
        <v>1.3896905998711808</v>
      </c>
      <c r="AS218" s="106">
        <f ca="1">IF(AS$6=OFFSET(Assumptions!$B$8,0,$C$1),AVERAGE(AP$218/AO$430,AQ$218/AP$430,AR$218/AQ$430),AR$218/AQ$430)*AR$430</f>
        <v>1.4366055958406536</v>
      </c>
      <c r="AT218" s="106">
        <f ca="1">IF(AT$6=OFFSET(Assumptions!$B$8,0,$C$1),AVERAGE(AQ$218/AP$430,AR$218/AQ$430,AS$218/AR$430),AS$218/AR$430)*AS$430</f>
        <v>1.4849887455483097</v>
      </c>
      <c r="AU218" s="106">
        <f ca="1">IF(AU$6=OFFSET(Assumptions!$B$8,0,$C$1),AVERAGE(AR$218/AQ$430,AS$218/AR$430,AT$218/AS$430),AT$218/AS$430)*AT$430</f>
        <v>1.5349906064459238</v>
      </c>
      <c r="AV218" s="106">
        <f ca="1">IF(AV$6=OFFSET(Assumptions!$B$8,0,$C$1),AVERAGE(AS$218/AR$430,AT$218/AS$430,AU$218/AT$430),AU$218/AT$430)*AU$430</f>
        <v>1.5865895610160925</v>
      </c>
      <c r="AW218" s="106">
        <f ca="1">IF(AW$6=OFFSET(Assumptions!$B$8,0,$C$1),AVERAGE(AT$218/AS$430,AU$218/AT$430,AV$218/AU$430),AV$218/AU$430)*AV$430</f>
        <v>1.6399318964488268</v>
      </c>
      <c r="AX218" s="106">
        <f ca="1">IF(AX$6=OFFSET(Assumptions!$B$8,0,$C$1),AVERAGE(AU$218/AT$430,AV$218/AU$430,AW$218/AV$430),AW$218/AV$430)*AW$430</f>
        <v>1.6950646265700033</v>
      </c>
    </row>
    <row r="219" spans="1:50" x14ac:dyDescent="0.25">
      <c r="A219" s="9"/>
    </row>
    <row r="220" spans="1:50" x14ac:dyDescent="0.25">
      <c r="A220" s="9" t="s">
        <v>460</v>
      </c>
    </row>
    <row r="221" spans="1:50" x14ac:dyDescent="0.25">
      <c r="A221" s="9" t="s">
        <v>998</v>
      </c>
      <c r="B221" s="10" t="str">
        <f t="shared" ref="B221:B224" si="1120">$B$38</f>
        <v>From Fiscal Forecasts</v>
      </c>
      <c r="D221" s="42">
        <f>'Fiscal Forecasts'!D$270</f>
        <v>44.959000000000003</v>
      </c>
      <c r="E221" s="42">
        <f>'Fiscal Forecasts'!E$270</f>
        <v>51.832999999999998</v>
      </c>
      <c r="F221" s="42">
        <f>'Fiscal Forecasts'!F$270</f>
        <v>58.084000000000003</v>
      </c>
      <c r="G221" s="42">
        <f>'Fiscal Forecasts'!G$270</f>
        <v>65.543000000000006</v>
      </c>
      <c r="H221" s="42">
        <f>'Fiscal Forecasts'!H$270</f>
        <v>68.150000000000006</v>
      </c>
      <c r="I221" s="42">
        <f>'Fiscal Forecasts'!I$270</f>
        <v>72.72</v>
      </c>
      <c r="J221" s="43">
        <f>'Fiscal Forecasts'!J$270+SUM(Allocation!C$12:C$22)</f>
        <v>72.878</v>
      </c>
      <c r="K221" s="43">
        <f>'Fiscal Forecasts'!K$270+SUM(Allocation!D$12:D$22)</f>
        <v>77.957999999999998</v>
      </c>
      <c r="L221" s="43">
        <f>'Fiscal Forecasts'!L$270+SUM(Allocation!E$12:E$22)</f>
        <v>78.046000000000006</v>
      </c>
      <c r="M221" s="43">
        <f>'Fiscal Forecasts'!M$270+SUM(Allocation!F$12:F$22)</f>
        <v>78.794000000000011</v>
      </c>
      <c r="N221" s="43">
        <f>'Fiscal Forecasts'!N$270+SUM(Allocation!G$12:G$22)</f>
        <v>81.896999999999991</v>
      </c>
      <c r="O221" s="47">
        <f ca="1">SUM(-O$213,O$325,IF(O$6=OFFSET(Assumptions!$B$8,0,$C$1),AVERAGE((L$221+L$213-L$325)/SUM(L$206,L$213,L$221,-L$244,-L$325),(M$221+M$213-M$325)/SUM(M$206,M$213,M$221,-M$244,-M$325),(N$221+N$213-N$325)/SUM(N$206,N$213,N$221,-N$244,-N$325)),(N$221+N$213-N$325)/SUM(N$206,N$213,N$221,-N$244,-N$325))*(O$324-O$253-SUM(O$259:O$262,O$265)))</f>
        <v>87.822962262263744</v>
      </c>
      <c r="P221" s="47">
        <f ca="1">SUM(-P$213,P$325,IF(P$6=OFFSET(Assumptions!$B$8,0,$C$1),AVERAGE((M$221+M$213-M$325)/SUM(M$206,M$213,M$221,-M$244,-M$325),(N$221+N$213-N$325)/SUM(N$206,N$213,N$221,-N$244,-N$325),(O$221+O$213-O$325)/SUM(O$206,O$213,O$221,-O$244,-O$325)),(O$221+O$213-O$325)/SUM(O$206,O$213,O$221,-O$244,-O$325))*(P$324-P$253-SUM(P$259:P$262,P$265)))</f>
        <v>92.734482118789117</v>
      </c>
      <c r="Q221" s="47">
        <f ca="1">SUM(-Q$213,Q$325,IF(Q$6=OFFSET(Assumptions!$B$8,0,$C$1),AVERAGE((N$221+N$213-N$325)/SUM(N$206,N$213,N$221,-N$244,-N$325),(O$221+O$213-O$325)/SUM(O$206,O$213,O$221,-O$244,-O$325),(P$221+P$213-P$325)/SUM(P$206,P$213,P$221,-P$244,-P$325)),(P$221+P$213-P$325)/SUM(P$206,P$213,P$221,-P$244,-P$325))*(Q$324-Q$253-SUM(Q$259:Q$262,Q$265)))</f>
        <v>97.954576642662602</v>
      </c>
      <c r="R221" s="47">
        <f ca="1">SUM(-R$213,R$325,IF(R$6=OFFSET(Assumptions!$B$8,0,$C$1),AVERAGE((O$221+O$213-O$325)/SUM(O$206,O$213,O$221,-O$244,-O$325),(P$221+P$213-P$325)/SUM(P$206,P$213,P$221,-P$244,-P$325),(Q$221+Q$213-Q$325)/SUM(Q$206,Q$213,Q$221,-Q$244,-Q$325)),(Q$221+Q$213-Q$325)/SUM(Q$206,Q$213,Q$221,-Q$244,-Q$325))*(R$324-R$253-SUM(R$259:R$262,R$265)))</f>
        <v>103.3595693520503</v>
      </c>
      <c r="S221" s="47">
        <f ca="1">SUM(-S$213,S$325,IF(S$6=OFFSET(Assumptions!$B$8,0,$C$1),AVERAGE((P$221+P$213-P$325)/SUM(P$206,P$213,P$221,-P$244,-P$325),(Q$221+Q$213-Q$325)/SUM(Q$206,Q$213,Q$221,-Q$244,-Q$325),(R$221+R$213-R$325)/SUM(R$206,R$213,R$221,-R$244,-R$325)),(R$221+R$213-R$325)/SUM(R$206,R$213,R$221,-R$244,-R$325))*(S$324-S$253-SUM(S$259:S$262,S$265)))</f>
        <v>108.83725468437916</v>
      </c>
      <c r="T221" s="47">
        <f ca="1">SUM(-T$213,T$325,IF(T$6=OFFSET(Assumptions!$B$8,0,$C$1),AVERAGE((Q$221+Q$213-Q$325)/SUM(Q$206,Q$213,Q$221,-Q$244,-Q$325),(R$221+R$213-R$325)/SUM(R$206,R$213,R$221,-R$244,-R$325),(S$221+S$213-S$325)/SUM(S$206,S$213,S$221,-S$244,-S$325)),(S$221+S$213-S$325)/SUM(S$206,S$213,S$221,-S$244,-S$325))*(T$324-T$253-SUM(T$259:T$262,T$265)))</f>
        <v>114.2969126808471</v>
      </c>
      <c r="U221" s="47">
        <f ca="1">SUM(-U$213,U$325,IF(U$6=OFFSET(Assumptions!$B$8,0,$C$1),AVERAGE((R$221+R$213-R$325)/SUM(R$206,R$213,R$221,-R$244,-R$325),(S$221+S$213-S$325)/SUM(S$206,S$213,S$221,-S$244,-S$325),(T$221+T$213-T$325)/SUM(T$206,T$213,T$221,-T$244,-T$325)),(T$221+T$213-T$325)/SUM(T$206,T$213,T$221,-T$244,-T$325))*(U$324-U$253-SUM(U$259:U$262,U$265)))</f>
        <v>119.29777613668074</v>
      </c>
      <c r="V221" s="47">
        <f ca="1">SUM(-V$213,V$325,IF(V$6=OFFSET(Assumptions!$B$8,0,$C$1),AVERAGE((S$221+S$213-S$325)/SUM(S$206,S$213,S$221,-S$244,-S$325),(T$221+T$213-T$325)/SUM(T$206,T$213,T$221,-T$244,-T$325),(U$221+U$213-U$325)/SUM(U$206,U$213,U$221,-U$244,-U$325)),(U$221+U$213-U$325)/SUM(U$206,U$213,U$221,-U$244,-U$325))*(V$324-V$253-SUM(V$259:V$262,V$265)))</f>
        <v>124.43047241961712</v>
      </c>
      <c r="W221" s="47">
        <f ca="1">SUM(-W$213,W$325,IF(W$6=OFFSET(Assumptions!$B$8,0,$C$1),AVERAGE((T$221+T$213-T$325)/SUM(T$206,T$213,T$221,-T$244,-T$325),(U$221+U$213-U$325)/SUM(U$206,U$213,U$221,-U$244,-U$325),(V$221+V$213-V$325)/SUM(V$206,V$213,V$221,-V$244,-V$325)),(V$221+V$213-V$325)/SUM(V$206,V$213,V$221,-V$244,-V$325))*(W$324-W$253-SUM(W$259:W$262,W$265)))</f>
        <v>129.74539479808564</v>
      </c>
      <c r="X221" s="47">
        <f ca="1">SUM(-X$213,X$325,IF(X$6=OFFSET(Assumptions!$B$8,0,$C$1),AVERAGE((U$221+U$213-U$325)/SUM(U$206,U$213,U$221,-U$244,-U$325),(V$221+V$213-V$325)/SUM(V$206,V$213,V$221,-V$244,-V$325),(W$221+W$213-W$325)/SUM(W$206,W$213,W$221,-W$244,-W$325)),(W$221+W$213-W$325)/SUM(W$206,W$213,W$221,-W$244,-W$325))*(X$324-X$253-SUM(X$259:X$262,X$265)))</f>
        <v>135.28234575511956</v>
      </c>
      <c r="Y221" s="47">
        <f ca="1">SUM(-Y$213,Y$325,IF(Y$6=OFFSET(Assumptions!$B$8,0,$C$1),AVERAGE((V$221+V$213-V$325)/SUM(V$206,V$213,V$221,-V$244,-V$325),(W$221+W$213-W$325)/SUM(W$206,W$213,W$221,-W$244,-W$325),(X$221+X$213-X$325)/SUM(X$206,X$213,X$221,-X$244,-X$325)),(X$221+X$213-X$325)/SUM(X$206,X$213,X$221,-X$244,-X$325))*(Y$324-Y$253-SUM(Y$259:Y$262,Y$265)))</f>
        <v>141.04454018515563</v>
      </c>
      <c r="Z221" s="47">
        <f ca="1">SUM(-Z$213,Z$325,IF(Z$6=OFFSET(Assumptions!$B$8,0,$C$1),AVERAGE((W$221+W$213-W$325)/SUM(W$206,W$213,W$221,-W$244,-W$325),(X$221+X$213-X$325)/SUM(X$206,X$213,X$221,-X$244,-X$325),(Y$221+Y$213-Y$325)/SUM(Y$206,Y$213,Y$221,-Y$244,-Y$325)),(Y$221+Y$213-Y$325)/SUM(Y$206,Y$213,Y$221,-Y$244,-Y$325))*(Z$324-Z$253-SUM(Z$259:Z$262,Z$265)))</f>
        <v>147.06988708261827</v>
      </c>
      <c r="AA221" s="47">
        <f ca="1">SUM(-AA$213,AA$325,IF(AA$6=OFFSET(Assumptions!$B$8,0,$C$1),AVERAGE((X$221+X$213-X$325)/SUM(X$206,X$213,X$221,-X$244,-X$325),(Y$221+Y$213-Y$325)/SUM(Y$206,Y$213,Y$221,-Y$244,-Y$325),(Z$221+Z$213-Z$325)/SUM(Z$206,Z$213,Z$221,-Z$244,-Z$325)),(Z$221+Z$213-Z$325)/SUM(Z$206,Z$213,Z$221,-Z$244,-Z$325))*(AA$324-AA$253-SUM(AA$259:AA$262,AA$265)))</f>
        <v>153.34057114673408</v>
      </c>
      <c r="AB221" s="47">
        <f ca="1">SUM(-AB$213,AB$325,IF(AB$6=OFFSET(Assumptions!$B$8,0,$C$1),AVERAGE((Y$221+Y$213-Y$325)/SUM(Y$206,Y$213,Y$221,-Y$244,-Y$325),(Z$221+Z$213-Z$325)/SUM(Z$206,Z$213,Z$221,-Z$244,-Z$325),(AA$221+AA$213-AA$325)/SUM(AA$206,AA$213,AA$221,-AA$244,-AA$325)),(AA$221+AA$213-AA$325)/SUM(AA$206,AA$213,AA$221,-AA$244,-AA$325))*(AB$324-AB$253-SUM(AB$259:AB$262,AB$265)))</f>
        <v>159.84646039730541</v>
      </c>
      <c r="AC221" s="47">
        <f ca="1">SUM(-AC$213,AC$325,IF(AC$6=OFFSET(Assumptions!$B$8,0,$C$1),AVERAGE((Z$221+Z$213-Z$325)/SUM(Z$206,Z$213,Z$221,-Z$244,-Z$325),(AA$221+AA$213-AA$325)/SUM(AA$206,AA$213,AA$221,-AA$244,-AA$325),(AB$221+AB$213-AB$325)/SUM(AB$206,AB$213,AB$221,-AB$244,-AB$325)),(AB$221+AB$213-AB$325)/SUM(AB$206,AB$213,AB$221,-AB$244,-AB$325))*(AC$324-AC$253-SUM(AC$259:AC$262,AC$265)))</f>
        <v>166.58485098935526</v>
      </c>
      <c r="AD221" s="47">
        <f ca="1">SUM(-AD$213,AD$325,IF(AD$6=OFFSET(Assumptions!$B$8,0,$C$1),AVERAGE((AA$221+AA$213-AA$325)/SUM(AA$206,AA$213,AA$221,-AA$244,-AA$325),(AB$221+AB$213-AB$325)/SUM(AB$206,AB$213,AB$221,-AB$244,-AB$325),(AC$221+AC$213-AC$325)/SUM(AC$206,AC$213,AC$221,-AC$244,-AC$325)),(AC$221+AC$213-AC$325)/SUM(AC$206,AC$213,AC$221,-AC$244,-AC$325))*(AD$324-AD$253-SUM(AD$259:AD$262,AD$265)))</f>
        <v>173.55925782465638</v>
      </c>
      <c r="AE221" s="47">
        <f ca="1">SUM(-AE$213,AE$325,IF(AE$6=OFFSET(Assumptions!$B$8,0,$C$1),AVERAGE((AB$221+AB$213-AB$325)/SUM(AB$206,AB$213,AB$221,-AB$244,-AB$325),(AC$221+AC$213-AC$325)/SUM(AC$206,AC$213,AC$221,-AC$244,-AC$325),(AD$221+AD$213-AD$325)/SUM(AD$206,AD$213,AD$221,-AD$244,-AD$325)),(AD$221+AD$213-AD$325)/SUM(AD$206,AD$213,AD$221,-AD$244,-AD$325))*(AE$324-AE$253-SUM(AE$259:AE$262,AE$265)))</f>
        <v>180.78636729367386</v>
      </c>
      <c r="AF221" s="47">
        <f ca="1">SUM(-AF$213,AF$325,IF(AF$6=OFFSET(Assumptions!$B$8,0,$C$1),AVERAGE((AC$221+AC$213-AC$325)/SUM(AC$206,AC$213,AC$221,-AC$244,-AC$325),(AD$221+AD$213-AD$325)/SUM(AD$206,AD$213,AD$221,-AD$244,-AD$325),(AE$221+AE$213-AE$325)/SUM(AE$206,AE$213,AE$221,-AE$244,-AE$325)),(AE$221+AE$213-AE$325)/SUM(AE$206,AE$213,AE$221,-AE$244,-AE$325))*(AF$324-AF$253-SUM(AF$259:AF$262,AF$265)))</f>
        <v>188.26953236679412</v>
      </c>
      <c r="AG221" s="47">
        <f ca="1">SUM(-AG$213,AG$325,IF(AG$6=OFFSET(Assumptions!$B$8,0,$C$1),AVERAGE((AD$221+AD$213-AD$325)/SUM(AD$206,AD$213,AD$221,-AD$244,-AD$325),(AE$221+AE$213-AE$325)/SUM(AE$206,AE$213,AE$221,-AE$244,-AE$325),(AF$221+AF$213-AF$325)/SUM(AF$206,AF$213,AF$221,-AF$244,-AF$325)),(AF$221+AF$213-AF$325)/SUM(AF$206,AF$213,AF$221,-AF$244,-AF$325))*(AG$324-AG$253-SUM(AG$259:AG$262,AG$265)))</f>
        <v>196.03741582921791</v>
      </c>
      <c r="AH221" s="47">
        <f ca="1">SUM(-AH$213,AH$325,IF(AH$6=OFFSET(Assumptions!$B$8,0,$C$1),AVERAGE((AE$221+AE$213-AE$325)/SUM(AE$206,AE$213,AE$221,-AE$244,-AE$325),(AF$221+AF$213-AF$325)/SUM(AF$206,AF$213,AF$221,-AF$244,-AF$325),(AG$221+AG$213-AG$325)/SUM(AG$206,AG$213,AG$221,-AG$244,-AG$325)),(AG$221+AG$213-AG$325)/SUM(AG$206,AG$213,AG$221,-AG$244,-AG$325))*(AH$324-AH$253-SUM(AH$259:AH$262,AH$265)))</f>
        <v>204.06640411139321</v>
      </c>
      <c r="AI221" s="47">
        <f ca="1">SUM(-AI$213,AI$325,IF(AI$6=OFFSET(Assumptions!$B$8,0,$C$1),AVERAGE((AF$221+AF$213-AF$325)/SUM(AF$206,AF$213,AF$221,-AF$244,-AF$325),(AG$221+AG$213-AG$325)/SUM(AG$206,AG$213,AG$221,-AG$244,-AG$325),(AH$221+AH$213-AH$325)/SUM(AH$206,AH$213,AH$221,-AH$244,-AH$325)),(AH$221+AH$213-AH$325)/SUM(AH$206,AH$213,AH$221,-AH$244,-AH$325))*(AI$324-AI$253-SUM(AI$259:AI$262,AI$265)))</f>
        <v>212.36438791667416</v>
      </c>
      <c r="AJ221" s="47">
        <f ca="1">SUM(-AJ$213,AJ$325,IF(AJ$6=OFFSET(Assumptions!$B$8,0,$C$1),AVERAGE((AG$221+AG$213-AG$325)/SUM(AG$206,AG$213,AG$221,-AG$244,-AG$325),(AH$221+AH$213-AH$325)/SUM(AH$206,AH$213,AH$221,-AH$244,-AH$325),(AI$221+AI$213-AI$325)/SUM(AI$206,AI$213,AI$221,-AI$244,-AI$325)),(AI$221+AI$213-AI$325)/SUM(AI$206,AI$213,AI$221,-AI$244,-AI$325))*(AJ$324-AJ$253-SUM(AJ$259:AJ$262,AJ$265)))</f>
        <v>220.95263465077869</v>
      </c>
      <c r="AK221" s="47">
        <f ca="1">SUM(-AK$213,AK$325,IF(AK$6=OFFSET(Assumptions!$B$8,0,$C$1),AVERAGE((AH$221+AH$213-AH$325)/SUM(AH$206,AH$213,AH$221,-AH$244,-AH$325),(AI$221+AI$213-AI$325)/SUM(AI$206,AI$213,AI$221,-AI$244,-AI$325),(AJ$221+AJ$213-AJ$325)/SUM(AJ$206,AJ$213,AJ$221,-AJ$244,-AJ$325)),(AJ$221+AJ$213-AJ$325)/SUM(AJ$206,AJ$213,AJ$221,-AJ$244,-AJ$325))*(AK$324-AK$253-SUM(AK$259:AK$262,AK$265)))</f>
        <v>229.84466311566518</v>
      </c>
      <c r="AL221" s="47">
        <f ca="1">SUM(-AL$213,AL$325,IF(AL$6=OFFSET(Assumptions!$B$8,0,$C$1),AVERAGE((AI$221+AI$213-AI$325)/SUM(AI$206,AI$213,AI$221,-AI$244,-AI$325),(AJ$221+AJ$213-AJ$325)/SUM(AJ$206,AJ$213,AJ$221,-AJ$244,-AJ$325),(AK$221+AK$213-AK$325)/SUM(AK$206,AK$213,AK$221,-AK$244,-AK$325)),(AK$221+AK$213-AK$325)/SUM(AK$206,AK$213,AK$221,-AK$244,-AK$325))*(AL$324-AL$253-SUM(AL$259:AL$262,AL$265)))</f>
        <v>239.04683041655406</v>
      </c>
      <c r="AM221" s="47">
        <f ca="1">SUM(-AM$213,AM$325,IF(AM$6=OFFSET(Assumptions!$B$8,0,$C$1),AVERAGE((AJ$221+AJ$213-AJ$325)/SUM(AJ$206,AJ$213,AJ$221,-AJ$244,-AJ$325),(AK$221+AK$213-AK$325)/SUM(AK$206,AK$213,AK$221,-AK$244,-AK$325),(AL$221+AL$213-AL$325)/SUM(AL$206,AL$213,AL$221,-AL$244,-AL$325)),(AL$221+AL$213-AL$325)/SUM(AL$206,AL$213,AL$221,-AL$244,-AL$325))*(AM$324-AM$253-SUM(AM$259:AM$262,AM$265)))</f>
        <v>248.57751842323802</v>
      </c>
      <c r="AN221" s="47">
        <f ca="1">SUM(-AN$213,AN$325,IF(AN$6=OFFSET(Assumptions!$B$8,0,$C$1),AVERAGE((AK$221+AK$213-AK$325)/SUM(AK$206,AK$213,AK$221,-AK$244,-AK$325),(AL$221+AL$213-AL$325)/SUM(AL$206,AL$213,AL$221,-AL$244,-AL$325),(AM$221+AM$213-AM$325)/SUM(AM$206,AM$213,AM$221,-AM$244,-AM$325)),(AM$221+AM$213-AM$325)/SUM(AM$206,AM$213,AM$221,-AM$244,-AM$325))*(AN$324-AN$253-SUM(AN$259:AN$262,AN$265)))</f>
        <v>258.56980748756172</v>
      </c>
      <c r="AO221" s="47">
        <f ca="1">SUM(-AO$213,AO$325,IF(AO$6=OFFSET(Assumptions!$B$8,0,$C$1),AVERAGE((AL$221+AL$213-AL$325)/SUM(AL$206,AL$213,AL$221,-AL$244,-AL$325),(AM$221+AM$213-AM$325)/SUM(AM$206,AM$213,AM$221,-AM$244,-AM$325),(AN$221+AN$213-AN$325)/SUM(AN$206,AN$213,AN$221,-AN$244,-AN$325)),(AN$221+AN$213-AN$325)/SUM(AN$206,AN$213,AN$221,-AN$244,-AN$325))*(AO$324-AO$253-SUM(AO$259:AO$262,AO$265)))</f>
        <v>268.85794406902755</v>
      </c>
      <c r="AP221" s="47">
        <f ca="1">SUM(-AP$213,AP$325,IF(AP$6=OFFSET(Assumptions!$B$8,0,$C$1),AVERAGE((AM$221+AM$213-AM$325)/SUM(AM$206,AM$213,AM$221,-AM$244,-AM$325),(AN$221+AN$213-AN$325)/SUM(AN$206,AN$213,AN$221,-AN$244,-AN$325),(AO$221+AO$213-AO$325)/SUM(AO$206,AO$213,AO$221,-AO$244,-AO$325)),(AO$221+AO$213-AO$325)/SUM(AO$206,AO$213,AO$221,-AO$244,-AO$325))*(AP$324-AP$253-SUM(AP$259:AP$262,AP$265)))</f>
        <v>279.49170945244316</v>
      </c>
      <c r="AQ221" s="47">
        <f ca="1">SUM(-AQ$213,AQ$325,IF(AQ$6=OFFSET(Assumptions!$B$8,0,$C$1),AVERAGE((AN$221+AN$213-AN$325)/SUM(AN$206,AN$213,AN$221,-AN$244,-AN$325),(AO$221+AO$213-AO$325)/SUM(AO$206,AO$213,AO$221,-AO$244,-AO$325),(AP$221+AP$213-AP$325)/SUM(AP$206,AP$213,AP$221,-AP$244,-AP$325)),(AP$221+AP$213-AP$325)/SUM(AP$206,AP$213,AP$221,-AP$244,-AP$325))*(AQ$324-AQ$253-SUM(AQ$259:AQ$262,AQ$265)))</f>
        <v>290.53219840642276</v>
      </c>
      <c r="AR221" s="47">
        <f ca="1">SUM(-AR$213,AR$325,IF(AR$6=OFFSET(Assumptions!$B$8,0,$C$1),AVERAGE((AO$221+AO$213-AO$325)/SUM(AO$206,AO$213,AO$221,-AO$244,-AO$325),(AP$221+AP$213-AP$325)/SUM(AP$206,AP$213,AP$221,-AP$244,-AP$325),(AQ$221+AQ$213-AQ$325)/SUM(AQ$206,AQ$213,AQ$221,-AQ$244,-AQ$325)),(AQ$221+AQ$213-AQ$325)/SUM(AQ$206,AQ$213,AQ$221,-AQ$244,-AQ$325))*(AR$324-AR$253-SUM(AR$259:AR$262,AR$265)))</f>
        <v>301.97851886131195</v>
      </c>
      <c r="AS221" s="47">
        <f ca="1">SUM(-AS$213,AS$325,IF(AS$6=OFFSET(Assumptions!$B$8,0,$C$1),AVERAGE((AP$221+AP$213-AP$325)/SUM(AP$206,AP$213,AP$221,-AP$244,-AP$325),(AQ$221+AQ$213-AQ$325)/SUM(AQ$206,AQ$213,AQ$221,-AQ$244,-AQ$325),(AR$221+AR$213-AR$325)/SUM(AR$206,AR$213,AR$221,-AR$244,-AR$325)),(AR$221+AR$213-AR$325)/SUM(AR$206,AR$213,AR$221,-AR$244,-AR$325))*(AS$324-AS$253-SUM(AS$259:AS$262,AS$265)))</f>
        <v>313.87424527342364</v>
      </c>
      <c r="AT221" s="47">
        <f ca="1">SUM(-AT$213,AT$325,IF(AT$6=OFFSET(Assumptions!$B$8,0,$C$1),AVERAGE((AQ$221+AQ$213-AQ$325)/SUM(AQ$206,AQ$213,AQ$221,-AQ$244,-AQ$325),(AR$221+AR$213-AR$325)/SUM(AR$206,AR$213,AR$221,-AR$244,-AR$325),(AS$221+AS$213-AS$325)/SUM(AS$206,AS$213,AS$221,-AS$244,-AS$325)),(AS$221+AS$213-AS$325)/SUM(AS$206,AS$213,AS$221,-AS$244,-AS$325))*(AT$324-AT$253-SUM(AT$259:AT$262,AT$265)))</f>
        <v>326.20945716933289</v>
      </c>
      <c r="AU221" s="47">
        <f ca="1">SUM(-AU$213,AU$325,IF(AU$6=OFFSET(Assumptions!$B$8,0,$C$1),AVERAGE((AR$221+AR$213-AR$325)/SUM(AR$206,AR$213,AR$221,-AR$244,-AR$325),(AS$221+AS$213-AS$325)/SUM(AS$206,AS$213,AS$221,-AS$244,-AS$325),(AT$221+AT$213-AT$325)/SUM(AT$206,AT$213,AT$221,-AT$244,-AT$325)),(AT$221+AT$213-AT$325)/SUM(AT$206,AT$213,AT$221,-AT$244,-AT$325))*(AU$324-AU$253-SUM(AU$259:AU$262,AU$265)))</f>
        <v>339.03932738091032</v>
      </c>
      <c r="AV221" s="47">
        <f ca="1">SUM(-AV$213,AV$325,IF(AV$6=OFFSET(Assumptions!$B$8,0,$C$1),AVERAGE((AS$221+AS$213-AS$325)/SUM(AS$206,AS$213,AS$221,-AS$244,-AS$325),(AT$221+AT$213-AT$325)/SUM(AT$206,AT$213,AT$221,-AT$244,-AT$325),(AU$221+AU$213-AU$325)/SUM(AU$206,AU$213,AU$221,-AU$244,-AU$325)),(AU$221+AU$213-AU$325)/SUM(AU$206,AU$213,AU$221,-AU$244,-AU$325))*(AV$324-AV$253-SUM(AV$259:AV$262,AV$265)))</f>
        <v>352.40415855055011</v>
      </c>
      <c r="AW221" s="47">
        <f ca="1">SUM(-AW$213,AW$325,IF(AW$6=OFFSET(Assumptions!$B$8,0,$C$1),AVERAGE((AT$221+AT$213-AT$325)/SUM(AT$206,AT$213,AT$221,-AT$244,-AT$325),(AU$221+AU$213-AU$325)/SUM(AU$206,AU$213,AU$221,-AU$244,-AU$325),(AV$221+AV$213-AV$325)/SUM(AV$206,AV$213,AV$221,-AV$244,-AV$325)),(AV$221+AV$213-AV$325)/SUM(AV$206,AV$213,AV$221,-AV$244,-AV$325))*(AW$324-AW$253-SUM(AW$259:AW$262,AW$265)))</f>
        <v>366.28881411552038</v>
      </c>
      <c r="AX221" s="47">
        <f ca="1">SUM(-AX$213,AX$325,IF(AX$6=OFFSET(Assumptions!$B$8,0,$C$1),AVERAGE((AU$221+AU$213-AU$325)/SUM(AU$206,AU$213,AU$221,-AU$244,-AU$325),(AV$221+AV$213-AV$325)/SUM(AV$206,AV$213,AV$221,-AV$244,-AV$325),(AW$221+AW$213-AW$325)/SUM(AW$206,AW$213,AW$221,-AW$244,-AW$325)),(AW$221+AW$213-AW$325)/SUM(AW$206,AW$213,AW$221,-AW$244,-AW$325))*(AX$324-AX$253-SUM(AX$259:AX$262,AX$265)))</f>
        <v>380.72438935320906</v>
      </c>
    </row>
    <row r="222" spans="1:50" x14ac:dyDescent="0.25">
      <c r="A222" s="11" t="s">
        <v>630</v>
      </c>
      <c r="B222" s="10" t="str">
        <f t="shared" si="1120"/>
        <v>From Fiscal Forecasts</v>
      </c>
      <c r="D222" s="35">
        <f>'Fiscal Forecasts'!D$271</f>
        <v>22.132999999999999</v>
      </c>
      <c r="E222" s="35">
        <f>'Fiscal Forecasts'!E$271</f>
        <v>25.504999999999999</v>
      </c>
      <c r="F222" s="35">
        <f>'Fiscal Forecasts'!F$271</f>
        <v>25.257000000000001</v>
      </c>
      <c r="G222" s="35">
        <f>'Fiscal Forecasts'!G$271</f>
        <v>27.652000000000001</v>
      </c>
      <c r="H222" s="35">
        <f>'Fiscal Forecasts'!H$271</f>
        <v>33.918999999999997</v>
      </c>
      <c r="I222" s="35">
        <f>'Fiscal Forecasts'!I$271</f>
        <v>34.594999999999999</v>
      </c>
      <c r="J222" s="17">
        <f>'Fiscal Forecasts'!J$271</f>
        <v>35.579000000000001</v>
      </c>
      <c r="K222" s="17">
        <f>'Fiscal Forecasts'!K$271</f>
        <v>34.938000000000002</v>
      </c>
      <c r="L222" s="17">
        <f>'Fiscal Forecasts'!L$271</f>
        <v>36.030999999999999</v>
      </c>
      <c r="M222" s="17">
        <f>'Fiscal Forecasts'!M$271</f>
        <v>34.314</v>
      </c>
      <c r="N222" s="17">
        <f>'Fiscal Forecasts'!N$271</f>
        <v>34.192999999999998</v>
      </c>
      <c r="O222" s="16">
        <f ca="1">SUM(-O$214,IF(O$6=OFFSET(Assumptions!$B$8,0,$C$1),AVERAGE(SUM(L$214,L$222)/SUM(L$207,-(L$245-L$244),L$214,L$222),SUM(M$214,M$222)/SUM(M$207,-(M$245-M$244),M$214,M$222),SUM(N$214,N$222)/SUM(N$207,-(N$245-N$244),N$214,N$222)),SUM(N$214,N$222)/SUM(N$207,-(N$245-N$244),N$214,N$222))*SUM(O$196-O$237,O$254,O$267,O$285,O$327,-(O$245-O$244)))</f>
        <v>36.472384126134592</v>
      </c>
      <c r="P222" s="16">
        <f ca="1">SUM(-P$214,IF(P$6=OFFSET(Assumptions!$B$8,0,$C$1),AVERAGE(SUM(M$214,M$222)/SUM(M$207,-(M$245-M$244),M$214,M$222),SUM(N$214,N$222)/SUM(N$207,-(N$245-N$244),N$214,N$222),SUM(O$214,O$222)/SUM(O$207,-(O$245-O$244),O$214,O$222)),SUM(O$214,O$222)/SUM(O$207,-(O$245-O$244),O$214,O$222))*SUM(P$196-P$237,P$254,P$267,P$285,P$327,-(P$245-P$244)))</f>
        <v>38.269567402928679</v>
      </c>
      <c r="Q222" s="16">
        <f ca="1">SUM(-Q$214,IF(Q$6=OFFSET(Assumptions!$B$8,0,$C$1),AVERAGE(SUM(N$214,N$222)/SUM(N$207,-(N$245-N$244),N$214,N$222),SUM(O$214,O$222)/SUM(O$207,-(O$245-O$244),O$214,O$222),SUM(P$214,P$222)/SUM(P$207,-(P$245-P$244),P$214,P$222)),SUM(P$214,P$222)/SUM(P$207,-(P$245-P$244),P$214,P$222))*SUM(Q$196-Q$237,Q$254,Q$267,Q$285,Q$327,-(Q$245-Q$244)))</f>
        <v>40.296251184322124</v>
      </c>
      <c r="R222" s="16">
        <f ca="1">SUM(-R$214,IF(R$6=OFFSET(Assumptions!$B$8,0,$C$1),AVERAGE(SUM(O$214,O$222)/SUM(O$207,-(O$245-O$244),O$214,O$222),SUM(P$214,P$222)/SUM(P$207,-(P$245-P$244),P$214,P$222),SUM(Q$214,Q$222)/SUM(Q$207,-(Q$245-Q$244),Q$214,Q$222)),SUM(Q$214,Q$222)/SUM(Q$207,-(Q$245-Q$244),Q$214,Q$222))*SUM(R$196-R$237,R$254,R$267,R$285,R$327,-(R$245-R$244)))</f>
        <v>42.397673803103174</v>
      </c>
      <c r="S222" s="16">
        <f ca="1">SUM(-S$214,IF(S$6=OFFSET(Assumptions!$B$8,0,$C$1),AVERAGE(SUM(P$214,P$222)/SUM(P$207,-(P$245-P$244),P$214,P$222),SUM(Q$214,Q$222)/SUM(Q$207,-(Q$245-Q$244),Q$214,Q$222),SUM(R$214,R$222)/SUM(R$207,-(R$245-R$244),R$214,R$222)),SUM(R$214,R$222)/SUM(R$207,-(R$245-R$244),R$214,R$222))*SUM(S$196-S$237,S$254,S$267,S$285,S$327,-(S$245-S$244)))</f>
        <v>44.579750516387122</v>
      </c>
      <c r="T222" s="16">
        <f ca="1">SUM(-T$214,IF(T$6=OFFSET(Assumptions!$B$8,0,$C$1),AVERAGE(SUM(Q$214,Q$222)/SUM(Q$207,-(Q$245-Q$244),Q$214,Q$222),SUM(R$214,R$222)/SUM(R$207,-(R$245-R$244),R$214,R$222),SUM(S$214,S$222)/SUM(S$207,-(S$245-S$244),S$214,S$222)),SUM(S$214,S$222)/SUM(S$207,-(S$245-S$244),S$214,S$222))*SUM(T$196-T$237,T$254,T$267,T$285,T$327,-(T$245-T$244)))</f>
        <v>46.832424136919656</v>
      </c>
      <c r="U222" s="16">
        <f ca="1">SUM(-U$214,IF(U$6=OFFSET(Assumptions!$B$8,0,$C$1),AVERAGE(SUM(R$214,R$222)/SUM(R$207,-(R$245-R$244),R$214,R$222),SUM(S$214,S$222)/SUM(S$207,-(S$245-S$244),S$214,S$222),SUM(T$214,T$222)/SUM(T$207,-(T$245-T$244),T$214,T$222)),SUM(T$214,T$222)/SUM(T$207,-(T$245-T$244),T$214,T$222))*SUM(U$196-U$237,U$254,U$267,U$285,U$327,-(U$245-U$244)))</f>
        <v>49.173335350298586</v>
      </c>
      <c r="V222" s="16">
        <f ca="1">SUM(-V$214,IF(V$6=OFFSET(Assumptions!$B$8,0,$C$1),AVERAGE(SUM(S$214,S$222)/SUM(S$207,-(S$245-S$244),S$214,S$222),SUM(T$214,T$222)/SUM(T$207,-(T$245-T$244),T$214,T$222),SUM(U$214,U$222)/SUM(U$207,-(U$245-U$244),U$214,U$222)),SUM(U$214,U$222)/SUM(U$207,-(U$245-U$244),U$214,U$222))*SUM(V$196-V$237,V$254,V$267,V$285,V$327,-(V$245-V$244)))</f>
        <v>51.602407899590432</v>
      </c>
      <c r="W222" s="16">
        <f ca="1">SUM(-W$214,IF(W$6=OFFSET(Assumptions!$B$8,0,$C$1),AVERAGE(SUM(T$214,T$222)/SUM(T$207,-(T$245-T$244),T$214,T$222),SUM(U$214,U$222)/SUM(U$207,-(U$245-U$244),U$214,U$222),SUM(V$214,V$222)/SUM(V$207,-(V$245-V$244),V$214,V$222)),SUM(V$214,V$222)/SUM(V$207,-(V$245-V$244),V$214,V$222))*SUM(W$196-W$237,W$254,W$267,W$285,W$327,-(W$245-W$244)))</f>
        <v>54.124867409320231</v>
      </c>
      <c r="X222" s="16">
        <f ca="1">SUM(-X$214,IF(X$6=OFFSET(Assumptions!$B$8,0,$C$1),AVERAGE(SUM(U$214,U$222)/SUM(U$207,-(U$245-U$244),U$214,U$222),SUM(V$214,V$222)/SUM(V$207,-(V$245-V$244),V$214,V$222),SUM(W$214,W$222)/SUM(W$207,-(W$245-W$244),W$214,W$222)),SUM(W$214,W$222)/SUM(W$207,-(W$245-W$244),W$214,W$222))*SUM(X$196-X$237,X$254,X$267,X$285,X$327,-(X$245-X$244)))</f>
        <v>56.749566000634502</v>
      </c>
      <c r="Y222" s="16">
        <f ca="1">SUM(-Y$214,IF(Y$6=OFFSET(Assumptions!$B$8,0,$C$1),AVERAGE(SUM(V$214,V$222)/SUM(V$207,-(V$245-V$244),V$214,V$222),SUM(W$214,W$222)/SUM(W$207,-(W$245-W$244),W$214,W$222),SUM(X$214,X$222)/SUM(X$207,-(X$245-X$244),X$214,X$222)),SUM(X$214,X$222)/SUM(X$207,-(X$245-X$244),X$214,X$222))*SUM(Y$196-Y$237,Y$254,Y$267,Y$285,Y$327,-(Y$245-Y$244)))</f>
        <v>59.467435181662054</v>
      </c>
      <c r="Z222" s="16">
        <f ca="1">SUM(-Z$214,IF(Z$6=OFFSET(Assumptions!$B$8,0,$C$1),AVERAGE(SUM(W$214,W$222)/SUM(W$207,-(W$245-W$244),W$214,W$222),SUM(X$214,X$222)/SUM(X$207,-(X$245-X$244),X$214,X$222),SUM(Y$214,Y$222)/SUM(Y$207,-(Y$245-Y$244),Y$214,Y$222)),SUM(Y$214,Y$222)/SUM(Y$207,-(Y$245-Y$244),Y$214,Y$222))*SUM(Z$196-Z$237,Z$254,Z$267,Z$285,Z$327,-(Z$245-Z$244)))</f>
        <v>62.320072630623962</v>
      </c>
      <c r="AA222" s="16">
        <f ca="1">SUM(-AA$214,IF(AA$6=OFFSET(Assumptions!$B$8,0,$C$1),AVERAGE(SUM(X$214,X$222)/SUM(X$207,-(X$245-X$244),X$214,X$222),SUM(Y$214,Y$222)/SUM(Y$207,-(Y$245-Y$244),Y$214,Y$222),SUM(Z$214,Z$222)/SUM(Z$207,-(Z$245-Z$244),Z$214,Z$222)),SUM(Z$214,Z$222)/SUM(Z$207,-(Z$245-Z$244),Z$214,Z$222))*SUM(AA$196-AA$237,AA$254,AA$267,AA$285,AA$327,-(AA$245-AA$244)))</f>
        <v>65.290059169835544</v>
      </c>
      <c r="AB222" s="16">
        <f ca="1">SUM(-AB$214,IF(AB$6=OFFSET(Assumptions!$B$8,0,$C$1),AVERAGE(SUM(Y$214,Y$222)/SUM(Y$207,-(Y$245-Y$244),Y$214,Y$222),SUM(Z$214,Z$222)/SUM(Z$207,-(Z$245-Z$244),Z$214,Z$222),SUM(AA$214,AA$222)/SUM(AA$207,-(AA$245-AA$244),AA$214,AA$222)),SUM(AA$214,AA$222)/SUM(AA$207,-(AA$245-AA$244),AA$214,AA$222))*SUM(AB$196-AB$237,AB$254,AB$267,AB$285,AB$327,-(AB$245-AB$244)))</f>
        <v>68.372095153345086</v>
      </c>
      <c r="AC222" s="16">
        <f ca="1">SUM(-AC$214,IF(AC$6=OFFSET(Assumptions!$B$8,0,$C$1),AVERAGE(SUM(Z$214,Z$222)/SUM(Z$207,-(Z$245-Z$244),Z$214,Z$222),SUM(AA$214,AA$222)/SUM(AA$207,-(AA$245-AA$244),AA$214,AA$222),SUM(AB$214,AB$222)/SUM(AB$207,-(AB$245-AB$244),AB$214,AB$222)),SUM(AB$214,AB$222)/SUM(AB$207,-(AB$245-AB$244),AB$214,AB$222))*SUM(AC$196-AC$237,AC$254,AC$267,AC$285,AC$327,-(AC$245-AC$244)))</f>
        <v>71.57040974229885</v>
      </c>
      <c r="AD222" s="16">
        <f ca="1">SUM(-AD$214,IF(AD$6=OFFSET(Assumptions!$B$8,0,$C$1),AVERAGE(SUM(AA$214,AA$222)/SUM(AA$207,-(AA$245-AA$244),AA$214,AA$222),SUM(AB$214,AB$222)/SUM(AB$207,-(AB$245-AB$244),AB$214,AB$222),SUM(AC$214,AC$222)/SUM(AC$207,-(AC$245-AC$244),AC$214,AC$222)),SUM(AC$214,AC$222)/SUM(AC$207,-(AC$245-AC$244),AC$214,AC$222))*SUM(AD$196-AD$237,AD$254,AD$267,AD$285,AD$327,-(AD$245-AD$244)))</f>
        <v>74.87806047286449</v>
      </c>
      <c r="AE222" s="16">
        <f ca="1">SUM(-AE$214,IF(AE$6=OFFSET(Assumptions!$B$8,0,$C$1),AVERAGE(SUM(AB$214,AB$222)/SUM(AB$207,-(AB$245-AB$244),AB$214,AB$222),SUM(AC$214,AC$222)/SUM(AC$207,-(AC$245-AC$244),AC$214,AC$222),SUM(AD$214,AD$222)/SUM(AD$207,-(AD$245-AD$244),AD$214,AD$222)),SUM(AD$214,AD$222)/SUM(AD$207,-(AD$245-AD$244),AD$214,AD$222))*SUM(AE$196-AE$237,AE$254,AE$267,AE$285,AE$327,-(AE$245-AE$244)))</f>
        <v>78.310687967158813</v>
      </c>
      <c r="AF222" s="16">
        <f ca="1">SUM(-AF$214,IF(AF$6=OFFSET(Assumptions!$B$8,0,$C$1),AVERAGE(SUM(AC$214,AC$222)/SUM(AC$207,-(AC$245-AC$244),AC$214,AC$222),SUM(AD$214,AD$222)/SUM(AD$207,-(AD$245-AD$244),AD$214,AD$222),SUM(AE$214,AE$222)/SUM(AE$207,-(AE$245-AE$244),AE$214,AE$222)),SUM(AE$214,AE$222)/SUM(AE$207,-(AE$245-AE$244),AE$214,AE$222))*SUM(AF$196-AF$237,AF$254,AF$267,AF$285,AF$327,-(AF$245-AF$244)))</f>
        <v>81.873612261196413</v>
      </c>
      <c r="AG222" s="16">
        <f ca="1">SUM(-AG$214,IF(AG$6=OFFSET(Assumptions!$B$8,0,$C$1),AVERAGE(SUM(AD$214,AD$222)/SUM(AD$207,-(AD$245-AD$244),AD$214,AD$222),SUM(AE$214,AE$222)/SUM(AE$207,-(AE$245-AE$244),AE$214,AE$222),SUM(AF$214,AF$222)/SUM(AF$207,-(AF$245-AF$244),AF$214,AF$222)),SUM(AF$214,AF$222)/SUM(AF$207,-(AF$245-AF$244),AF$214,AF$222))*SUM(AG$196-AG$237,AG$254,AG$267,AG$285,AG$327,-(AG$245-AG$244)))</f>
        <v>85.57682040640077</v>
      </c>
      <c r="AH222" s="16">
        <f ca="1">SUM(-AH$214,IF(AH$6=OFFSET(Assumptions!$B$8,0,$C$1),AVERAGE(SUM(AE$214,AE$222)/SUM(AE$207,-(AE$245-AE$244),AE$214,AE$222),SUM(AF$214,AF$222)/SUM(AF$207,-(AF$245-AF$244),AF$214,AF$222),SUM(AG$214,AG$222)/SUM(AG$207,-(AG$245-AG$244),AG$214,AG$222)),SUM(AG$214,AG$222)/SUM(AG$207,-(AG$245-AG$244),AG$214,AG$222))*SUM(AH$196-AH$237,AH$254,AH$267,AH$285,AH$327,-(AH$245-AH$244)))</f>
        <v>89.412054789946779</v>
      </c>
      <c r="AI222" s="16">
        <f ca="1">SUM(-AI$214,IF(AI$6=OFFSET(Assumptions!$B$8,0,$C$1),AVERAGE(SUM(AF$214,AF$222)/SUM(AF$207,-(AF$245-AF$244),AF$214,AF$222),SUM(AG$214,AG$222)/SUM(AG$207,-(AG$245-AG$244),AG$214,AG$222),SUM(AH$214,AH$222)/SUM(AH$207,-(AH$245-AH$244),AH$214,AH$222)),SUM(AH$214,AH$222)/SUM(AH$207,-(AH$245-AH$244),AH$214,AH$222))*SUM(AI$196-AI$237,AI$254,AI$267,AI$285,AI$327,-(AI$245-AI$244)))</f>
        <v>93.380457640768711</v>
      </c>
      <c r="AJ222" s="16">
        <f ca="1">SUM(-AJ$214,IF(AJ$6=OFFSET(Assumptions!$B$8,0,$C$1),AVERAGE(SUM(AG$214,AG$222)/SUM(AG$207,-(AG$245-AG$244),AG$214,AG$222),SUM(AH$214,AH$222)/SUM(AH$207,-(AH$245-AH$244),AH$214,AH$222),SUM(AI$214,AI$222)/SUM(AI$207,-(AI$245-AI$244),AI$214,AI$222)),SUM(AI$214,AI$222)/SUM(AI$207,-(AI$245-AI$244),AI$214,AI$222))*SUM(AJ$196-AJ$237,AJ$254,AJ$267,AJ$285,AJ$327,-(AJ$245-AJ$244)))</f>
        <v>97.495041431003543</v>
      </c>
      <c r="AK222" s="16">
        <f ca="1">SUM(-AK$214,IF(AK$6=OFFSET(Assumptions!$B$8,0,$C$1),AVERAGE(SUM(AH$214,AH$222)/SUM(AH$207,-(AH$245-AH$244),AH$214,AH$222),SUM(AI$214,AI$222)/SUM(AI$207,-(AI$245-AI$244),AI$214,AI$222),SUM(AJ$214,AJ$222)/SUM(AJ$207,-(AJ$245-AJ$244),AJ$214,AJ$222)),SUM(AJ$214,AJ$222)/SUM(AJ$207,-(AJ$245-AJ$244),AJ$214,AJ$222))*SUM(AK$196-AK$237,AK$254,AK$267,AK$285,AK$327,-(AK$245-AK$244)))</f>
        <v>101.76834251596037</v>
      </c>
      <c r="AL222" s="16">
        <f ca="1">SUM(-AL$214,IF(AL$6=OFFSET(Assumptions!$B$8,0,$C$1),AVERAGE(SUM(AI$214,AI$222)/SUM(AI$207,-(AI$245-AI$244),AI$214,AI$222),SUM(AJ$214,AJ$222)/SUM(AJ$207,-(AJ$245-AJ$244),AJ$214,AJ$222),SUM(AK$214,AK$222)/SUM(AK$207,-(AK$245-AK$244),AK$214,AK$222)),SUM(AK$214,AK$222)/SUM(AK$207,-(AK$245-AK$244),AK$214,AK$222))*SUM(AL$196-AL$237,AL$254,AL$267,AL$285,AL$327,-(AL$245-AL$244)))</f>
        <v>106.1990868974441</v>
      </c>
      <c r="AM222" s="16">
        <f ca="1">SUM(-AM$214,IF(AM$6=OFFSET(Assumptions!$B$8,0,$C$1),AVERAGE(SUM(AJ$214,AJ$222)/SUM(AJ$207,-(AJ$245-AJ$244),AJ$214,AJ$222),SUM(AK$214,AK$222)/SUM(AK$207,-(AK$245-AK$244),AK$214,AK$222),SUM(AL$214,AL$222)/SUM(AL$207,-(AL$245-AL$244),AL$214,AL$222)),SUM(AL$214,AL$222)/SUM(AL$207,-(AL$245-AL$244),AL$214,AL$222))*SUM(AM$196-AM$237,AM$254,AM$267,AM$285,AM$327,-(AM$245-AM$244)))</f>
        <v>110.79772434042721</v>
      </c>
      <c r="AN222" s="16">
        <f ca="1">SUM(-AN$214,IF(AN$6=OFFSET(Assumptions!$B$8,0,$C$1),AVERAGE(SUM(AK$214,AK$222)/SUM(AK$207,-(AK$245-AK$244),AK$214,AK$222),SUM(AL$214,AL$222)/SUM(AL$207,-(AL$245-AL$244),AL$214,AL$222),SUM(AM$214,AM$222)/SUM(AM$207,-(AM$245-AM$244),AM$214,AM$222)),SUM(AM$214,AM$222)/SUM(AM$207,-(AM$245-AM$244),AM$214,AM$222))*SUM(AN$196-AN$237,AN$254,AN$267,AN$285,AN$327,-(AN$245-AN$244)))</f>
        <v>115.58017385609453</v>
      </c>
      <c r="AO222" s="16">
        <f ca="1">SUM(-AO$214,IF(AO$6=OFFSET(Assumptions!$B$8,0,$C$1),AVERAGE(SUM(AL$214,AL$222)/SUM(AL$207,-(AL$245-AL$244),AL$214,AL$222),SUM(AM$214,AM$222)/SUM(AM$207,-(AM$245-AM$244),AM$214,AM$222),SUM(AN$214,AN$222)/SUM(AN$207,-(AN$245-AN$244),AN$214,AN$222)),SUM(AN$214,AN$222)/SUM(AN$207,-(AN$245-AN$244),AN$214,AN$222))*SUM(AO$196-AO$237,AO$254,AO$267,AO$285,AO$327,-(AO$245-AO$244)))</f>
        <v>120.54270663342913</v>
      </c>
      <c r="AP222" s="16">
        <f ca="1">SUM(-AP$214,IF(AP$6=OFFSET(Assumptions!$B$8,0,$C$1),AVERAGE(SUM(AM$214,AM$222)/SUM(AM$207,-(AM$245-AM$244),AM$214,AM$222),SUM(AN$214,AN$222)/SUM(AN$207,-(AN$245-AN$244),AN$214,AN$222),SUM(AO$214,AO$222)/SUM(AO$207,-(AO$245-AO$244),AO$214,AO$222)),SUM(AO$214,AO$222)/SUM(AO$207,-(AO$245-AO$244),AO$214,AO$222))*SUM(AP$196-AP$237,AP$254,AP$267,AP$285,AP$327,-(AP$245-AP$244)))</f>
        <v>125.7074512469565</v>
      </c>
      <c r="AQ222" s="16">
        <f ca="1">SUM(-AQ$214,IF(AQ$6=OFFSET(Assumptions!$B$8,0,$C$1),AVERAGE(SUM(AN$214,AN$222)/SUM(AN$207,-(AN$245-AN$244),AN$214,AN$222),SUM(AO$214,AO$222)/SUM(AO$207,-(AO$245-AO$244),AO$214,AO$222),SUM(AP$214,AP$222)/SUM(AP$207,-(AP$245-AP$244),AP$214,AP$222)),SUM(AP$214,AP$222)/SUM(AP$207,-(AP$245-AP$244),AP$214,AP$222))*SUM(AQ$196-AQ$237,AQ$254,AQ$267,AQ$285,AQ$327,-(AQ$245-AQ$244)))</f>
        <v>131.08450459255863</v>
      </c>
      <c r="AR222" s="16">
        <f ca="1">SUM(-AR$214,IF(AR$6=OFFSET(Assumptions!$B$8,0,$C$1),AVERAGE(SUM(AO$214,AO$222)/SUM(AO$207,-(AO$245-AO$244),AO$214,AO$222),SUM(AP$214,AP$222)/SUM(AP$207,-(AP$245-AP$244),AP$214,AP$222),SUM(AQ$214,AQ$222)/SUM(AQ$207,-(AQ$245-AQ$244),AQ$214,AQ$222)),SUM(AQ$214,AQ$222)/SUM(AQ$207,-(AQ$245-AQ$244),AQ$214,AQ$222))*SUM(AR$196-AR$237,AR$254,AR$267,AR$285,AR$327,-(AR$245-AR$244)))</f>
        <v>136.6659737536049</v>
      </c>
      <c r="AS222" s="16">
        <f ca="1">SUM(-AS$214,IF(AS$6=OFFSET(Assumptions!$B$8,0,$C$1),AVERAGE(SUM(AP$214,AP$222)/SUM(AP$207,-(AP$245-AP$244),AP$214,AP$222),SUM(AQ$214,AQ$222)/SUM(AQ$207,-(AQ$245-AQ$244),AQ$214,AQ$222),SUM(AR$214,AR$222)/SUM(AR$207,-(AR$245-AR$244),AR$214,AR$222)),SUM(AR$214,AR$222)/SUM(AR$207,-(AR$245-AR$244),AR$214,AR$222))*SUM(AS$196-AS$237,AS$254,AS$267,AS$285,AS$327,-(AS$245-AS$244)))</f>
        <v>142.47689583226847</v>
      </c>
      <c r="AT222" s="16">
        <f ca="1">SUM(-AT$214,IF(AT$6=OFFSET(Assumptions!$B$8,0,$C$1),AVERAGE(SUM(AQ$214,AQ$222)/SUM(AQ$207,-(AQ$245-AQ$244),AQ$214,AQ$222),SUM(AR$214,AR$222)/SUM(AR$207,-(AR$245-AR$244),AR$214,AR$222),SUM(AS$214,AS$222)/SUM(AS$207,-(AS$245-AS$244),AS$214,AS$222)),SUM(AS$214,AS$222)/SUM(AS$207,-(AS$245-AS$244),AS$214,AS$222))*SUM(AT$196-AT$237,AT$254,AT$267,AT$285,AT$327,-(AT$245-AT$244)))</f>
        <v>148.50629141003856</v>
      </c>
      <c r="AU222" s="16">
        <f ca="1">SUM(-AU$214,IF(AU$6=OFFSET(Assumptions!$B$8,0,$C$1),AVERAGE(SUM(AR$214,AR$222)/SUM(AR$207,-(AR$245-AR$244),AR$214,AR$222),SUM(AS$214,AS$222)/SUM(AS$207,-(AS$245-AS$244),AS$214,AS$222),SUM(AT$214,AT$222)/SUM(AT$207,-(AT$245-AT$244),AT$214,AT$222)),SUM(AT$214,AT$222)/SUM(AT$207,-(AT$245-AT$244),AT$214,AT$222))*SUM(AU$196-AU$237,AU$254,AU$267,AU$285,AU$327,-(AU$245-AU$244)))</f>
        <v>154.78788562585027</v>
      </c>
      <c r="AV222" s="16">
        <f ca="1">SUM(-AV$214,IF(AV$6=OFFSET(Assumptions!$B$8,0,$C$1),AVERAGE(SUM(AS$214,AS$222)/SUM(AS$207,-(AS$245-AS$244),AS$214,AS$222),SUM(AT$214,AT$222)/SUM(AT$207,-(AT$245-AT$244),AT$214,AT$222),SUM(AU$214,AU$222)/SUM(AU$207,-(AU$245-AU$244),AU$214,AU$222)),SUM(AU$214,AU$222)/SUM(AU$207,-(AU$245-AU$244),AU$214,AU$222))*SUM(AV$196-AV$237,AV$254,AV$267,AV$285,AV$327,-(AV$245-AV$244)))</f>
        <v>161.34086717364062</v>
      </c>
      <c r="AW222" s="16">
        <f ca="1">SUM(-AW$214,IF(AW$6=OFFSET(Assumptions!$B$8,0,$C$1),AVERAGE(SUM(AT$214,AT$222)/SUM(AT$207,-(AT$245-AT$244),AT$214,AT$222),SUM(AU$214,AU$222)/SUM(AU$207,-(AU$245-AU$244),AU$214,AU$222),SUM(AV$214,AV$222)/SUM(AV$207,-(AV$245-AV$244),AV$214,AV$222)),SUM(AV$214,AV$222)/SUM(AV$207,-(AV$245-AV$244),AV$214,AV$222))*SUM(AW$196-AW$237,AW$254,AW$267,AW$285,AW$327,-(AW$245-AW$244)))</f>
        <v>168.15495293458173</v>
      </c>
      <c r="AX222" s="16">
        <f ca="1">SUM(-AX$214,IF(AX$6=OFFSET(Assumptions!$B$8,0,$C$1),AVERAGE(SUM(AU$214,AU$222)/SUM(AU$207,-(AU$245-AU$244),AU$214,AU$222),SUM(AV$214,AV$222)/SUM(AV$207,-(AV$245-AV$244),AV$214,AV$222),SUM(AW$214,AW$222)/SUM(AW$207,-(AW$245-AW$244),AW$214,AW$222)),SUM(AW$214,AW$222)/SUM(AW$207,-(AW$245-AW$244),AW$214,AW$222))*SUM(AX$196-AX$237,AX$254,AX$267,AX$285,AX$327,-(AX$245-AX$244)))</f>
        <v>175.25038873179241</v>
      </c>
    </row>
    <row r="223" spans="1:50" x14ac:dyDescent="0.25">
      <c r="A223" s="11" t="s">
        <v>825</v>
      </c>
      <c r="B223" s="10" t="str">
        <f t="shared" si="1120"/>
        <v>From Fiscal Forecasts</v>
      </c>
      <c r="D223" s="35">
        <f>'Fiscal Forecasts'!D$272</f>
        <v>9.4740000000000002</v>
      </c>
      <c r="E223" s="35">
        <f>'Fiscal Forecasts'!E$272</f>
        <v>12.164999999999999</v>
      </c>
      <c r="F223" s="35">
        <f>'Fiscal Forecasts'!F$272</f>
        <v>11.702999999999999</v>
      </c>
      <c r="G223" s="35">
        <f>'Fiscal Forecasts'!G$272</f>
        <v>9.8040000000000003</v>
      </c>
      <c r="H223" s="35">
        <f>'Fiscal Forecasts'!H$272</f>
        <v>12.132</v>
      </c>
      <c r="I223" s="35">
        <f>'Fiscal Forecasts'!I$272</f>
        <v>16.550999999999998</v>
      </c>
      <c r="J223" s="17">
        <f>'Fiscal Forecasts'!J$272</f>
        <v>16.504000000000001</v>
      </c>
      <c r="K223" s="17">
        <f>'Fiscal Forecasts'!K$272</f>
        <v>16.885999999999999</v>
      </c>
      <c r="L223" s="17">
        <f>'Fiscal Forecasts'!L$272</f>
        <v>16.931999999999999</v>
      </c>
      <c r="M223" s="17">
        <f>'Fiscal Forecasts'!M$272</f>
        <v>17.684000000000001</v>
      </c>
      <c r="N223" s="17">
        <f>'Fiscal Forecasts'!N$272</f>
        <v>17.927</v>
      </c>
      <c r="O223" s="16">
        <f ca="1">SUM(-O$215,IF(O$6=OFFSET(Assumptions!$B$8,0,$C$1),AVERAGE(SUM(L$215,L$223)/SUM(L$208,L$215,L$223),SUM(M$215,M$223)/SUM(M$208,M$215,M$223),SUM(N$215,N$223)/SUM(N$208,N$215,N$223)),SUM(N$215,N$223)/SUM(N$208,N$215,N$223))*SUM(O$286,O$328-O$238))</f>
        <v>18.810778884818419</v>
      </c>
      <c r="P223" s="16">
        <f ca="1">SUM(-P$215,IF(P$6=OFFSET(Assumptions!$B$8,0,$C$1),AVERAGE(SUM(M$215,M$223)/SUM(M$208,M$215,M$223),SUM(N$215,N$223)/SUM(N$208,N$215,N$223),SUM(O$215,O$223)/SUM(O$208,O$215,O$223)),SUM(O$215,O$223)/SUM(O$208,O$215,O$223))*SUM(P$286,P$328-P$238))</f>
        <v>19.466898305119919</v>
      </c>
      <c r="Q223" s="16">
        <f ca="1">SUM(-Q$215,IF(Q$6=OFFSET(Assumptions!$B$8,0,$C$1),AVERAGE(SUM(N$215,N$223)/SUM(N$208,N$215,N$223),SUM(O$215,O$223)/SUM(O$208,O$215,O$223),SUM(P$215,P$223)/SUM(P$208,P$215,P$223)),SUM(P$215,P$223)/SUM(P$208,P$215,P$223))*SUM(Q$286,Q$328-Q$238))</f>
        <v>20.154369611073612</v>
      </c>
      <c r="R223" s="16">
        <f ca="1">SUM(-R$215,IF(R$6=OFFSET(Assumptions!$B$8,0,$C$1),AVERAGE(SUM(O$215,O$223)/SUM(O$208,O$215,O$223),SUM(P$215,P$223)/SUM(P$208,P$215,P$223),SUM(Q$215,Q$223)/SUM(Q$208,Q$215,Q$223)),SUM(Q$215,Q$223)/SUM(Q$208,Q$215,Q$223))*SUM(R$286,R$328-R$238))</f>
        <v>20.863832139450739</v>
      </c>
      <c r="S223" s="16">
        <f ca="1">SUM(-S$215,IF(S$6=OFFSET(Assumptions!$B$8,0,$C$1),AVERAGE(SUM(P$215,P$223)/SUM(P$208,P$215,P$223),SUM(Q$215,Q$223)/SUM(Q$208,Q$215,Q$223),SUM(R$215,R$223)/SUM(R$208,R$215,R$223)),SUM(R$215,R$223)/SUM(R$208,R$215,R$223))*SUM(S$286,S$328-S$238))</f>
        <v>21.597600828371533</v>
      </c>
      <c r="T223" s="16">
        <f ca="1">SUM(-T$215,IF(T$6=OFFSET(Assumptions!$B$8,0,$C$1),AVERAGE(SUM(Q$215,Q$223)/SUM(Q$208,Q$215,Q$223),SUM(R$215,R$223)/SUM(R$208,R$215,R$223),SUM(S$215,S$223)/SUM(S$208,S$215,S$223)),SUM(S$215,S$223)/SUM(S$208,S$215,S$223))*SUM(T$286,T$328-T$238))</f>
        <v>22.347076643049085</v>
      </c>
      <c r="U223" s="16">
        <f ca="1">SUM(-U$215,IF(U$6=OFFSET(Assumptions!$B$8,0,$C$1),AVERAGE(SUM(R$215,R$223)/SUM(R$208,R$215,R$223),SUM(S$215,S$223)/SUM(S$208,S$215,S$223),SUM(T$215,T$223)/SUM(T$208,T$215,T$223)),SUM(T$215,T$223)/SUM(T$208,T$215,T$223))*SUM(U$286,U$328-U$238))</f>
        <v>23.120117449887637</v>
      </c>
      <c r="V223" s="16">
        <f ca="1">SUM(-V$215,IF(V$6=OFFSET(Assumptions!$B$8,0,$C$1),AVERAGE(SUM(S$215,S$223)/SUM(S$208,S$215,S$223),SUM(T$215,T$223)/SUM(T$208,T$215,T$223),SUM(U$215,U$223)/SUM(U$208,U$215,U$223)),SUM(U$215,U$223)/SUM(U$208,U$215,U$223))*SUM(V$286,V$328-V$238))</f>
        <v>23.912763378749617</v>
      </c>
      <c r="W223" s="16">
        <f ca="1">SUM(-W$215,IF(W$6=OFFSET(Assumptions!$B$8,0,$C$1),AVERAGE(SUM(T$215,T$223)/SUM(T$208,T$215,T$223),SUM(U$215,U$223)/SUM(U$208,U$215,U$223),SUM(V$215,V$223)/SUM(V$208,V$215,V$223)),SUM(V$215,V$223)/SUM(V$208,V$215,V$223))*SUM(W$286,W$328-W$238))</f>
        <v>24.711511981055153</v>
      </c>
      <c r="X223" s="16">
        <f ca="1">SUM(-X$215,IF(X$6=OFFSET(Assumptions!$B$8,0,$C$1),AVERAGE(SUM(U$215,U$223)/SUM(U$208,U$215,U$223),SUM(V$215,V$223)/SUM(V$208,V$215,V$223),SUM(W$215,W$223)/SUM(W$208,W$215,W$223)),SUM(W$215,W$223)/SUM(W$208,W$215,W$223))*SUM(X$286,X$328-X$238))</f>
        <v>25.529565886227733</v>
      </c>
      <c r="Y223" s="16">
        <f ca="1">SUM(-Y$215,IF(Y$6=OFFSET(Assumptions!$B$8,0,$C$1),AVERAGE(SUM(V$215,V$223)/SUM(V$208,V$215,V$223),SUM(W$215,W$223)/SUM(W$208,W$215,W$223),SUM(X$215,X$223)/SUM(X$208,X$215,X$223)),SUM(X$215,X$223)/SUM(X$208,X$215,X$223))*SUM(Y$286,Y$328-Y$238))</f>
        <v>26.373745287690145</v>
      </c>
      <c r="Z223" s="16">
        <f ca="1">SUM(-Z$215,IF(Z$6=OFFSET(Assumptions!$B$8,0,$C$1),AVERAGE(SUM(W$215,W$223)/SUM(W$208,W$215,W$223),SUM(X$215,X$223)/SUM(X$208,X$215,X$223),SUM(Y$215,Y$223)/SUM(Y$208,Y$215,Y$223)),SUM(Y$215,Y$223)/SUM(Y$208,Y$215,Y$223))*SUM(Z$286,Z$328-Z$238))</f>
        <v>27.239887513918603</v>
      </c>
      <c r="AA223" s="16">
        <f ca="1">SUM(-AA$215,IF(AA$6=OFFSET(Assumptions!$B$8,0,$C$1),AVERAGE(SUM(X$215,X$223)/SUM(X$208,X$215,X$223),SUM(Y$215,Y$223)/SUM(Y$208,Y$215,Y$223),SUM(Z$215,Z$223)/SUM(Z$208,Z$215,Z$223)),SUM(Z$215,Z$223)/SUM(Z$208,Z$215,Z$223))*SUM(AA$286,AA$328-AA$238))</f>
        <v>28.130999170871167</v>
      </c>
      <c r="AB223" s="16">
        <f ca="1">SUM(-AB$215,IF(AB$6=OFFSET(Assumptions!$B$8,0,$C$1),AVERAGE(SUM(Y$215,Y$223)/SUM(Y$208,Y$215,Y$223),SUM(Z$215,Z$223)/SUM(Z$208,Z$215,Z$223),SUM(AA$215,AA$223)/SUM(AA$208,AA$215,AA$223)),SUM(AA$215,AA$223)/SUM(AA$208,AA$215,AA$223))*SUM(AB$286,AB$328-AB$238))</f>
        <v>29.045324766918487</v>
      </c>
      <c r="AC223" s="16">
        <f ca="1">SUM(-AC$215,IF(AC$6=OFFSET(Assumptions!$B$8,0,$C$1),AVERAGE(SUM(Z$215,Z$223)/SUM(Z$208,Z$215,Z$223),SUM(AA$215,AA$223)/SUM(AA$208,AA$215,AA$223),SUM(AB$215,AB$223)/SUM(AB$208,AB$215,AB$223)),SUM(AB$215,AB$223)/SUM(AB$208,AB$215,AB$223))*SUM(AC$286,AC$328-AC$238))</f>
        <v>29.983478464381694</v>
      </c>
      <c r="AD223" s="16">
        <f ca="1">SUM(-AD$215,IF(AD$6=OFFSET(Assumptions!$B$8,0,$C$1),AVERAGE(SUM(AA$215,AA$223)/SUM(AA$208,AA$215,AA$223),SUM(AB$215,AB$223)/SUM(AB$208,AB$215,AB$223),SUM(AC$215,AC$223)/SUM(AC$208,AC$215,AC$223)),SUM(AC$215,AC$223)/SUM(AC$208,AC$215,AC$223))*SUM(AD$286,AD$328-AD$238))</f>
        <v>30.946206110134042</v>
      </c>
      <c r="AE223" s="16">
        <f ca="1">SUM(-AE$215,IF(AE$6=OFFSET(Assumptions!$B$8,0,$C$1),AVERAGE(SUM(AB$215,AB$223)/SUM(AB$208,AB$215,AB$223),SUM(AC$215,AC$223)/SUM(AC$208,AC$215,AC$223),SUM(AD$215,AD$223)/SUM(AD$208,AD$215,AD$223)),SUM(AD$215,AD$223)/SUM(AD$208,AD$215,AD$223))*SUM(AE$286,AE$328-AE$238))</f>
        <v>31.93359906418884</v>
      </c>
      <c r="AF223" s="16">
        <f ca="1">SUM(-AF$215,IF(AF$6=OFFSET(Assumptions!$B$8,0,$C$1),AVERAGE(SUM(AC$215,AC$223)/SUM(AC$208,AC$215,AC$223),SUM(AD$215,AD$223)/SUM(AD$208,AD$215,AD$223),SUM(AE$215,AE$223)/SUM(AE$208,AE$215,AE$223)),SUM(AE$215,AE$223)/SUM(AE$208,AE$215,AE$223))*SUM(AF$286,AF$328-AF$238))</f>
        <v>32.94590881574436</v>
      </c>
      <c r="AG223" s="16">
        <f ca="1">SUM(-AG$215,IF(AG$6=OFFSET(Assumptions!$B$8,0,$C$1),AVERAGE(SUM(AD$215,AD$223)/SUM(AD$208,AD$215,AD$223),SUM(AE$215,AE$223)/SUM(AE$208,AE$215,AE$223),SUM(AF$215,AF$223)/SUM(AF$208,AF$215,AF$223)),SUM(AF$215,AF$223)/SUM(AF$208,AF$215,AF$223))*SUM(AG$286,AG$328-AG$238))</f>
        <v>33.984119255478333</v>
      </c>
      <c r="AH223" s="16">
        <f ca="1">SUM(-AH$215,IF(AH$6=OFFSET(Assumptions!$B$8,0,$C$1),AVERAGE(SUM(AE$215,AE$223)/SUM(AE$208,AE$215,AE$223),SUM(AF$215,AF$223)/SUM(AF$208,AF$215,AF$223),SUM(AG$215,AG$223)/SUM(AG$208,AG$215,AG$223)),SUM(AG$215,AG$223)/SUM(AG$208,AG$215,AG$223))*SUM(AH$286,AH$328-AH$238))</f>
        <v>35.047642713595401</v>
      </c>
      <c r="AI223" s="16">
        <f ca="1">SUM(-AI$215,IF(AI$6=OFFSET(Assumptions!$B$8,0,$C$1),AVERAGE(SUM(AF$215,AF$223)/SUM(AF$208,AF$215,AF$223),SUM(AG$215,AG$223)/SUM(AG$208,AG$215,AG$223),SUM(AH$215,AH$223)/SUM(AH$208,AH$215,AH$223)),SUM(AH$215,AH$223)/SUM(AH$208,AH$215,AH$223))*SUM(AI$286,AI$328-AI$238))</f>
        <v>36.138892850087565</v>
      </c>
      <c r="AJ223" s="16">
        <f ca="1">SUM(-AJ$215,IF(AJ$6=OFFSET(Assumptions!$B$8,0,$C$1),AVERAGE(SUM(AG$215,AG$223)/SUM(AG$208,AG$215,AG$223),SUM(AH$215,AH$223)/SUM(AH$208,AH$215,AH$223),SUM(AI$215,AI$223)/SUM(AI$208,AI$215,AI$223)),SUM(AI$215,AI$223)/SUM(AI$208,AI$215,AI$223))*SUM(AJ$286,AJ$328-AJ$238))</f>
        <v>37.258428803539609</v>
      </c>
      <c r="AK223" s="16">
        <f ca="1">SUM(-AK$215,IF(AK$6=OFFSET(Assumptions!$B$8,0,$C$1),AVERAGE(SUM(AH$215,AH$223)/SUM(AH$208,AH$215,AH$223),SUM(AI$215,AI$223)/SUM(AI$208,AI$215,AI$223),SUM(AJ$215,AJ$223)/SUM(AJ$208,AJ$215,AJ$223)),SUM(AJ$215,AJ$223)/SUM(AJ$208,AJ$215,AJ$223))*SUM(AK$286,AK$328-AK$238))</f>
        <v>38.406216698459311</v>
      </c>
      <c r="AL223" s="16">
        <f ca="1">SUM(-AL$215,IF(AL$6=OFFSET(Assumptions!$B$8,0,$C$1),AVERAGE(SUM(AI$215,AI$223)/SUM(AI$208,AI$215,AI$223),SUM(AJ$215,AJ$223)/SUM(AJ$208,AJ$215,AJ$223),SUM(AK$215,AK$223)/SUM(AK$208,AK$215,AK$223)),SUM(AK$215,AK$223)/SUM(AK$208,AK$215,AK$223))*SUM(AL$286,AL$328-AL$238))</f>
        <v>39.584108739554573</v>
      </c>
      <c r="AM223" s="16">
        <f ca="1">SUM(-AM$215,IF(AM$6=OFFSET(Assumptions!$B$8,0,$C$1),AVERAGE(SUM(AJ$215,AJ$223)/SUM(AJ$208,AJ$215,AJ$223),SUM(AK$215,AK$223)/SUM(AK$208,AK$215,AK$223),SUM(AL$215,AL$223)/SUM(AL$208,AL$215,AL$223)),SUM(AL$215,AL$223)/SUM(AL$208,AL$215,AL$223))*SUM(AM$286,AM$328-AM$238))</f>
        <v>40.793435482371272</v>
      </c>
      <c r="AN223" s="16">
        <f ca="1">SUM(-AN$215,IF(AN$6=OFFSET(Assumptions!$B$8,0,$C$1),AVERAGE(SUM(AK$215,AK$223)/SUM(AK$208,AK$215,AK$223),SUM(AL$215,AL$223)/SUM(AL$208,AL$215,AL$223),SUM(AM$215,AM$223)/SUM(AM$208,AM$215,AM$223)),SUM(AM$215,AM$223)/SUM(AM$208,AM$215,AM$223))*SUM(AN$286,AN$328-AN$238))</f>
        <v>42.035754205172715</v>
      </c>
      <c r="AO223" s="16">
        <f ca="1">SUM(-AO$215,IF(AO$6=OFFSET(Assumptions!$B$8,0,$C$1),AVERAGE(SUM(AL$215,AL$223)/SUM(AL$208,AL$215,AL$223),SUM(AM$215,AM$223)/SUM(AM$208,AM$215,AM$223),SUM(AN$215,AN$223)/SUM(AN$208,AN$215,AN$223)),SUM(AN$215,AN$223)/SUM(AN$208,AN$215,AN$223))*SUM(AO$286,AO$328-AO$238))</f>
        <v>43.311073736935825</v>
      </c>
      <c r="AP223" s="16">
        <f ca="1">SUM(-AP$215,IF(AP$6=OFFSET(Assumptions!$B$8,0,$C$1),AVERAGE(SUM(AM$215,AM$223)/SUM(AM$208,AM$215,AM$223),SUM(AN$215,AN$223)/SUM(AN$208,AN$215,AN$223),SUM(AO$215,AO$223)/SUM(AO$208,AO$215,AO$223)),SUM(AO$215,AO$223)/SUM(AO$208,AO$215,AO$223))*SUM(AP$286,AP$328-AP$238))</f>
        <v>44.623318415494673</v>
      </c>
      <c r="AQ223" s="16">
        <f ca="1">SUM(-AQ$215,IF(AQ$6=OFFSET(Assumptions!$B$8,0,$C$1),AVERAGE(SUM(AN$215,AN$223)/SUM(AN$208,AN$215,AN$223),SUM(AO$215,AO$223)/SUM(AO$208,AO$215,AO$223),SUM(AP$215,AP$223)/SUM(AP$208,AP$215,AP$223)),SUM(AP$215,AP$223)/SUM(AP$208,AP$215,AP$223))*SUM(AQ$286,AQ$328-AQ$238))</f>
        <v>45.971694873113854</v>
      </c>
      <c r="AR223" s="16">
        <f ca="1">SUM(-AR$215,IF(AR$6=OFFSET(Assumptions!$B$8,0,$C$1),AVERAGE(SUM(AO$215,AO$223)/SUM(AO$208,AO$215,AO$223),SUM(AP$215,AP$223)/SUM(AP$208,AP$215,AP$223),SUM(AQ$215,AQ$223)/SUM(AQ$208,AQ$215,AQ$223)),SUM(AQ$215,AQ$223)/SUM(AQ$208,AQ$215,AQ$223))*SUM(AR$286,AR$328-AR$238))</f>
        <v>47.360222601164629</v>
      </c>
      <c r="AS223" s="16">
        <f ca="1">SUM(-AS$215,IF(AS$6=OFFSET(Assumptions!$B$8,0,$C$1),AVERAGE(SUM(AP$215,AP$223)/SUM(AP$208,AP$215,AP$223),SUM(AQ$215,AQ$223)/SUM(AQ$208,AQ$215,AQ$223),SUM(AR$215,AR$223)/SUM(AR$208,AR$215,AR$223)),SUM(AR$215,AR$223)/SUM(AR$208,AR$215,AR$223))*SUM(AS$286,AS$328-AS$238))</f>
        <v>48.787554002372076</v>
      </c>
      <c r="AT223" s="16">
        <f ca="1">SUM(-AT$215,IF(AT$6=OFFSET(Assumptions!$B$8,0,$C$1),AVERAGE(SUM(AQ$215,AQ$223)/SUM(AQ$208,AQ$215,AQ$223),SUM(AR$215,AR$223)/SUM(AR$208,AR$215,AR$223),SUM(AS$215,AS$223)/SUM(AS$208,AS$215,AS$223)),SUM(AS$215,AS$223)/SUM(AS$208,AS$215,AS$223))*SUM(AT$286,AT$328-AT$238))</f>
        <v>50.256947387335813</v>
      </c>
      <c r="AU223" s="16">
        <f ca="1">SUM(-AU$215,IF(AU$6=OFFSET(Assumptions!$B$8,0,$C$1),AVERAGE(SUM(AR$215,AR$223)/SUM(AR$208,AR$215,AR$223),SUM(AS$215,AS$223)/SUM(AS$208,AS$215,AS$223),SUM(AT$215,AT$223)/SUM(AT$208,AT$215,AT$223)),SUM(AT$215,AT$223)/SUM(AT$208,AT$215,AT$223))*SUM(AU$286,AU$328-AU$238))</f>
        <v>51.768371483413233</v>
      </c>
      <c r="AV223" s="16">
        <f ca="1">SUM(-AV$215,IF(AV$6=OFFSET(Assumptions!$B$8,0,$C$1),AVERAGE(SUM(AS$215,AS$223)/SUM(AS$208,AS$215,AS$223),SUM(AT$215,AT$223)/SUM(AT$208,AT$215,AT$223),SUM(AU$215,AU$223)/SUM(AU$208,AU$215,AU$223)),SUM(AU$215,AU$223)/SUM(AU$208,AU$215,AU$223))*SUM(AV$286,AV$328-AV$238))</f>
        <v>53.323731869359214</v>
      </c>
      <c r="AW223" s="16">
        <f ca="1">SUM(-AW$215,IF(AW$6=OFFSET(Assumptions!$B$8,0,$C$1),AVERAGE(SUM(AT$215,AT$223)/SUM(AT$208,AT$215,AT$223),SUM(AU$215,AU$223)/SUM(AU$208,AU$215,AU$223),SUM(AV$215,AV$223)/SUM(AV$208,AV$215,AV$223)),SUM(AV$215,AV$223)/SUM(AV$208,AV$215,AV$223))*SUM(AW$286,AW$328-AW$238))</f>
        <v>54.924231261136974</v>
      </c>
      <c r="AX223" s="16">
        <f ca="1">SUM(-AX$215,IF(AX$6=OFFSET(Assumptions!$B$8,0,$C$1),AVERAGE(SUM(AU$215,AU$223)/SUM(AU$208,AU$215,AU$223),SUM(AV$215,AV$223)/SUM(AV$208,AV$215,AV$223),SUM(AW$215,AW$223)/SUM(AW$208,AW$215,AW$223)),SUM(AW$215,AW$223)/SUM(AW$208,AW$215,AW$223))*SUM(AX$286,AX$328-AX$238))</f>
        <v>56.568319734183703</v>
      </c>
    </row>
    <row r="224" spans="1:50" x14ac:dyDescent="0.25">
      <c r="A224" s="11" t="s">
        <v>787</v>
      </c>
      <c r="B224" s="10" t="str">
        <f t="shared" si="1120"/>
        <v>From Fiscal Forecasts</v>
      </c>
      <c r="D224" s="35">
        <f>'Fiscal Forecasts'!D$273</f>
        <v>-33.872999999999998</v>
      </c>
      <c r="E224" s="35">
        <f>'Fiscal Forecasts'!E$273</f>
        <v>-36.92</v>
      </c>
      <c r="F224" s="35">
        <f>'Fiscal Forecasts'!F$273</f>
        <v>-41.241999999999997</v>
      </c>
      <c r="G224" s="35">
        <f>'Fiscal Forecasts'!G$273</f>
        <v>-44.725999999999999</v>
      </c>
      <c r="H224" s="35">
        <f>'Fiscal Forecasts'!H$273</f>
        <v>-50.067</v>
      </c>
      <c r="I224" s="35">
        <f>'Fiscal Forecasts'!I$273</f>
        <v>-53.246000000000002</v>
      </c>
      <c r="J224" s="17">
        <f>'Fiscal Forecasts'!J$273</f>
        <v>-54.987000000000002</v>
      </c>
      <c r="K224" s="17">
        <f>'Fiscal Forecasts'!K$273</f>
        <v>-56.061</v>
      </c>
      <c r="L224" s="17">
        <f>'Fiscal Forecasts'!L$273</f>
        <v>-57.274999999999999</v>
      </c>
      <c r="M224" s="17">
        <f>'Fiscal Forecasts'!M$273</f>
        <v>-56.704999999999998</v>
      </c>
      <c r="N224" s="17">
        <f>'Fiscal Forecasts'!N$273</f>
        <v>-57.371000000000002</v>
      </c>
      <c r="O224" s="16">
        <f ca="1">IF(O$6=OFFSET(Assumptions!$B$8,0,$C$1),AVERAGE(L$224/SUM(L$209,L$224),M$224/SUM(M$209,M$224),N$224/SUM(N$209,N$224)),N$224/SUM(N$209,N$224))*SUM(O$197,O$255,O$268,O$287,O$329)</f>
        <v>-62.437231489622008</v>
      </c>
      <c r="P224" s="16">
        <f ca="1">IF(P$6=OFFSET(Assumptions!$B$8,0,$C$1),AVERAGE(M$224/SUM(M$209,M$224),N$224/SUM(N$209,N$224),O$224/SUM(O$209,O$224)),O$224/SUM(O$209,O$224))*SUM(P$197,P$255,P$268,P$287,P$329)</f>
        <v>-65.612534811743714</v>
      </c>
      <c r="Q224" s="16">
        <f ca="1">IF(Q$6=OFFSET(Assumptions!$B$8,0,$C$1),AVERAGE(N$224/SUM(N$209,N$224),O$224/SUM(O$209,O$224),P$224/SUM(P$209,P$224)),P$224/SUM(P$209,P$224))*SUM(Q$197,Q$255,Q$268,Q$287,Q$329)</f>
        <v>-69.188623172909104</v>
      </c>
      <c r="R224" s="16">
        <f ca="1">IF(R$6=OFFSET(Assumptions!$B$8,0,$C$1),AVERAGE(O$224/SUM(O$209,O$224),P$224/SUM(P$209,P$224),Q$224/SUM(Q$209,Q$224)),Q$224/SUM(Q$209,Q$224))*SUM(R$197,R$255,R$268,R$287,R$329)</f>
        <v>-72.905818299776669</v>
      </c>
      <c r="S224" s="16">
        <f ca="1">IF(S$6=OFFSET(Assumptions!$B$8,0,$C$1),AVERAGE(P$224/SUM(P$209,P$224),Q$224/SUM(Q$209,Q$224),R$224/SUM(R$209,R$224)),R$224/SUM(R$209,R$224))*SUM(S$197,S$255,S$268,S$287,S$329)</f>
        <v>-76.774292033531424</v>
      </c>
      <c r="T224" s="16">
        <f ca="1">IF(T$6=OFFSET(Assumptions!$B$8,0,$C$1),AVERAGE(Q$224/SUM(Q$209,Q$224),R$224/SUM(R$209,R$224),S$224/SUM(S$209,S$224)),S$224/SUM(S$209,S$224))*SUM(T$197,T$255,T$268,T$287,T$329)</f>
        <v>-80.78857941919081</v>
      </c>
      <c r="U224" s="16">
        <f ca="1">IF(U$6=OFFSET(Assumptions!$B$8,0,$C$1),AVERAGE(R$224/SUM(R$209,R$224),S$224/SUM(S$209,S$224),T$224/SUM(T$209,T$224)),T$224/SUM(T$209,T$224))*SUM(U$197,U$255,U$268,U$287,U$329)</f>
        <v>-84.966537191162459</v>
      </c>
      <c r="V224" s="16">
        <f ca="1">IF(V$6=OFFSET(Assumptions!$B$8,0,$C$1),AVERAGE(S$224/SUM(S$209,S$224),T$224/SUM(T$209,T$224),U$224/SUM(U$209,U$224)),U$224/SUM(U$209,U$224))*SUM(V$197,V$255,V$268,V$287,V$329)</f>
        <v>-89.139244304720009</v>
      </c>
      <c r="W224" s="16">
        <f ca="1">IF(W$6=OFFSET(Assumptions!$B$8,0,$C$1),AVERAGE(T$224/SUM(T$209,T$224),U$224/SUM(U$209,U$224),V$224/SUM(V$209,V$224)),V$224/SUM(V$209,V$224))*SUM(W$197,W$255,W$268,W$287,W$329)</f>
        <v>-93.405841372276086</v>
      </c>
      <c r="X224" s="16">
        <f ca="1">IF(X$6=OFFSET(Assumptions!$B$8,0,$C$1),AVERAGE(U$224/SUM(U$209,U$224),V$224/SUM(V$209,V$224),W$224/SUM(W$209,W$224)),W$224/SUM(W$209,W$224))*SUM(X$197,X$255,X$268,X$287,X$329)</f>
        <v>-97.872892598190802</v>
      </c>
      <c r="Y224" s="16">
        <f ca="1">IF(Y$6=OFFSET(Assumptions!$B$8,0,$C$1),AVERAGE(V$224/SUM(V$209,V$224),W$224/SUM(W$209,W$224),X$224/SUM(X$209,X$224)),X$224/SUM(X$209,X$224))*SUM(Y$197,Y$255,Y$268,Y$287,Y$329)</f>
        <v>-102.52932853137571</v>
      </c>
      <c r="Z224" s="16">
        <f ca="1">IF(Z$6=OFFSET(Assumptions!$B$8,0,$C$1),AVERAGE(W$224/SUM(W$209,W$224),X$224/SUM(X$209,X$224),Y$224/SUM(Y$209,Y$224)),Y$224/SUM(Y$209,Y$224))*SUM(Z$197,Z$255,Z$268,Z$287,Z$329)</f>
        <v>-107.4222565971406</v>
      </c>
      <c r="AA224" s="16">
        <f ca="1">IF(AA$6=OFFSET(Assumptions!$B$8,0,$C$1),AVERAGE(X$224/SUM(X$209,X$224),Y$224/SUM(Y$209,Y$224),Z$224/SUM(Z$209,Z$224)),Z$224/SUM(Z$209,Z$224))*SUM(AA$197,AA$255,AA$268,AA$287,AA$329)</f>
        <v>-112.52495060029817</v>
      </c>
      <c r="AB224" s="16">
        <f ca="1">IF(AB$6=OFFSET(Assumptions!$B$8,0,$C$1),AVERAGE(Y$224/SUM(Y$209,Y$224),Z$224/SUM(Z$209,Z$224),AA$224/SUM(AA$209,AA$224)),AA$224/SUM(AA$209,AA$224))*SUM(AB$197,AB$255,AB$268,AB$287,AB$329)</f>
        <v>-117.82779901297094</v>
      </c>
      <c r="AC224" s="16">
        <f ca="1">IF(AC$6=OFFSET(Assumptions!$B$8,0,$C$1),AVERAGE(Z$224/SUM(Z$209,Z$224),AA$224/SUM(AA$209,AA$224),AB$224/SUM(AB$209,AB$224)),AB$224/SUM(AB$209,AB$224))*SUM(AC$197,AC$255,AC$268,AC$287,AC$329)</f>
        <v>-123.33122760329888</v>
      </c>
      <c r="AD224" s="16">
        <f ca="1">IF(AD$6=OFFSET(Assumptions!$B$8,0,$C$1),AVERAGE(AA$224/SUM(AA$209,AA$224),AB$224/SUM(AB$209,AB$224),AC$224/SUM(AC$209,AC$224)),AC$224/SUM(AC$209,AC$224))*SUM(AD$197,AD$255,AD$268,AD$287,AD$329)</f>
        <v>-129.03512298461814</v>
      </c>
      <c r="AE224" s="16">
        <f ca="1">IF(AE$6=OFFSET(Assumptions!$B$8,0,$C$1),AVERAGE(AB$224/SUM(AB$209,AB$224),AC$224/SUM(AC$209,AC$224),AD$224/SUM(AD$209,AD$224)),AD$224/SUM(AD$209,AD$224))*SUM(AE$197,AE$255,AE$268,AE$287,AE$329)</f>
        <v>-134.95522270532604</v>
      </c>
      <c r="AF224" s="16">
        <f ca="1">IF(AF$6=OFFSET(Assumptions!$B$8,0,$C$1),AVERAGE(AC$224/SUM(AC$209,AC$224),AD$224/SUM(AD$209,AD$224),AE$224/SUM(AE$209,AE$224)),AE$224/SUM(AE$209,AE$224))*SUM(AF$197,AF$255,AF$268,AF$287,AF$329)</f>
        <v>-141.09236755217574</v>
      </c>
      <c r="AG224" s="16">
        <f ca="1">IF(AG$6=OFFSET(Assumptions!$B$8,0,$C$1),AVERAGE(AD$224/SUM(AD$209,AD$224),AE$224/SUM(AE$209,AE$224),AF$224/SUM(AF$209,AF$224)),AF$224/SUM(AF$209,AF$224))*SUM(AG$197,AG$255,AG$268,AG$287,AG$329)</f>
        <v>-147.4742608212841</v>
      </c>
      <c r="AH224" s="16">
        <f ca="1">IF(AH$6=OFFSET(Assumptions!$B$8,0,$C$1),AVERAGE(AE$224/SUM(AE$209,AE$224),AF$224/SUM(AF$209,AF$224),AG$224/SUM(AG$209,AG$224)),AG$224/SUM(AG$209,AG$224))*SUM(AH$197,AH$255,AH$268,AH$287,AH$329)</f>
        <v>-154.07995207655551</v>
      </c>
      <c r="AI224" s="16">
        <f ca="1">IF(AI$6=OFFSET(Assumptions!$B$8,0,$C$1),AVERAGE(AF$224/SUM(AF$209,AF$224),AG$224/SUM(AG$209,AG$224),AH$224/SUM(AH$209,AH$224)),AH$224/SUM(AH$209,AH$224))*SUM(AI$197,AI$255,AI$268,AI$287,AI$329)</f>
        <v>-160.91119827139505</v>
      </c>
      <c r="AJ224" s="16">
        <f ca="1">IF(AJ$6=OFFSET(Assumptions!$B$8,0,$C$1),AVERAGE(AG$224/SUM(AG$209,AG$224),AH$224/SUM(AH$209,AH$224),AI$224/SUM(AI$209,AI$224)),AI$224/SUM(AI$209,AI$224))*SUM(AJ$197,AJ$255,AJ$268,AJ$287,AJ$329)</f>
        <v>-167.99185820729775</v>
      </c>
      <c r="AK224" s="16">
        <f ca="1">IF(AK$6=OFFSET(Assumptions!$B$8,0,$C$1),AVERAGE(AH$224/SUM(AH$209,AH$224),AI$224/SUM(AI$209,AI$224),AJ$224/SUM(AJ$209,AJ$224)),AJ$224/SUM(AJ$209,AJ$224))*SUM(AK$197,AK$255,AK$268,AK$287,AK$329)</f>
        <v>-175.33852168367787</v>
      </c>
      <c r="AL224" s="16">
        <f ca="1">IF(AL$6=OFFSET(Assumptions!$B$8,0,$C$1),AVERAGE(AI$224/SUM(AI$209,AI$224),AJ$224/SUM(AJ$209,AJ$224),AK$224/SUM(AK$209,AK$224)),AK$224/SUM(AK$209,AK$224))*SUM(AL$197,AL$255,AL$268,AL$287,AL$329)</f>
        <v>-183.02603437209444</v>
      </c>
      <c r="AM224" s="16">
        <f ca="1">IF(AM$6=OFFSET(Assumptions!$B$8,0,$C$1),AVERAGE(AJ$224/SUM(AJ$209,AJ$224),AK$224/SUM(AK$209,AK$224),AL$224/SUM(AL$209,AL$224)),AL$224/SUM(AL$209,AL$224))*SUM(AM$197,AM$255,AM$268,AM$287,AM$329)</f>
        <v>-191.00885805797878</v>
      </c>
      <c r="AN224" s="16">
        <f ca="1">IF(AN$6=OFFSET(Assumptions!$B$8,0,$C$1),AVERAGE(AK$224/SUM(AK$209,AK$224),AL$224/SUM(AL$209,AL$224),AM$224/SUM(AM$209,AM$224)),AM$224/SUM(AM$209,AM$224))*SUM(AN$197,AN$255,AN$268,AN$287,AN$329)</f>
        <v>-199.30431045620975</v>
      </c>
      <c r="AO224" s="16">
        <f ca="1">IF(AO$6=OFFSET(Assumptions!$B$8,0,$C$1),AVERAGE(AL$224/SUM(AL$209,AL$224),AM$224/SUM(AM$209,AM$224),AN$224/SUM(AN$209,AN$224)),AN$224/SUM(AN$209,AN$224))*SUM(AO$197,AO$255,AO$268,AO$287,AO$329)</f>
        <v>-207.92394754635475</v>
      </c>
      <c r="AP224" s="16">
        <f ca="1">IF(AP$6=OFFSET(Assumptions!$B$8,0,$C$1),AVERAGE(AM$224/SUM(AM$209,AM$224),AN$224/SUM(AN$209,AN$224),AO$224/SUM(AO$209,AO$224)),AO$224/SUM(AO$209,AO$224))*SUM(AP$197,AP$255,AP$268,AP$287,AP$329)</f>
        <v>-216.8905702447548</v>
      </c>
      <c r="AQ224" s="16">
        <f ca="1">IF(AQ$6=OFFSET(Assumptions!$B$8,0,$C$1),AVERAGE(AN$224/SUM(AN$209,AN$224),AO$224/SUM(AO$209,AO$224),AP$224/SUM(AP$209,AP$224)),AP$224/SUM(AP$209,AP$224))*SUM(AQ$197,AQ$255,AQ$268,AQ$287,AQ$329)</f>
        <v>-226.17751145926195</v>
      </c>
      <c r="AR224" s="16">
        <f ca="1">IF(AR$6=OFFSET(Assumptions!$B$8,0,$C$1),AVERAGE(AO$224/SUM(AO$209,AO$224),AP$224/SUM(AP$209,AP$224),AQ$224/SUM(AQ$209,AQ$224)),AQ$224/SUM(AQ$209,AQ$224))*SUM(AR$197,AR$255,AR$268,AR$287,AR$329)</f>
        <v>-235.81625578621728</v>
      </c>
      <c r="AS224" s="16">
        <f ca="1">IF(AS$6=OFFSET(Assumptions!$B$8,0,$C$1),AVERAGE(AP$224/SUM(AP$209,AP$224),AQ$224/SUM(AQ$209,AQ$224),AR$224/SUM(AR$209,AR$224)),AR$224/SUM(AR$209,AR$224))*SUM(AS$197,AS$255,AS$268,AS$287,AS$329)</f>
        <v>-245.84960530184225</v>
      </c>
      <c r="AT224" s="16">
        <f ca="1">IF(AT$6=OFFSET(Assumptions!$B$8,0,$C$1),AVERAGE(AQ$224/SUM(AQ$209,AQ$224),AR$224/SUM(AR$209,AR$224),AS$224/SUM(AS$209,AS$224)),AS$224/SUM(AS$209,AS$224))*SUM(AT$197,AT$255,AT$268,AT$287,AT$329)</f>
        <v>-256.25942239369652</v>
      </c>
      <c r="AU224" s="16">
        <f ca="1">IF(AU$6=OFFSET(Assumptions!$B$8,0,$C$1),AVERAGE(AR$224/SUM(AR$209,AR$224),AS$224/SUM(AS$209,AS$224),AT$224/SUM(AT$209,AT$224)),AT$224/SUM(AT$209,AT$224))*SUM(AU$197,AU$255,AU$268,AU$287,AU$329)</f>
        <v>-267.10325170207739</v>
      </c>
      <c r="AV224" s="16">
        <f ca="1">IF(AV$6=OFFSET(Assumptions!$B$8,0,$C$1),AVERAGE(AS$224/SUM(AS$209,AS$224),AT$224/SUM(AT$209,AT$224),AU$224/SUM(AU$209,AU$224)),AU$224/SUM(AU$209,AU$224))*SUM(AV$197,AV$255,AV$268,AV$287,AV$329)</f>
        <v>-278.41336021533124</v>
      </c>
      <c r="AW224" s="16">
        <f ca="1">IF(AW$6=OFFSET(Assumptions!$B$8,0,$C$1),AVERAGE(AT$224/SUM(AT$209,AT$224),AU$224/SUM(AU$209,AU$224),AV$224/SUM(AV$209,AV$224)),AV$224/SUM(AV$209,AV$224))*SUM(AW$197,AW$255,AW$268,AW$287,AW$329)</f>
        <v>-290.17329344311617</v>
      </c>
      <c r="AX224" s="16">
        <f ca="1">IF(AX$6=OFFSET(Assumptions!$B$8,0,$C$1),AVERAGE(AU$224/SUM(AU$209,AU$224),AV$224/SUM(AV$209,AV$224),AW$224/SUM(AW$209,AW$224)),AW$224/SUM(AW$209,AW$224))*SUM(AX$197,AX$255,AX$268,AX$287,AX$329)</f>
        <v>-302.41726536368179</v>
      </c>
    </row>
    <row r="225" spans="1:50" x14ac:dyDescent="0.25">
      <c r="A225" s="9" t="s">
        <v>881</v>
      </c>
      <c r="D225" s="64">
        <f t="shared" ref="D225:AX225" si="1121">SUM(D$221:D$224)</f>
        <v>42.693000000000005</v>
      </c>
      <c r="E225" s="64">
        <f t="shared" si="1121"/>
        <v>52.582999999999984</v>
      </c>
      <c r="F225" s="64">
        <f t="shared" si="1121"/>
        <v>53.802000000000014</v>
      </c>
      <c r="G225" s="64">
        <f t="shared" si="1121"/>
        <v>58.27300000000001</v>
      </c>
      <c r="H225" s="64">
        <f t="shared" si="1121"/>
        <v>64.134000000000015</v>
      </c>
      <c r="I225" s="64">
        <f t="shared" si="1121"/>
        <v>70.62</v>
      </c>
      <c r="J225" s="65">
        <f t="shared" si="1121"/>
        <v>69.97399999999999</v>
      </c>
      <c r="K225" s="65">
        <f t="shared" si="1121"/>
        <v>73.721000000000004</v>
      </c>
      <c r="L225" s="65">
        <f t="shared" si="1121"/>
        <v>73.73399999999998</v>
      </c>
      <c r="M225" s="65">
        <f t="shared" si="1121"/>
        <v>74.087000000000003</v>
      </c>
      <c r="N225" s="65">
        <f t="shared" si="1121"/>
        <v>76.645999999999987</v>
      </c>
      <c r="O225" s="66">
        <f t="shared" ca="1" si="1121"/>
        <v>80.668893783594768</v>
      </c>
      <c r="P225" s="66">
        <f t="shared" ca="1" si="1121"/>
        <v>84.858413015094001</v>
      </c>
      <c r="Q225" s="66">
        <f t="shared" ca="1" si="1121"/>
        <v>89.216574265149234</v>
      </c>
      <c r="R225" s="66">
        <f t="shared" ca="1" si="1121"/>
        <v>93.715256994827556</v>
      </c>
      <c r="S225" s="66">
        <f t="shared" ca="1" si="1121"/>
        <v>98.240313995606385</v>
      </c>
      <c r="T225" s="66">
        <f t="shared" ca="1" si="1121"/>
        <v>102.68783404162504</v>
      </c>
      <c r="U225" s="66">
        <f t="shared" ca="1" si="1121"/>
        <v>106.62469174570451</v>
      </c>
      <c r="V225" s="66">
        <f t="shared" ca="1" si="1121"/>
        <v>110.80639939323716</v>
      </c>
      <c r="W225" s="66">
        <f t="shared" ca="1" si="1121"/>
        <v>115.17593281618491</v>
      </c>
      <c r="X225" s="66">
        <f t="shared" ca="1" si="1121"/>
        <v>119.68858504379101</v>
      </c>
      <c r="Y225" s="66">
        <f t="shared" ca="1" si="1121"/>
        <v>124.35639212313214</v>
      </c>
      <c r="Z225" s="66">
        <f t="shared" ca="1" si="1121"/>
        <v>129.20759063002023</v>
      </c>
      <c r="AA225" s="66">
        <f t="shared" ca="1" si="1121"/>
        <v>134.23667888714266</v>
      </c>
      <c r="AB225" s="66">
        <f t="shared" ca="1" si="1121"/>
        <v>139.43608130459802</v>
      </c>
      <c r="AC225" s="66">
        <f t="shared" ca="1" si="1121"/>
        <v>144.80751159273689</v>
      </c>
      <c r="AD225" s="66">
        <f t="shared" ca="1" si="1121"/>
        <v>150.34840142303679</v>
      </c>
      <c r="AE225" s="66">
        <f t="shared" ca="1" si="1121"/>
        <v>156.07543161969551</v>
      </c>
      <c r="AF225" s="66">
        <f t="shared" ca="1" si="1121"/>
        <v>161.99668589155914</v>
      </c>
      <c r="AG225" s="66">
        <f t="shared" ca="1" si="1121"/>
        <v>168.12409466981293</v>
      </c>
      <c r="AH225" s="66">
        <f t="shared" ca="1" si="1121"/>
        <v>174.44614953837987</v>
      </c>
      <c r="AI225" s="66">
        <f t="shared" ca="1" si="1121"/>
        <v>180.97254013613542</v>
      </c>
      <c r="AJ225" s="66">
        <f t="shared" ca="1" si="1121"/>
        <v>187.7142466780241</v>
      </c>
      <c r="AK225" s="66">
        <f t="shared" ca="1" si="1121"/>
        <v>194.68070064640705</v>
      </c>
      <c r="AL225" s="66">
        <f t="shared" ca="1" si="1121"/>
        <v>201.80399168145829</v>
      </c>
      <c r="AM225" s="66">
        <f t="shared" ca="1" si="1121"/>
        <v>209.15982018805772</v>
      </c>
      <c r="AN225" s="66">
        <f t="shared" ca="1" si="1121"/>
        <v>216.88142509261922</v>
      </c>
      <c r="AO225" s="66">
        <f t="shared" ca="1" si="1121"/>
        <v>224.78777689303777</v>
      </c>
      <c r="AP225" s="66">
        <f t="shared" ca="1" si="1121"/>
        <v>232.93190887013955</v>
      </c>
      <c r="AQ225" s="66">
        <f t="shared" ca="1" si="1121"/>
        <v>241.41088641283329</v>
      </c>
      <c r="AR225" s="66">
        <f t="shared" ca="1" si="1121"/>
        <v>250.18845942986425</v>
      </c>
      <c r="AS225" s="66">
        <f t="shared" ca="1" si="1121"/>
        <v>259.28908980622197</v>
      </c>
      <c r="AT225" s="66">
        <f t="shared" ca="1" si="1121"/>
        <v>268.71327357301078</v>
      </c>
      <c r="AU225" s="66">
        <f t="shared" ca="1" si="1121"/>
        <v>278.49233278809641</v>
      </c>
      <c r="AV225" s="66">
        <f t="shared" ca="1" si="1121"/>
        <v>288.65539737821877</v>
      </c>
      <c r="AW225" s="66">
        <f t="shared" ca="1" si="1121"/>
        <v>299.19470486812287</v>
      </c>
      <c r="AX225" s="66">
        <f t="shared" ca="1" si="1121"/>
        <v>310.12583245550337</v>
      </c>
    </row>
    <row r="226" spans="1:50" x14ac:dyDescent="0.25">
      <c r="A226" s="9"/>
    </row>
    <row r="227" spans="1:50" x14ac:dyDescent="0.25">
      <c r="A227" s="9" t="s">
        <v>814</v>
      </c>
    </row>
    <row r="228" spans="1:50" x14ac:dyDescent="0.25">
      <c r="A228" s="9" t="s">
        <v>999</v>
      </c>
      <c r="B228" s="10" t="str">
        <f>$B$38</f>
        <v>From Fiscal Forecasts</v>
      </c>
      <c r="D228" s="42">
        <f>'Fiscal Forecasts'!D$173</f>
        <v>3.69</v>
      </c>
      <c r="E228" s="42">
        <f>'Fiscal Forecasts'!E$173</f>
        <v>3.2280000000000002</v>
      </c>
      <c r="F228" s="42">
        <f>'Fiscal Forecasts'!F$173</f>
        <v>1.9179999999999999</v>
      </c>
      <c r="G228" s="42">
        <f>'Fiscal Forecasts'!G$173</f>
        <v>2.8839999999999999</v>
      </c>
      <c r="H228" s="42">
        <f>'Fiscal Forecasts'!H$173</f>
        <v>6.569</v>
      </c>
      <c r="I228" s="42">
        <f>'Fiscal Forecasts'!I$173</f>
        <v>8.9429999999999996</v>
      </c>
      <c r="J228" s="43">
        <f>'Fiscal Forecasts'!J$173</f>
        <v>8.8390000000000004</v>
      </c>
      <c r="K228" s="43">
        <f>'Fiscal Forecasts'!K$173</f>
        <v>9.5129999999999999</v>
      </c>
      <c r="L228" s="43">
        <f>'Fiscal Forecasts'!L$173</f>
        <v>10.558999999999999</v>
      </c>
      <c r="M228" s="43">
        <f>'Fiscal Forecasts'!M$173</f>
        <v>11.769</v>
      </c>
      <c r="N228" s="43">
        <f>'Fiscal Forecasts'!N$173</f>
        <v>12.673999999999999</v>
      </c>
      <c r="O228" s="47">
        <f t="shared" ref="O228:AX228" ca="1" si="1122">O$475</f>
        <v>13.241697574146489</v>
      </c>
      <c r="P228" s="47">
        <f t="shared" ca="1" si="1122"/>
        <v>13.96061062265394</v>
      </c>
      <c r="Q228" s="47">
        <f t="shared" ca="1" si="1122"/>
        <v>14.859686615145421</v>
      </c>
      <c r="R228" s="47">
        <f t="shared" ca="1" si="1122"/>
        <v>15.893265387226705</v>
      </c>
      <c r="S228" s="47">
        <f t="shared" ca="1" si="1122"/>
        <v>17.079109714794061</v>
      </c>
      <c r="T228" s="47">
        <f t="shared" ca="1" si="1122"/>
        <v>18.361330611290327</v>
      </c>
      <c r="U228" s="47">
        <f t="shared" ca="1" si="1122"/>
        <v>19.744012175836701</v>
      </c>
      <c r="V228" s="47">
        <f t="shared" ca="1" si="1122"/>
        <v>21.205946534767147</v>
      </c>
      <c r="W228" s="47">
        <f t="shared" ca="1" si="1122"/>
        <v>22.792869284523878</v>
      </c>
      <c r="X228" s="47">
        <f t="shared" ca="1" si="1122"/>
        <v>24.531404815866377</v>
      </c>
      <c r="Y228" s="47">
        <f t="shared" ca="1" si="1122"/>
        <v>26.425928860034478</v>
      </c>
      <c r="Z228" s="47">
        <f t="shared" ca="1" si="1122"/>
        <v>28.47937566877896</v>
      </c>
      <c r="AA228" s="47">
        <f t="shared" ca="1" si="1122"/>
        <v>30.705476640901889</v>
      </c>
      <c r="AB228" s="47">
        <f t="shared" ca="1" si="1122"/>
        <v>33.117021038575253</v>
      </c>
      <c r="AC228" s="47">
        <f t="shared" ca="1" si="1122"/>
        <v>35.725791941746877</v>
      </c>
      <c r="AD228" s="47">
        <f t="shared" ca="1" si="1122"/>
        <v>38.54528480400927</v>
      </c>
      <c r="AE228" s="47">
        <f t="shared" ca="1" si="1122"/>
        <v>41.589948647868056</v>
      </c>
      <c r="AF228" s="47">
        <f t="shared" ca="1" si="1122"/>
        <v>44.874881327462695</v>
      </c>
      <c r="AG228" s="47">
        <f t="shared" ca="1" si="1122"/>
        <v>48.416797172577944</v>
      </c>
      <c r="AH228" s="47">
        <f t="shared" ca="1" si="1122"/>
        <v>52.232980708902311</v>
      </c>
      <c r="AI228" s="47">
        <f t="shared" ca="1" si="1122"/>
        <v>56.341657163000008</v>
      </c>
      <c r="AJ228" s="47">
        <f t="shared" ca="1" si="1122"/>
        <v>60.763127889928143</v>
      </c>
      <c r="AK228" s="47">
        <f t="shared" ca="1" si="1122"/>
        <v>65.518682632874444</v>
      </c>
      <c r="AL228" s="47">
        <f t="shared" ca="1" si="1122"/>
        <v>70.631327185867704</v>
      </c>
      <c r="AM228" s="47">
        <f t="shared" ca="1" si="1122"/>
        <v>76.126628229557824</v>
      </c>
      <c r="AN228" s="47">
        <f t="shared" ca="1" si="1122"/>
        <v>82.032215150114709</v>
      </c>
      <c r="AO228" s="47">
        <f t="shared" ca="1" si="1122"/>
        <v>88.378793297143815</v>
      </c>
      <c r="AP228" s="47">
        <f t="shared" ca="1" si="1122"/>
        <v>95.199552725420034</v>
      </c>
      <c r="AQ228" s="47">
        <f t="shared" ca="1" si="1122"/>
        <v>102.52632154409996</v>
      </c>
      <c r="AR228" s="47">
        <f t="shared" ca="1" si="1122"/>
        <v>110.39180779766048</v>
      </c>
      <c r="AS228" s="47">
        <f t="shared" ca="1" si="1122"/>
        <v>118.83224396200545</v>
      </c>
      <c r="AT228" s="47">
        <f t="shared" ca="1" si="1122"/>
        <v>127.88578924871962</v>
      </c>
      <c r="AU228" s="47">
        <f t="shared" ca="1" si="1122"/>
        <v>137.59214774078356</v>
      </c>
      <c r="AV228" s="47">
        <f t="shared" ca="1" si="1122"/>
        <v>147.99468483145617</v>
      </c>
      <c r="AW228" s="47">
        <f t="shared" ca="1" si="1122"/>
        <v>159.13923554437361</v>
      </c>
      <c r="AX228" s="47">
        <f t="shared" ca="1" si="1122"/>
        <v>171.07224439423916</v>
      </c>
    </row>
    <row r="229" spans="1:50" x14ac:dyDescent="0.25">
      <c r="A229" s="11" t="s">
        <v>630</v>
      </c>
      <c r="B229" s="10" t="str">
        <f>$B$38</f>
        <v>From Fiscal Forecasts</v>
      </c>
      <c r="D229" s="35">
        <f>'Fiscal Forecasts'!D$276</f>
        <v>0.11700000000000001</v>
      </c>
      <c r="E229" s="35">
        <f>'Fiscal Forecasts'!E$276</f>
        <v>0.16400000000000001</v>
      </c>
      <c r="F229" s="35">
        <f>'Fiscal Forecasts'!F$276</f>
        <v>0.218</v>
      </c>
      <c r="G229" s="35">
        <f>'Fiscal Forecasts'!G$276</f>
        <v>0.30099999999999999</v>
      </c>
      <c r="H229" s="35">
        <f>'Fiscal Forecasts'!H$276</f>
        <v>0.872</v>
      </c>
      <c r="I229" s="35">
        <f>'Fiscal Forecasts'!I$276</f>
        <v>1.9690000000000001</v>
      </c>
      <c r="J229" s="17">
        <f>'Fiscal Forecasts'!J$276</f>
        <v>2.3170000000000002</v>
      </c>
      <c r="K229" s="17">
        <f>'Fiscal Forecasts'!K$276</f>
        <v>2.4119999999999999</v>
      </c>
      <c r="L229" s="17">
        <f>'Fiscal Forecasts'!L$276</f>
        <v>2.4159999999999999</v>
      </c>
      <c r="M229" s="17">
        <f>'Fiscal Forecasts'!M$276</f>
        <v>2.431</v>
      </c>
      <c r="N229" s="17">
        <f>'Fiscal Forecasts'!N$276</f>
        <v>2.6080000000000001</v>
      </c>
      <c r="O229" s="16">
        <f ca="1">IF(O$6=OFFSET(Assumptions!$B$8,0,$C$1),AVERAGE(L$229/SUM(L$229:L$231),M$229/SUM(M$229:M$231),N$229/SUM(N$229:N$231)),N$229/SUM(N$229:N$231))*(O$96-O$475)</f>
        <v>3.4941554732322828</v>
      </c>
      <c r="P229" s="16">
        <f ca="1">IF(P$6=OFFSET(Assumptions!$B$8,0,$C$1),AVERAGE(M$229/SUM(M$229:M$231),N$229/SUM(N$229:N$231),O$229/SUM(O$229:O$231)),O$229/SUM(O$229:O$231))*(P$96-P$475)</f>
        <v>4.1021425557387525</v>
      </c>
      <c r="Q229" s="16">
        <f ca="1">IF(Q$6=OFFSET(Assumptions!$B$8,0,$C$1),AVERAGE(N$229/SUM(N$229:N$231),O$229/SUM(O$229:O$231),P$229/SUM(P$229:P$231)),P$229/SUM(P$229:P$231))*(Q$96-Q$475)</f>
        <v>4.6420211192853067</v>
      </c>
      <c r="R229" s="16">
        <f ca="1">IF(R$6=OFFSET(Assumptions!$B$8,0,$C$1),AVERAGE(O$229/SUM(O$229:O$231),P$229/SUM(P$229:P$231),Q$229/SUM(Q$229:Q$231)),Q$229/SUM(Q$229:Q$231))*(R$96-R$475)</f>
        <v>5.1337130233490482</v>
      </c>
      <c r="S229" s="16">
        <f ca="1">IF(S$6=OFFSET(Assumptions!$B$8,0,$C$1),AVERAGE(P$229/SUM(P$229:P$231),Q$229/SUM(Q$229:Q$231),R$229/SUM(R$229:R$231)),R$229/SUM(R$229:R$231))*(S$96-S$475)</f>
        <v>5.5828971691244149</v>
      </c>
      <c r="T229" s="16">
        <f ca="1">IF(T$6=OFFSET(Assumptions!$B$8,0,$C$1),AVERAGE(Q$229/SUM(Q$229:Q$231),R$229/SUM(R$229:R$231),S$229/SUM(S$229:S$231)),S$229/SUM(S$229:S$231))*(T$96-T$475)</f>
        <v>5.9997141842075665</v>
      </c>
      <c r="U229" s="16">
        <f ca="1">IF(U$6=OFFSET(Assumptions!$B$8,0,$C$1),AVERAGE(R$229/SUM(R$229:R$231),S$229/SUM(S$229:S$231),T$229/SUM(T$229:T$231)),T$229/SUM(T$229:T$231))*(U$96-U$475)</f>
        <v>6.4054027967692733</v>
      </c>
      <c r="V229" s="16">
        <f ca="1">IF(V$6=OFFSET(Assumptions!$B$8,0,$C$1),AVERAGE(S$229/SUM(S$229:S$231),T$229/SUM(T$229:T$231),U$229/SUM(U$229:U$231)),U$229/SUM(U$229:U$231))*(V$96-V$475)</f>
        <v>6.8078631770030631</v>
      </c>
      <c r="W229" s="16">
        <f ca="1">IF(W$6=OFFSET(Assumptions!$B$8,0,$C$1),AVERAGE(T$229/SUM(T$229:T$231),U$229/SUM(U$229:U$231),V$229/SUM(V$229:V$231)),V$229/SUM(V$229:V$231))*(W$96-W$475)</f>
        <v>7.2189777730288531</v>
      </c>
      <c r="X229" s="16">
        <f ca="1">IF(X$6=OFFSET(Assumptions!$B$8,0,$C$1),AVERAGE(U$229/SUM(U$229:U$231),V$229/SUM(V$229:V$231),W$229/SUM(W$229:W$231)),W$229/SUM(W$229:W$231))*(X$96-X$475)</f>
        <v>7.6463322536456397</v>
      </c>
      <c r="Y229" s="16">
        <f ca="1">IF(Y$6=OFFSET(Assumptions!$B$8,0,$C$1),AVERAGE(V$229/SUM(V$229:V$231),W$229/SUM(W$229:W$231),X$229/SUM(X$229:X$231)),X$229/SUM(X$229:X$231))*(Y$96-Y$475)</f>
        <v>8.0918844368160396</v>
      </c>
      <c r="Z229" s="16">
        <f ca="1">IF(Z$6=OFFSET(Assumptions!$B$8,0,$C$1),AVERAGE(W$229/SUM(W$229:W$231),X$229/SUM(X$229:X$231),Y$229/SUM(Y$229:Y$231)),Y$229/SUM(Y$229:Y$231))*(Z$96-Z$475)</f>
        <v>8.5547731131268314</v>
      </c>
      <c r="AA229" s="16">
        <f ca="1">IF(AA$6=OFFSET(Assumptions!$B$8,0,$C$1),AVERAGE(X$229/SUM(X$229:X$231),Y$229/SUM(Y$229:Y$231),Z$229/SUM(Z$229:Z$231)),Z$229/SUM(Z$229:Z$231))*(AA$96-AA$475)</f>
        <v>9.0349191481067681</v>
      </c>
      <c r="AB229" s="16">
        <f ca="1">IF(AB$6=OFFSET(Assumptions!$B$8,0,$C$1),AVERAGE(Y$229/SUM(Y$229:Y$231),Z$229/SUM(Z$229:Z$231),AA$229/SUM(AA$229:AA$231)),AA$229/SUM(AA$229:AA$231))*(AB$96-AB$475)</f>
        <v>9.5311814040863787</v>
      </c>
      <c r="AC229" s="16">
        <f ca="1">IF(AC$6=OFFSET(Assumptions!$B$8,0,$C$1),AVERAGE(Z$229/SUM(Z$229:Z$231),AA$229/SUM(AA$229:AA$231),AB$229/SUM(AB$229:AB$231)),AB$229/SUM(AB$229:AB$231))*(AC$96-AC$475)</f>
        <v>10.041600057070227</v>
      </c>
      <c r="AD229" s="16">
        <f ca="1">IF(AD$6=OFFSET(Assumptions!$B$8,0,$C$1),AVERAGE(AA$229/SUM(AA$229:AA$231),AB$229/SUM(AB$229:AB$231),AC$229/SUM(AC$229:AC$231)),AC$229/SUM(AC$229:AC$231))*(AD$96-AD$475)</f>
        <v>10.562671699278082</v>
      </c>
      <c r="AE229" s="16">
        <f ca="1">IF(AE$6=OFFSET(Assumptions!$B$8,0,$C$1),AVERAGE(AB$229/SUM(AB$229:AB$231),AC$229/SUM(AC$229:AC$231),AD$229/SUM(AD$229:AD$231)),AD$229/SUM(AD$229:AD$231))*(AE$96-AE$475)</f>
        <v>11.091627148882512</v>
      </c>
      <c r="AF229" s="16">
        <f ca="1">IF(AF$6=OFFSET(Assumptions!$B$8,0,$C$1),AVERAGE(AC$229/SUM(AC$229:AC$231),AD$229/SUM(AD$229:AD$231),AE$229/SUM(AE$229:AE$231)),AE$229/SUM(AE$229:AE$231))*(AF$96-AF$475)</f>
        <v>11.626834359048379</v>
      </c>
      <c r="AG229" s="16">
        <f ca="1">IF(AG$6=OFFSET(Assumptions!$B$8,0,$C$1),AVERAGE(AD$229/SUM(AD$229:AD$231),AE$229/SUM(AE$229:AE$231),AF$229/SUM(AF$229:AF$231)),AF$229/SUM(AF$229:AF$231))*(AG$96-AG$475)</f>
        <v>12.166369669758666</v>
      </c>
      <c r="AH229" s="16">
        <f ca="1">IF(AH$6=OFFSET(Assumptions!$B$8,0,$C$1),AVERAGE(AE$229/SUM(AE$229:AE$231),AF$229/SUM(AF$229:AF$231),AG$229/SUM(AG$229:AG$231)),AG$229/SUM(AG$229:AG$231))*(AH$96-AH$475)</f>
        <v>12.710987336074693</v>
      </c>
      <c r="AI229" s="16">
        <f ca="1">IF(AI$6=OFFSET(Assumptions!$B$8,0,$C$1),AVERAGE(AF$229/SUM(AF$229:AF$231),AG$229/SUM(AG$229:AG$231),AH$229/SUM(AH$229:AH$231)),AH$229/SUM(AH$229:AH$231))*(AI$96-AI$475)</f>
        <v>13.258394307853893</v>
      </c>
      <c r="AJ229" s="16">
        <f ca="1">IF(AJ$6=OFFSET(Assumptions!$B$8,0,$C$1),AVERAGE(AG$229/SUM(AG$229:AG$231),AH$229/SUM(AH$229:AH$231),AI$229/SUM(AI$229:AI$231)),AI$229/SUM(AI$229:AI$231))*(AJ$96-AJ$475)</f>
        <v>13.804679388395515</v>
      </c>
      <c r="AK229" s="16">
        <f ca="1">IF(AK$6=OFFSET(Assumptions!$B$8,0,$C$1),AVERAGE(AH$229/SUM(AH$229:AH$231),AI$229/SUM(AI$229:AI$231),AJ$229/SUM(AJ$229:AJ$231)),AJ$229/SUM(AJ$229:AJ$231))*(AK$96-AK$475)</f>
        <v>14.348669378021722</v>
      </c>
      <c r="AL229" s="16">
        <f ca="1">IF(AL$6=OFFSET(Assumptions!$B$8,0,$C$1),AVERAGE(AI$229/SUM(AI$229:AI$231),AJ$229/SUM(AJ$229:AJ$231),AK$229/SUM(AK$229:AK$231)),AK$229/SUM(AK$229:AK$231))*(AL$96-AL$475)</f>
        <v>14.885438044833576</v>
      </c>
      <c r="AM229" s="16">
        <f ca="1">IF(AM$6=OFFSET(Assumptions!$B$8,0,$C$1),AVERAGE(AJ$229/SUM(AJ$229:AJ$231),AK$229/SUM(AK$229:AK$231),AL$229/SUM(AL$229:AL$231)),AL$229/SUM(AL$229:AL$231))*(AM$96-AM$475)</f>
        <v>15.409649524178148</v>
      </c>
      <c r="AN229" s="16">
        <f ca="1">IF(AN$6=OFFSET(Assumptions!$B$8,0,$C$1),AVERAGE(AK$229/SUM(AK$229:AK$231),AL$229/SUM(AL$229:AL$231),AM$229/SUM(AM$229:AM$231)),AM$229/SUM(AM$229:AM$231))*(AN$96-AN$475)</f>
        <v>15.925925333209497</v>
      </c>
      <c r="AO229" s="16">
        <f ca="1">IF(AO$6=OFFSET(Assumptions!$B$8,0,$C$1),AVERAGE(AL$229/SUM(AL$229:AL$231),AM$229/SUM(AM$229:AM$231),AN$229/SUM(AN$229:AN$231)),AN$229/SUM(AN$229:AN$231))*(AO$96-AO$475)</f>
        <v>16.443352231465877</v>
      </c>
      <c r="AP229" s="16">
        <f ca="1">IF(AP$6=OFFSET(Assumptions!$B$8,0,$C$1),AVERAGE(AM$229/SUM(AM$229:AM$231),AN$229/SUM(AN$229:AN$231),AO$229/SUM(AO$229:AO$231)),AO$229/SUM(AO$229:AO$231))*(AP$96-AP$475)</f>
        <v>16.969286761811752</v>
      </c>
      <c r="AQ229" s="16">
        <f ca="1">IF(AQ$6=OFFSET(Assumptions!$B$8,0,$C$1),AVERAGE(AN$229/SUM(AN$229:AN$231),AO$229/SUM(AO$229:AO$231),AP$229/SUM(AP$229:AP$231)),AP$229/SUM(AP$229:AP$231))*(AQ$96-AQ$475)</f>
        <v>17.483452566430604</v>
      </c>
      <c r="AR229" s="16">
        <f ca="1">IF(AR$6=OFFSET(Assumptions!$B$8,0,$C$1),AVERAGE(AO$229/SUM(AO$229:AO$231),AP$229/SUM(AP$229:AP$231),AQ$229/SUM(AQ$229:AQ$231)),AQ$229/SUM(AQ$229:AQ$231))*(AR$96-AR$475)</f>
        <v>17.975555847132885</v>
      </c>
      <c r="AS229" s="16">
        <f ca="1">IF(AS$6=OFFSET(Assumptions!$B$8,0,$C$1),AVERAGE(AP$229/SUM(AP$229:AP$231),AQ$229/SUM(AQ$229:AQ$231),AR$229/SUM(AR$229:AR$231)),AR$229/SUM(AR$229:AR$231))*(AS$96-AS$475)</f>
        <v>18.457889764435212</v>
      </c>
      <c r="AT229" s="16">
        <f ca="1">IF(AT$6=OFFSET(Assumptions!$B$8,0,$C$1),AVERAGE(AQ$229/SUM(AQ$229:AQ$231),AR$229/SUM(AR$229:AR$231),AS$229/SUM(AS$229:AS$231)),AS$229/SUM(AS$229:AS$231))*(AT$96-AT$475)</f>
        <v>18.929269518504839</v>
      </c>
      <c r="AU229" s="16">
        <f ca="1">IF(AU$6=OFFSET(Assumptions!$B$8,0,$C$1),AVERAGE(AR$229/SUM(AR$229:AR$231),AS$229/SUM(AS$229:AS$231),AT$229/SUM(AT$229:AT$231)),AT$229/SUM(AT$229:AT$231))*(AU$96-AU$475)</f>
        <v>19.387576054122587</v>
      </c>
      <c r="AV229" s="16">
        <f ca="1">IF(AV$6=OFFSET(Assumptions!$B$8,0,$C$1),AVERAGE(AS$229/SUM(AS$229:AS$231),AT$229/SUM(AT$229:AT$231),AU$229/SUM(AU$229:AU$231)),AU$229/SUM(AU$229:AU$231))*(AV$96-AV$475)</f>
        <v>19.830336797465581</v>
      </c>
      <c r="AW229" s="16">
        <f ca="1">IF(AW$6=OFFSET(Assumptions!$B$8,0,$C$1),AVERAGE(AT$229/SUM(AT$229:AT$231),AU$229/SUM(AU$229:AU$231),AV$229/SUM(AV$229:AV$231)),AV$229/SUM(AV$229:AV$231))*(AW$96-AW$475)</f>
        <v>20.255623194863784</v>
      </c>
      <c r="AX229" s="16">
        <f ca="1">IF(AX$6=OFFSET(Assumptions!$B$8,0,$C$1),AVERAGE(AU$229/SUM(AU$229:AU$231),AV$229/SUM(AV$229:AV$231),AW$229/SUM(AW$229:AW$231)),AW$229/SUM(AW$229:AW$231))*(AX$96-AX$475)</f>
        <v>20.659011395128754</v>
      </c>
    </row>
    <row r="230" spans="1:50" x14ac:dyDescent="0.25">
      <c r="A230" s="11" t="s">
        <v>825</v>
      </c>
      <c r="B230" s="10" t="str">
        <f>$B$38</f>
        <v>From Fiscal Forecasts</v>
      </c>
      <c r="D230" s="35">
        <f>'Fiscal Forecasts'!D$277</f>
        <v>1.0449999999999999</v>
      </c>
      <c r="E230" s="35">
        <f>'Fiscal Forecasts'!E$277</f>
        <v>0.90100000000000002</v>
      </c>
      <c r="F230" s="35">
        <f>'Fiscal Forecasts'!F$277</f>
        <v>0.59199999999999997</v>
      </c>
      <c r="G230" s="35">
        <f>'Fiscal Forecasts'!G$277</f>
        <v>0.66</v>
      </c>
      <c r="H230" s="35">
        <f>'Fiscal Forecasts'!H$277</f>
        <v>0.68200000000000005</v>
      </c>
      <c r="I230" s="35">
        <f>'Fiscal Forecasts'!I$277</f>
        <v>0.57999999999999996</v>
      </c>
      <c r="J230" s="17">
        <f>'Fiscal Forecasts'!J$277</f>
        <v>0.59499999999999997</v>
      </c>
      <c r="K230" s="17">
        <f>'Fiscal Forecasts'!K$277</f>
        <v>0.68700000000000006</v>
      </c>
      <c r="L230" s="17">
        <f>'Fiscal Forecasts'!L$277</f>
        <v>0.78</v>
      </c>
      <c r="M230" s="17">
        <f>'Fiscal Forecasts'!M$277</f>
        <v>0.89900000000000002</v>
      </c>
      <c r="N230" s="17">
        <f>'Fiscal Forecasts'!N$277</f>
        <v>0.99299999999999999</v>
      </c>
      <c r="O230" s="16">
        <f ca="1">IF(O$6=OFFSET(Assumptions!$B$8,0,$C$1),AVERAGE(L$230/SUM(L$229:L$231),M$230/SUM(M$229:M$231),N$230/SUM(N$229:N$231)),N$230/SUM(N$229:N$231))*(O$96-O$475)</f>
        <v>1.2496231357089318</v>
      </c>
      <c r="P230" s="16">
        <f ca="1">IF(P$6=OFFSET(Assumptions!$B$8,0,$C$1),AVERAGE(M$230/SUM(M$229:M$231),N$230/SUM(N$229:N$231),O$230/SUM(O$229:O$231)),O$230/SUM(O$229:O$231))*(P$96-P$475)</f>
        <v>1.4670590026394452</v>
      </c>
      <c r="Q230" s="16">
        <f ca="1">IF(Q$6=OFFSET(Assumptions!$B$8,0,$C$1),AVERAGE(N$230/SUM(N$229:N$231),O$230/SUM(O$229:O$231),P$230/SUM(P$229:P$231)),P$230/SUM(P$229:P$231))*(Q$96-Q$475)</f>
        <v>1.6601370578803574</v>
      </c>
      <c r="R230" s="16">
        <f ca="1">IF(R$6=OFFSET(Assumptions!$B$8,0,$C$1),AVERAGE(O$230/SUM(O$229:O$231),P$230/SUM(P$229:P$231),Q$230/SUM(Q$229:Q$231)),Q$230/SUM(Q$229:Q$231))*(R$96-R$475)</f>
        <v>1.8359820034375303</v>
      </c>
      <c r="S230" s="16">
        <f ca="1">IF(S$6=OFFSET(Assumptions!$B$8,0,$C$1),AVERAGE(P$230/SUM(P$229:P$231),Q$230/SUM(Q$229:Q$231),R$230/SUM(R$229:R$231)),R$230/SUM(R$229:R$231))*(S$96-S$475)</f>
        <v>1.9966247982572205</v>
      </c>
      <c r="T230" s="16">
        <f ca="1">IF(T$6=OFFSET(Assumptions!$B$8,0,$C$1),AVERAGE(Q$230/SUM(Q$229:Q$231),R$230/SUM(R$229:R$231),S$230/SUM(S$229:S$231)),S$230/SUM(S$229:S$231))*(T$96-T$475)</f>
        <v>2.1456920591147397</v>
      </c>
      <c r="U230" s="16">
        <f ca="1">IF(U$6=OFFSET(Assumptions!$B$8,0,$C$1),AVERAGE(R$230/SUM(R$229:R$231),S$230/SUM(S$229:S$231),T$230/SUM(T$229:T$231)),T$230/SUM(T$229:T$231))*(U$96-U$475)</f>
        <v>2.2907794429001562</v>
      </c>
      <c r="V230" s="16">
        <f ca="1">IF(V$6=OFFSET(Assumptions!$B$8,0,$C$1),AVERAGE(S$230/SUM(S$229:S$231),T$230/SUM(T$229:T$231),U$230/SUM(U$229:U$231)),U$230/SUM(U$229:U$231))*(V$96-V$475)</f>
        <v>2.434712306277047</v>
      </c>
      <c r="W230" s="16">
        <f ca="1">IF(W$6=OFFSET(Assumptions!$B$8,0,$C$1),AVERAGE(T$230/SUM(T$229:T$231),U$230/SUM(U$229:U$231),V$230/SUM(V$229:V$231)),V$230/SUM(V$229:V$231))*(W$96-W$475)</f>
        <v>2.5817401974390344</v>
      </c>
      <c r="X230" s="16">
        <f ca="1">IF(X$6=OFFSET(Assumptions!$B$8,0,$C$1),AVERAGE(U$230/SUM(U$229:U$231),V$230/SUM(V$229:V$231),W$230/SUM(W$229:W$231)),W$230/SUM(W$229:W$231))*(X$96-X$475)</f>
        <v>2.73457599716766</v>
      </c>
      <c r="Y230" s="16">
        <f ca="1">IF(Y$6=OFFSET(Assumptions!$B$8,0,$C$1),AVERAGE(V$230/SUM(V$229:V$231),W$230/SUM(W$229:W$231),X$230/SUM(X$229:X$231)),X$230/SUM(X$229:X$231))*(Y$96-Y$475)</f>
        <v>2.8939198845592284</v>
      </c>
      <c r="Z230" s="16">
        <f ca="1">IF(Z$6=OFFSET(Assumptions!$B$8,0,$C$1),AVERAGE(W$230/SUM(W$229:W$231),X$230/SUM(X$229:X$231),Y$230/SUM(Y$229:Y$231)),Y$230/SUM(Y$229:Y$231))*(Z$96-Z$475)</f>
        <v>3.0594638632421698</v>
      </c>
      <c r="AA230" s="16">
        <f ca="1">IF(AA$6=OFFSET(Assumptions!$B$8,0,$C$1),AVERAGE(X$230/SUM(X$229:X$231),Y$230/SUM(Y$229:Y$231),Z$230/SUM(Z$229:Z$231)),Z$230/SUM(Z$229:Z$231))*(AA$96-AA$475)</f>
        <v>3.2311796321672439</v>
      </c>
      <c r="AB230" s="16">
        <f ca="1">IF(AB$6=OFFSET(Assumptions!$B$8,0,$C$1),AVERAGE(Y$230/SUM(Y$229:Y$231),Z$230/SUM(Z$229:Z$231),AA$230/SUM(AA$229:AA$231)),AA$230/SUM(AA$229:AA$231))*(AB$96-AB$475)</f>
        <v>3.4086590835545536</v>
      </c>
      <c r="AC230" s="16">
        <f ca="1">IF(AC$6=OFFSET(Assumptions!$B$8,0,$C$1),AVERAGE(Z$230/SUM(Z$229:Z$231),AA$230/SUM(AA$229:AA$231),AB$230/SUM(AB$229:AB$231)),AB$230/SUM(AB$229:AB$231))*(AC$96-AC$475)</f>
        <v>3.5912013208855034</v>
      </c>
      <c r="AD230" s="16">
        <f ca="1">IF(AD$6=OFFSET(Assumptions!$B$8,0,$C$1),AVERAGE(AA$230/SUM(AA$229:AA$231),AB$230/SUM(AB$229:AB$231),AC$230/SUM(AC$229:AC$231)),AC$230/SUM(AC$229:AC$231))*(AD$96-AD$475)</f>
        <v>3.7775534120998198</v>
      </c>
      <c r="AE230" s="16">
        <f ca="1">IF(AE$6=OFFSET(Assumptions!$B$8,0,$C$1),AVERAGE(AB$230/SUM(AB$229:AB$231),AC$230/SUM(AC$229:AC$231),AD$230/SUM(AD$229:AD$231)),AD$230/SUM(AD$229:AD$231))*(AE$96-AE$475)</f>
        <v>3.9667250081117049</v>
      </c>
      <c r="AF230" s="16">
        <f ca="1">IF(AF$6=OFFSET(Assumptions!$B$8,0,$C$1),AVERAGE(AC$230/SUM(AC$229:AC$231),AD$230/SUM(AD$229:AD$231),AE$230/SUM(AE$229:AE$231)),AE$230/SUM(AE$229:AE$231))*(AF$96-AF$475)</f>
        <v>4.158132436128299</v>
      </c>
      <c r="AG230" s="16">
        <f ca="1">IF(AG$6=OFFSET(Assumptions!$B$8,0,$C$1),AVERAGE(AD$230/SUM(AD$229:AD$231),AE$230/SUM(AE$229:AE$231),AF$230/SUM(AF$229:AF$231)),AF$230/SUM(AF$229:AF$231))*(AG$96-AG$475)</f>
        <v>4.351087733040659</v>
      </c>
      <c r="AH230" s="16">
        <f ca="1">IF(AH$6=OFFSET(Assumptions!$B$8,0,$C$1),AVERAGE(AE$230/SUM(AE$229:AE$231),AF$230/SUM(AF$229:AF$231),AG$230/SUM(AG$229:AG$231)),AG$230/SUM(AG$229:AG$231))*(AH$96-AH$475)</f>
        <v>4.5458606448809986</v>
      </c>
      <c r="AI230" s="16">
        <f ca="1">IF(AI$6=OFFSET(Assumptions!$B$8,0,$C$1),AVERAGE(AF$230/SUM(AF$229:AF$231),AG$230/SUM(AG$229:AG$231),AH$230/SUM(AH$229:AH$231)),AH$230/SUM(AH$229:AH$231))*(AI$96-AI$475)</f>
        <v>4.7416311026708664</v>
      </c>
      <c r="AJ230" s="16">
        <f ca="1">IF(AJ$6=OFFSET(Assumptions!$B$8,0,$C$1),AVERAGE(AG$230/SUM(AG$229:AG$231),AH$230/SUM(AH$229:AH$231),AI$230/SUM(AI$229:AI$231)),AI$230/SUM(AI$229:AI$231))*(AJ$96-AJ$475)</f>
        <v>4.937000335828067</v>
      </c>
      <c r="AK230" s="16">
        <f ca="1">IF(AK$6=OFFSET(Assumptions!$B$8,0,$C$1),AVERAGE(AH$230/SUM(AH$229:AH$231),AI$230/SUM(AI$229:AI$231),AJ$230/SUM(AJ$229:AJ$231)),AJ$230/SUM(AJ$229:AJ$231))*(AK$96-AK$475)</f>
        <v>5.1315487701603644</v>
      </c>
      <c r="AL230" s="16">
        <f ca="1">IF(AL$6=OFFSET(Assumptions!$B$8,0,$C$1),AVERAGE(AI$230/SUM(AI$229:AI$231),AJ$230/SUM(AJ$229:AJ$231),AK$230/SUM(AK$229:AK$231)),AK$230/SUM(AK$229:AK$231))*(AL$96-AL$475)</f>
        <v>5.323514625632515</v>
      </c>
      <c r="AM230" s="16">
        <f ca="1">IF(AM$6=OFFSET(Assumptions!$B$8,0,$C$1),AVERAGE(AJ$230/SUM(AJ$229:AJ$231),AK$230/SUM(AK$229:AK$231),AL$230/SUM(AL$229:AL$231)),AL$230/SUM(AL$229:AL$231))*(AM$96-AM$475)</f>
        <v>5.5109896242728045</v>
      </c>
      <c r="AN230" s="16">
        <f ca="1">IF(AN$6=OFFSET(Assumptions!$B$8,0,$C$1),AVERAGE(AK$230/SUM(AK$229:AK$231),AL$230/SUM(AL$229:AL$231),AM$230/SUM(AM$229:AM$231)),AM$230/SUM(AM$229:AM$231))*(AN$96-AN$475)</f>
        <v>5.6956265702572422</v>
      </c>
      <c r="AO230" s="16">
        <f ca="1">IF(AO$6=OFFSET(Assumptions!$B$8,0,$C$1),AVERAGE(AL$230/SUM(AL$229:AL$231),AM$230/SUM(AM$229:AM$231),AN$230/SUM(AN$229:AN$231)),AN$230/SUM(AN$229:AN$231))*(AO$96-AO$475)</f>
        <v>5.880675183020073</v>
      </c>
      <c r="AP230" s="16">
        <f ca="1">IF(AP$6=OFFSET(Assumptions!$B$8,0,$C$1),AVERAGE(AM$230/SUM(AM$229:AM$231),AN$230/SUM(AN$229:AN$231),AO$230/SUM(AO$229:AO$231)),AO$230/SUM(AO$229:AO$231))*(AP$96-AP$475)</f>
        <v>6.0687664004896984</v>
      </c>
      <c r="AQ230" s="16">
        <f ca="1">IF(AQ$6=OFFSET(Assumptions!$B$8,0,$C$1),AVERAGE(AN$230/SUM(AN$229:AN$231),AO$230/SUM(AO$229:AO$231),AP$230/SUM(AP$229:AP$231)),AP$230/SUM(AP$229:AP$231))*(AQ$96-AQ$475)</f>
        <v>6.2526487405756574</v>
      </c>
      <c r="AR230" s="16">
        <f ca="1">IF(AR$6=OFFSET(Assumptions!$B$8,0,$C$1),AVERAGE(AO$230/SUM(AO$229:AO$231),AP$230/SUM(AP$229:AP$231),AQ$230/SUM(AQ$229:AQ$231)),AQ$230/SUM(AQ$229:AQ$231))*(AR$96-AR$475)</f>
        <v>6.4286408077388799</v>
      </c>
      <c r="AS230" s="16">
        <f ca="1">IF(AS$6=OFFSET(Assumptions!$B$8,0,$C$1),AVERAGE(AP$230/SUM(AP$229:AP$231),AQ$230/SUM(AQ$229:AQ$231),AR$230/SUM(AR$229:AR$231)),AR$230/SUM(AR$229:AR$231))*(AS$96-AS$475)</f>
        <v>6.6011390342246479</v>
      </c>
      <c r="AT230" s="16">
        <f ca="1">IF(AT$6=OFFSET(Assumptions!$B$8,0,$C$1),AVERAGE(AQ$230/SUM(AQ$229:AQ$231),AR$230/SUM(AR$229:AR$231),AS$230/SUM(AS$229:AS$231)),AS$230/SUM(AS$229:AS$231))*(AT$96-AT$475)</f>
        <v>6.7697196972497213</v>
      </c>
      <c r="AU230" s="16">
        <f ca="1">IF(AU$6=OFFSET(Assumptions!$B$8,0,$C$1),AVERAGE(AR$230/SUM(AR$229:AR$231),AS$230/SUM(AS$229:AS$231),AT$230/SUM(AT$229:AT$231)),AT$230/SUM(AT$229:AT$231))*(AU$96-AU$475)</f>
        <v>6.9336249540540962</v>
      </c>
      <c r="AV230" s="16">
        <f ca="1">IF(AV$6=OFFSET(Assumptions!$B$8,0,$C$1),AVERAGE(AS$230/SUM(AS$229:AS$231),AT$230/SUM(AT$229:AT$231),AU$230/SUM(AU$229:AU$231)),AU$230/SUM(AU$229:AU$231))*(AV$96-AV$475)</f>
        <v>7.0919705321783777</v>
      </c>
      <c r="AW230" s="16">
        <f ca="1">IF(AW$6=OFFSET(Assumptions!$B$8,0,$C$1),AVERAGE(AT$230/SUM(AT$229:AT$231),AU$230/SUM(AU$229:AU$231),AV$230/SUM(AV$229:AV$231)),AV$230/SUM(AV$229:AV$231))*(AW$96-AW$475)</f>
        <v>7.2440667183848486</v>
      </c>
      <c r="AX230" s="16">
        <f ca="1">IF(AX$6=OFFSET(Assumptions!$B$8,0,$C$1),AVERAGE(AU$230/SUM(AU$229:AU$231),AV$230/SUM(AV$229:AV$231),AW$230/SUM(AW$229:AW$231)),AW$230/SUM(AW$229:AW$231))*(AX$96-AX$475)</f>
        <v>7.3883314002470986</v>
      </c>
    </row>
    <row r="231" spans="1:50" x14ac:dyDescent="0.25">
      <c r="A231" s="11" t="s">
        <v>787</v>
      </c>
      <c r="B231" s="10" t="str">
        <f>$B$38</f>
        <v>From Fiscal Forecasts</v>
      </c>
      <c r="D231" s="35">
        <f>'Fiscal Forecasts'!D$278</f>
        <v>-0.55400000000000005</v>
      </c>
      <c r="E231" s="35">
        <f>'Fiscal Forecasts'!E$278</f>
        <v>-0.53900000000000003</v>
      </c>
      <c r="F231" s="35">
        <f>'Fiscal Forecasts'!F$278</f>
        <v>-0.45600000000000002</v>
      </c>
      <c r="G231" s="35">
        <f>'Fiscal Forecasts'!G$278</f>
        <v>-0.496</v>
      </c>
      <c r="H231" s="35">
        <f>'Fiscal Forecasts'!H$278</f>
        <v>-0.67500000000000004</v>
      </c>
      <c r="I231" s="35">
        <f>'Fiscal Forecasts'!I$278</f>
        <v>-1.1179999999999999</v>
      </c>
      <c r="J231" s="17">
        <f>'Fiscal Forecasts'!J$278</f>
        <v>-1.4390000000000001</v>
      </c>
      <c r="K231" s="17">
        <f>'Fiscal Forecasts'!K$278</f>
        <v>-1.5389999999999999</v>
      </c>
      <c r="L231" s="17">
        <f>'Fiscal Forecasts'!L$278</f>
        <v>-1.633</v>
      </c>
      <c r="M231" s="17">
        <f>'Fiscal Forecasts'!M$278</f>
        <v>-1.7569999999999999</v>
      </c>
      <c r="N231" s="17">
        <f>'Fiscal Forecasts'!N$278</f>
        <v>-1.8759999999999999</v>
      </c>
      <c r="O231" s="16">
        <f ca="1">IF(O$6=OFFSET(Assumptions!$B$8,0,$C$1),AVERAGE(L$231/SUM(L$229:L$231),M$231/SUM(M$229:M$231),N$231/SUM(N$229:N$231)),N$231/SUM(N$229:N$231))*(O$96-O$475)</f>
        <v>-2.4665083050305046</v>
      </c>
      <c r="P231" s="16">
        <f ca="1">IF(P$6=OFFSET(Assumptions!$B$8,0,$C$1),AVERAGE(M$231/SUM(M$229:M$231),N$231/SUM(N$229:N$231),O$231/SUM(O$229:O$231)),O$231/SUM(O$229:O$231))*(P$96-P$475)</f>
        <v>-2.8956835949801123</v>
      </c>
      <c r="Q231" s="16">
        <f ca="1">IF(Q$6=OFFSET(Assumptions!$B$8,0,$C$1),AVERAGE(N$231/SUM(N$229:N$231),O$231/SUM(O$229:O$231),P$231/SUM(P$229:P$231)),P$231/SUM(P$229:P$231))*(Q$96-Q$475)</f>
        <v>-3.276781394118311</v>
      </c>
      <c r="R231" s="16">
        <f ca="1">IF(R$6=OFFSET(Assumptions!$B$8,0,$C$1),AVERAGE(O$231/SUM(O$229:O$231),P$231/SUM(P$229:P$231),Q$231/SUM(Q$229:Q$231)),Q$231/SUM(Q$229:Q$231))*(R$96-R$475)</f>
        <v>-3.6238644515781475</v>
      </c>
      <c r="S231" s="16">
        <f ca="1">IF(S$6=OFFSET(Assumptions!$B$8,0,$C$1),AVERAGE(P$231/SUM(P$229:P$231),Q$231/SUM(Q$229:Q$231),R$231/SUM(R$229:R$231)),R$231/SUM(R$229:R$231))*(S$96-S$475)</f>
        <v>-3.9409414776379217</v>
      </c>
      <c r="T231" s="16">
        <f ca="1">IF(T$6=OFFSET(Assumptions!$B$8,0,$C$1),AVERAGE(Q$231/SUM(Q$229:Q$231),R$231/SUM(R$229:R$231),S$231/SUM(S$229:S$231)),S$231/SUM(S$229:S$231))*(T$96-T$475)</f>
        <v>-4.2351706947567545</v>
      </c>
      <c r="U231" s="16">
        <f ca="1">IF(U$6=OFFSET(Assumptions!$B$8,0,$C$1),AVERAGE(R$231/SUM(R$229:R$231),S$231/SUM(S$229:S$231),T$231/SUM(T$229:T$231)),T$231/SUM(T$229:T$231))*(U$96-U$475)</f>
        <v>-4.5215444236321076</v>
      </c>
      <c r="V231" s="16">
        <f ca="1">IF(V$6=OFFSET(Assumptions!$B$8,0,$C$1),AVERAGE(S$231/SUM(S$229:S$231),T$231/SUM(T$229:T$231),U$231/SUM(U$229:U$231)),U$231/SUM(U$229:U$231))*(V$96-V$475)</f>
        <v>-4.8056393581297137</v>
      </c>
      <c r="W231" s="16">
        <f ca="1">IF(W$6=OFFSET(Assumptions!$B$8,0,$C$1),AVERAGE(T$231/SUM(T$229:T$231),U$231/SUM(U$229:U$231),V$231/SUM(V$229:V$231)),V$231/SUM(V$229:V$231))*(W$96-W$475)</f>
        <v>-5.0958432638187903</v>
      </c>
      <c r="X231" s="16">
        <f ca="1">IF(X$6=OFFSET(Assumptions!$B$8,0,$C$1),AVERAGE(U$231/SUM(U$229:U$231),V$231/SUM(V$229:V$231),W$231/SUM(W$229:W$231)),W$231/SUM(W$229:W$231))*(X$96-X$475)</f>
        <v>-5.3975108294747134</v>
      </c>
      <c r="Y231" s="16">
        <f ca="1">IF(Y$6=OFFSET(Assumptions!$B$8,0,$C$1),AVERAGE(V$231/SUM(V$229:V$231),W$231/SUM(W$229:W$231),X$231/SUM(X$229:X$231)),X$231/SUM(X$229:X$231))*(Y$96-Y$475)</f>
        <v>-5.7120240698079119</v>
      </c>
      <c r="Z231" s="16">
        <f ca="1">IF(Z$6=OFFSET(Assumptions!$B$8,0,$C$1),AVERAGE(W$231/SUM(W$229:W$231),X$231/SUM(X$229:X$231),Y$231/SUM(Y$229:Y$231)),Y$231/SUM(Y$229:Y$231))*(Z$96-Z$475)</f>
        <v>-6.0387750610478612</v>
      </c>
      <c r="AA231" s="16">
        <f ca="1">IF(AA$6=OFFSET(Assumptions!$B$8,0,$C$1),AVERAGE(X$231/SUM(X$229:X$231),Y$231/SUM(Y$229:Y$231),Z$231/SUM(Z$229:Z$231)),Z$231/SUM(Z$229:Z$231))*(AA$96-AA$475)</f>
        <v>-6.3777079425346583</v>
      </c>
      <c r="AB231" s="16">
        <f ca="1">IF(AB$6=OFFSET(Assumptions!$B$8,0,$C$1),AVERAGE(Y$231/SUM(Y$229:Y$231),Z$231/SUM(Z$229:Z$231),AA$231/SUM(AA$229:AA$231)),AA$231/SUM(AA$229:AA$231))*(AB$96-AB$475)</f>
        <v>-6.7280171904269928</v>
      </c>
      <c r="AC231" s="16">
        <f ca="1">IF(AC$6=OFFSET(Assumptions!$B$8,0,$C$1),AVERAGE(Z$231/SUM(Z$229:Z$231),AA$231/SUM(AA$229:AA$231),AB$231/SUM(AB$229:AB$231)),AB$231/SUM(AB$229:AB$231))*(AC$96-AC$475)</f>
        <v>-7.0883193739650787</v>
      </c>
      <c r="AD231" s="16">
        <f ca="1">IF(AD$6=OFFSET(Assumptions!$B$8,0,$C$1),AVERAGE(AA$231/SUM(AA$229:AA$231),AB$231/SUM(AB$229:AB$231),AC$231/SUM(AC$229:AC$231)),AC$231/SUM(AC$229:AC$231))*(AD$96-AD$475)</f>
        <v>-7.456141453682859</v>
      </c>
      <c r="AE231" s="16">
        <f ca="1">IF(AE$6=OFFSET(Assumptions!$B$8,0,$C$1),AVERAGE(AB$231/SUM(AB$229:AB$231),AC$231/SUM(AC$229:AC$231),AD$231/SUM(AD$229:AD$231)),AD$231/SUM(AD$229:AD$231))*(AE$96-AE$475)</f>
        <v>-7.8295286768431316</v>
      </c>
      <c r="AF231" s="16">
        <f ca="1">IF(AF$6=OFFSET(Assumptions!$B$8,0,$C$1),AVERAGE(AC$231/SUM(AC$229:AC$231),AD$231/SUM(AD$229:AD$231),AE$231/SUM(AE$229:AE$231)),AE$231/SUM(AE$229:AE$231))*(AF$96-AF$475)</f>
        <v>-8.207328989078567</v>
      </c>
      <c r="AG231" s="16">
        <f ca="1">IF(AG$6=OFFSET(Assumptions!$B$8,0,$C$1),AVERAGE(AD$231/SUM(AD$229:AD$231),AE$231/SUM(AE$229:AE$231),AF$231/SUM(AF$229:AF$231)),AF$231/SUM(AF$229:AF$231))*(AG$96-AG$475)</f>
        <v>-8.5881844876157007</v>
      </c>
      <c r="AH231" s="16">
        <f ca="1">IF(AH$6=OFFSET(Assumptions!$B$8,0,$C$1),AVERAGE(AE$231/SUM(AE$229:AE$231),AF$231/SUM(AF$229:AF$231),AG$231/SUM(AG$229:AG$231)),AG$231/SUM(AG$229:AG$231))*(AH$96-AH$475)</f>
        <v>-8.9726275976391321</v>
      </c>
      <c r="AI231" s="16">
        <f ca="1">IF(AI$6=OFFSET(Assumptions!$B$8,0,$C$1),AVERAGE(AF$231/SUM(AF$229:AF$231),AG$231/SUM(AG$229:AG$231),AH$231/SUM(AH$229:AH$231)),AH$231/SUM(AH$229:AH$231))*(AI$96-AI$475)</f>
        <v>-9.3590396655818324</v>
      </c>
      <c r="AJ231" s="16">
        <f ca="1">IF(AJ$6=OFFSET(Assumptions!$B$8,0,$C$1),AVERAGE(AG$231/SUM(AG$229:AG$231),AH$231/SUM(AH$229:AH$231),AI$231/SUM(AI$229:AI$231)),AI$231/SUM(AI$229:AI$231))*(AJ$96-AJ$475)</f>
        <v>-9.7446597956511276</v>
      </c>
      <c r="AK231" s="16">
        <f ca="1">IF(AK$6=OFFSET(Assumptions!$B$8,0,$C$1),AVERAGE(AH$231/SUM(AH$229:AH$231),AI$231/SUM(AI$229:AI$231),AJ$231/SUM(AJ$229:AJ$231)),AJ$231/SUM(AJ$229:AJ$231))*(AK$96-AK$475)</f>
        <v>-10.128659831581212</v>
      </c>
      <c r="AL231" s="16">
        <f ca="1">IF(AL$6=OFFSET(Assumptions!$B$8,0,$C$1),AVERAGE(AI$231/SUM(AI$229:AI$231),AJ$231/SUM(AJ$229:AJ$231),AK$231/SUM(AK$229:AK$231)),AK$231/SUM(AK$229:AK$231))*(AL$96-AL$475)</f>
        <v>-10.507562368893574</v>
      </c>
      <c r="AM231" s="16">
        <f ca="1">IF(AM$6=OFFSET(Assumptions!$B$8,0,$C$1),AVERAGE(AJ$231/SUM(AJ$229:AJ$231),AK$231/SUM(AK$229:AK$231),AL$231/SUM(AL$229:AL$231)),AL$231/SUM(AL$229:AL$231))*(AM$96-AM$475)</f>
        <v>-10.8776008452295</v>
      </c>
      <c r="AN231" s="16">
        <f ca="1">IF(AN$6=OFFSET(Assumptions!$B$8,0,$C$1),AVERAGE(AK$231/SUM(AK$229:AK$231),AL$231/SUM(AL$229:AL$231),AM$231/SUM(AM$229:AM$231)),AM$231/SUM(AM$229:AM$231))*(AN$96-AN$475)</f>
        <v>-11.2420375683282</v>
      </c>
      <c r="AO231" s="16">
        <f ca="1">IF(AO$6=OFFSET(Assumptions!$B$8,0,$C$1),AVERAGE(AL$231/SUM(AL$229:AL$231),AM$231/SUM(AM$229:AM$231),AN$231/SUM(AN$229:AN$231)),AN$231/SUM(AN$229:AN$231))*(AO$96-AO$475)</f>
        <v>-11.607286840025589</v>
      </c>
      <c r="AP231" s="16">
        <f ca="1">IF(AP$6=OFFSET(Assumptions!$B$8,0,$C$1),AVERAGE(AM$231/SUM(AM$229:AM$231),AN$231/SUM(AN$229:AN$231),AO$231/SUM(AO$229:AO$231)),AO$231/SUM(AO$229:AO$231))*(AP$96-AP$475)</f>
        <v>-11.978541610151893</v>
      </c>
      <c r="AQ231" s="16">
        <f ca="1">IF(AQ$6=OFFSET(Assumptions!$B$8,0,$C$1),AVERAGE(AN$231/SUM(AN$229:AN$231),AO$231/SUM(AO$229:AO$231),AP$231/SUM(AP$229:AP$231)),AP$231/SUM(AP$229:AP$231))*(AQ$96-AQ$475)</f>
        <v>-12.341488890823962</v>
      </c>
      <c r="AR231" s="16">
        <f ca="1">IF(AR$6=OFFSET(Assumptions!$B$8,0,$C$1),AVERAGE(AO$231/SUM(AO$229:AO$231),AP$231/SUM(AP$229:AP$231),AQ$231/SUM(AQ$229:AQ$231)),AQ$231/SUM(AQ$229:AQ$231))*(AR$96-AR$475)</f>
        <v>-12.688862337164094</v>
      </c>
      <c r="AS231" s="16">
        <f ca="1">IF(AS$6=OFFSET(Assumptions!$B$8,0,$C$1),AVERAGE(AP$231/SUM(AP$229:AP$231),AQ$231/SUM(AQ$229:AQ$231),AR$231/SUM(AR$229:AR$231)),AR$231/SUM(AR$229:AR$231))*(AS$96-AS$475)</f>
        <v>-13.029339634736537</v>
      </c>
      <c r="AT231" s="16">
        <f ca="1">IF(AT$6=OFFSET(Assumptions!$B$8,0,$C$1),AVERAGE(AQ$231/SUM(AQ$229:AQ$231),AR$231/SUM(AR$229:AR$231),AS$231/SUM(AS$229:AS$231)),AS$231/SUM(AS$229:AS$231))*(AT$96-AT$475)</f>
        <v>-13.362084438779398</v>
      </c>
      <c r="AU231" s="16">
        <f ca="1">IF(AU$6=OFFSET(Assumptions!$B$8,0,$C$1),AVERAGE(AR$231/SUM(AR$229:AR$231),AS$231/SUM(AS$229:AS$231),AT$231/SUM(AT$229:AT$231)),AT$231/SUM(AT$229:AT$231))*(AU$96-AU$475)</f>
        <v>-13.685600917943171</v>
      </c>
      <c r="AV231" s="16">
        <f ca="1">IF(AV$6=OFFSET(Assumptions!$B$8,0,$C$1),AVERAGE(AS$231/SUM(AS$229:AS$231),AT$231/SUM(AT$229:AT$231),AU$231/SUM(AU$229:AU$231)),AU$231/SUM(AU$229:AU$231))*(AV$96-AV$475)</f>
        <v>-13.998143693719184</v>
      </c>
      <c r="AW231" s="16">
        <f ca="1">IF(AW$6=OFFSET(Assumptions!$B$8,0,$C$1),AVERAGE(AT$231/SUM(AT$229:AT$231),AU$231/SUM(AU$229:AU$231),AV$231/SUM(AV$229:AV$231)),AV$231/SUM(AV$229:AV$231))*(AW$96-AW$475)</f>
        <v>-14.298351408926777</v>
      </c>
      <c r="AX231" s="16">
        <f ca="1">IF(AX$6=OFFSET(Assumptions!$B$8,0,$C$1),AVERAGE(AU$231/SUM(AU$229:AU$231),AV$231/SUM(AV$229:AV$231),AW$231/SUM(AW$229:AW$231)),AW$231/SUM(AW$229:AW$231))*(AX$96-AX$475)</f>
        <v>-14.583101287324279</v>
      </c>
    </row>
    <row r="232" spans="1:50" x14ac:dyDescent="0.25">
      <c r="A232" s="9" t="s">
        <v>1000</v>
      </c>
      <c r="D232" s="64">
        <f t="shared" ref="D232:AX232" si="1123">SUM(D$228:D$231)</f>
        <v>4.298</v>
      </c>
      <c r="E232" s="64">
        <f t="shared" si="1123"/>
        <v>3.754</v>
      </c>
      <c r="F232" s="64">
        <f t="shared" si="1123"/>
        <v>2.2720000000000002</v>
      </c>
      <c r="G232" s="64">
        <f t="shared" si="1123"/>
        <v>3.3490000000000002</v>
      </c>
      <c r="H232" s="64">
        <f t="shared" si="1123"/>
        <v>7.4479999999999995</v>
      </c>
      <c r="I232" s="64">
        <f t="shared" si="1123"/>
        <v>10.373999999999999</v>
      </c>
      <c r="J232" s="65">
        <f t="shared" si="1123"/>
        <v>10.312000000000001</v>
      </c>
      <c r="K232" s="65">
        <f t="shared" si="1123"/>
        <v>11.073</v>
      </c>
      <c r="L232" s="65">
        <f t="shared" si="1123"/>
        <v>12.122</v>
      </c>
      <c r="M232" s="65">
        <f t="shared" si="1123"/>
        <v>13.342000000000001</v>
      </c>
      <c r="N232" s="65">
        <f t="shared" si="1123"/>
        <v>14.398999999999999</v>
      </c>
      <c r="O232" s="66">
        <f t="shared" ca="1" si="1123"/>
        <v>15.5189678780572</v>
      </c>
      <c r="P232" s="66">
        <f t="shared" ca="1" si="1123"/>
        <v>16.634128586052025</v>
      </c>
      <c r="Q232" s="66">
        <f t="shared" ca="1" si="1123"/>
        <v>17.885063398192777</v>
      </c>
      <c r="R232" s="66">
        <f t="shared" ca="1" si="1123"/>
        <v>19.239095962435137</v>
      </c>
      <c r="S232" s="66">
        <f t="shared" ca="1" si="1123"/>
        <v>20.717690204537774</v>
      </c>
      <c r="T232" s="66">
        <f t="shared" ca="1" si="1123"/>
        <v>22.27156615985588</v>
      </c>
      <c r="U232" s="66">
        <f t="shared" ca="1" si="1123"/>
        <v>23.918649991874023</v>
      </c>
      <c r="V232" s="66">
        <f t="shared" ca="1" si="1123"/>
        <v>25.642882659917543</v>
      </c>
      <c r="W232" s="66">
        <f t="shared" ca="1" si="1123"/>
        <v>27.497743991172978</v>
      </c>
      <c r="X232" s="66">
        <f t="shared" ca="1" si="1123"/>
        <v>29.514802237204968</v>
      </c>
      <c r="Y232" s="66">
        <f t="shared" ca="1" si="1123"/>
        <v>31.699709111601841</v>
      </c>
      <c r="Z232" s="66">
        <f t="shared" ca="1" si="1123"/>
        <v>34.054837584100099</v>
      </c>
      <c r="AA232" s="66">
        <f t="shared" ca="1" si="1123"/>
        <v>36.593867478641243</v>
      </c>
      <c r="AB232" s="66">
        <f t="shared" ca="1" si="1123"/>
        <v>39.328844335789185</v>
      </c>
      <c r="AC232" s="66">
        <f t="shared" ca="1" si="1123"/>
        <v>42.270273945737529</v>
      </c>
      <c r="AD232" s="66">
        <f t="shared" ca="1" si="1123"/>
        <v>45.429368461704314</v>
      </c>
      <c r="AE232" s="66">
        <f t="shared" ca="1" si="1123"/>
        <v>48.818772128019134</v>
      </c>
      <c r="AF232" s="66">
        <f t="shared" ca="1" si="1123"/>
        <v>52.452519133560806</v>
      </c>
      <c r="AG232" s="66">
        <f t="shared" ca="1" si="1123"/>
        <v>56.346070087761568</v>
      </c>
      <c r="AH232" s="66">
        <f t="shared" ca="1" si="1123"/>
        <v>60.517201092218869</v>
      </c>
      <c r="AI232" s="66">
        <f t="shared" ca="1" si="1123"/>
        <v>64.982642907942932</v>
      </c>
      <c r="AJ232" s="66">
        <f t="shared" ca="1" si="1123"/>
        <v>69.760147818500599</v>
      </c>
      <c r="AK232" s="66">
        <f t="shared" ca="1" si="1123"/>
        <v>74.870240949475317</v>
      </c>
      <c r="AL232" s="66">
        <f t="shared" ca="1" si="1123"/>
        <v>80.33271748744022</v>
      </c>
      <c r="AM232" s="66">
        <f t="shared" ca="1" si="1123"/>
        <v>86.169666532779289</v>
      </c>
      <c r="AN232" s="66">
        <f t="shared" ca="1" si="1123"/>
        <v>92.411729485253247</v>
      </c>
      <c r="AO232" s="66">
        <f t="shared" ca="1" si="1123"/>
        <v>99.095533871604175</v>
      </c>
      <c r="AP232" s="66">
        <f t="shared" ca="1" si="1123"/>
        <v>106.25906427756959</v>
      </c>
      <c r="AQ232" s="66">
        <f t="shared" ca="1" si="1123"/>
        <v>113.92093396028224</v>
      </c>
      <c r="AR232" s="66">
        <f t="shared" ca="1" si="1123"/>
        <v>122.10714211536813</v>
      </c>
      <c r="AS232" s="66">
        <f t="shared" ca="1" si="1123"/>
        <v>130.86193312592877</v>
      </c>
      <c r="AT232" s="66">
        <f t="shared" ca="1" si="1123"/>
        <v>140.22269402569478</v>
      </c>
      <c r="AU232" s="66">
        <f t="shared" ca="1" si="1123"/>
        <v>150.22774783101707</v>
      </c>
      <c r="AV232" s="66">
        <f t="shared" ca="1" si="1123"/>
        <v>160.91884846738094</v>
      </c>
      <c r="AW232" s="66">
        <f t="shared" ca="1" si="1123"/>
        <v>172.34057404869546</v>
      </c>
      <c r="AX232" s="66">
        <f t="shared" ca="1" si="1123"/>
        <v>184.53648590229074</v>
      </c>
    </row>
    <row r="233" spans="1:50" x14ac:dyDescent="0.25">
      <c r="A233" s="10" t="s">
        <v>813</v>
      </c>
      <c r="E233" s="36">
        <f t="shared" ref="E233:N233" si="1124">E$228/AVERAGE(D$71,E$71)</f>
        <v>2.9634933968629935E-2</v>
      </c>
      <c r="F233" s="36">
        <f t="shared" si="1124"/>
        <v>1.4817447196427743E-2</v>
      </c>
      <c r="G233" s="36">
        <f t="shared" si="1124"/>
        <v>1.9129171655131016E-2</v>
      </c>
      <c r="H233" s="36">
        <f t="shared" si="1124"/>
        <v>3.6492923905948361E-2</v>
      </c>
      <c r="I233" s="36">
        <f t="shared" si="1124"/>
        <v>4.3905169154937182E-2</v>
      </c>
      <c r="J233" s="19">
        <f t="shared" si="1124"/>
        <v>3.8343495075296663E-2</v>
      </c>
      <c r="K233" s="19">
        <f t="shared" si="1124"/>
        <v>3.7205209433298136E-2</v>
      </c>
      <c r="L233" s="19">
        <f t="shared" si="1124"/>
        <v>3.8369992986638277E-2</v>
      </c>
      <c r="M233" s="19">
        <f t="shared" si="1124"/>
        <v>4.062969292113304E-2</v>
      </c>
      <c r="N233" s="19">
        <f t="shared" si="1124"/>
        <v>4.2253286348194551E-2</v>
      </c>
      <c r="O233" s="77">
        <f ca="1">IF(O$6&lt;OFFSET(Assumptions!$B$8,0,$C$1)+OFFSET(Assumptions!$B$23,0,$C$1),N$233+(OFFSET(N$30,0,OFFSET(Assumptions!$B$8,0,$C$1)+OFFSET(Assumptions!$B$23,0,$C$1)-O$6)-N$233)/(OFFSET(Assumptions!$B$8,0,$C$1)+OFFSET(Assumptions!$B$23,0,$C$1)-O$6),O$30)</f>
        <v>4.2402629078555638E-2</v>
      </c>
      <c r="P233" s="77">
        <f ca="1">IF(P$6&lt;OFFSET(Assumptions!$B$8,0,$C$1)+OFFSET(Assumptions!$B$23,0,$C$1),O$233+(OFFSET(O$30,0,OFFSET(Assumptions!$B$8,0,$C$1)+OFFSET(Assumptions!$B$23,0,$C$1)-P$6)-O$233)/(OFFSET(Assumptions!$B$8,0,$C$1)+OFFSET(Assumptions!$B$23,0,$C$1)-P$6),P$30)</f>
        <v>4.2551971808916726E-2</v>
      </c>
      <c r="Q233" s="77">
        <f ca="1">IF(Q$6&lt;OFFSET(Assumptions!$B$8,0,$C$1)+OFFSET(Assumptions!$B$23,0,$C$1),P$233+(OFFSET(P$30,0,OFFSET(Assumptions!$B$8,0,$C$1)+OFFSET(Assumptions!$B$23,0,$C$1)-Q$6)-P$233)/(OFFSET(Assumptions!$B$8,0,$C$1)+OFFSET(Assumptions!$B$23,0,$C$1)-Q$6),Q$30)</f>
        <v>4.2701314539277814E-2</v>
      </c>
      <c r="R233" s="77">
        <f ca="1">IF(R$6&lt;OFFSET(Assumptions!$B$8,0,$C$1)+OFFSET(Assumptions!$B$23,0,$C$1),Q$233+(OFFSET(Q$30,0,OFFSET(Assumptions!$B$8,0,$C$1)+OFFSET(Assumptions!$B$23,0,$C$1)-R$6)-Q$233)/(OFFSET(Assumptions!$B$8,0,$C$1)+OFFSET(Assumptions!$B$23,0,$C$1)-R$6),R$30)</f>
        <v>4.2850657269638909E-2</v>
      </c>
      <c r="S233" s="77">
        <f ca="1">IF(S$6&lt;OFFSET(Assumptions!$B$8,0,$C$1)+OFFSET(Assumptions!$B$23,0,$C$1),R$233+(OFFSET(R$30,0,OFFSET(Assumptions!$B$8,0,$C$1)+OFFSET(Assumptions!$B$23,0,$C$1)-S$6)-R$233)/(OFFSET(Assumptions!$B$8,0,$C$1)+OFFSET(Assumptions!$B$23,0,$C$1)-S$6),S$30)</f>
        <v>4.2999999999999997E-2</v>
      </c>
      <c r="T233" s="77">
        <f ca="1">IF(T$6&lt;OFFSET(Assumptions!$B$8,0,$C$1)+OFFSET(Assumptions!$B$23,0,$C$1),S$233+(OFFSET(S$30,0,OFFSET(Assumptions!$B$8,0,$C$1)+OFFSET(Assumptions!$B$23,0,$C$1)-T$6)-S$233)/(OFFSET(Assumptions!$B$8,0,$C$1)+OFFSET(Assumptions!$B$23,0,$C$1)-T$6),T$30)</f>
        <v>4.2999999999999997E-2</v>
      </c>
      <c r="U233" s="77">
        <f ca="1">IF(U$6&lt;OFFSET(Assumptions!$B$8,0,$C$1)+OFFSET(Assumptions!$B$23,0,$C$1),T$233+(OFFSET(T$30,0,OFFSET(Assumptions!$B$8,0,$C$1)+OFFSET(Assumptions!$B$23,0,$C$1)-U$6)-T$233)/(OFFSET(Assumptions!$B$8,0,$C$1)+OFFSET(Assumptions!$B$23,0,$C$1)-U$6),U$30)</f>
        <v>4.2999999999999997E-2</v>
      </c>
      <c r="V233" s="77">
        <f ca="1">IF(V$6&lt;OFFSET(Assumptions!$B$8,0,$C$1)+OFFSET(Assumptions!$B$23,0,$C$1),U$233+(OFFSET(U$30,0,OFFSET(Assumptions!$B$8,0,$C$1)+OFFSET(Assumptions!$B$23,0,$C$1)-V$6)-U$233)/(OFFSET(Assumptions!$B$8,0,$C$1)+OFFSET(Assumptions!$B$23,0,$C$1)-V$6),V$30)</f>
        <v>4.2999999999999997E-2</v>
      </c>
      <c r="W233" s="77">
        <f ca="1">IF(W$6&lt;OFFSET(Assumptions!$B$8,0,$C$1)+OFFSET(Assumptions!$B$23,0,$C$1),V$233+(OFFSET(V$30,0,OFFSET(Assumptions!$B$8,0,$C$1)+OFFSET(Assumptions!$B$23,0,$C$1)-W$6)-V$233)/(OFFSET(Assumptions!$B$8,0,$C$1)+OFFSET(Assumptions!$B$23,0,$C$1)-W$6),W$30)</f>
        <v>4.2999999999999997E-2</v>
      </c>
      <c r="X233" s="77">
        <f ca="1">IF(X$6&lt;OFFSET(Assumptions!$B$8,0,$C$1)+OFFSET(Assumptions!$B$23,0,$C$1),W$233+(OFFSET(W$30,0,OFFSET(Assumptions!$B$8,0,$C$1)+OFFSET(Assumptions!$B$23,0,$C$1)-X$6)-W$233)/(OFFSET(Assumptions!$B$8,0,$C$1)+OFFSET(Assumptions!$B$23,0,$C$1)-X$6),X$30)</f>
        <v>4.2999999999999997E-2</v>
      </c>
      <c r="Y233" s="77">
        <f ca="1">IF(Y$6&lt;OFFSET(Assumptions!$B$8,0,$C$1)+OFFSET(Assumptions!$B$23,0,$C$1),X$233+(OFFSET(X$30,0,OFFSET(Assumptions!$B$8,0,$C$1)+OFFSET(Assumptions!$B$23,0,$C$1)-Y$6)-X$233)/(OFFSET(Assumptions!$B$8,0,$C$1)+OFFSET(Assumptions!$B$23,0,$C$1)-Y$6),Y$30)</f>
        <v>4.2999999999999997E-2</v>
      </c>
      <c r="Z233" s="77">
        <f ca="1">IF(Z$6&lt;OFFSET(Assumptions!$B$8,0,$C$1)+OFFSET(Assumptions!$B$23,0,$C$1),Y$233+(OFFSET(Y$30,0,OFFSET(Assumptions!$B$8,0,$C$1)+OFFSET(Assumptions!$B$23,0,$C$1)-Z$6)-Y$233)/(OFFSET(Assumptions!$B$8,0,$C$1)+OFFSET(Assumptions!$B$23,0,$C$1)-Z$6),Z$30)</f>
        <v>4.2999999999999997E-2</v>
      </c>
      <c r="AA233" s="77">
        <f ca="1">IF(AA$6&lt;OFFSET(Assumptions!$B$8,0,$C$1)+OFFSET(Assumptions!$B$23,0,$C$1),Z$233+(OFFSET(Z$30,0,OFFSET(Assumptions!$B$8,0,$C$1)+OFFSET(Assumptions!$B$23,0,$C$1)-AA$6)-Z$233)/(OFFSET(Assumptions!$B$8,0,$C$1)+OFFSET(Assumptions!$B$23,0,$C$1)-AA$6),AA$30)</f>
        <v>4.2999999999999997E-2</v>
      </c>
      <c r="AB233" s="77">
        <f ca="1">IF(AB$6&lt;OFFSET(Assumptions!$B$8,0,$C$1)+OFFSET(Assumptions!$B$23,0,$C$1),AA$233+(OFFSET(AA$30,0,OFFSET(Assumptions!$B$8,0,$C$1)+OFFSET(Assumptions!$B$23,0,$C$1)-AB$6)-AA$233)/(OFFSET(Assumptions!$B$8,0,$C$1)+OFFSET(Assumptions!$B$23,0,$C$1)-AB$6),AB$30)</f>
        <v>4.2999999999999997E-2</v>
      </c>
      <c r="AC233" s="77">
        <f ca="1">IF(AC$6&lt;OFFSET(Assumptions!$B$8,0,$C$1)+OFFSET(Assumptions!$B$23,0,$C$1),AB$233+(OFFSET(AB$30,0,OFFSET(Assumptions!$B$8,0,$C$1)+OFFSET(Assumptions!$B$23,0,$C$1)-AC$6)-AB$233)/(OFFSET(Assumptions!$B$8,0,$C$1)+OFFSET(Assumptions!$B$23,0,$C$1)-AC$6),AC$30)</f>
        <v>4.2999999999999997E-2</v>
      </c>
      <c r="AD233" s="77">
        <f ca="1">IF(AD$6&lt;OFFSET(Assumptions!$B$8,0,$C$1)+OFFSET(Assumptions!$B$23,0,$C$1),AC$233+(OFFSET(AC$30,0,OFFSET(Assumptions!$B$8,0,$C$1)+OFFSET(Assumptions!$B$23,0,$C$1)-AD$6)-AC$233)/(OFFSET(Assumptions!$B$8,0,$C$1)+OFFSET(Assumptions!$B$23,0,$C$1)-AD$6),AD$30)</f>
        <v>4.2999999999999997E-2</v>
      </c>
      <c r="AE233" s="77">
        <f ca="1">IF(AE$6&lt;OFFSET(Assumptions!$B$8,0,$C$1)+OFFSET(Assumptions!$B$23,0,$C$1),AD$233+(OFFSET(AD$30,0,OFFSET(Assumptions!$B$8,0,$C$1)+OFFSET(Assumptions!$B$23,0,$C$1)-AE$6)-AD$233)/(OFFSET(Assumptions!$B$8,0,$C$1)+OFFSET(Assumptions!$B$23,0,$C$1)-AE$6),AE$30)</f>
        <v>4.2999999999999997E-2</v>
      </c>
      <c r="AF233" s="77">
        <f ca="1">IF(AF$6&lt;OFFSET(Assumptions!$B$8,0,$C$1)+OFFSET(Assumptions!$B$23,0,$C$1),AE$233+(OFFSET(AE$30,0,OFFSET(Assumptions!$B$8,0,$C$1)+OFFSET(Assumptions!$B$23,0,$C$1)-AF$6)-AE$233)/(OFFSET(Assumptions!$B$8,0,$C$1)+OFFSET(Assumptions!$B$23,0,$C$1)-AF$6),AF$30)</f>
        <v>4.2999999999999997E-2</v>
      </c>
      <c r="AG233" s="77">
        <f ca="1">IF(AG$6&lt;OFFSET(Assumptions!$B$8,0,$C$1)+OFFSET(Assumptions!$B$23,0,$C$1),AF$233+(OFFSET(AF$30,0,OFFSET(Assumptions!$B$8,0,$C$1)+OFFSET(Assumptions!$B$23,0,$C$1)-AG$6)-AF$233)/(OFFSET(Assumptions!$B$8,0,$C$1)+OFFSET(Assumptions!$B$23,0,$C$1)-AG$6),AG$30)</f>
        <v>4.2999999999999997E-2</v>
      </c>
      <c r="AH233" s="77">
        <f ca="1">IF(AH$6&lt;OFFSET(Assumptions!$B$8,0,$C$1)+OFFSET(Assumptions!$B$23,0,$C$1),AG$233+(OFFSET(AG$30,0,OFFSET(Assumptions!$B$8,0,$C$1)+OFFSET(Assumptions!$B$23,0,$C$1)-AH$6)-AG$233)/(OFFSET(Assumptions!$B$8,0,$C$1)+OFFSET(Assumptions!$B$23,0,$C$1)-AH$6),AH$30)</f>
        <v>4.2999999999999997E-2</v>
      </c>
      <c r="AI233" s="77">
        <f ca="1">IF(AI$6&lt;OFFSET(Assumptions!$B$8,0,$C$1)+OFFSET(Assumptions!$B$23,0,$C$1),AH$233+(OFFSET(AH$30,0,OFFSET(Assumptions!$B$8,0,$C$1)+OFFSET(Assumptions!$B$23,0,$C$1)-AI$6)-AH$233)/(OFFSET(Assumptions!$B$8,0,$C$1)+OFFSET(Assumptions!$B$23,0,$C$1)-AI$6),AI$30)</f>
        <v>4.2999999999999997E-2</v>
      </c>
      <c r="AJ233" s="77">
        <f ca="1">IF(AJ$6&lt;OFFSET(Assumptions!$B$8,0,$C$1)+OFFSET(Assumptions!$B$23,0,$C$1),AI$233+(OFFSET(AI$30,0,OFFSET(Assumptions!$B$8,0,$C$1)+OFFSET(Assumptions!$B$23,0,$C$1)-AJ$6)-AI$233)/(OFFSET(Assumptions!$B$8,0,$C$1)+OFFSET(Assumptions!$B$23,0,$C$1)-AJ$6),AJ$30)</f>
        <v>4.2999999999999997E-2</v>
      </c>
      <c r="AK233" s="77">
        <f ca="1">IF(AK$6&lt;OFFSET(Assumptions!$B$8,0,$C$1)+OFFSET(Assumptions!$B$23,0,$C$1),AJ$233+(OFFSET(AJ$30,0,OFFSET(Assumptions!$B$8,0,$C$1)+OFFSET(Assumptions!$B$23,0,$C$1)-AK$6)-AJ$233)/(OFFSET(Assumptions!$B$8,0,$C$1)+OFFSET(Assumptions!$B$23,0,$C$1)-AK$6),AK$30)</f>
        <v>4.2999999999999997E-2</v>
      </c>
      <c r="AL233" s="77">
        <f ca="1">IF(AL$6&lt;OFFSET(Assumptions!$B$8,0,$C$1)+OFFSET(Assumptions!$B$23,0,$C$1),AK$233+(OFFSET(AK$30,0,OFFSET(Assumptions!$B$8,0,$C$1)+OFFSET(Assumptions!$B$23,0,$C$1)-AL$6)-AK$233)/(OFFSET(Assumptions!$B$8,0,$C$1)+OFFSET(Assumptions!$B$23,0,$C$1)-AL$6),AL$30)</f>
        <v>4.2999999999999997E-2</v>
      </c>
      <c r="AM233" s="77">
        <f ca="1">IF(AM$6&lt;OFFSET(Assumptions!$B$8,0,$C$1)+OFFSET(Assumptions!$B$23,0,$C$1),AL$233+(OFFSET(AL$30,0,OFFSET(Assumptions!$B$8,0,$C$1)+OFFSET(Assumptions!$B$23,0,$C$1)-AM$6)-AL$233)/(OFFSET(Assumptions!$B$8,0,$C$1)+OFFSET(Assumptions!$B$23,0,$C$1)-AM$6),AM$30)</f>
        <v>4.2999999999999997E-2</v>
      </c>
      <c r="AN233" s="77">
        <f ca="1">IF(AN$6&lt;OFFSET(Assumptions!$B$8,0,$C$1)+OFFSET(Assumptions!$B$23,0,$C$1),AM$233+(OFFSET(AM$30,0,OFFSET(Assumptions!$B$8,0,$C$1)+OFFSET(Assumptions!$B$23,0,$C$1)-AN$6)-AM$233)/(OFFSET(Assumptions!$B$8,0,$C$1)+OFFSET(Assumptions!$B$23,0,$C$1)-AN$6),AN$30)</f>
        <v>4.2999999999999997E-2</v>
      </c>
      <c r="AO233" s="77">
        <f ca="1">IF(AO$6&lt;OFFSET(Assumptions!$B$8,0,$C$1)+OFFSET(Assumptions!$B$23,0,$C$1),AN$233+(OFFSET(AN$30,0,OFFSET(Assumptions!$B$8,0,$C$1)+OFFSET(Assumptions!$B$23,0,$C$1)-AO$6)-AN$233)/(OFFSET(Assumptions!$B$8,0,$C$1)+OFFSET(Assumptions!$B$23,0,$C$1)-AO$6),AO$30)</f>
        <v>4.2999999999999997E-2</v>
      </c>
      <c r="AP233" s="77">
        <f ca="1">IF(AP$6&lt;OFFSET(Assumptions!$B$8,0,$C$1)+OFFSET(Assumptions!$B$23,0,$C$1),AO$233+(OFFSET(AO$30,0,OFFSET(Assumptions!$B$8,0,$C$1)+OFFSET(Assumptions!$B$23,0,$C$1)-AP$6)-AO$233)/(OFFSET(Assumptions!$B$8,0,$C$1)+OFFSET(Assumptions!$B$23,0,$C$1)-AP$6),AP$30)</f>
        <v>4.2999999999999997E-2</v>
      </c>
      <c r="AQ233" s="77">
        <f ca="1">IF(AQ$6&lt;OFFSET(Assumptions!$B$8,0,$C$1)+OFFSET(Assumptions!$B$23,0,$C$1),AP$233+(OFFSET(AP$30,0,OFFSET(Assumptions!$B$8,0,$C$1)+OFFSET(Assumptions!$B$23,0,$C$1)-AQ$6)-AP$233)/(OFFSET(Assumptions!$B$8,0,$C$1)+OFFSET(Assumptions!$B$23,0,$C$1)-AQ$6),AQ$30)</f>
        <v>4.2999999999999997E-2</v>
      </c>
      <c r="AR233" s="77">
        <f ca="1">IF(AR$6&lt;OFFSET(Assumptions!$B$8,0,$C$1)+OFFSET(Assumptions!$B$23,0,$C$1),AQ$233+(OFFSET(AQ$30,0,OFFSET(Assumptions!$B$8,0,$C$1)+OFFSET(Assumptions!$B$23,0,$C$1)-AR$6)-AQ$233)/(OFFSET(Assumptions!$B$8,0,$C$1)+OFFSET(Assumptions!$B$23,0,$C$1)-AR$6),AR$30)</f>
        <v>4.2999999999999997E-2</v>
      </c>
      <c r="AS233" s="77">
        <f ca="1">IF(AS$6&lt;OFFSET(Assumptions!$B$8,0,$C$1)+OFFSET(Assumptions!$B$23,0,$C$1),AR$233+(OFFSET(AR$30,0,OFFSET(Assumptions!$B$8,0,$C$1)+OFFSET(Assumptions!$B$23,0,$C$1)-AS$6)-AR$233)/(OFFSET(Assumptions!$B$8,0,$C$1)+OFFSET(Assumptions!$B$23,0,$C$1)-AS$6),AS$30)</f>
        <v>4.2999999999999997E-2</v>
      </c>
      <c r="AT233" s="77">
        <f ca="1">IF(AT$6&lt;OFFSET(Assumptions!$B$8,0,$C$1)+OFFSET(Assumptions!$B$23,0,$C$1),AS$233+(OFFSET(AS$30,0,OFFSET(Assumptions!$B$8,0,$C$1)+OFFSET(Assumptions!$B$23,0,$C$1)-AT$6)-AS$233)/(OFFSET(Assumptions!$B$8,0,$C$1)+OFFSET(Assumptions!$B$23,0,$C$1)-AT$6),AT$30)</f>
        <v>4.2999999999999997E-2</v>
      </c>
      <c r="AU233" s="77">
        <f ca="1">IF(AU$6&lt;OFFSET(Assumptions!$B$8,0,$C$1)+OFFSET(Assumptions!$B$23,0,$C$1),AT$233+(OFFSET(AT$30,0,OFFSET(Assumptions!$B$8,0,$C$1)+OFFSET(Assumptions!$B$23,0,$C$1)-AU$6)-AT$233)/(OFFSET(Assumptions!$B$8,0,$C$1)+OFFSET(Assumptions!$B$23,0,$C$1)-AU$6),AU$30)</f>
        <v>4.2999999999999997E-2</v>
      </c>
      <c r="AV233" s="77">
        <f ca="1">IF(AV$6&lt;OFFSET(Assumptions!$B$8,0,$C$1)+OFFSET(Assumptions!$B$23,0,$C$1),AU$233+(OFFSET(AU$30,0,OFFSET(Assumptions!$B$8,0,$C$1)+OFFSET(Assumptions!$B$23,0,$C$1)-AV$6)-AU$233)/(OFFSET(Assumptions!$B$8,0,$C$1)+OFFSET(Assumptions!$B$23,0,$C$1)-AV$6),AV$30)</f>
        <v>4.2999999999999997E-2</v>
      </c>
      <c r="AW233" s="77">
        <f ca="1">IF(AW$6&lt;OFFSET(Assumptions!$B$8,0,$C$1)+OFFSET(Assumptions!$B$23,0,$C$1),AV$233+(OFFSET(AV$30,0,OFFSET(Assumptions!$B$8,0,$C$1)+OFFSET(Assumptions!$B$23,0,$C$1)-AW$6)-AV$233)/(OFFSET(Assumptions!$B$8,0,$C$1)+OFFSET(Assumptions!$B$23,0,$C$1)-AW$6),AW$30)</f>
        <v>4.2999999999999997E-2</v>
      </c>
      <c r="AX233" s="77">
        <f ca="1">IF(AX$6&lt;OFFSET(Assumptions!$B$8,0,$C$1)+OFFSET(Assumptions!$B$23,0,$C$1),AW$233+(OFFSET(AW$30,0,OFFSET(Assumptions!$B$8,0,$C$1)+OFFSET(Assumptions!$B$23,0,$C$1)-AX$6)-AW$233)/(OFFSET(Assumptions!$B$8,0,$C$1)+OFFSET(Assumptions!$B$23,0,$C$1)-AX$6),AX$30)</f>
        <v>4.2999999999999997E-2</v>
      </c>
    </row>
    <row r="234" spans="1:50" x14ac:dyDescent="0.25">
      <c r="A234" s="10"/>
    </row>
    <row r="235" spans="1:50" x14ac:dyDescent="0.25">
      <c r="A235" s="9" t="s">
        <v>462</v>
      </c>
    </row>
    <row r="236" spans="1:50" x14ac:dyDescent="0.25">
      <c r="A236" s="9" t="s">
        <v>905</v>
      </c>
      <c r="B236" s="10" t="str">
        <f>$B$38</f>
        <v>From Fiscal Forecasts</v>
      </c>
      <c r="D236" s="42">
        <f>'Fiscal Forecasts'!D$174</f>
        <v>0</v>
      </c>
      <c r="E236" s="42">
        <f>'Fiscal Forecasts'!E$174</f>
        <v>0</v>
      </c>
      <c r="F236" s="42">
        <f>'Fiscal Forecasts'!F$174</f>
        <v>1E-3</v>
      </c>
      <c r="G236" s="42">
        <f>'Fiscal Forecasts'!G$174</f>
        <v>1E-3</v>
      </c>
      <c r="H236" s="42">
        <f>'Fiscal Forecasts'!H$174</f>
        <v>3.0000000000000001E-3</v>
      </c>
      <c r="I236" s="42">
        <f>'Fiscal Forecasts'!I$174</f>
        <v>2E-3</v>
      </c>
      <c r="J236" s="43">
        <f>'Fiscal Forecasts'!J$174</f>
        <v>3.0000000000000001E-3</v>
      </c>
      <c r="K236" s="43">
        <f>'Fiscal Forecasts'!K$174</f>
        <v>3.0000000000000001E-3</v>
      </c>
      <c r="L236" s="43">
        <f>'Fiscal Forecasts'!L$174</f>
        <v>3.0000000000000001E-3</v>
      </c>
      <c r="M236" s="43">
        <f>'Fiscal Forecasts'!M$174</f>
        <v>2E-3</v>
      </c>
      <c r="N236" s="43">
        <f>'Fiscal Forecasts'!N$174</f>
        <v>3.0000000000000001E-3</v>
      </c>
      <c r="O236" s="47">
        <f ca="1">IF(O$6=OFFSET(Assumptions!$B$8,0,$C$1),OFFSET(Assumptions!$B$9,0,$C$1),N$236)</f>
        <v>0</v>
      </c>
      <c r="P236" s="47">
        <f ca="1">IF(P$6=OFFSET(Assumptions!$B$8,0,$C$1),OFFSET(Assumptions!$B$9,0,$C$1),O$236)</f>
        <v>0</v>
      </c>
      <c r="Q236" s="47">
        <f ca="1">IF(Q$6=OFFSET(Assumptions!$B$8,0,$C$1),OFFSET(Assumptions!$B$9,0,$C$1),P$236)</f>
        <v>0</v>
      </c>
      <c r="R236" s="47">
        <f ca="1">IF(R$6=OFFSET(Assumptions!$B$8,0,$C$1),OFFSET(Assumptions!$B$9,0,$C$1),Q$236)</f>
        <v>0</v>
      </c>
      <c r="S236" s="47">
        <f ca="1">IF(S$6=OFFSET(Assumptions!$B$8,0,$C$1),OFFSET(Assumptions!$B$9,0,$C$1),R$236)</f>
        <v>0</v>
      </c>
      <c r="T236" s="47">
        <f ca="1">IF(T$6=OFFSET(Assumptions!$B$8,0,$C$1),OFFSET(Assumptions!$B$9,0,$C$1),S$236)</f>
        <v>0</v>
      </c>
      <c r="U236" s="47">
        <f ca="1">IF(U$6=OFFSET(Assumptions!$B$8,0,$C$1),OFFSET(Assumptions!$B$9,0,$C$1),T$236)</f>
        <v>0</v>
      </c>
      <c r="V236" s="47">
        <f ca="1">IF(V$6=OFFSET(Assumptions!$B$8,0,$C$1),OFFSET(Assumptions!$B$9,0,$C$1),U$236)</f>
        <v>0</v>
      </c>
      <c r="W236" s="47">
        <f ca="1">IF(W$6=OFFSET(Assumptions!$B$8,0,$C$1),OFFSET(Assumptions!$B$9,0,$C$1),V$236)</f>
        <v>0</v>
      </c>
      <c r="X236" s="47">
        <f ca="1">IF(X$6=OFFSET(Assumptions!$B$8,0,$C$1),OFFSET(Assumptions!$B$9,0,$C$1),W$236)</f>
        <v>0</v>
      </c>
      <c r="Y236" s="47">
        <f ca="1">IF(Y$6=OFFSET(Assumptions!$B$8,0,$C$1),OFFSET(Assumptions!$B$9,0,$C$1),X$236)</f>
        <v>0</v>
      </c>
      <c r="Z236" s="47">
        <f ca="1">IF(Z$6=OFFSET(Assumptions!$B$8,0,$C$1),OFFSET(Assumptions!$B$9,0,$C$1),Y$236)</f>
        <v>0</v>
      </c>
      <c r="AA236" s="47">
        <f ca="1">IF(AA$6=OFFSET(Assumptions!$B$8,0,$C$1),OFFSET(Assumptions!$B$9,0,$C$1),Z$236)</f>
        <v>0</v>
      </c>
      <c r="AB236" s="47">
        <f ca="1">IF(AB$6=OFFSET(Assumptions!$B$8,0,$C$1),OFFSET(Assumptions!$B$9,0,$C$1),AA$236)</f>
        <v>0</v>
      </c>
      <c r="AC236" s="47">
        <f ca="1">IF(AC$6=OFFSET(Assumptions!$B$8,0,$C$1),OFFSET(Assumptions!$B$9,0,$C$1),AB$236)</f>
        <v>0</v>
      </c>
      <c r="AD236" s="47">
        <f ca="1">IF(AD$6=OFFSET(Assumptions!$B$8,0,$C$1),OFFSET(Assumptions!$B$9,0,$C$1),AC$236)</f>
        <v>0</v>
      </c>
      <c r="AE236" s="47">
        <f ca="1">IF(AE$6=OFFSET(Assumptions!$B$8,0,$C$1),OFFSET(Assumptions!$B$9,0,$C$1),AD$236)</f>
        <v>0</v>
      </c>
      <c r="AF236" s="47">
        <f ca="1">IF(AF$6=OFFSET(Assumptions!$B$8,0,$C$1),OFFSET(Assumptions!$B$9,0,$C$1),AE$236)</f>
        <v>0</v>
      </c>
      <c r="AG236" s="47">
        <f ca="1">IF(AG$6=OFFSET(Assumptions!$B$8,0,$C$1),OFFSET(Assumptions!$B$9,0,$C$1),AF$236)</f>
        <v>0</v>
      </c>
      <c r="AH236" s="47">
        <f ca="1">IF(AH$6=OFFSET(Assumptions!$B$8,0,$C$1),OFFSET(Assumptions!$B$9,0,$C$1),AG$236)</f>
        <v>0</v>
      </c>
      <c r="AI236" s="47">
        <f ca="1">IF(AI$6=OFFSET(Assumptions!$B$8,0,$C$1),OFFSET(Assumptions!$B$9,0,$C$1),AH$236)</f>
        <v>0</v>
      </c>
      <c r="AJ236" s="47">
        <f ca="1">IF(AJ$6=OFFSET(Assumptions!$B$8,0,$C$1),OFFSET(Assumptions!$B$9,0,$C$1),AI$236)</f>
        <v>0</v>
      </c>
      <c r="AK236" s="47">
        <f ca="1">IF(AK$6=OFFSET(Assumptions!$B$8,0,$C$1),OFFSET(Assumptions!$B$9,0,$C$1),AJ$236)</f>
        <v>0</v>
      </c>
      <c r="AL236" s="47">
        <f ca="1">IF(AL$6=OFFSET(Assumptions!$B$8,0,$C$1),OFFSET(Assumptions!$B$9,0,$C$1),AK$236)</f>
        <v>0</v>
      </c>
      <c r="AM236" s="47">
        <f ca="1">IF(AM$6=OFFSET(Assumptions!$B$8,0,$C$1),OFFSET(Assumptions!$B$9,0,$C$1),AL$236)</f>
        <v>0</v>
      </c>
      <c r="AN236" s="47">
        <f ca="1">IF(AN$6=OFFSET(Assumptions!$B$8,0,$C$1),OFFSET(Assumptions!$B$9,0,$C$1),AM$236)</f>
        <v>0</v>
      </c>
      <c r="AO236" s="47">
        <f ca="1">IF(AO$6=OFFSET(Assumptions!$B$8,0,$C$1),OFFSET(Assumptions!$B$9,0,$C$1),AN$236)</f>
        <v>0</v>
      </c>
      <c r="AP236" s="47">
        <f ca="1">IF(AP$6=OFFSET(Assumptions!$B$8,0,$C$1),OFFSET(Assumptions!$B$9,0,$C$1),AO$236)</f>
        <v>0</v>
      </c>
      <c r="AQ236" s="47">
        <f ca="1">IF(AQ$6=OFFSET(Assumptions!$B$8,0,$C$1),OFFSET(Assumptions!$B$9,0,$C$1),AP$236)</f>
        <v>0</v>
      </c>
      <c r="AR236" s="47">
        <f ca="1">IF(AR$6=OFFSET(Assumptions!$B$8,0,$C$1),OFFSET(Assumptions!$B$9,0,$C$1),AQ$236)</f>
        <v>0</v>
      </c>
      <c r="AS236" s="47">
        <f ca="1">IF(AS$6=OFFSET(Assumptions!$B$8,0,$C$1),OFFSET(Assumptions!$B$9,0,$C$1),AR$236)</f>
        <v>0</v>
      </c>
      <c r="AT236" s="47">
        <f ca="1">IF(AT$6=OFFSET(Assumptions!$B$8,0,$C$1),OFFSET(Assumptions!$B$9,0,$C$1),AS$236)</f>
        <v>0</v>
      </c>
      <c r="AU236" s="47">
        <f ca="1">IF(AU$6=OFFSET(Assumptions!$B$8,0,$C$1),OFFSET(Assumptions!$B$9,0,$C$1),AT$236)</f>
        <v>0</v>
      </c>
      <c r="AV236" s="47">
        <f ca="1">IF(AV$6=OFFSET(Assumptions!$B$8,0,$C$1),OFFSET(Assumptions!$B$9,0,$C$1),AU$236)</f>
        <v>0</v>
      </c>
      <c r="AW236" s="47">
        <f ca="1">IF(AW$6=OFFSET(Assumptions!$B$8,0,$C$1),OFFSET(Assumptions!$B$9,0,$C$1),AV$236)</f>
        <v>0</v>
      </c>
      <c r="AX236" s="47">
        <f ca="1">IF(AX$6=OFFSET(Assumptions!$B$8,0,$C$1),OFFSET(Assumptions!$B$9,0,$C$1),AW$236)</f>
        <v>0</v>
      </c>
    </row>
    <row r="237" spans="1:50" x14ac:dyDescent="0.25">
      <c r="A237" s="11" t="s">
        <v>630</v>
      </c>
      <c r="B237" s="10" t="str">
        <f>$B$38</f>
        <v>From Fiscal Forecasts</v>
      </c>
      <c r="D237" s="35">
        <f>'Fiscal Forecasts'!D$203</f>
        <v>5.8070000000000004</v>
      </c>
      <c r="E237" s="35">
        <f>'Fiscal Forecasts'!E$203</f>
        <v>6.8959999999999999</v>
      </c>
      <c r="F237" s="35">
        <f>'Fiscal Forecasts'!F$203</f>
        <v>6.8310000000000004</v>
      </c>
      <c r="G237" s="35">
        <f>'Fiscal Forecasts'!G$203</f>
        <v>6.44</v>
      </c>
      <c r="H237" s="35">
        <f>'Fiscal Forecasts'!H$203</f>
        <v>8.7729999999999997</v>
      </c>
      <c r="I237" s="35">
        <f>'Fiscal Forecasts'!I$203</f>
        <v>10.413</v>
      </c>
      <c r="J237" s="17">
        <f>'Fiscal Forecasts'!J$203</f>
        <v>11.276999999999999</v>
      </c>
      <c r="K237" s="17">
        <f>'Fiscal Forecasts'!K$203</f>
        <v>10.643000000000001</v>
      </c>
      <c r="L237" s="17">
        <f>'Fiscal Forecasts'!L$203</f>
        <v>11.305999999999999</v>
      </c>
      <c r="M237" s="17">
        <f>'Fiscal Forecasts'!M$203</f>
        <v>11.878</v>
      </c>
      <c r="N237" s="17">
        <f>'Fiscal Forecasts'!N$203</f>
        <v>12.304</v>
      </c>
      <c r="O237" s="16">
        <f ca="1">IF(O$6=OFFSET(Assumptions!$B$8,0,$C$1),AVERAGE(L$237/SUM(L$240:L$241),M$237/SUM(M$240:M$241),N$237/SUM(N$240:N$241)),N$237/SUM(N$240:N$241))*SUM(O$240:O$241)</f>
        <v>13.017410712502654</v>
      </c>
      <c r="P237" s="16">
        <f ca="1">IF(P$6=OFFSET(Assumptions!$B$8,0,$C$1),AVERAGE(M$237/SUM(M$240:M$241),N$237/SUM(N$240:N$241),O$237/SUM(O$240:O$241)),O$237/SUM(O$240:O$241))*SUM(P$240:P$241)</f>
        <v>13.770928171351672</v>
      </c>
      <c r="Q237" s="16">
        <f ca="1">IF(Q$6=OFFSET(Assumptions!$B$8,0,$C$1),AVERAGE(N$237/SUM(N$240:N$241),O$237/SUM(O$240:O$241),P$237/SUM(P$240:P$241)),P$237/SUM(P$240:P$241))*SUM(Q$240:Q$241)</f>
        <v>14.541596944171967</v>
      </c>
      <c r="R237" s="16">
        <f ca="1">IF(R$6=OFFSET(Assumptions!$B$8,0,$C$1),AVERAGE(O$237/SUM(O$240:O$241),P$237/SUM(P$240:P$241),Q$237/SUM(Q$240:Q$241)),Q$237/SUM(Q$240:Q$241))*SUM(R$240:R$241)</f>
        <v>15.314753716494954</v>
      </c>
      <c r="S237" s="16">
        <f ca="1">IF(S$6=OFFSET(Assumptions!$B$8,0,$C$1),AVERAGE(P$237/SUM(P$240:P$241),Q$237/SUM(Q$240:Q$241),R$237/SUM(R$240:R$241)),R$237/SUM(R$240:R$241))*SUM(S$240:S$241)</f>
        <v>16.099923102742896</v>
      </c>
      <c r="T237" s="16">
        <f ca="1">IF(T$6=OFFSET(Assumptions!$B$8,0,$C$1),AVERAGE(Q$237/SUM(Q$240:Q$241),R$237/SUM(R$240:R$241),S$237/SUM(S$240:S$241)),S$237/SUM(S$240:S$241))*SUM(T$240:T$241)</f>
        <v>16.871400641531128</v>
      </c>
      <c r="U237" s="16">
        <f ca="1">IF(U$6=OFFSET(Assumptions!$B$8,0,$C$1),AVERAGE(R$237/SUM(R$240:R$241),S$237/SUM(S$240:S$241),T$237/SUM(T$240:T$241)),T$237/SUM(T$240:T$241))*SUM(U$240:U$241)</f>
        <v>17.691835362523282</v>
      </c>
      <c r="V237" s="16">
        <f ca="1">IF(V$6=OFFSET(Assumptions!$B$8,0,$C$1),AVERAGE(S$237/SUM(S$240:S$241),T$237/SUM(T$240:T$241),U$237/SUM(U$240:U$241)),U$237/SUM(U$240:U$241))*SUM(V$240:V$241)</f>
        <v>18.519614525238651</v>
      </c>
      <c r="W237" s="16">
        <f ca="1">IF(W$6=OFFSET(Assumptions!$B$8,0,$C$1),AVERAGE(T$237/SUM(T$240:T$241),U$237/SUM(U$240:U$241),V$237/SUM(V$240:V$241)),V$237/SUM(V$240:V$241))*SUM(W$240:W$241)</f>
        <v>19.377403166385285</v>
      </c>
      <c r="X237" s="16">
        <f ca="1">IF(X$6=OFFSET(Assumptions!$B$8,0,$C$1),AVERAGE(U$237/SUM(U$240:U$241),V$237/SUM(V$240:V$241),W$237/SUM(W$240:W$241)),W$237/SUM(W$240:W$241))*SUM(X$240:X$241)</f>
        <v>20.274820132878506</v>
      </c>
      <c r="Y237" s="16">
        <f ca="1">IF(Y$6=OFFSET(Assumptions!$B$8,0,$C$1),AVERAGE(V$237/SUM(V$240:V$241),W$237/SUM(W$240:W$241),X$237/SUM(X$240:X$241)),X$237/SUM(X$240:X$241))*SUM(Y$240:Y$241)</f>
        <v>21.173705075199365</v>
      </c>
      <c r="Z237" s="16">
        <f ca="1">IF(Z$6=OFFSET(Assumptions!$B$8,0,$C$1),AVERAGE(W$237/SUM(W$240:W$241),X$237/SUM(X$240:X$241),Y$237/SUM(Y$240:Y$241)),Y$237/SUM(Y$240:Y$241))*SUM(Z$240:Z$241)</f>
        <v>22.119963210233113</v>
      </c>
      <c r="AA237" s="16">
        <f ca="1">IF(AA$6=OFFSET(Assumptions!$B$8,0,$C$1),AVERAGE(X$237/SUM(X$240:X$241),Y$237/SUM(Y$240:Y$241),Z$237/SUM(Z$240:Z$241)),Z$237/SUM(Z$240:Z$241))*SUM(AA$240:AA$241)</f>
        <v>23.092291306103547</v>
      </c>
      <c r="AB237" s="16">
        <f ca="1">IF(AB$6=OFFSET(Assumptions!$B$8,0,$C$1),AVERAGE(Y$237/SUM(Y$240:Y$241),Z$237/SUM(Z$240:Z$241),AA$237/SUM(AA$240:AA$241)),AA$237/SUM(AA$240:AA$241))*SUM(AB$240:AB$241)</f>
        <v>24.090355646663205</v>
      </c>
      <c r="AC237" s="16">
        <f ca="1">IF(AC$6=OFFSET(Assumptions!$B$8,0,$C$1),AVERAGE(Z$237/SUM(Z$240:Z$241),AA$237/SUM(AA$240:AA$241),AB$237/SUM(AB$240:AB$241)),AB$237/SUM(AB$240:AB$241))*SUM(AC$240:AC$241)</f>
        <v>25.158695923619955</v>
      </c>
      <c r="AD237" s="16">
        <f ca="1">IF(AD$6=OFFSET(Assumptions!$B$8,0,$C$1),AVERAGE(AA$237/SUM(AA$240:AA$241),AB$237/SUM(AB$240:AB$241),AC$237/SUM(AC$240:AC$241)),AC$237/SUM(AC$240:AC$241))*SUM(AD$240:AD$241)</f>
        <v>26.217094502165324</v>
      </c>
      <c r="AE237" s="16">
        <f ca="1">IF(AE$6=OFFSET(Assumptions!$B$8,0,$C$1),AVERAGE(AB$237/SUM(AB$240:AB$241),AC$237/SUM(AC$240:AC$241),AD$237/SUM(AD$240:AD$241)),AD$237/SUM(AD$240:AD$241))*SUM(AE$240:AE$241)</f>
        <v>27.320155424276521</v>
      </c>
      <c r="AF237" s="16">
        <f ca="1">IF(AF$6=OFFSET(Assumptions!$B$8,0,$C$1),AVERAGE(AC$237/SUM(AC$240:AC$241),AD$237/SUM(AD$240:AD$241),AE$237/SUM(AE$240:AE$241)),AE$237/SUM(AE$240:AE$241))*SUM(AF$240:AF$241)</f>
        <v>28.492487244703096</v>
      </c>
      <c r="AG237" s="16">
        <f ca="1">IF(AG$6=OFFSET(Assumptions!$B$8,0,$C$1),AVERAGE(AD$237/SUM(AD$240:AD$241),AE$237/SUM(AE$240:AE$241),AF$237/SUM(AF$240:AF$241)),AF$237/SUM(AF$240:AF$241))*SUM(AG$240:AG$241)</f>
        <v>29.677929602275544</v>
      </c>
      <c r="AH237" s="16">
        <f ca="1">IF(AH$6=OFFSET(Assumptions!$B$8,0,$C$1),AVERAGE(AE$237/SUM(AE$240:AE$241),AF$237/SUM(AF$240:AF$241),AG$237/SUM(AG$240:AG$241)),AG$237/SUM(AG$240:AG$241))*SUM(AH$240:AH$241)</f>
        <v>30.916343784157764</v>
      </c>
      <c r="AI237" s="16">
        <f ca="1">IF(AI$6=OFFSET(Assumptions!$B$8,0,$C$1),AVERAGE(AF$237/SUM(AF$240:AF$241),AG$237/SUM(AG$240:AG$241),AH$237/SUM(AH$240:AH$241)),AH$237/SUM(AH$240:AH$241))*SUM(AI$240:AI$241)</f>
        <v>32.186877267118021</v>
      </c>
      <c r="AJ237" s="16">
        <f ca="1">IF(AJ$6=OFFSET(Assumptions!$B$8,0,$C$1),AVERAGE(AG$237/SUM(AG$240:AG$241),AH$237/SUM(AH$240:AH$241),AI$237/SUM(AI$240:AI$241)),AI$237/SUM(AI$240:AI$241))*SUM(AJ$240:AJ$241)</f>
        <v>33.500931193801804</v>
      </c>
      <c r="AK237" s="16">
        <f ca="1">IF(AK$6=OFFSET(Assumptions!$B$8,0,$C$1),AVERAGE(AH$237/SUM(AH$240:AH$241),AI$237/SUM(AI$240:AI$241),AJ$237/SUM(AJ$240:AJ$241)),AJ$237/SUM(AJ$240:AJ$241))*SUM(AK$240:AK$241)</f>
        <v>34.87833060550787</v>
      </c>
      <c r="AL237" s="16">
        <f ca="1">IF(AL$6=OFFSET(Assumptions!$B$8,0,$C$1),AVERAGE(AI$237/SUM(AI$240:AI$241),AJ$237/SUM(AJ$240:AJ$241),AK$237/SUM(AK$240:AK$241)),AK$237/SUM(AK$240:AK$241))*SUM(AL$240:AL$241)</f>
        <v>36.290322482379452</v>
      </c>
      <c r="AM237" s="16">
        <f ca="1">IF(AM$6=OFFSET(Assumptions!$B$8,0,$C$1),AVERAGE(AJ$237/SUM(AJ$240:AJ$241),AK$237/SUM(AK$240:AK$241),AL$237/SUM(AL$240:AL$241)),AL$237/SUM(AL$240:AL$241))*SUM(AM$240:AM$241)</f>
        <v>37.744984699697653</v>
      </c>
      <c r="AN237" s="16">
        <f ca="1">IF(AN$6=OFFSET(Assumptions!$B$8,0,$C$1),AVERAGE(AK$237/SUM(AK$240:AK$241),AL$237/SUM(AL$240:AL$241),AM$237/SUM(AM$240:AM$241)),AM$237/SUM(AM$240:AM$241))*SUM(AN$240:AN$241)</f>
        <v>39.27710251938386</v>
      </c>
      <c r="AO237" s="16">
        <f ca="1">IF(AO$6=OFFSET(Assumptions!$B$8,0,$C$1),AVERAGE(AL$237/SUM(AL$240:AL$241),AM$237/SUM(AM$240:AM$241),AN$237/SUM(AN$240:AN$241)),AN$237/SUM(AN$240:AN$241))*SUM(AO$240:AO$241)</f>
        <v>40.8218476597321</v>
      </c>
      <c r="AP237" s="16">
        <f ca="1">IF(AP$6=OFFSET(Assumptions!$B$8,0,$C$1),AVERAGE(AM$237/SUM(AM$240:AM$241),AN$237/SUM(AN$240:AN$241),AO$237/SUM(AO$240:AO$241)),AO$237/SUM(AO$240:AO$241))*SUM(AP$240:AP$241)</f>
        <v>42.451081174699361</v>
      </c>
      <c r="AQ237" s="16">
        <f ca="1">IF(AQ$6=OFFSET(Assumptions!$B$8,0,$C$1),AVERAGE(AN$237/SUM(AN$240:AN$241),AO$237/SUM(AO$240:AO$241),AP$237/SUM(AP$240:AP$241)),AP$237/SUM(AP$240:AP$241))*SUM(AQ$240:AQ$241)</f>
        <v>44.175295954150648</v>
      </c>
      <c r="AR237" s="16">
        <f ca="1">IF(AR$6=OFFSET(Assumptions!$B$8,0,$C$1),AVERAGE(AO$237/SUM(AO$240:AO$241),AP$237/SUM(AP$240:AP$241),AQ$237/SUM(AQ$240:AQ$241)),AQ$237/SUM(AQ$240:AQ$241))*SUM(AR$240:AR$241)</f>
        <v>45.969469479054595</v>
      </c>
      <c r="AS237" s="16">
        <f ca="1">IF(AS$6=OFFSET(Assumptions!$B$8,0,$C$1),AVERAGE(AP$237/SUM(AP$240:AP$241),AQ$237/SUM(AQ$240:AQ$241),AR$237/SUM(AR$240:AR$241)),AR$237/SUM(AR$240:AR$241))*SUM(AS$240:AS$241)</f>
        <v>47.836429159683718</v>
      </c>
      <c r="AT237" s="16">
        <f ca="1">IF(AT$6=OFFSET(Assumptions!$B$8,0,$C$1),AVERAGE(AQ$237/SUM(AQ$240:AQ$241),AR$237/SUM(AR$240:AR$241),AS$237/SUM(AS$240:AS$241)),AS$237/SUM(AS$240:AS$241))*SUM(AT$240:AT$241)</f>
        <v>49.779324693618918</v>
      </c>
      <c r="AU237" s="16">
        <f ca="1">IF(AU$6=OFFSET(Assumptions!$B$8,0,$C$1),AVERAGE(AR$237/SUM(AR$240:AR$241),AS$237/SUM(AS$240:AS$241),AT$237/SUM(AT$240:AT$241)),AT$237/SUM(AT$240:AT$241))*SUM(AU$240:AU$241)</f>
        <v>51.801112372653115</v>
      </c>
      <c r="AV237" s="16">
        <f ca="1">IF(AV$6=OFFSET(Assumptions!$B$8,0,$C$1),AVERAGE(AS$237/SUM(AS$240:AS$241),AT$237/SUM(AT$240:AT$241),AU$237/SUM(AU$240:AU$241)),AU$237/SUM(AU$240:AU$241))*SUM(AV$240:AV$241)</f>
        <v>53.905175119566515</v>
      </c>
      <c r="AW237" s="16">
        <f ca="1">IF(AW$6=OFFSET(Assumptions!$B$8,0,$C$1),AVERAGE(AT$237/SUM(AT$240:AT$241),AU$237/SUM(AU$240:AU$241),AV$237/SUM(AV$240:AV$241)),AV$237/SUM(AV$240:AV$241))*SUM(AW$240:AW$241)</f>
        <v>56.094844213840219</v>
      </c>
      <c r="AX237" s="16">
        <f ca="1">IF(AX$6=OFFSET(Assumptions!$B$8,0,$C$1),AVERAGE(AU$237/SUM(AU$240:AU$241),AV$237/SUM(AV$240:AV$241),AW$237/SUM(AW$240:AW$241)),AW$237/SUM(AW$240:AW$241))*SUM(AX$240:AX$241)</f>
        <v>58.3734576371752</v>
      </c>
    </row>
    <row r="238" spans="1:50" x14ac:dyDescent="0.25">
      <c r="A238" s="11" t="s">
        <v>979</v>
      </c>
      <c r="B238" s="10" t="str">
        <f>$B$38</f>
        <v>From Fiscal Forecasts</v>
      </c>
      <c r="D238" s="35">
        <f>'Fiscal Forecasts'!D$204</f>
        <v>5.0000000000000001E-3</v>
      </c>
      <c r="E238" s="35">
        <f>'Fiscal Forecasts'!E$204</f>
        <v>7.0000000000000001E-3</v>
      </c>
      <c r="F238" s="35">
        <f>'Fiscal Forecasts'!F$204</f>
        <v>6.0000000000000001E-3</v>
      </c>
      <c r="G238" s="35">
        <f>'Fiscal Forecasts'!G$204</f>
        <v>6.0000000000000001E-3</v>
      </c>
      <c r="H238" s="35">
        <f>'Fiscal Forecasts'!H$204</f>
        <v>8.0000000000000002E-3</v>
      </c>
      <c r="I238" s="35">
        <f>'Fiscal Forecasts'!I$204</f>
        <v>1.0999999999999999E-2</v>
      </c>
      <c r="J238" s="17">
        <f>'Fiscal Forecasts'!J$204</f>
        <v>1.2E-2</v>
      </c>
      <c r="K238" s="17">
        <f>'Fiscal Forecasts'!K$204</f>
        <v>1.2999999999999999E-2</v>
      </c>
      <c r="L238" s="17">
        <f>'Fiscal Forecasts'!L$204</f>
        <v>1.4E-2</v>
      </c>
      <c r="M238" s="17">
        <f>'Fiscal Forecasts'!M$204</f>
        <v>1.4999999999999999E-2</v>
      </c>
      <c r="N238" s="17">
        <f>'Fiscal Forecasts'!N$204</f>
        <v>1.6E-2</v>
      </c>
      <c r="O238" s="16">
        <f t="shared" ref="O238:AX238" ca="1" si="1125">SUM(O$240:O$241,-O$237)</f>
        <v>1.9435213279244579E-2</v>
      </c>
      <c r="P238" s="16">
        <f t="shared" ca="1" si="1125"/>
        <v>2.0560227527147035E-2</v>
      </c>
      <c r="Q238" s="16">
        <f t="shared" ca="1" si="1125"/>
        <v>2.1710848975470043E-2</v>
      </c>
      <c r="R238" s="16">
        <f t="shared" ca="1" si="1125"/>
        <v>2.2865185048921433E-2</v>
      </c>
      <c r="S238" s="16">
        <f t="shared" ca="1" si="1125"/>
        <v>2.4037456157138593E-2</v>
      </c>
      <c r="T238" s="16">
        <f t="shared" ca="1" si="1125"/>
        <v>2.5189285106662851E-2</v>
      </c>
      <c r="U238" s="16">
        <f t="shared" ca="1" si="1125"/>
        <v>2.6414207953173729E-2</v>
      </c>
      <c r="V238" s="16">
        <f t="shared" ca="1" si="1125"/>
        <v>2.7650096174784977E-2</v>
      </c>
      <c r="W238" s="16">
        <f t="shared" ca="1" si="1125"/>
        <v>2.8930789052761696E-2</v>
      </c>
      <c r="X238" s="16">
        <f t="shared" ca="1" si="1125"/>
        <v>3.0270647687430596E-2</v>
      </c>
      <c r="Y238" s="16">
        <f t="shared" ca="1" si="1125"/>
        <v>3.1612698034720665E-2</v>
      </c>
      <c r="Z238" s="16">
        <f t="shared" ca="1" si="1125"/>
        <v>3.3025477356027011E-2</v>
      </c>
      <c r="AA238" s="16">
        <f t="shared" ca="1" si="1125"/>
        <v>3.4477179567627303E-2</v>
      </c>
      <c r="AB238" s="16">
        <f t="shared" ca="1" si="1125"/>
        <v>3.5967306425693124E-2</v>
      </c>
      <c r="AC238" s="16">
        <f t="shared" ca="1" si="1125"/>
        <v>3.7562356439558187E-2</v>
      </c>
      <c r="AD238" s="16">
        <f t="shared" ca="1" si="1125"/>
        <v>3.9142563330376134E-2</v>
      </c>
      <c r="AE238" s="16">
        <f t="shared" ca="1" si="1125"/>
        <v>4.0789451851811265E-2</v>
      </c>
      <c r="AF238" s="16">
        <f t="shared" ca="1" si="1125"/>
        <v>4.2539762990276841E-2</v>
      </c>
      <c r="AG238" s="16">
        <f t="shared" ca="1" si="1125"/>
        <v>4.4309648381350542E-2</v>
      </c>
      <c r="AH238" s="16">
        <f t="shared" ca="1" si="1125"/>
        <v>4.6158621597644611E-2</v>
      </c>
      <c r="AI238" s="16">
        <f t="shared" ca="1" si="1125"/>
        <v>4.8055549471023085E-2</v>
      </c>
      <c r="AJ238" s="16">
        <f t="shared" ca="1" si="1125"/>
        <v>5.0017454099332781E-2</v>
      </c>
      <c r="AK238" s="16">
        <f t="shared" ca="1" si="1125"/>
        <v>5.2073934602901772E-2</v>
      </c>
      <c r="AL238" s="16">
        <f t="shared" ca="1" si="1125"/>
        <v>5.4182062239156892E-2</v>
      </c>
      <c r="AM238" s="16">
        <f t="shared" ca="1" si="1125"/>
        <v>5.6353897411852927E-2</v>
      </c>
      <c r="AN238" s="16">
        <f t="shared" ca="1" si="1125"/>
        <v>5.8641375102475024E-2</v>
      </c>
      <c r="AO238" s="16">
        <f t="shared" ca="1" si="1125"/>
        <v>6.0947705595367552E-2</v>
      </c>
      <c r="AP238" s="16">
        <f t="shared" ca="1" si="1125"/>
        <v>6.3380178653517305E-2</v>
      </c>
      <c r="AQ238" s="16">
        <f t="shared" ca="1" si="1125"/>
        <v>6.5954460338097931E-2</v>
      </c>
      <c r="AR238" s="16">
        <f t="shared" ca="1" si="1125"/>
        <v>6.8633191607055721E-2</v>
      </c>
      <c r="AS238" s="16">
        <f t="shared" ca="1" si="1125"/>
        <v>7.1420593831518886E-2</v>
      </c>
      <c r="AT238" s="16">
        <f t="shared" ca="1" si="1125"/>
        <v>7.4321369562987627E-2</v>
      </c>
      <c r="AU238" s="16">
        <f t="shared" ca="1" si="1125"/>
        <v>7.7339932594853167E-2</v>
      </c>
      <c r="AV238" s="16">
        <f t="shared" ca="1" si="1125"/>
        <v>8.0481333687771439E-2</v>
      </c>
      <c r="AW238" s="16">
        <f t="shared" ca="1" si="1125"/>
        <v>8.3750546498066569E-2</v>
      </c>
      <c r="AX238" s="16">
        <f t="shared" ca="1" si="1125"/>
        <v>8.7152554688593398E-2</v>
      </c>
    </row>
    <row r="239" spans="1:50" x14ac:dyDescent="0.25">
      <c r="A239" s="9" t="s">
        <v>1001</v>
      </c>
      <c r="D239" s="64">
        <f t="shared" ref="D239:AX239" si="1126">SUM(D$236:D$238)</f>
        <v>5.8120000000000003</v>
      </c>
      <c r="E239" s="64">
        <f t="shared" si="1126"/>
        <v>6.9029999999999996</v>
      </c>
      <c r="F239" s="64">
        <f t="shared" si="1126"/>
        <v>6.838000000000001</v>
      </c>
      <c r="G239" s="64">
        <f t="shared" si="1126"/>
        <v>6.447000000000001</v>
      </c>
      <c r="H239" s="64">
        <f t="shared" si="1126"/>
        <v>8.7839999999999989</v>
      </c>
      <c r="I239" s="64">
        <f t="shared" si="1126"/>
        <v>10.426</v>
      </c>
      <c r="J239" s="65">
        <f t="shared" si="1126"/>
        <v>11.292</v>
      </c>
      <c r="K239" s="65">
        <f t="shared" si="1126"/>
        <v>10.659000000000001</v>
      </c>
      <c r="L239" s="65">
        <f t="shared" si="1126"/>
        <v>11.322999999999999</v>
      </c>
      <c r="M239" s="65">
        <f t="shared" si="1126"/>
        <v>11.895000000000001</v>
      </c>
      <c r="N239" s="65">
        <f t="shared" si="1126"/>
        <v>12.323</v>
      </c>
      <c r="O239" s="66">
        <f t="shared" ca="1" si="1126"/>
        <v>13.036845925781899</v>
      </c>
      <c r="P239" s="66">
        <f t="shared" ca="1" si="1126"/>
        <v>13.791488398878819</v>
      </c>
      <c r="Q239" s="66">
        <f t="shared" ca="1" si="1126"/>
        <v>14.563307793147438</v>
      </c>
      <c r="R239" s="66">
        <f t="shared" ca="1" si="1126"/>
        <v>15.337618901543875</v>
      </c>
      <c r="S239" s="66">
        <f t="shared" ca="1" si="1126"/>
        <v>16.123960558900034</v>
      </c>
      <c r="T239" s="66">
        <f t="shared" ca="1" si="1126"/>
        <v>16.896589926637791</v>
      </c>
      <c r="U239" s="66">
        <f t="shared" ca="1" si="1126"/>
        <v>17.718249570476456</v>
      </c>
      <c r="V239" s="66">
        <f t="shared" ca="1" si="1126"/>
        <v>18.547264621413436</v>
      </c>
      <c r="W239" s="66">
        <f t="shared" ca="1" si="1126"/>
        <v>19.406333955438047</v>
      </c>
      <c r="X239" s="66">
        <f t="shared" ca="1" si="1126"/>
        <v>20.305090780565937</v>
      </c>
      <c r="Y239" s="66">
        <f t="shared" ca="1" si="1126"/>
        <v>21.205317773234086</v>
      </c>
      <c r="Z239" s="66">
        <f t="shared" ca="1" si="1126"/>
        <v>22.15298868758914</v>
      </c>
      <c r="AA239" s="66">
        <f t="shared" ca="1" si="1126"/>
        <v>23.126768485671175</v>
      </c>
      <c r="AB239" s="66">
        <f t="shared" ca="1" si="1126"/>
        <v>24.126322953088899</v>
      </c>
      <c r="AC239" s="66">
        <f t="shared" ca="1" si="1126"/>
        <v>25.196258280059514</v>
      </c>
      <c r="AD239" s="66">
        <f t="shared" ca="1" si="1126"/>
        <v>26.2562370654957</v>
      </c>
      <c r="AE239" s="66">
        <f t="shared" ca="1" si="1126"/>
        <v>27.360944876128332</v>
      </c>
      <c r="AF239" s="66">
        <f t="shared" ca="1" si="1126"/>
        <v>28.535027007693373</v>
      </c>
      <c r="AG239" s="66">
        <f t="shared" ca="1" si="1126"/>
        <v>29.722239250656894</v>
      </c>
      <c r="AH239" s="66">
        <f t="shared" ca="1" si="1126"/>
        <v>30.962502405755409</v>
      </c>
      <c r="AI239" s="66">
        <f t="shared" ca="1" si="1126"/>
        <v>32.234932816589044</v>
      </c>
      <c r="AJ239" s="66">
        <f t="shared" ca="1" si="1126"/>
        <v>33.550948647901137</v>
      </c>
      <c r="AK239" s="66">
        <f t="shared" ca="1" si="1126"/>
        <v>34.930404540110771</v>
      </c>
      <c r="AL239" s="66">
        <f t="shared" ca="1" si="1126"/>
        <v>36.344504544618609</v>
      </c>
      <c r="AM239" s="66">
        <f t="shared" ca="1" si="1126"/>
        <v>37.801338597109506</v>
      </c>
      <c r="AN239" s="66">
        <f t="shared" ca="1" si="1126"/>
        <v>39.335743894486335</v>
      </c>
      <c r="AO239" s="66">
        <f t="shared" ca="1" si="1126"/>
        <v>40.882795365327468</v>
      </c>
      <c r="AP239" s="66">
        <f t="shared" ca="1" si="1126"/>
        <v>42.514461353352878</v>
      </c>
      <c r="AQ239" s="66">
        <f t="shared" ca="1" si="1126"/>
        <v>44.241250414488746</v>
      </c>
      <c r="AR239" s="66">
        <f t="shared" ca="1" si="1126"/>
        <v>46.038102670661651</v>
      </c>
      <c r="AS239" s="66">
        <f t="shared" ca="1" si="1126"/>
        <v>47.907849753515237</v>
      </c>
      <c r="AT239" s="66">
        <f t="shared" ca="1" si="1126"/>
        <v>49.853646063181905</v>
      </c>
      <c r="AU239" s="66">
        <f t="shared" ca="1" si="1126"/>
        <v>51.878452305247968</v>
      </c>
      <c r="AV239" s="66">
        <f t="shared" ca="1" si="1126"/>
        <v>53.985656453254286</v>
      </c>
      <c r="AW239" s="66">
        <f t="shared" ca="1" si="1126"/>
        <v>56.178594760338285</v>
      </c>
      <c r="AX239" s="66">
        <f t="shared" ca="1" si="1126"/>
        <v>58.460610191863793</v>
      </c>
    </row>
    <row r="240" spans="1:50" x14ac:dyDescent="0.25">
      <c r="A240" s="11" t="s">
        <v>879</v>
      </c>
      <c r="B240" s="10" t="str">
        <f>$B$38</f>
        <v>From Fiscal Forecasts</v>
      </c>
      <c r="D240" s="35">
        <f>'Fiscal Forecasts'!D$281</f>
        <v>5.3620000000000001</v>
      </c>
      <c r="E240" s="35">
        <f>'Fiscal Forecasts'!E$281</f>
        <v>6.2460000000000004</v>
      </c>
      <c r="F240" s="35">
        <f>'Fiscal Forecasts'!F$281</f>
        <v>6.5389999999999997</v>
      </c>
      <c r="G240" s="35">
        <f>'Fiscal Forecasts'!G$281</f>
        <v>5.8330000000000002</v>
      </c>
      <c r="H240" s="35">
        <f>'Fiscal Forecasts'!H$281</f>
        <v>7.6189999999999998</v>
      </c>
      <c r="I240" s="35">
        <f>'Fiscal Forecasts'!I$281</f>
        <v>9.7720000000000002</v>
      </c>
      <c r="J240" s="17">
        <f>'Fiscal Forecasts'!J$281</f>
        <v>10.670999999999999</v>
      </c>
      <c r="K240" s="17">
        <f>'Fiscal Forecasts'!K$281</f>
        <v>9.9830000000000005</v>
      </c>
      <c r="L240" s="17">
        <f>'Fiscal Forecasts'!L$281</f>
        <v>10.589</v>
      </c>
      <c r="M240" s="17">
        <f>'Fiscal Forecasts'!M$281</f>
        <v>11.101000000000001</v>
      </c>
      <c r="N240" s="17">
        <f>'Fiscal Forecasts'!N$281</f>
        <v>11.462999999999999</v>
      </c>
      <c r="O240" s="16">
        <f>N$240*Exogenous!Z$28/Exogenous!Y$28</f>
        <v>12.138263981125791</v>
      </c>
      <c r="P240" s="16">
        <f>O$240*Exogenous!AA$28/Exogenous!Z$28</f>
        <v>12.8531933268714</v>
      </c>
      <c r="Q240" s="16">
        <f>P$240*Exogenous!AB$28/Exogenous!AA$28</f>
        <v>13.585167345213522</v>
      </c>
      <c r="R240" s="16">
        <f>Q$240*Exogenous!AC$28/Exogenous!AB$28</f>
        <v>14.31963565060982</v>
      </c>
      <c r="S240" s="16">
        <f>R$240*Exogenous!AD$28/Exogenous!AC$28</f>
        <v>15.0648604791746</v>
      </c>
      <c r="T240" s="16">
        <f>S$240*Exogenous!AE$28/Exogenous!AD$28</f>
        <v>15.795119029874687</v>
      </c>
      <c r="U240" s="16">
        <f>T$240*Exogenous!AF$28/Exogenous!AE$28</f>
        <v>16.572983262030732</v>
      </c>
      <c r="V240" s="16">
        <f>U$240*Exogenous!AG$28/Exogenous!AF$28</f>
        <v>17.356766082577412</v>
      </c>
      <c r="W240" s="16">
        <f>V$240*Exogenous!AH$28/Exogenous!AG$28</f>
        <v>18.169402130053601</v>
      </c>
      <c r="X240" s="16">
        <f>W$240*Exogenous!AI$28/Exogenous!AH$28</f>
        <v>19.020449389492455</v>
      </c>
      <c r="Y240" s="16">
        <f>X$240*Exogenous!AJ$28/Exogenous!AI$28</f>
        <v>19.871440650339718</v>
      </c>
      <c r="Z240" s="16">
        <f>Y$240*Exogenous!AK$28/Exogenous!AJ$28</f>
        <v>20.768341179936833</v>
      </c>
      <c r="AA240" s="16">
        <f>Z$240*Exogenous!AL$28/Exogenous!AK$28</f>
        <v>21.689608288226871</v>
      </c>
      <c r="AB240" s="16">
        <f>AA$240*Exogenous!AM$28/Exogenous!AL$28</f>
        <v>22.634963486417028</v>
      </c>
      <c r="AC240" s="16">
        <f>AB$240*Exogenous!AN$28/Exogenous!AM$28</f>
        <v>23.649014358599274</v>
      </c>
      <c r="AD240" s="16">
        <f>AC$240*Exogenous!AO$28/Exogenous!AN$28</f>
        <v>24.651383452553397</v>
      </c>
      <c r="AE240" s="16">
        <f>AD$240*Exogenous!AP$28/Exogenous!AO$28</f>
        <v>25.696772050784485</v>
      </c>
      <c r="AF240" s="16">
        <f>AE$240*Exogenous!AQ$28/Exogenous!AP$28</f>
        <v>26.809811537021609</v>
      </c>
      <c r="AG240" s="16">
        <f>AF$240*Exogenous!AR$28/Exogenous!AQ$28</f>
        <v>27.934251124429725</v>
      </c>
      <c r="AH240" s="16">
        <f>AG$240*Exogenous!AS$28/Exogenous!AR$28</f>
        <v>29.110041212507983</v>
      </c>
      <c r="AI240" s="16">
        <f>AH$240*Exogenous!AT$28/Exogenous!AS$28</f>
        <v>30.316237017243864</v>
      </c>
      <c r="AJ240" s="16">
        <f>AI$240*Exogenous!AU$28/Exogenous!AT$28</f>
        <v>31.564178555428288</v>
      </c>
      <c r="AK240" s="16">
        <f>AJ$240*Exogenous!AV$28/Exogenous!AU$28</f>
        <v>32.873810834693742</v>
      </c>
      <c r="AL240" s="16">
        <f>AK$240*Exogenous!AW$28/Exogenous!AV$28</f>
        <v>34.216242123738283</v>
      </c>
      <c r="AM240" s="16">
        <f>AL$240*Exogenous!AX$28/Exogenous!AW$28</f>
        <v>35.599458675521966</v>
      </c>
      <c r="AN240" s="16">
        <f>AM$240*Exogenous!AY$28/Exogenous!AX$28</f>
        <v>37.058213976671304</v>
      </c>
      <c r="AO240" s="16">
        <f>AN$240*Exogenous!AZ$28/Exogenous!AY$28</f>
        <v>38.527551506135921</v>
      </c>
      <c r="AP240" s="16">
        <f>AO$240*Exogenous!BA$28/Exogenous!AZ$28</f>
        <v>40.079200521211931</v>
      </c>
      <c r="AQ240" s="16">
        <f>AP$240*Exogenous!BB$28/Exogenous!BA$28</f>
        <v>41.723591397378193</v>
      </c>
      <c r="AR240" s="16">
        <f>AQ$240*Exogenous!BC$28/Exogenous!BB$28</f>
        <v>43.435449221947977</v>
      </c>
      <c r="AS240" s="16">
        <f>AR$240*Exogenous!BD$28/Exogenous!BC$28</f>
        <v>45.217542064966466</v>
      </c>
      <c r="AT240" s="16">
        <f>AS$240*Exogenous!BE$28/Exogenous!BD$28</f>
        <v>47.072751566337203</v>
      </c>
      <c r="AU240" s="16">
        <f>AT$240*Exogenous!BF$28/Exogenous!BE$28</f>
        <v>49.004077595427006</v>
      </c>
      <c r="AV240" s="16">
        <f>AU$240*Exogenous!BG$28/Exogenous!BF$28</f>
        <v>51.014643101847632</v>
      </c>
      <c r="AW240" s="16">
        <f>AV$240*Exogenous!BH$28/Exogenous!BG$28</f>
        <v>53.107699165257849</v>
      </c>
      <c r="AX240" s="16">
        <f>AW$240*Exogenous!BI$28/Exogenous!BH$28</f>
        <v>55.286630252351607</v>
      </c>
    </row>
    <row r="241" spans="1:50" x14ac:dyDescent="0.25">
      <c r="A241" s="11" t="s">
        <v>882</v>
      </c>
      <c r="B241" s="10" t="str">
        <f>$B$38</f>
        <v>From Fiscal Forecasts</v>
      </c>
      <c r="D241" s="35">
        <f>SUM('Fiscal Forecasts'!D$282:D$283)</f>
        <v>0.44999999999999996</v>
      </c>
      <c r="E241" s="35">
        <f>SUM('Fiscal Forecasts'!E$282:E$283)</f>
        <v>0.65700000000000003</v>
      </c>
      <c r="F241" s="35">
        <f>SUM('Fiscal Forecasts'!F$282:F$283)</f>
        <v>0.29900000000000004</v>
      </c>
      <c r="G241" s="35">
        <f>SUM('Fiscal Forecasts'!G$282:G$283)</f>
        <v>0.61399999999999999</v>
      </c>
      <c r="H241" s="35">
        <f>SUM('Fiscal Forecasts'!H$282:H$283)</f>
        <v>1.1649999999999998</v>
      </c>
      <c r="I241" s="35">
        <f>SUM('Fiscal Forecasts'!I$282:I$283)</f>
        <v>0.65399999999999991</v>
      </c>
      <c r="J241" s="17">
        <f>SUM('Fiscal Forecasts'!J$282:J$283)</f>
        <v>0.621</v>
      </c>
      <c r="K241" s="17">
        <f>SUM('Fiscal Forecasts'!K$282:K$283)</f>
        <v>0.67599999999999993</v>
      </c>
      <c r="L241" s="17">
        <f>SUM('Fiscal Forecasts'!L$282:L$283)</f>
        <v>0.73399999999999999</v>
      </c>
      <c r="M241" s="17">
        <f>SUM('Fiscal Forecasts'!M$282:M$283)</f>
        <v>0.79400000000000004</v>
      </c>
      <c r="N241" s="17">
        <f>SUM('Fiscal Forecasts'!N$282:N$283)</f>
        <v>0.86</v>
      </c>
      <c r="O241" s="16">
        <f t="shared" ref="O241:AX241" ca="1" si="1127">N$241*(1+O$14)</f>
        <v>0.89858194465610852</v>
      </c>
      <c r="P241" s="16">
        <f t="shared" ca="1" si="1127"/>
        <v>0.93829507200741968</v>
      </c>
      <c r="Q241" s="16">
        <f t="shared" ca="1" si="1127"/>
        <v>0.97814044793391586</v>
      </c>
      <c r="R241" s="16">
        <f t="shared" ca="1" si="1127"/>
        <v>1.0179832509340556</v>
      </c>
      <c r="S241" s="16">
        <f t="shared" ca="1" si="1127"/>
        <v>1.0591000797254337</v>
      </c>
      <c r="T241" s="16">
        <f t="shared" ca="1" si="1127"/>
        <v>1.1014708967631024</v>
      </c>
      <c r="U241" s="16">
        <f t="shared" ca="1" si="1127"/>
        <v>1.1452663084457231</v>
      </c>
      <c r="V241" s="16">
        <f t="shared" ca="1" si="1127"/>
        <v>1.1904985388360241</v>
      </c>
      <c r="W241" s="16">
        <f t="shared" ca="1" si="1127"/>
        <v>1.2369318253844439</v>
      </c>
      <c r="X241" s="16">
        <f t="shared" ca="1" si="1127"/>
        <v>1.2846413910734833</v>
      </c>
      <c r="Y241" s="16">
        <f t="shared" ca="1" si="1127"/>
        <v>1.3338771228943682</v>
      </c>
      <c r="Z241" s="16">
        <f t="shared" ca="1" si="1127"/>
        <v>1.3846475076523073</v>
      </c>
      <c r="AA241" s="16">
        <f t="shared" ca="1" si="1127"/>
        <v>1.4371601974443025</v>
      </c>
      <c r="AB241" s="16">
        <f t="shared" ca="1" si="1127"/>
        <v>1.4913594666718704</v>
      </c>
      <c r="AC241" s="16">
        <f t="shared" ca="1" si="1127"/>
        <v>1.5472439214602385</v>
      </c>
      <c r="AD241" s="16">
        <f t="shared" ca="1" si="1127"/>
        <v>1.6048536129423043</v>
      </c>
      <c r="AE241" s="16">
        <f t="shared" ca="1" si="1127"/>
        <v>1.6641728253438486</v>
      </c>
      <c r="AF241" s="16">
        <f t="shared" ca="1" si="1127"/>
        <v>1.7252154706717617</v>
      </c>
      <c r="AG241" s="16">
        <f t="shared" ca="1" si="1127"/>
        <v>1.7879881262271708</v>
      </c>
      <c r="AH241" s="16">
        <f t="shared" ca="1" si="1127"/>
        <v>1.852461193247426</v>
      </c>
      <c r="AI241" s="16">
        <f t="shared" ca="1" si="1127"/>
        <v>1.918695799345177</v>
      </c>
      <c r="AJ241" s="16">
        <f t="shared" ca="1" si="1127"/>
        <v>1.9867700924728469</v>
      </c>
      <c r="AK241" s="16">
        <f t="shared" ca="1" si="1127"/>
        <v>2.0565937054170322</v>
      </c>
      <c r="AL241" s="16">
        <f t="shared" ca="1" si="1127"/>
        <v>2.1282624208803229</v>
      </c>
      <c r="AM241" s="16">
        <f t="shared" ca="1" si="1127"/>
        <v>2.20187992158754</v>
      </c>
      <c r="AN241" s="16">
        <f t="shared" ca="1" si="1127"/>
        <v>2.2775299178150306</v>
      </c>
      <c r="AO241" s="16">
        <f t="shared" ca="1" si="1127"/>
        <v>2.355243859191543</v>
      </c>
      <c r="AP241" s="16">
        <f t="shared" ca="1" si="1127"/>
        <v>2.4352608321409508</v>
      </c>
      <c r="AQ241" s="16">
        <f t="shared" ca="1" si="1127"/>
        <v>2.5176590171105548</v>
      </c>
      <c r="AR241" s="16">
        <f t="shared" ca="1" si="1127"/>
        <v>2.6026534487136739</v>
      </c>
      <c r="AS241" s="16">
        <f t="shared" ca="1" si="1127"/>
        <v>2.690307688548772</v>
      </c>
      <c r="AT241" s="16">
        <f t="shared" ca="1" si="1127"/>
        <v>2.7808944968447014</v>
      </c>
      <c r="AU241" s="16">
        <f t="shared" ca="1" si="1127"/>
        <v>2.8743747098209607</v>
      </c>
      <c r="AV241" s="16">
        <f t="shared" ca="1" si="1127"/>
        <v>2.9710133514066546</v>
      </c>
      <c r="AW241" s="16">
        <f t="shared" ca="1" si="1127"/>
        <v>3.0708955950804402</v>
      </c>
      <c r="AX241" s="16">
        <f t="shared" ca="1" si="1127"/>
        <v>3.1739799395121877</v>
      </c>
    </row>
    <row r="242" spans="1:50" x14ac:dyDescent="0.25">
      <c r="A242" s="11"/>
    </row>
    <row r="243" spans="1:50" x14ac:dyDescent="0.25">
      <c r="A243" s="9" t="s">
        <v>883</v>
      </c>
    </row>
    <row r="244" spans="1:50" x14ac:dyDescent="0.25">
      <c r="A244" s="9" t="s">
        <v>884</v>
      </c>
      <c r="B244" s="10" t="str">
        <f>$B$38</f>
        <v>From Fiscal Forecasts</v>
      </c>
      <c r="D244" s="42">
        <f>'Fiscal Forecasts'!D$69</f>
        <v>6.6000000000000003E-2</v>
      </c>
      <c r="E244" s="42">
        <f>'Fiscal Forecasts'!E$69</f>
        <v>7.2999999999999995E-2</v>
      </c>
      <c r="F244" s="42">
        <f>'Fiscal Forecasts'!F$69</f>
        <v>9.9000000000000005E-2</v>
      </c>
      <c r="G244" s="42">
        <f>'Fiscal Forecasts'!G$69</f>
        <v>9.4E-2</v>
      </c>
      <c r="H244" s="42">
        <f>'Fiscal Forecasts'!H$69</f>
        <v>6.0999999999999999E-2</v>
      </c>
      <c r="I244" s="42">
        <f>'Fiscal Forecasts'!I$69</f>
        <v>6.9000000000000006E-2</v>
      </c>
      <c r="J244" s="43">
        <f>'Fiscal Forecasts'!J$69</f>
        <v>0.05</v>
      </c>
      <c r="K244" s="43">
        <f>'Fiscal Forecasts'!K$69</f>
        <v>4.9000000000000002E-2</v>
      </c>
      <c r="L244" s="43">
        <f>'Fiscal Forecasts'!L$69</f>
        <v>4.8000000000000001E-2</v>
      </c>
      <c r="M244" s="43">
        <f>'Fiscal Forecasts'!M$69</f>
        <v>4.5999999999999999E-2</v>
      </c>
      <c r="N244" s="43">
        <f>'Fiscal Forecasts'!N$69</f>
        <v>4.4999999999999998E-2</v>
      </c>
      <c r="O244" s="47">
        <f>N$244*Exogenous!Z$34/Exogenous!Y$34</f>
        <v>4.32824427480916E-2</v>
      </c>
      <c r="P244" s="47">
        <f>O$244*Exogenous!AA$34/Exogenous!Z$34</f>
        <v>4.1335877862595419E-2</v>
      </c>
      <c r="Q244" s="47">
        <f>P$244*Exogenous!AB$34/Exogenous!AA$34</f>
        <v>3.9389312977099238E-2</v>
      </c>
      <c r="R244" s="47">
        <f>Q$244*Exogenous!AC$34/Exogenous!AB$34</f>
        <v>3.7442748091603063E-2</v>
      </c>
      <c r="S244" s="47">
        <f>R$244*Exogenous!AD$34/Exogenous!AC$34</f>
        <v>3.5496183206106882E-2</v>
      </c>
      <c r="T244" s="47">
        <f>S$244*Exogenous!AE$34/Exogenous!AD$34</f>
        <v>3.3435114503816803E-2</v>
      </c>
      <c r="U244" s="47">
        <f>T$244*Exogenous!AF$34/Exogenous!AE$34</f>
        <v>3.1603053435114513E-2</v>
      </c>
      <c r="V244" s="47">
        <f>U$244*Exogenous!AG$34/Exogenous!AF$34</f>
        <v>2.977099236641222E-2</v>
      </c>
      <c r="W244" s="47">
        <f>V$244*Exogenous!AH$34/Exogenous!AG$34</f>
        <v>2.7824427480916035E-2</v>
      </c>
      <c r="X244" s="47">
        <f>W$244*Exogenous!AI$34/Exogenous!AH$34</f>
        <v>2.5877862595419854E-2</v>
      </c>
      <c r="Y244" s="47">
        <f>X$244*Exogenous!AJ$34/Exogenous!AI$34</f>
        <v>2.4160305343511455E-2</v>
      </c>
      <c r="Z244" s="47">
        <f>Y$244*Exogenous!AK$34/Exogenous!AJ$34</f>
        <v>2.2442748091603057E-2</v>
      </c>
      <c r="AA244" s="47">
        <f>Z$244*Exogenous!AL$34/Exogenous!AK$34</f>
        <v>2.0725190839694655E-2</v>
      </c>
      <c r="AB244" s="47">
        <f>AA$244*Exogenous!AM$34/Exogenous!AL$34</f>
        <v>1.9122137404580151E-2</v>
      </c>
      <c r="AC244" s="47">
        <f>AB$244*Exogenous!AN$34/Exogenous!AM$34</f>
        <v>1.7404580152671753E-2</v>
      </c>
      <c r="AD244" s="47">
        <f>AC$244*Exogenous!AO$34/Exogenous!AN$34</f>
        <v>1.6030534351145039E-2</v>
      </c>
      <c r="AE244" s="47">
        <f>AD$244*Exogenous!AP$34/Exogenous!AO$34</f>
        <v>1.4541984732824429E-2</v>
      </c>
      <c r="AF244" s="47">
        <f>AE$244*Exogenous!AQ$34/Exogenous!AP$34</f>
        <v>1.3167938931297711E-2</v>
      </c>
      <c r="AG244" s="47">
        <f>AF$244*Exogenous!AR$34/Exogenous!AQ$34</f>
        <v>1.1908396946564887E-2</v>
      </c>
      <c r="AH244" s="47">
        <f>AG$244*Exogenous!AS$34/Exogenous!AR$34</f>
        <v>1.0763358778625956E-2</v>
      </c>
      <c r="AI244" s="47">
        <f>AH$244*Exogenous!AT$34/Exogenous!AS$34</f>
        <v>9.6183206106870249E-3</v>
      </c>
      <c r="AJ244" s="47">
        <f>AI$244*Exogenous!AU$34/Exogenous!AT$34</f>
        <v>8.5877862595419852E-3</v>
      </c>
      <c r="AK244" s="47">
        <f>AJ$244*Exogenous!AV$34/Exogenous!AU$34</f>
        <v>7.6717557251908411E-3</v>
      </c>
      <c r="AL244" s="47">
        <f>AK$244*Exogenous!AW$34/Exogenous!AV$34</f>
        <v>6.8702290076335885E-3</v>
      </c>
      <c r="AM244" s="47">
        <f>AL$244*Exogenous!AX$34/Exogenous!AW$34</f>
        <v>6.0687022900763358E-3</v>
      </c>
      <c r="AN244" s="47">
        <f>AM$244*Exogenous!AY$34/Exogenous!AX$34</f>
        <v>5.267175572519084E-3</v>
      </c>
      <c r="AO244" s="47">
        <f>AN$244*Exogenous!AZ$34/Exogenous!AY$34</f>
        <v>4.5801526717557254E-3</v>
      </c>
      <c r="AP244" s="47">
        <f>AO$244*Exogenous!BA$34/Exogenous!AZ$34</f>
        <v>4.0076335877862598E-3</v>
      </c>
      <c r="AQ244" s="47">
        <f>AP$244*Exogenous!BB$34/Exogenous!BA$34</f>
        <v>3.5496183206106869E-3</v>
      </c>
      <c r="AR244" s="47">
        <f>AQ$244*Exogenous!BC$34/Exogenous!BB$34</f>
        <v>2.9770992366412214E-3</v>
      </c>
      <c r="AS244" s="47">
        <f>AR$244*Exogenous!BD$34/Exogenous!BC$34</f>
        <v>2.6335877862595416E-3</v>
      </c>
      <c r="AT244" s="47">
        <f>AS$244*Exogenous!BE$34/Exogenous!BD$34</f>
        <v>2.2900763358778622E-3</v>
      </c>
      <c r="AU244" s="47">
        <f>AT$244*Exogenous!BF$34/Exogenous!BE$34</f>
        <v>1.9465648854961829E-3</v>
      </c>
      <c r="AV244" s="47">
        <f>AU$244*Exogenous!BG$34/Exogenous!BF$34</f>
        <v>1.6030534351145036E-3</v>
      </c>
      <c r="AW244" s="47">
        <f>AV$244*Exogenous!BH$34/Exogenous!BG$34</f>
        <v>1.259541984732824E-3</v>
      </c>
      <c r="AX244" s="47">
        <f>AW$244*Exogenous!BI$34/Exogenous!BH$34</f>
        <v>1.0305343511450378E-3</v>
      </c>
    </row>
    <row r="245" spans="1:50" x14ac:dyDescent="0.25">
      <c r="A245" s="9" t="s">
        <v>885</v>
      </c>
      <c r="B245" s="10" t="str">
        <f>$B$38</f>
        <v>From Fiscal Forecasts</v>
      </c>
      <c r="D245" s="42">
        <f>'Fiscal Forecasts'!D$52</f>
        <v>0.08</v>
      </c>
      <c r="E245" s="42">
        <f>'Fiscal Forecasts'!E$52</f>
        <v>8.6999999999999994E-2</v>
      </c>
      <c r="F245" s="42">
        <f>'Fiscal Forecasts'!F$52</f>
        <v>0.114</v>
      </c>
      <c r="G245" s="42">
        <f>'Fiscal Forecasts'!G$52</f>
        <v>0.11</v>
      </c>
      <c r="H245" s="42">
        <f>'Fiscal Forecasts'!H$52</f>
        <v>7.8E-2</v>
      </c>
      <c r="I245" s="42">
        <f>'Fiscal Forecasts'!I$52</f>
        <v>9.4E-2</v>
      </c>
      <c r="J245" s="43">
        <f>'Fiscal Forecasts'!J$52</f>
        <v>8.5999999999999993E-2</v>
      </c>
      <c r="K245" s="43">
        <f>'Fiscal Forecasts'!K$52</f>
        <v>8.5999999999999993E-2</v>
      </c>
      <c r="L245" s="43">
        <f>'Fiscal Forecasts'!L$52</f>
        <v>8.5000000000000006E-2</v>
      </c>
      <c r="M245" s="43">
        <f>'Fiscal Forecasts'!M$52</f>
        <v>8.4000000000000005E-2</v>
      </c>
      <c r="N245" s="43">
        <f>'Fiscal Forecasts'!N$52</f>
        <v>8.3000000000000004E-2</v>
      </c>
      <c r="O245" s="47">
        <f>N$245*Exogenous!Z$34/Exogenous!Y$34</f>
        <v>7.983206106870229E-2</v>
      </c>
      <c r="P245" s="47">
        <f>O$245*Exogenous!AA$34/Exogenous!Z$34</f>
        <v>7.6241730279898209E-2</v>
      </c>
      <c r="Q245" s="47">
        <f>P$245*Exogenous!AB$34/Exogenous!AA$34</f>
        <v>7.2651399491094129E-2</v>
      </c>
      <c r="R245" s="47">
        <f>Q$245*Exogenous!AC$34/Exogenous!AB$34</f>
        <v>6.9061068702290063E-2</v>
      </c>
      <c r="S245" s="47">
        <f>R$245*Exogenous!AD$34/Exogenous!AC$34</f>
        <v>6.5470737913485982E-2</v>
      </c>
      <c r="T245" s="47">
        <f>S$245*Exogenous!AE$34/Exogenous!AD$34</f>
        <v>6.1669211195928726E-2</v>
      </c>
      <c r="U245" s="47">
        <f>T$245*Exogenous!AF$34/Exogenous!AE$34</f>
        <v>5.8290076335877843E-2</v>
      </c>
      <c r="V245" s="47">
        <f>U$245*Exogenous!AG$34/Exogenous!AF$34</f>
        <v>5.4910941475826952E-2</v>
      </c>
      <c r="W245" s="47">
        <f>V$245*Exogenous!AH$34/Exogenous!AG$34</f>
        <v>5.1320610687022879E-2</v>
      </c>
      <c r="X245" s="47">
        <f>W$245*Exogenous!AI$34/Exogenous!AH$34</f>
        <v>4.7730279898218805E-2</v>
      </c>
      <c r="Y245" s="47">
        <f>X$245*Exogenous!AJ$34/Exogenous!AI$34</f>
        <v>4.4562340966921098E-2</v>
      </c>
      <c r="Z245" s="47">
        <f>Y$245*Exogenous!AK$34/Exogenous!AJ$34</f>
        <v>4.139440203562339E-2</v>
      </c>
      <c r="AA245" s="47">
        <f>Z$245*Exogenous!AL$34/Exogenous!AK$34</f>
        <v>3.8226463104325682E-2</v>
      </c>
      <c r="AB245" s="47">
        <f>AA$245*Exogenous!AM$34/Exogenous!AL$34</f>
        <v>3.5269720101781157E-2</v>
      </c>
      <c r="AC245" s="47">
        <f>AB$245*Exogenous!AN$34/Exogenous!AM$34</f>
        <v>3.210178117048345E-2</v>
      </c>
      <c r="AD245" s="47">
        <f>AC$245*Exogenous!AO$34/Exogenous!AN$34</f>
        <v>2.9567430025445283E-2</v>
      </c>
      <c r="AE245" s="47">
        <f>AD$245*Exogenous!AP$34/Exogenous!AO$34</f>
        <v>2.6821882951653931E-2</v>
      </c>
      <c r="AF245" s="47">
        <f>AE$245*Exogenous!AQ$34/Exogenous!AP$34</f>
        <v>2.4287531806615765E-2</v>
      </c>
      <c r="AG245" s="47">
        <f>AF$245*Exogenous!AR$34/Exogenous!AQ$34</f>
        <v>2.1964376590330778E-2</v>
      </c>
      <c r="AH245" s="47">
        <f>AG$245*Exogenous!AS$34/Exogenous!AR$34</f>
        <v>1.9852417302798974E-2</v>
      </c>
      <c r="AI245" s="47">
        <f>AH$245*Exogenous!AT$34/Exogenous!AS$34</f>
        <v>1.774045801526717E-2</v>
      </c>
      <c r="AJ245" s="47">
        <f>AI$245*Exogenous!AU$34/Exogenous!AT$34</f>
        <v>1.5839694656488542E-2</v>
      </c>
      <c r="AK245" s="47">
        <f>AJ$245*Exogenous!AV$34/Exogenous!AU$34</f>
        <v>1.41501272264631E-2</v>
      </c>
      <c r="AL245" s="47">
        <f>AK$245*Exogenous!AW$34/Exogenous!AV$34</f>
        <v>1.2671755725190836E-2</v>
      </c>
      <c r="AM245" s="47">
        <f>AL$245*Exogenous!AX$34/Exogenous!AW$34</f>
        <v>1.1193384223918572E-2</v>
      </c>
      <c r="AN245" s="47">
        <f>AM$245*Exogenous!AY$34/Exogenous!AX$34</f>
        <v>9.7150127226463077E-3</v>
      </c>
      <c r="AO245" s="47">
        <f>AN$245*Exogenous!AZ$34/Exogenous!AY$34</f>
        <v>8.4478371501272246E-3</v>
      </c>
      <c r="AP245" s="47">
        <f>AO$245*Exogenous!BA$34/Exogenous!AZ$34</f>
        <v>7.3918575063613217E-3</v>
      </c>
      <c r="AQ245" s="47">
        <f>AP$245*Exogenous!BB$34/Exogenous!BA$34</f>
        <v>6.5470737913485991E-3</v>
      </c>
      <c r="AR245" s="47">
        <f>AQ$245*Exogenous!BC$34/Exogenous!BB$34</f>
        <v>5.4910941475826954E-3</v>
      </c>
      <c r="AS245" s="47">
        <f>AR$245*Exogenous!BD$34/Exogenous!BC$34</f>
        <v>4.8575063613231538E-3</v>
      </c>
      <c r="AT245" s="47">
        <f>AS$245*Exogenous!BE$34/Exogenous!BD$34</f>
        <v>4.2239185750636123E-3</v>
      </c>
      <c r="AU245" s="47">
        <f>AT$245*Exogenous!BF$34/Exogenous!BE$34</f>
        <v>3.5903307888040703E-3</v>
      </c>
      <c r="AV245" s="47">
        <f>AU$245*Exogenous!BG$34/Exogenous!BF$34</f>
        <v>2.9567430025445283E-3</v>
      </c>
      <c r="AW245" s="47">
        <f>AV$245*Exogenous!BH$34/Exogenous!BG$34</f>
        <v>2.3231552162849868E-3</v>
      </c>
      <c r="AX245" s="47">
        <f>AW$245*Exogenous!BI$34/Exogenous!BH$34</f>
        <v>1.9007633587786255E-3</v>
      </c>
    </row>
    <row r="247" spans="1:50" x14ac:dyDescent="0.25">
      <c r="A247" s="9" t="s">
        <v>886</v>
      </c>
      <c r="D247" s="2"/>
      <c r="E247" s="2"/>
      <c r="F247" s="2"/>
      <c r="G247" s="2"/>
      <c r="H247" s="2"/>
      <c r="I247" s="2"/>
      <c r="J247" s="2"/>
      <c r="K247" s="2"/>
      <c r="L247" s="2"/>
    </row>
    <row r="248" spans="1:50" x14ac:dyDescent="0.25">
      <c r="A248" s="11" t="s">
        <v>1232</v>
      </c>
      <c r="B248" s="10" t="str">
        <f>$B$38</f>
        <v>From Fiscal Forecasts</v>
      </c>
      <c r="D248" s="35">
        <f>Exogenous!$B$79*'Fiscal Forecasts'!D$58</f>
        <v>3.3978480000000002</v>
      </c>
      <c r="E248" s="35">
        <f>Exogenous!$B$79*'Fiscal Forecasts'!E$58</f>
        <v>3.6997259999999996</v>
      </c>
      <c r="F248" s="35">
        <f>Exogenous!$B$79*'Fiscal Forecasts'!F$58</f>
        <v>4.2378239999999998</v>
      </c>
      <c r="G248" s="35">
        <f>Exogenous!$B$79*'Fiscal Forecasts'!G$58</f>
        <v>5.1672659999999997</v>
      </c>
      <c r="H248" s="35">
        <f>Exogenous!$B$79*'Fiscal Forecasts'!H$58</f>
        <v>5.2989540000000002</v>
      </c>
      <c r="I248" s="35">
        <f>Exogenous!$B$79*'Fiscal Forecasts'!I$58</f>
        <v>5.5798139999999998</v>
      </c>
      <c r="J248" s="17">
        <f>Exogenous!$B$79*('Fiscal Forecasts'!J$58+Allocation!C$13)</f>
        <v>5.7539099999999994</v>
      </c>
      <c r="K248" s="17">
        <f>Exogenous!$B$79*('Fiscal Forecasts'!K$58+Allocation!D$13)</f>
        <v>6.1990452000000005</v>
      </c>
      <c r="L248" s="17">
        <f>Exogenous!$B$79*('Fiscal Forecasts'!L$58+Allocation!E$13)</f>
        <v>6.3532094400000005</v>
      </c>
      <c r="M248" s="17">
        <f>Exogenous!$B$79*('Fiscal Forecasts'!M$58+Allocation!F$13)</f>
        <v>6.5565074400000007</v>
      </c>
      <c r="N248" s="17">
        <f>Exogenous!$B$79*('Fiscal Forecasts'!N$58+Allocation!G$13)</f>
        <v>6.753340080000001</v>
      </c>
      <c r="O248" s="16">
        <f ca="1">N$248*(1+SUMPRODUCT(Exogenous!$B$82:$B$99,'Population Treasury'!Z$239:Z$256)/('Population Treasury'!Z$275/'Population Treasury'!Y$275)+SUMPRODUCT(Exogenous!$C$82:$C$99,'Population Treasury'!Z$257:Z$274)/('Population Treasury'!Z$277/'Population Treasury'!Y$277))*(1+OFFSET(Assumptions!$B$42,0,$C$1))*(1+O$25)*(1+O$29)</f>
        <v>7.0962615737743713</v>
      </c>
      <c r="P248" s="16">
        <f ca="1">O$248*(1+SUMPRODUCT(Exogenous!$B$82:$B$99,'Population Treasury'!AA$239:AA$256)/('Population Treasury'!AA$275/'Population Treasury'!Z$275)+SUMPRODUCT(Exogenous!$C$82:$C$99,'Population Treasury'!AA$257:AA$274)/('Population Treasury'!AA$277/'Population Treasury'!Z$277))*(1+OFFSET(Assumptions!$B$42,0,$C$1))*(1+P$25)*(1+P$29)</f>
        <v>7.4535363257620446</v>
      </c>
      <c r="Q248" s="16">
        <f ca="1">P$248*(1+SUMPRODUCT(Exogenous!$B$82:$B$99,'Population Treasury'!AB$239:AB$256)/('Population Treasury'!AB$275/'Population Treasury'!AA$275)+SUMPRODUCT(Exogenous!$C$82:$C$99,'Population Treasury'!AB$257:AB$274)/('Population Treasury'!AB$277/'Population Treasury'!AA$277))*(1+OFFSET(Assumptions!$B$42,0,$C$1))*(1+Q$25)*(1+Q$29)</f>
        <v>7.8258816897187788</v>
      </c>
      <c r="R248" s="16">
        <f ca="1">Q$248*(1+SUMPRODUCT(Exogenous!$B$82:$B$99,'Population Treasury'!AC$239:AC$256)/('Population Treasury'!AC$275/'Population Treasury'!AB$275)+SUMPRODUCT(Exogenous!$C$82:$C$99,'Population Treasury'!AC$257:AC$274)/('Population Treasury'!AC$277/'Population Treasury'!AB$277))*(1+OFFSET(Assumptions!$B$42,0,$C$1))*(1+R$25)*(1+R$29)</f>
        <v>8.2116024844274076</v>
      </c>
      <c r="S248" s="16">
        <f ca="1">R$248*(1+SUMPRODUCT(Exogenous!$B$82:$B$99,'Population Treasury'!AD$239:AD$256)/('Population Treasury'!AD$275/'Population Treasury'!AC$275)+SUMPRODUCT(Exogenous!$C$82:$C$99,'Population Treasury'!AD$257:AD$274)/('Population Treasury'!AD$277/'Population Treasury'!AC$277))*(1+OFFSET(Assumptions!$B$42,0,$C$1))*(1+S$25)*(1+S$29)</f>
        <v>8.6126949856301529</v>
      </c>
      <c r="T248" s="16">
        <f ca="1">S$248*(1+SUMPRODUCT(Exogenous!$B$82:$B$99,'Population Treasury'!AE$239:AE$256)/('Population Treasury'!AE$275/'Population Treasury'!AD$275)+SUMPRODUCT(Exogenous!$C$82:$C$99,'Population Treasury'!AE$257:AE$274)/('Population Treasury'!AE$277/'Population Treasury'!AD$277))*(1+OFFSET(Assumptions!$B$42,0,$C$1))*(1+T$25)*(1+T$29)</f>
        <v>9.0299249913225417</v>
      </c>
      <c r="U248" s="16">
        <f ca="1">T$248*(1+SUMPRODUCT(Exogenous!$B$82:$B$99,'Population Treasury'!AF$239:AF$256)/('Population Treasury'!AF$275/'Population Treasury'!AE$275)+SUMPRODUCT(Exogenous!$C$82:$C$99,'Population Treasury'!AF$257:AF$274)/('Population Treasury'!AF$277/'Population Treasury'!AE$277))*(1+OFFSET(Assumptions!$B$42,0,$C$1))*(1+U$25)*(1+U$29)</f>
        <v>9.4648553364767363</v>
      </c>
      <c r="V248" s="16">
        <f ca="1">U$248*(1+SUMPRODUCT(Exogenous!$B$82:$B$99,'Population Treasury'!AG$239:AG$256)/('Population Treasury'!AG$275/'Population Treasury'!AF$275)+SUMPRODUCT(Exogenous!$C$82:$C$99,'Population Treasury'!AG$257:AG$274)/('Population Treasury'!AG$277/'Population Treasury'!AF$277))*(1+OFFSET(Assumptions!$B$42,0,$C$1))*(1+V$25)*(1+V$29)</f>
        <v>9.9184902510596018</v>
      </c>
      <c r="W248" s="16">
        <f ca="1">V$248*(1+SUMPRODUCT(Exogenous!$B$82:$B$99,'Population Treasury'!AH$239:AH$256)/('Population Treasury'!AH$275/'Population Treasury'!AG$275)+SUMPRODUCT(Exogenous!$C$82:$C$99,'Population Treasury'!AH$257:AH$274)/('Population Treasury'!AH$277/'Population Treasury'!AG$277))*(1+OFFSET(Assumptions!$B$42,0,$C$1))*(1+W$25)*(1+W$29)</f>
        <v>10.389512485077454</v>
      </c>
      <c r="X248" s="16">
        <f ca="1">W$248*(1+SUMPRODUCT(Exogenous!$B$82:$B$99,'Population Treasury'!AI$239:AI$256)/('Population Treasury'!AI$275/'Population Treasury'!AH$275)+SUMPRODUCT(Exogenous!$C$82:$C$99,'Population Treasury'!AI$257:AI$274)/('Population Treasury'!AI$277/'Population Treasury'!AH$277))*(1+OFFSET(Assumptions!$B$42,0,$C$1))*(1+X$25)*(1+X$29)</f>
        <v>10.879153676360321</v>
      </c>
      <c r="Y248" s="16">
        <f ca="1">X$248*(1+SUMPRODUCT(Exogenous!$B$82:$B$99,'Population Treasury'!AJ$239:AJ$256)/('Population Treasury'!AJ$275/'Population Treasury'!AI$275)+SUMPRODUCT(Exogenous!$C$82:$C$99,'Population Treasury'!AJ$257:AJ$274)/('Population Treasury'!AJ$277/'Population Treasury'!AI$277))*(1+OFFSET(Assumptions!$B$42,0,$C$1))*(1+Y$25)*(1+Y$29)</f>
        <v>11.391000434062374</v>
      </c>
      <c r="Z248" s="16">
        <f ca="1">Y$248*(1+SUMPRODUCT(Exogenous!$B$82:$B$99,'Population Treasury'!AK$239:AK$256)/('Population Treasury'!AK$275/'Population Treasury'!AJ$275)+SUMPRODUCT(Exogenous!$C$82:$C$99,'Population Treasury'!AK$257:AK$274)/('Population Treasury'!AK$277/'Population Treasury'!AJ$277))*(1+OFFSET(Assumptions!$B$42,0,$C$1))*(1+Z$25)*(1+Z$29)</f>
        <v>11.923677966657984</v>
      </c>
      <c r="AA248" s="16">
        <f ca="1">Z$248*(1+SUMPRODUCT(Exogenous!$B$82:$B$99,'Population Treasury'!AL$239:AL$256)/('Population Treasury'!AL$275/'Population Treasury'!AK$275)+SUMPRODUCT(Exogenous!$C$82:$C$99,'Population Treasury'!AL$257:AL$274)/('Population Treasury'!AL$277/'Population Treasury'!AK$277))*(1+OFFSET(Assumptions!$B$42,0,$C$1))*(1+AA$25)*(1+AA$29)</f>
        <v>12.477886523567436</v>
      </c>
      <c r="AB248" s="16">
        <f ca="1">AA$248*(1+SUMPRODUCT(Exogenous!$B$82:$B$99,'Population Treasury'!AM$239:AM$256)/('Population Treasury'!AM$275/'Population Treasury'!AL$275)+SUMPRODUCT(Exogenous!$C$82:$C$99,'Population Treasury'!AM$257:AM$274)/('Population Treasury'!AM$277/'Population Treasury'!AL$277))*(1+OFFSET(Assumptions!$B$42,0,$C$1))*(1+AB$25)*(1+AB$29)</f>
        <v>13.052299421886383</v>
      </c>
      <c r="AC248" s="16">
        <f ca="1">AB$248*(1+SUMPRODUCT(Exogenous!$B$82:$B$99,'Population Treasury'!AN$239:AN$256)/('Population Treasury'!AN$275/'Population Treasury'!AM$275)+SUMPRODUCT(Exogenous!$C$82:$C$99,'Population Treasury'!AN$257:AN$274)/('Population Treasury'!AN$277/'Population Treasury'!AM$277))*(1+OFFSET(Assumptions!$B$42,0,$C$1))*(1+AC$25)*(1+AC$29)</f>
        <v>13.647619636634149</v>
      </c>
      <c r="AD248" s="16">
        <f ca="1">AC$248*(1+SUMPRODUCT(Exogenous!$B$82:$B$99,'Population Treasury'!AO$239:AO$256)/('Population Treasury'!AO$275/'Population Treasury'!AN$275)+SUMPRODUCT(Exogenous!$C$82:$C$99,'Population Treasury'!AO$257:AO$274)/('Population Treasury'!AO$277/'Population Treasury'!AN$277))*(1+OFFSET(Assumptions!$B$42,0,$C$1))*(1+AD$25)*(1+AD$29)</f>
        <v>14.269596124011381</v>
      </c>
      <c r="AE248" s="16">
        <f ca="1">AD$248*(1+SUMPRODUCT(Exogenous!$B$82:$B$99,'Population Treasury'!AP$239:AP$256)/('Population Treasury'!AP$275/'Population Treasury'!AO$275)+SUMPRODUCT(Exogenous!$C$82:$C$99,'Population Treasury'!AP$257:AP$274)/('Population Treasury'!AP$277/'Population Treasury'!AO$277))*(1+OFFSET(Assumptions!$B$42,0,$C$1))*(1+AE$25)*(1+AE$29)</f>
        <v>14.91475131202948</v>
      </c>
      <c r="AF248" s="16">
        <f ca="1">AE$248*(1+SUMPRODUCT(Exogenous!$B$82:$B$99,'Population Treasury'!AQ$239:AQ$256)/('Population Treasury'!AQ$275/'Population Treasury'!AP$275)+SUMPRODUCT(Exogenous!$C$82:$C$99,'Population Treasury'!AQ$257:AQ$274)/('Population Treasury'!AQ$277/'Population Treasury'!AP$277))*(1+OFFSET(Assumptions!$B$42,0,$C$1))*(1+AF$25)*(1+AF$29)</f>
        <v>15.584082721347643</v>
      </c>
      <c r="AG248" s="16">
        <f ca="1">AF$248*(1+SUMPRODUCT(Exogenous!$B$82:$B$99,'Population Treasury'!AR$239:AR$256)/('Population Treasury'!AR$275/'Population Treasury'!AQ$275)+SUMPRODUCT(Exogenous!$C$82:$C$99,'Population Treasury'!AR$257:AR$274)/('Population Treasury'!AR$277/'Population Treasury'!AQ$277))*(1+OFFSET(Assumptions!$B$42,0,$C$1))*(1+AG$25)*(1+AG$29)</f>
        <v>16.280226815139603</v>
      </c>
      <c r="AH248" s="16">
        <f ca="1">AG$248*(1+SUMPRODUCT(Exogenous!$B$82:$B$99,'Population Treasury'!AS$239:AS$256)/('Population Treasury'!AS$275/'Population Treasury'!AR$275)+SUMPRODUCT(Exogenous!$C$82:$C$99,'Population Treasury'!AS$257:AS$274)/('Population Treasury'!AS$277/'Population Treasury'!AR$277))*(1+OFFSET(Assumptions!$B$42,0,$C$1))*(1+AH$25)*(1+AH$29)</f>
        <v>17.004788688168269</v>
      </c>
      <c r="AI248" s="16">
        <f ca="1">AH$248*(1+SUMPRODUCT(Exogenous!$B$82:$B$99,'Population Treasury'!AT$239:AT$256)/('Population Treasury'!AT$275/'Population Treasury'!AS$275)+SUMPRODUCT(Exogenous!$C$82:$C$99,'Population Treasury'!AT$257:AT$274)/('Population Treasury'!AT$277/'Population Treasury'!AS$277))*(1+OFFSET(Assumptions!$B$42,0,$C$1))*(1+AI$25)*(1+AI$29)</f>
        <v>17.765378822154673</v>
      </c>
      <c r="AJ248" s="16">
        <f ca="1">AI$248*(1+SUMPRODUCT(Exogenous!$B$82:$B$99,'Population Treasury'!AU$239:AU$256)/('Population Treasury'!AU$275/'Population Treasury'!AT$275)+SUMPRODUCT(Exogenous!$C$82:$C$99,'Population Treasury'!AU$257:AU$274)/('Population Treasury'!AU$277/'Population Treasury'!AT$277))*(1+OFFSET(Assumptions!$B$42,0,$C$1))*(1+AJ$25)*(1+AJ$29)</f>
        <v>18.557756014201896</v>
      </c>
      <c r="AK248" s="16">
        <f ca="1">AJ$248*(1+SUMPRODUCT(Exogenous!$B$82:$B$99,'Population Treasury'!AV$239:AV$256)/('Population Treasury'!AV$275/'Population Treasury'!AU$275)+SUMPRODUCT(Exogenous!$C$82:$C$99,'Population Treasury'!AV$257:AV$274)/('Population Treasury'!AV$277/'Population Treasury'!AU$277))*(1+OFFSET(Assumptions!$B$42,0,$C$1))*(1+AK$25)*(1+AK$29)</f>
        <v>19.383263816346975</v>
      </c>
      <c r="AL248" s="16">
        <f ca="1">AK$248*(1+SUMPRODUCT(Exogenous!$B$82:$B$99,'Population Treasury'!AW$239:AW$256)/('Population Treasury'!AW$275/'Population Treasury'!AV$275)+SUMPRODUCT(Exogenous!$C$82:$C$99,'Population Treasury'!AW$257:AW$274)/('Population Treasury'!AW$277/'Population Treasury'!AV$277))*(1+OFFSET(Assumptions!$B$42,0,$C$1))*(1+AL$25)*(1+AL$29)</f>
        <v>20.243039052052758</v>
      </c>
      <c r="AM248" s="16">
        <f ca="1">AL$248*(1+SUMPRODUCT(Exogenous!$B$82:$B$99,'Population Treasury'!AX$239:AX$256)/('Population Treasury'!AX$275/'Population Treasury'!AW$275)+SUMPRODUCT(Exogenous!$C$82:$C$99,'Population Treasury'!AX$257:AX$274)/('Population Treasury'!AX$277/'Population Treasury'!AW$277))*(1+OFFSET(Assumptions!$B$42,0,$C$1))*(1+AM$25)*(1+AM$29)</f>
        <v>21.134737260307148</v>
      </c>
      <c r="AN248" s="16">
        <f ca="1">AM$248*(1+SUMPRODUCT(Exogenous!$B$82:$B$99,'Population Treasury'!AY$239:AY$256)/('Population Treasury'!AY$275/'Population Treasury'!AX$275)+SUMPRODUCT(Exogenous!$C$82:$C$99,'Population Treasury'!AY$257:AY$274)/('Population Treasury'!AY$277/'Population Treasury'!AX$277))*(1+OFFSET(Assumptions!$B$42,0,$C$1))*(1+AN$25)*(1+AN$29)</f>
        <v>22.067628804987216</v>
      </c>
      <c r="AO248" s="16">
        <f ca="1">AN$248*(1+SUMPRODUCT(Exogenous!$B$82:$B$99,'Population Treasury'!AZ$239:AZ$256)/('Population Treasury'!AZ$275/'Population Treasury'!AY$275)+SUMPRODUCT(Exogenous!$C$82:$C$99,'Population Treasury'!AZ$257:AZ$274)/('Population Treasury'!AZ$277/'Population Treasury'!AY$277))*(1+OFFSET(Assumptions!$B$42,0,$C$1))*(1+AO$25)*(1+AO$29)</f>
        <v>23.035271469548711</v>
      </c>
      <c r="AP248" s="16">
        <f ca="1">AO$248*(1+SUMPRODUCT(Exogenous!$B$82:$B$99,'Population Treasury'!BA$239:BA$256)/('Population Treasury'!BA$275/'Population Treasury'!AZ$275)+SUMPRODUCT(Exogenous!$C$82:$C$99,'Population Treasury'!BA$257:BA$274)/('Population Treasury'!BA$277/'Population Treasury'!AZ$277))*(1+OFFSET(Assumptions!$B$42,0,$C$1))*(1+AP$25)*(1+AP$29)</f>
        <v>24.046166728924518</v>
      </c>
      <c r="AQ248" s="16">
        <f ca="1">AP$248*(1+SUMPRODUCT(Exogenous!$B$82:$B$99,'Population Treasury'!BB$239:BB$256)/('Population Treasury'!BB$275/'Population Treasury'!BA$275)+SUMPRODUCT(Exogenous!$C$82:$C$99,'Population Treasury'!BB$257:BB$274)/('Population Treasury'!BB$277/'Population Treasury'!BA$277))*(1+OFFSET(Assumptions!$B$42,0,$C$1))*(1+AQ$25)*(1+AQ$29)</f>
        <v>25.102526345233859</v>
      </c>
      <c r="AR248" s="16">
        <f ca="1">AQ$248*(1+SUMPRODUCT(Exogenous!$B$82:$B$99,'Population Treasury'!BC$239:BC$256)/('Population Treasury'!BC$275/'Population Treasury'!BB$275)+SUMPRODUCT(Exogenous!$C$82:$C$99,'Population Treasury'!BC$257:BC$274)/('Population Treasury'!BC$277/'Population Treasury'!BB$277))*(1+OFFSET(Assumptions!$B$42,0,$C$1))*(1+AR$25)*(1+AR$29)</f>
        <v>26.200786930081808</v>
      </c>
      <c r="AS248" s="16">
        <f ca="1">AR$248*(1+SUMPRODUCT(Exogenous!$B$82:$B$99,'Population Treasury'!BD$239:BD$256)/('Population Treasury'!BD$275/'Population Treasury'!BC$275)+SUMPRODUCT(Exogenous!$C$82:$C$99,'Population Treasury'!BD$257:BD$274)/('Population Treasury'!BD$277/'Population Treasury'!BC$277))*(1+OFFSET(Assumptions!$B$42,0,$C$1))*(1+AS$25)*(1+AS$29)</f>
        <v>27.349009187068329</v>
      </c>
      <c r="AT248" s="16">
        <f ca="1">AS$248*(1+SUMPRODUCT(Exogenous!$B$82:$B$99,'Population Treasury'!BE$239:BE$256)/('Population Treasury'!BE$275/'Population Treasury'!BD$275)+SUMPRODUCT(Exogenous!$C$82:$C$99,'Population Treasury'!BE$257:BE$274)/('Population Treasury'!BE$277/'Population Treasury'!BD$277))*(1+OFFSET(Assumptions!$B$42,0,$C$1))*(1+AT$25)*(1+AT$29)</f>
        <v>28.54289997165208</v>
      </c>
      <c r="AU248" s="16">
        <f ca="1">AT$248*(1+SUMPRODUCT(Exogenous!$B$82:$B$99,'Population Treasury'!BF$239:BF$256)/('Population Treasury'!BF$275/'Population Treasury'!BE$275)+SUMPRODUCT(Exogenous!$C$82:$C$99,'Population Treasury'!BF$257:BF$274)/('Population Treasury'!BF$277/'Population Treasury'!BE$277))*(1+OFFSET(Assumptions!$B$42,0,$C$1))*(1+AU$25)*(1+AU$29)</f>
        <v>29.784299054508743</v>
      </c>
      <c r="AV248" s="16">
        <f ca="1">AU$248*(1+SUMPRODUCT(Exogenous!$B$82:$B$99,'Population Treasury'!BG$239:BG$256)/('Population Treasury'!BG$275/'Population Treasury'!BF$275)+SUMPRODUCT(Exogenous!$C$82:$C$99,'Population Treasury'!BG$257:BG$274)/('Population Treasury'!BG$277/'Population Treasury'!BF$277))*(1+OFFSET(Assumptions!$B$42,0,$C$1))*(1+AV$25)*(1+AV$29)</f>
        <v>31.074246499386881</v>
      </c>
      <c r="AW248" s="16">
        <f ca="1">AV$248*(1+SUMPRODUCT(Exogenous!$B$82:$B$99,'Population Treasury'!BH$239:BH$256)/('Population Treasury'!BH$275/'Population Treasury'!BG$275)+SUMPRODUCT(Exogenous!$C$82:$C$99,'Population Treasury'!BH$257:BH$274)/('Population Treasury'!BH$277/'Population Treasury'!BG$277))*(1+OFFSET(Assumptions!$B$42,0,$C$1))*(1+AW$25)*(1+AW$29)</f>
        <v>32.40753917703033</v>
      </c>
      <c r="AX248" s="16">
        <f ca="1">AW$248*(1+SUMPRODUCT(Exogenous!$B$82:$B$99,'Population Treasury'!BI$239:BI$256)/('Population Treasury'!BI$275/'Population Treasury'!BH$275)+SUMPRODUCT(Exogenous!$C$82:$C$99,'Population Treasury'!BI$257:BI$274)/('Population Treasury'!BI$277/'Population Treasury'!BH$277))*(1+OFFSET(Assumptions!$B$42,0,$C$1))*(1+AX$25)*(1+AX$29)</f>
        <v>33.785945145507739</v>
      </c>
    </row>
    <row r="249" spans="1:50" x14ac:dyDescent="0.25">
      <c r="A249" s="11" t="s">
        <v>1233</v>
      </c>
      <c r="B249" s="10" t="str">
        <f t="shared" ref="B249:B252" si="1128">$B$38</f>
        <v>From Fiscal Forecasts</v>
      </c>
      <c r="D249" s="35">
        <f>Exogenous!$E$79*'Fiscal Forecasts'!D$58</f>
        <v>10.540635999999999</v>
      </c>
      <c r="E249" s="35">
        <f>Exogenous!$E$79*'Fiscal Forecasts'!E$58</f>
        <v>11.477106999999998</v>
      </c>
      <c r="F249" s="35">
        <f>Exogenous!$E$79*'Fiscal Forecasts'!F$58</f>
        <v>13.146367999999999</v>
      </c>
      <c r="G249" s="35">
        <f>Exogenous!$E$79*'Fiscal Forecasts'!G$58</f>
        <v>16.029636999999997</v>
      </c>
      <c r="H249" s="35">
        <f>Exogenous!$E$79*'Fiscal Forecasts'!H$58</f>
        <v>16.438153</v>
      </c>
      <c r="I249" s="35">
        <f>Exogenous!$E$79*'Fiscal Forecasts'!I$58</f>
        <v>17.309422999999999</v>
      </c>
      <c r="J249" s="17">
        <f>Exogenous!$E$79*('Fiscal Forecasts'!J$58+Allocation!C$13)</f>
        <v>17.849494999999997</v>
      </c>
      <c r="K249" s="17">
        <f>Exogenous!$E$79*('Fiscal Forecasts'!K$58+Allocation!D$13)</f>
        <v>19.230371399999999</v>
      </c>
      <c r="L249" s="17">
        <f>Exogenous!$E$79*('Fiscal Forecasts'!L$58+Allocation!E$13)</f>
        <v>19.708612079999998</v>
      </c>
      <c r="M249" s="17">
        <f>Exogenous!$E$79*('Fiscal Forecasts'!M$58+Allocation!F$13)</f>
        <v>20.339273080000002</v>
      </c>
      <c r="N249" s="17">
        <f>Exogenous!$E$79*('Fiscal Forecasts'!N$58+Allocation!G$13)</f>
        <v>20.949877560000001</v>
      </c>
      <c r="O249" s="16">
        <f ca="1">N$249*(1+SUMPRODUCT(Exogenous!$E$82:$E$99,'Population Treasury'!Z$239:Z$256)/('Population Treasury'!Z$275/'Population Treasury'!Y$275)+SUMPRODUCT(Exogenous!$F$82:$F$99,'Population Treasury'!Z$257:Z$274)/('Population Treasury'!Z$277/'Population Treasury'!Y$277))*(1+OFFSET(Assumptions!$B$42,0,$C$1))*(1+O$25)*(1+O$29)</f>
        <v>22.008550730175998</v>
      </c>
      <c r="P249" s="16">
        <f ca="1">O$249*(1+SUMPRODUCT(Exogenous!$E$82:$E$99,'Population Treasury'!AA$239:AA$256)/('Population Treasury'!AA$275/'Population Treasury'!Z$275)+SUMPRODUCT(Exogenous!$F$82:$F$99,'Population Treasury'!AA$257:AA$274)/('Population Treasury'!AA$277/'Population Treasury'!Z$277))*(1+OFFSET(Assumptions!$B$42,0,$C$1))*(1+P$25)*(1+P$29)</f>
        <v>23.112295219378037</v>
      </c>
      <c r="Q249" s="16">
        <f ca="1">P$249*(1+SUMPRODUCT(Exogenous!$E$82:$E$99,'Population Treasury'!AB$239:AB$256)/('Population Treasury'!AB$275/'Population Treasury'!AA$275)+SUMPRODUCT(Exogenous!$F$82:$F$99,'Population Treasury'!AB$257:AB$274)/('Population Treasury'!AB$277/'Population Treasury'!AA$277))*(1+OFFSET(Assumptions!$B$42,0,$C$1))*(1+Q$25)*(1+Q$29)</f>
        <v>24.273814941504202</v>
      </c>
      <c r="R249" s="16">
        <f ca="1">Q$249*(1+SUMPRODUCT(Exogenous!$E$82:$E$99,'Population Treasury'!AC$239:AC$256)/('Population Treasury'!AC$275/'Population Treasury'!AB$275)+SUMPRODUCT(Exogenous!$F$82:$F$99,'Population Treasury'!AC$257:AC$274)/('Population Treasury'!AC$277/'Population Treasury'!AB$277))*(1+OFFSET(Assumptions!$B$42,0,$C$1))*(1+R$25)*(1+R$29)</f>
        <v>25.472443068454638</v>
      </c>
      <c r="S249" s="16">
        <f ca="1">R$249*(1+SUMPRODUCT(Exogenous!$E$82:$E$99,'Population Treasury'!AD$239:AD$256)/('Population Treasury'!AD$275/'Population Treasury'!AC$275)+SUMPRODUCT(Exogenous!$F$82:$F$99,'Population Treasury'!AD$257:AD$274)/('Population Treasury'!AD$277/'Population Treasury'!AC$277))*(1+OFFSET(Assumptions!$B$42,0,$C$1))*(1+S$25)*(1+S$29)</f>
        <v>26.718352543311646</v>
      </c>
      <c r="T249" s="16">
        <f ca="1">S$249*(1+SUMPRODUCT(Exogenous!$E$82:$E$99,'Population Treasury'!AE$239:AE$256)/('Population Treasury'!AE$275/'Population Treasury'!AD$275)+SUMPRODUCT(Exogenous!$F$82:$F$99,'Population Treasury'!AE$257:AE$274)/('Population Treasury'!AE$277/'Population Treasury'!AD$277))*(1+OFFSET(Assumptions!$B$42,0,$C$1))*(1+T$25)*(1+T$29)</f>
        <v>28.009288168149865</v>
      </c>
      <c r="U249" s="16">
        <f ca="1">T$249*(1+SUMPRODUCT(Exogenous!$E$82:$E$99,'Population Treasury'!AF$239:AF$256)/('Population Treasury'!AF$275/'Population Treasury'!AE$275)+SUMPRODUCT(Exogenous!$F$82:$F$99,'Population Treasury'!AF$257:AF$274)/('Population Treasury'!AF$277/'Population Treasury'!AE$277))*(1+OFFSET(Assumptions!$B$42,0,$C$1))*(1+U$25)*(1+U$29)</f>
        <v>29.356606084035089</v>
      </c>
      <c r="V249" s="16">
        <f ca="1">U$249*(1+SUMPRODUCT(Exogenous!$E$82:$E$99,'Population Treasury'!AG$239:AG$256)/('Population Treasury'!AG$275/'Population Treasury'!AF$275)+SUMPRODUCT(Exogenous!$F$82:$F$99,'Population Treasury'!AG$257:AG$274)/('Population Treasury'!AG$277/'Population Treasury'!AF$277))*(1+OFFSET(Assumptions!$B$42,0,$C$1))*(1+V$25)*(1+V$29)</f>
        <v>30.767911550251959</v>
      </c>
      <c r="W249" s="16">
        <f ca="1">V$249*(1+SUMPRODUCT(Exogenous!$E$82:$E$99,'Population Treasury'!AH$239:AH$256)/('Population Treasury'!AH$275/'Population Treasury'!AG$275)+SUMPRODUCT(Exogenous!$F$82:$F$99,'Population Treasury'!AH$257:AH$274)/('Population Treasury'!AH$277/'Population Treasury'!AG$277))*(1+OFFSET(Assumptions!$B$42,0,$C$1))*(1+W$25)*(1+W$29)</f>
        <v>32.235348129122357</v>
      </c>
      <c r="X249" s="16">
        <f ca="1">W$249*(1+SUMPRODUCT(Exogenous!$E$82:$E$99,'Population Treasury'!AI$239:AI$256)/('Population Treasury'!AI$275/'Population Treasury'!AH$275)+SUMPRODUCT(Exogenous!$F$82:$F$99,'Population Treasury'!AI$257:AI$274)/('Population Treasury'!AI$277/'Population Treasury'!AH$277))*(1+OFFSET(Assumptions!$B$42,0,$C$1))*(1+X$25)*(1+X$29)</f>
        <v>33.764745752586506</v>
      </c>
      <c r="Y249" s="16">
        <f ca="1">X$249*(1+SUMPRODUCT(Exogenous!$E$82:$E$99,'Population Treasury'!AJ$239:AJ$256)/('Population Treasury'!AJ$275/'Population Treasury'!AI$275)+SUMPRODUCT(Exogenous!$F$82:$F$99,'Population Treasury'!AJ$257:AJ$274)/('Population Treasury'!AJ$277/'Population Treasury'!AI$277))*(1+OFFSET(Assumptions!$B$42,0,$C$1))*(1+Y$25)*(1+Y$29)</f>
        <v>35.359782931831212</v>
      </c>
      <c r="Z249" s="16">
        <f ca="1">Y$249*(1+SUMPRODUCT(Exogenous!$E$82:$E$99,'Population Treasury'!AK$239:AK$256)/('Population Treasury'!AK$275/'Population Treasury'!AJ$275)+SUMPRODUCT(Exogenous!$F$82:$F$99,'Population Treasury'!AK$257:AK$274)/('Population Treasury'!AK$277/'Population Treasury'!AJ$277))*(1+OFFSET(Assumptions!$B$42,0,$C$1))*(1+Z$25)*(1+Z$29)</f>
        <v>37.023667719295872</v>
      </c>
      <c r="AA249" s="16">
        <f ca="1">Z$249*(1+SUMPRODUCT(Exogenous!$E$82:$E$99,'Population Treasury'!AL$239:AL$256)/('Population Treasury'!AL$275/'Population Treasury'!AK$275)+SUMPRODUCT(Exogenous!$F$82:$F$99,'Population Treasury'!AL$257:AL$274)/('Population Treasury'!AL$277/'Population Treasury'!AK$277))*(1+OFFSET(Assumptions!$B$42,0,$C$1))*(1+AA$25)*(1+AA$29)</f>
        <v>38.755875537058515</v>
      </c>
      <c r="AB249" s="16">
        <f ca="1">AA$249*(1+SUMPRODUCT(Exogenous!$E$82:$E$99,'Population Treasury'!AM$239:AM$256)/('Population Treasury'!AM$275/'Population Treasury'!AL$275)+SUMPRODUCT(Exogenous!$F$82:$F$99,'Population Treasury'!AM$257:AM$274)/('Population Treasury'!AM$277/'Population Treasury'!AL$277))*(1+OFFSET(Assumptions!$B$42,0,$C$1))*(1+AB$25)*(1+AB$29)</f>
        <v>40.547954326983813</v>
      </c>
      <c r="AC249" s="16">
        <f ca="1">AB$249*(1+SUMPRODUCT(Exogenous!$E$82:$E$99,'Population Treasury'!AN$239:AN$256)/('Population Treasury'!AN$275/'Population Treasury'!AM$275)+SUMPRODUCT(Exogenous!$F$82:$F$99,'Population Treasury'!AN$257:AN$274)/('Population Treasury'!AN$277/'Population Treasury'!AM$277))*(1+OFFSET(Assumptions!$B$42,0,$C$1))*(1+AC$25)*(1+AC$29)</f>
        <v>42.407195489288426</v>
      </c>
      <c r="AD249" s="16">
        <f ca="1">AC$249*(1+SUMPRODUCT(Exogenous!$E$82:$E$99,'Population Treasury'!AO$239:AO$256)/('Population Treasury'!AO$275/'Population Treasury'!AN$275)+SUMPRODUCT(Exogenous!$F$82:$F$99,'Population Treasury'!AO$257:AO$274)/('Population Treasury'!AO$277/'Population Treasury'!AN$277))*(1+OFFSET(Assumptions!$B$42,0,$C$1))*(1+AD$25)*(1+AD$29)</f>
        <v>44.340225054259172</v>
      </c>
      <c r="AE249" s="16">
        <f ca="1">AD$249*(1+SUMPRODUCT(Exogenous!$E$82:$E$99,'Population Treasury'!AP$239:AP$256)/('Population Treasury'!AP$275/'Population Treasury'!AO$275)+SUMPRODUCT(Exogenous!$F$82:$F$99,'Population Treasury'!AP$257:AP$274)/('Population Treasury'!AP$277/'Population Treasury'!AO$277))*(1+OFFSET(Assumptions!$B$42,0,$C$1))*(1+AE$25)*(1+AE$29)</f>
        <v>46.345503187438133</v>
      </c>
      <c r="AF249" s="16">
        <f ca="1">AE$249*(1+SUMPRODUCT(Exogenous!$E$82:$E$99,'Population Treasury'!AQ$239:AQ$256)/('Population Treasury'!AQ$275/'Population Treasury'!AP$275)+SUMPRODUCT(Exogenous!$F$82:$F$99,'Population Treasury'!AQ$257:AQ$274)/('Population Treasury'!AQ$277/'Population Treasury'!AP$277))*(1+OFFSET(Assumptions!$B$42,0,$C$1))*(1+AF$25)*(1+AF$29)</f>
        <v>48.422608787449157</v>
      </c>
      <c r="AG249" s="16">
        <f ca="1">AF$249*(1+SUMPRODUCT(Exogenous!$E$82:$E$99,'Population Treasury'!AR$239:AR$256)/('Population Treasury'!AR$275/'Population Treasury'!AQ$275)+SUMPRODUCT(Exogenous!$F$82:$F$99,'Population Treasury'!AR$257:AR$274)/('Population Treasury'!AR$277/'Population Treasury'!AQ$277))*(1+OFFSET(Assumptions!$B$42,0,$C$1))*(1+AG$25)*(1+AG$29)</f>
        <v>50.572537945539509</v>
      </c>
      <c r="AH249" s="16">
        <f ca="1">AG$249*(1+SUMPRODUCT(Exogenous!$E$82:$E$99,'Population Treasury'!AS$239:AS$256)/('Population Treasury'!AS$275/'Population Treasury'!AR$275)+SUMPRODUCT(Exogenous!$F$82:$F$99,'Population Treasury'!AS$257:AS$274)/('Population Treasury'!AS$277/'Population Treasury'!AR$277))*(1+OFFSET(Assumptions!$B$42,0,$C$1))*(1+AH$25)*(1+AH$29)</f>
        <v>52.804847877273488</v>
      </c>
      <c r="AI249" s="16">
        <f ca="1">AH$249*(1+SUMPRODUCT(Exogenous!$E$82:$E$99,'Population Treasury'!AT$239:AT$256)/('Population Treasury'!AT$275/'Population Treasury'!AS$275)+SUMPRODUCT(Exogenous!$F$82:$F$99,'Population Treasury'!AT$257:AT$274)/('Population Treasury'!AT$277/'Population Treasury'!AS$277))*(1+OFFSET(Assumptions!$B$42,0,$C$1))*(1+AI$25)*(1+AI$29)</f>
        <v>55.13571567292604</v>
      </c>
      <c r="AJ249" s="16">
        <f ca="1">AI$249*(1+SUMPRODUCT(Exogenous!$E$82:$E$99,'Population Treasury'!AU$239:AU$256)/('Population Treasury'!AU$275/'Population Treasury'!AT$275)+SUMPRODUCT(Exogenous!$F$82:$F$99,'Population Treasury'!AU$257:AU$274)/('Population Treasury'!AU$277/'Population Treasury'!AT$277))*(1+OFFSET(Assumptions!$B$42,0,$C$1))*(1+AJ$25)*(1+AJ$29)</f>
        <v>57.558160577621052</v>
      </c>
      <c r="AK249" s="16">
        <f ca="1">AJ$249*(1+SUMPRODUCT(Exogenous!$E$82:$E$99,'Population Treasury'!AV$239:AV$256)/('Population Treasury'!AV$275/'Population Treasury'!AU$275)+SUMPRODUCT(Exogenous!$F$82:$F$99,'Population Treasury'!AV$257:AV$274)/('Population Treasury'!AV$277/'Population Treasury'!AU$277))*(1+OFFSET(Assumptions!$B$42,0,$C$1))*(1+AK$25)*(1+AK$29)</f>
        <v>60.072962622922191</v>
      </c>
      <c r="AL249" s="16">
        <f ca="1">AK$249*(1+SUMPRODUCT(Exogenous!$E$82:$E$99,'Population Treasury'!AW$239:AW$256)/('Population Treasury'!AW$275/'Population Treasury'!AV$275)+SUMPRODUCT(Exogenous!$F$82:$F$99,'Population Treasury'!AW$257:AW$274)/('Population Treasury'!AW$277/'Population Treasury'!AV$277))*(1+OFFSET(Assumptions!$B$42,0,$C$1))*(1+AL$25)*(1+AL$29)</f>
        <v>62.686345885588622</v>
      </c>
      <c r="AM249" s="16">
        <f ca="1">AL$249*(1+SUMPRODUCT(Exogenous!$E$82:$E$99,'Population Treasury'!AX$239:AX$256)/('Population Treasury'!AX$275/'Population Treasury'!AW$275)+SUMPRODUCT(Exogenous!$F$82:$F$99,'Population Treasury'!AX$257:AX$274)/('Population Treasury'!AX$277/'Population Treasury'!AW$277))*(1+OFFSET(Assumptions!$B$42,0,$C$1))*(1+AM$25)*(1+AM$29)</f>
        <v>65.399283983751715</v>
      </c>
      <c r="AN249" s="16">
        <f ca="1">AM$249*(1+SUMPRODUCT(Exogenous!$E$82:$E$99,'Population Treasury'!AY$239:AY$256)/('Population Treasury'!AY$275/'Population Treasury'!AX$275)+SUMPRODUCT(Exogenous!$F$82:$F$99,'Population Treasury'!AY$257:AY$274)/('Population Treasury'!AY$277/'Population Treasury'!AX$277))*(1+OFFSET(Assumptions!$B$42,0,$C$1))*(1+AN$25)*(1+AN$29)</f>
        <v>68.237563800124931</v>
      </c>
      <c r="AO249" s="16">
        <f ca="1">AN$249*(1+SUMPRODUCT(Exogenous!$E$82:$E$99,'Population Treasury'!AZ$239:AZ$256)/('Population Treasury'!AZ$275/'Population Treasury'!AY$275)+SUMPRODUCT(Exogenous!$F$82:$F$99,'Population Treasury'!AZ$257:AZ$274)/('Population Treasury'!AZ$277/'Population Treasury'!AY$277))*(1+OFFSET(Assumptions!$B$42,0,$C$1))*(1+AO$25)*(1+AO$29)</f>
        <v>71.184272237849427</v>
      </c>
      <c r="AP249" s="16">
        <f ca="1">AO$249*(1+SUMPRODUCT(Exogenous!$E$82:$E$99,'Population Treasury'!BA$239:BA$256)/('Population Treasury'!BA$275/'Population Treasury'!AZ$275)+SUMPRODUCT(Exogenous!$F$82:$F$99,'Population Treasury'!BA$257:BA$274)/('Population Treasury'!BA$277/'Population Treasury'!AZ$277))*(1+OFFSET(Assumptions!$B$42,0,$C$1))*(1+AP$25)*(1+AP$29)</f>
        <v>74.259077537768846</v>
      </c>
      <c r="AQ249" s="16">
        <f ca="1">AP$249*(1+SUMPRODUCT(Exogenous!$E$82:$E$99,'Population Treasury'!BB$239:BB$256)/('Population Treasury'!BB$275/'Population Treasury'!BA$275)+SUMPRODUCT(Exogenous!$F$82:$F$99,'Population Treasury'!BB$257:BB$274)/('Population Treasury'!BB$277/'Population Treasury'!BA$277))*(1+OFFSET(Assumptions!$B$42,0,$C$1))*(1+AQ$25)*(1+AQ$29)</f>
        <v>77.485404671405647</v>
      </c>
      <c r="AR249" s="16">
        <f ca="1">AQ$249*(1+SUMPRODUCT(Exogenous!$E$82:$E$99,'Population Treasury'!BC$239:BC$256)/('Population Treasury'!BC$275/'Population Treasury'!BB$275)+SUMPRODUCT(Exogenous!$F$82:$F$99,'Population Treasury'!BC$257:BC$274)/('Population Treasury'!BC$277/'Population Treasury'!BB$277))*(1+OFFSET(Assumptions!$B$42,0,$C$1))*(1+AR$25)*(1+AR$29)</f>
        <v>80.844889949516229</v>
      </c>
      <c r="AS249" s="16">
        <f ca="1">AR$249*(1+SUMPRODUCT(Exogenous!$E$82:$E$99,'Population Treasury'!BD$239:BD$256)/('Population Treasury'!BD$275/'Population Treasury'!BC$275)+SUMPRODUCT(Exogenous!$F$82:$F$99,'Population Treasury'!BD$257:BD$274)/('Population Treasury'!BD$277/'Population Treasury'!BC$277))*(1+OFFSET(Assumptions!$B$42,0,$C$1))*(1+AS$25)*(1+AS$29)</f>
        <v>84.362465453944182</v>
      </c>
      <c r="AT249" s="16">
        <f ca="1">AS$249*(1+SUMPRODUCT(Exogenous!$E$82:$E$99,'Population Treasury'!BE$239:BE$256)/('Population Treasury'!BE$275/'Population Treasury'!BD$275)+SUMPRODUCT(Exogenous!$F$82:$F$99,'Population Treasury'!BE$257:BE$274)/('Population Treasury'!BE$277/'Population Treasury'!BD$277))*(1+OFFSET(Assumptions!$B$42,0,$C$1))*(1+AT$25)*(1+AT$29)</f>
        <v>88.026288882075562</v>
      </c>
      <c r="AU249" s="16">
        <f ca="1">AT$249*(1+SUMPRODUCT(Exogenous!$E$82:$E$99,'Population Treasury'!BF$239:BF$256)/('Population Treasury'!BF$275/'Population Treasury'!BE$275)+SUMPRODUCT(Exogenous!$F$82:$F$99,'Population Treasury'!BF$257:BF$274)/('Population Treasury'!BF$277/'Population Treasury'!BE$277))*(1+OFFSET(Assumptions!$B$42,0,$C$1))*(1+AU$25)*(1+AU$29)</f>
        <v>91.847219040357942</v>
      </c>
      <c r="AV249" s="16">
        <f ca="1">AU$249*(1+SUMPRODUCT(Exogenous!$E$82:$E$99,'Population Treasury'!BG$239:BG$256)/('Population Treasury'!BG$275/'Population Treasury'!BF$275)+SUMPRODUCT(Exogenous!$F$82:$F$99,'Population Treasury'!BG$257:BG$274)/('Population Treasury'!BG$277/'Population Treasury'!BF$277))*(1+OFFSET(Assumptions!$B$42,0,$C$1))*(1+AV$25)*(1+AV$29)</f>
        <v>95.844142861432545</v>
      </c>
      <c r="AW249" s="16">
        <f ca="1">AV$249*(1+SUMPRODUCT(Exogenous!$E$82:$E$99,'Population Treasury'!BH$239:BH$256)/('Population Treasury'!BH$275/'Population Treasury'!BG$275)+SUMPRODUCT(Exogenous!$F$82:$F$99,'Population Treasury'!BH$257:BH$274)/('Population Treasury'!BH$277/'Population Treasury'!BG$277))*(1+OFFSET(Assumptions!$B$42,0,$C$1))*(1+AW$25)*(1+AW$29)</f>
        <v>99.987577515903283</v>
      </c>
      <c r="AX249" s="16">
        <f ca="1">AW$249*(1+SUMPRODUCT(Exogenous!$E$82:$E$99,'Population Treasury'!BI$239:BI$256)/('Population Treasury'!BI$275/'Population Treasury'!BH$275)+SUMPRODUCT(Exogenous!$F$82:$F$99,'Population Treasury'!BI$257:BI$274)/('Population Treasury'!BI$277/'Population Treasury'!BH$277))*(1+OFFSET(Assumptions!$B$42,0,$C$1))*(1+AX$25)*(1+AX$29)</f>
        <v>104.29343529985543</v>
      </c>
    </row>
    <row r="250" spans="1:50" x14ac:dyDescent="0.25">
      <c r="A250" s="11" t="s">
        <v>1234</v>
      </c>
      <c r="B250" s="10" t="str">
        <f t="shared" si="1128"/>
        <v>From Fiscal Forecasts</v>
      </c>
      <c r="D250" s="35">
        <f>Exogenous!$H$79*'Fiscal Forecasts'!D$58</f>
        <v>1.6806559999999999</v>
      </c>
      <c r="E250" s="35">
        <f>Exogenous!$H$79*'Fiscal Forecasts'!E$58</f>
        <v>1.8299719999999997</v>
      </c>
      <c r="F250" s="35">
        <f>Exogenous!$H$79*'Fiscal Forecasts'!F$58</f>
        <v>2.0961279999999998</v>
      </c>
      <c r="G250" s="35">
        <f>Exogenous!$H$79*'Fiscal Forecasts'!G$58</f>
        <v>2.5558519999999998</v>
      </c>
      <c r="H250" s="35">
        <f>Exogenous!$H$79*'Fiscal Forecasts'!H$58</f>
        <v>2.6209880000000001</v>
      </c>
      <c r="I250" s="35">
        <f>Exogenous!$H$79*'Fiscal Forecasts'!I$58</f>
        <v>2.7599079999999998</v>
      </c>
      <c r="J250" s="17">
        <f>Exogenous!$H$79*('Fiscal Forecasts'!J$58+Allocation!C$13)</f>
        <v>2.8460199999999998</v>
      </c>
      <c r="K250" s="17">
        <f>Exogenous!$H$79*('Fiscal Forecasts'!K$58+Allocation!D$13)</f>
        <v>3.0661944000000001</v>
      </c>
      <c r="L250" s="17">
        <f>Exogenous!$H$79*('Fiscal Forecasts'!L$58+Allocation!E$13)</f>
        <v>3.1424476800000001</v>
      </c>
      <c r="M250" s="17">
        <f>Exogenous!$H$79*('Fiscal Forecasts'!M$58+Allocation!F$13)</f>
        <v>3.2430036800000006</v>
      </c>
      <c r="N250" s="17">
        <f>Exogenous!$H$79*('Fiscal Forecasts'!N$58+Allocation!G$13)</f>
        <v>3.3403617600000004</v>
      </c>
      <c r="O250" s="16">
        <f ca="1">N$250*(1+SUMPRODUCT(Exogenous!$H$82:$H$99,'Population Treasury'!Z$239:Z$256)/('Population Treasury'!Z$275/'Population Treasury'!Y$275)+SUMPRODUCT(Exogenous!$I$82:$I$99,'Population Treasury'!Z$257:Z$274)/('Population Treasury'!Z$277/'Population Treasury'!Y$277))*(1+OFFSET(Assumptions!$B$42,0,$C$1))*(1+O$25)*(1+O$29)</f>
        <v>3.4893789704572176</v>
      </c>
      <c r="P250" s="16">
        <f ca="1">O$250*(1+SUMPRODUCT(Exogenous!$H$82:$H$99,'Population Treasury'!AA$239:AA$256)/('Population Treasury'!AA$275/'Population Treasury'!Z$275)+SUMPRODUCT(Exogenous!$I$82:$I$99,'Population Treasury'!AA$257:AA$274)/('Population Treasury'!AA$277/'Population Treasury'!Z$277))*(1+OFFSET(Assumptions!$B$42,0,$C$1))*(1+P$25)*(1+P$29)</f>
        <v>3.6434153401045934</v>
      </c>
      <c r="Q250" s="16">
        <f ca="1">P$250*(1+SUMPRODUCT(Exogenous!$H$82:$H$99,'Population Treasury'!AB$239:AB$256)/('Population Treasury'!AB$275/'Population Treasury'!AA$275)+SUMPRODUCT(Exogenous!$I$82:$I$99,'Population Treasury'!AB$257:AB$274)/('Population Treasury'!AB$277/'Population Treasury'!AA$277))*(1+OFFSET(Assumptions!$B$42,0,$C$1))*(1+Q$25)*(1+Q$29)</f>
        <v>3.8037149268836132</v>
      </c>
      <c r="R250" s="16">
        <f ca="1">Q$250*(1+SUMPRODUCT(Exogenous!$H$82:$H$99,'Population Treasury'!AC$239:AC$256)/('Population Treasury'!AC$275/'Population Treasury'!AB$275)+SUMPRODUCT(Exogenous!$I$82:$I$99,'Population Treasury'!AC$257:AC$274)/('Population Treasury'!AC$277/'Population Treasury'!AB$277))*(1+OFFSET(Assumptions!$B$42,0,$C$1))*(1+R$25)*(1+R$29)</f>
        <v>3.9689133419306577</v>
      </c>
      <c r="S250" s="16">
        <f ca="1">R$250*(1+SUMPRODUCT(Exogenous!$H$82:$H$99,'Population Treasury'!AD$239:AD$256)/('Population Treasury'!AD$275/'Population Treasury'!AC$275)+SUMPRODUCT(Exogenous!$I$82:$I$99,'Population Treasury'!AD$257:AD$274)/('Population Treasury'!AD$277/'Population Treasury'!AC$277))*(1+OFFSET(Assumptions!$B$42,0,$C$1))*(1+S$25)*(1+S$29)</f>
        <v>4.1414095485352265</v>
      </c>
      <c r="T250" s="16">
        <f ca="1">S$250*(1+SUMPRODUCT(Exogenous!$H$82:$H$99,'Population Treasury'!AE$239:AE$256)/('Population Treasury'!AE$275/'Population Treasury'!AD$275)+SUMPRODUCT(Exogenous!$I$82:$I$99,'Population Treasury'!AE$257:AE$274)/('Population Treasury'!AE$277/'Population Treasury'!AD$277))*(1+OFFSET(Assumptions!$B$42,0,$C$1))*(1+T$25)*(1+T$29)</f>
        <v>4.3204010846646508</v>
      </c>
      <c r="U250" s="16">
        <f ca="1">T$250*(1+SUMPRODUCT(Exogenous!$H$82:$H$99,'Population Treasury'!AF$239:AF$256)/('Population Treasury'!AF$275/'Population Treasury'!AE$275)+SUMPRODUCT(Exogenous!$I$82:$I$99,'Population Treasury'!AF$257:AF$274)/('Population Treasury'!AF$277/'Population Treasury'!AE$277))*(1+OFFSET(Assumptions!$B$42,0,$C$1))*(1+U$25)*(1+U$29)</f>
        <v>4.5070891046868109</v>
      </c>
      <c r="V250" s="16">
        <f ca="1">U$250*(1+SUMPRODUCT(Exogenous!$H$82:$H$99,'Population Treasury'!AG$239:AG$256)/('Population Treasury'!AG$275/'Population Treasury'!AF$275)+SUMPRODUCT(Exogenous!$I$82:$I$99,'Population Treasury'!AG$257:AG$274)/('Population Treasury'!AG$277/'Population Treasury'!AF$277))*(1+OFFSET(Assumptions!$B$42,0,$C$1))*(1+V$25)*(1+V$29)</f>
        <v>4.7019419600190853</v>
      </c>
      <c r="W250" s="16">
        <f ca="1">V$250*(1+SUMPRODUCT(Exogenous!$H$82:$H$99,'Population Treasury'!AH$239:AH$256)/('Population Treasury'!AH$275/'Population Treasury'!AG$275)+SUMPRODUCT(Exogenous!$I$82:$I$99,'Population Treasury'!AH$257:AH$274)/('Population Treasury'!AH$277/'Population Treasury'!AG$277))*(1+OFFSET(Assumptions!$B$42,0,$C$1))*(1+W$25)*(1+W$29)</f>
        <v>4.9012293497514623</v>
      </c>
      <c r="X250" s="16">
        <f ca="1">W$250*(1+SUMPRODUCT(Exogenous!$H$82:$H$99,'Population Treasury'!AI$239:AI$256)/('Population Treasury'!AI$275/'Population Treasury'!AH$275)+SUMPRODUCT(Exogenous!$I$82:$I$99,'Population Treasury'!AI$257:AI$274)/('Population Treasury'!AI$277/'Population Treasury'!AH$277))*(1+OFFSET(Assumptions!$B$42,0,$C$1))*(1+X$25)*(1+X$29)</f>
        <v>5.1081202957355138</v>
      </c>
      <c r="Y250" s="16">
        <f ca="1">X$250*(1+SUMPRODUCT(Exogenous!$H$82:$H$99,'Population Treasury'!AJ$239:AJ$256)/('Population Treasury'!AJ$275/'Population Treasury'!AI$275)+SUMPRODUCT(Exogenous!$I$82:$I$99,'Population Treasury'!AJ$257:AJ$274)/('Population Treasury'!AJ$277/'Population Treasury'!AI$277))*(1+OFFSET(Assumptions!$B$42,0,$C$1))*(1+Y$25)*(1+Y$29)</f>
        <v>5.324484737020823</v>
      </c>
      <c r="Z250" s="16">
        <f ca="1">Y$250*(1+SUMPRODUCT(Exogenous!$H$82:$H$99,'Population Treasury'!AK$239:AK$256)/('Population Treasury'!AK$275/'Population Treasury'!AJ$275)+SUMPRODUCT(Exogenous!$I$82:$I$99,'Population Treasury'!AK$257:AK$274)/('Population Treasury'!AK$277/'Population Treasury'!AJ$277))*(1+OFFSET(Assumptions!$B$42,0,$C$1))*(1+Z$25)*(1+Z$29)</f>
        <v>5.5488831554190403</v>
      </c>
      <c r="AA250" s="16">
        <f ca="1">Z$250*(1+SUMPRODUCT(Exogenous!$H$82:$H$99,'Population Treasury'!AL$239:AL$256)/('Population Treasury'!AL$275/'Population Treasury'!AK$275)+SUMPRODUCT(Exogenous!$I$82:$I$99,'Population Treasury'!AL$257:AL$274)/('Population Treasury'!AL$277/'Population Treasury'!AK$277))*(1+OFFSET(Assumptions!$B$42,0,$C$1))*(1+AA$25)*(1+AA$29)</f>
        <v>5.7799935968210194</v>
      </c>
      <c r="AB250" s="16">
        <f ca="1">AA$250*(1+SUMPRODUCT(Exogenous!$H$82:$H$99,'Population Treasury'!AM$239:AM$256)/('Population Treasury'!AM$275/'Population Treasury'!AL$275)+SUMPRODUCT(Exogenous!$I$82:$I$99,'Population Treasury'!AM$257:AM$274)/('Population Treasury'!AM$277/'Population Treasury'!AL$277))*(1+OFFSET(Assumptions!$B$42,0,$C$1))*(1+AB$25)*(1+AB$29)</f>
        <v>6.0189019115701043</v>
      </c>
      <c r="AC250" s="16">
        <f ca="1">AB$250*(1+SUMPRODUCT(Exogenous!$H$82:$H$99,'Population Treasury'!AN$239:AN$256)/('Population Treasury'!AN$275/'Population Treasury'!AM$275)+SUMPRODUCT(Exogenous!$I$82:$I$99,'Population Treasury'!AN$257:AN$274)/('Population Treasury'!AN$277/'Population Treasury'!AM$277))*(1+OFFSET(Assumptions!$B$42,0,$C$1))*(1+AC$25)*(1+AC$29)</f>
        <v>6.2652418262125025</v>
      </c>
      <c r="AD250" s="16">
        <f ca="1">AC$250*(1+SUMPRODUCT(Exogenous!$H$82:$H$99,'Population Treasury'!AO$239:AO$256)/('Population Treasury'!AO$275/'Population Treasury'!AN$275)+SUMPRODUCT(Exogenous!$I$82:$I$99,'Population Treasury'!AO$257:AO$274)/('Population Treasury'!AO$277/'Population Treasury'!AN$277))*(1+OFFSET(Assumptions!$B$42,0,$C$1))*(1+AD$25)*(1+AD$29)</f>
        <v>6.5199584726992592</v>
      </c>
      <c r="AE250" s="16">
        <f ca="1">AD$250*(1+SUMPRODUCT(Exogenous!$H$82:$H$99,'Population Treasury'!AP$239:AP$256)/('Population Treasury'!AP$275/'Population Treasury'!AO$275)+SUMPRODUCT(Exogenous!$I$82:$I$99,'Population Treasury'!AP$257:AP$274)/('Population Treasury'!AP$277/'Population Treasury'!AO$277))*(1+OFFSET(Assumptions!$B$42,0,$C$1))*(1+AE$25)*(1+AE$29)</f>
        <v>6.7825265932637091</v>
      </c>
      <c r="AF250" s="16">
        <f ca="1">AE$250*(1+SUMPRODUCT(Exogenous!$H$82:$H$99,'Population Treasury'!AQ$239:AQ$256)/('Population Treasury'!AQ$275/'Population Treasury'!AP$275)+SUMPRODUCT(Exogenous!$I$82:$I$99,'Population Treasury'!AQ$257:AQ$274)/('Population Treasury'!AQ$277/'Population Treasury'!AP$277))*(1+OFFSET(Assumptions!$B$42,0,$C$1))*(1+AF$25)*(1+AF$29)</f>
        <v>7.0527912860744841</v>
      </c>
      <c r="AG250" s="16">
        <f ca="1">AF$250*(1+SUMPRODUCT(Exogenous!$H$82:$H$99,'Population Treasury'!AR$239:AR$256)/('Population Treasury'!AR$275/'Population Treasury'!AQ$275)+SUMPRODUCT(Exogenous!$I$82:$I$99,'Population Treasury'!AR$257:AR$274)/('Population Treasury'!AR$277/'Population Treasury'!AQ$277))*(1+OFFSET(Assumptions!$B$42,0,$C$1))*(1+AG$25)*(1+AG$29)</f>
        <v>7.3331572607109123</v>
      </c>
      <c r="AH250" s="16">
        <f ca="1">AG$250*(1+SUMPRODUCT(Exogenous!$H$82:$H$99,'Population Treasury'!AS$239:AS$256)/('Population Treasury'!AS$275/'Population Treasury'!AR$275)+SUMPRODUCT(Exogenous!$I$82:$I$99,'Population Treasury'!AS$257:AS$274)/('Population Treasury'!AS$277/'Population Treasury'!AR$277))*(1+OFFSET(Assumptions!$B$42,0,$C$1))*(1+AH$25)*(1+AH$29)</f>
        <v>7.6232085792938804</v>
      </c>
      <c r="AI250" s="16">
        <f ca="1">AH$250*(1+SUMPRODUCT(Exogenous!$H$82:$H$99,'Population Treasury'!AT$239:AT$256)/('Population Treasury'!AT$275/'Population Treasury'!AS$275)+SUMPRODUCT(Exogenous!$I$82:$I$99,'Population Treasury'!AT$257:AT$274)/('Population Treasury'!AT$277/'Population Treasury'!AS$277))*(1+OFFSET(Assumptions!$B$42,0,$C$1))*(1+AI$25)*(1+AI$29)</f>
        <v>7.9237837141183096</v>
      </c>
      <c r="AJ250" s="16">
        <f ca="1">AI$250*(1+SUMPRODUCT(Exogenous!$H$82:$H$99,'Population Treasury'!AU$239:AU$256)/('Population Treasury'!AU$275/'Population Treasury'!AT$275)+SUMPRODUCT(Exogenous!$I$82:$I$99,'Population Treasury'!AU$257:AU$274)/('Population Treasury'!AU$277/'Population Treasury'!AT$277))*(1+OFFSET(Assumptions!$B$42,0,$C$1))*(1+AJ$25)*(1+AJ$29)</f>
        <v>8.2347214741732682</v>
      </c>
      <c r="AK250" s="16">
        <f ca="1">AJ$250*(1+SUMPRODUCT(Exogenous!$H$82:$H$99,'Population Treasury'!AV$239:AV$256)/('Population Treasury'!AV$275/'Population Treasury'!AU$275)+SUMPRODUCT(Exogenous!$I$82:$I$99,'Population Treasury'!AV$257:AV$274)/('Population Treasury'!AV$277/'Population Treasury'!AU$277))*(1+OFFSET(Assumptions!$B$42,0,$C$1))*(1+AK$25)*(1+AK$29)</f>
        <v>8.5565848598280247</v>
      </c>
      <c r="AL250" s="16">
        <f ca="1">AK$250*(1+SUMPRODUCT(Exogenous!$H$82:$H$99,'Population Treasury'!AW$239:AW$256)/('Population Treasury'!AW$275/'Population Treasury'!AV$275)+SUMPRODUCT(Exogenous!$I$82:$I$99,'Population Treasury'!AW$257:AW$274)/('Population Treasury'!AW$277/'Population Treasury'!AV$277))*(1+OFFSET(Assumptions!$B$42,0,$C$1))*(1+AL$25)*(1+AL$29)</f>
        <v>8.8913597069090873</v>
      </c>
      <c r="AM250" s="16">
        <f ca="1">AL$250*(1+SUMPRODUCT(Exogenous!$H$82:$H$99,'Population Treasury'!AX$239:AX$256)/('Population Treasury'!AX$275/'Population Treasury'!AW$275)+SUMPRODUCT(Exogenous!$I$82:$I$99,'Population Treasury'!AX$257:AX$274)/('Population Treasury'!AX$277/'Population Treasury'!AW$277))*(1+OFFSET(Assumptions!$B$42,0,$C$1))*(1+AM$25)*(1+AM$29)</f>
        <v>9.2394720019495082</v>
      </c>
      <c r="AN250" s="16">
        <f ca="1">AM$250*(1+SUMPRODUCT(Exogenous!$H$82:$H$99,'Population Treasury'!AY$239:AY$256)/('Population Treasury'!AY$275/'Population Treasury'!AX$275)+SUMPRODUCT(Exogenous!$I$82:$I$99,'Population Treasury'!AY$257:AY$274)/('Population Treasury'!AY$277/'Population Treasury'!AX$277))*(1+OFFSET(Assumptions!$B$42,0,$C$1))*(1+AN$25)*(1+AN$29)</f>
        <v>9.5994407851359878</v>
      </c>
      <c r="AO250" s="16">
        <f ca="1">AN$250*(1+SUMPRODUCT(Exogenous!$H$82:$H$99,'Population Treasury'!AZ$239:AZ$256)/('Population Treasury'!AZ$275/'Population Treasury'!AY$275)+SUMPRODUCT(Exogenous!$I$82:$I$99,'Population Treasury'!AZ$257:AZ$274)/('Population Treasury'!AZ$277/'Population Treasury'!AY$277))*(1+OFFSET(Assumptions!$B$42,0,$C$1))*(1+AO$25)*(1+AO$29)</f>
        <v>9.9730767106242411</v>
      </c>
      <c r="AP250" s="16">
        <f ca="1">AO$250*(1+SUMPRODUCT(Exogenous!$H$82:$H$99,'Population Treasury'!BA$239:BA$256)/('Population Treasury'!BA$275/'Population Treasury'!AZ$275)+SUMPRODUCT(Exogenous!$I$82:$I$99,'Population Treasury'!BA$257:BA$274)/('Population Treasury'!BA$277/'Population Treasury'!AZ$277))*(1+OFFSET(Assumptions!$B$42,0,$C$1))*(1+AP$25)*(1+AP$29)</f>
        <v>10.363005780382538</v>
      </c>
      <c r="AQ250" s="16">
        <f ca="1">AP$250*(1+SUMPRODUCT(Exogenous!$H$82:$H$99,'Population Treasury'!BB$239:BB$256)/('Population Treasury'!BB$275/'Population Treasury'!BA$275)+SUMPRODUCT(Exogenous!$I$82:$I$99,'Population Treasury'!BB$257:BB$274)/('Population Treasury'!BB$277/'Population Treasury'!BA$277))*(1+OFFSET(Assumptions!$B$42,0,$C$1))*(1+AQ$25)*(1+AQ$29)</f>
        <v>10.771328108527042</v>
      </c>
      <c r="AR250" s="16">
        <f ca="1">AQ$250*(1+SUMPRODUCT(Exogenous!$H$82:$H$99,'Population Treasury'!BC$239:BC$256)/('Population Treasury'!BC$275/'Population Treasury'!BB$275)+SUMPRODUCT(Exogenous!$I$82:$I$99,'Population Treasury'!BC$257:BC$274)/('Population Treasury'!BC$277/'Population Treasury'!BB$277))*(1+OFFSET(Assumptions!$B$42,0,$C$1))*(1+AR$25)*(1+AR$29)</f>
        <v>11.196001986806451</v>
      </c>
      <c r="AS250" s="16">
        <f ca="1">AR$250*(1+SUMPRODUCT(Exogenous!$H$82:$H$99,'Population Treasury'!BD$239:BD$256)/('Population Treasury'!BD$275/'Population Treasury'!BC$275)+SUMPRODUCT(Exogenous!$I$82:$I$99,'Population Treasury'!BD$257:BD$274)/('Population Treasury'!BD$277/'Population Treasury'!BC$277))*(1+OFFSET(Assumptions!$B$42,0,$C$1))*(1+AS$25)*(1+AS$29)</f>
        <v>11.634777468736415</v>
      </c>
      <c r="AT250" s="16">
        <f ca="1">AS$250*(1+SUMPRODUCT(Exogenous!$H$82:$H$99,'Population Treasury'!BE$239:BE$256)/('Population Treasury'!BE$275/'Population Treasury'!BD$275)+SUMPRODUCT(Exogenous!$I$82:$I$99,'Population Treasury'!BE$257:BE$274)/('Population Treasury'!BE$277/'Population Treasury'!BD$277))*(1+OFFSET(Assumptions!$B$42,0,$C$1))*(1+AT$25)*(1+AT$29)</f>
        <v>12.089762362748512</v>
      </c>
      <c r="AU250" s="16">
        <f ca="1">AT$250*(1+SUMPRODUCT(Exogenous!$H$82:$H$99,'Population Treasury'!BF$239:BF$256)/('Population Treasury'!BF$275/'Population Treasury'!BE$275)+SUMPRODUCT(Exogenous!$I$82:$I$99,'Population Treasury'!BF$257:BF$274)/('Population Treasury'!BF$277/'Population Treasury'!BE$277))*(1+OFFSET(Assumptions!$B$42,0,$C$1))*(1+AU$25)*(1+AU$29)</f>
        <v>12.562272934513169</v>
      </c>
      <c r="AV250" s="16">
        <f ca="1">AU$250*(1+SUMPRODUCT(Exogenous!$H$82:$H$99,'Population Treasury'!BG$239:BG$256)/('Population Treasury'!BG$275/'Population Treasury'!BF$275)+SUMPRODUCT(Exogenous!$I$82:$I$99,'Population Treasury'!BG$257:BG$274)/('Population Treasury'!BG$277/'Population Treasury'!BF$277))*(1+OFFSET(Assumptions!$B$42,0,$C$1))*(1+AV$25)*(1+AV$29)</f>
        <v>13.053650594190653</v>
      </c>
      <c r="AW250" s="16">
        <f ca="1">AV$250*(1+SUMPRODUCT(Exogenous!$H$82:$H$99,'Population Treasury'!BH$239:BH$256)/('Population Treasury'!BH$275/'Population Treasury'!BG$275)+SUMPRODUCT(Exogenous!$I$82:$I$99,'Population Treasury'!BH$257:BH$274)/('Population Treasury'!BH$277/'Population Treasury'!BG$277))*(1+OFFSET(Assumptions!$B$42,0,$C$1))*(1+AW$25)*(1+AW$29)</f>
        <v>13.563352031833006</v>
      </c>
      <c r="AX250" s="16">
        <f ca="1">AW$250*(1+SUMPRODUCT(Exogenous!$H$82:$H$99,'Population Treasury'!BI$239:BI$256)/('Population Treasury'!BI$275/'Population Treasury'!BH$275)+SUMPRODUCT(Exogenous!$I$82:$I$99,'Population Treasury'!BI$257:BI$274)/('Population Treasury'!BI$277/'Population Treasury'!BH$277))*(1+OFFSET(Assumptions!$B$42,0,$C$1))*(1+AX$25)*(1+AX$29)</f>
        <v>14.088047930749626</v>
      </c>
    </row>
    <row r="251" spans="1:50" x14ac:dyDescent="0.25">
      <c r="A251" s="11" t="s">
        <v>1235</v>
      </c>
      <c r="B251" s="10" t="str">
        <f t="shared" si="1128"/>
        <v>From Fiscal Forecasts</v>
      </c>
      <c r="D251" s="35">
        <f>Exogenous!$K$79*'Fiscal Forecasts'!D$58</f>
        <v>1.3701000000000001</v>
      </c>
      <c r="E251" s="35">
        <f>Exogenous!$K$79*'Fiscal Forecasts'!E$58</f>
        <v>1.4918249999999997</v>
      </c>
      <c r="F251" s="35">
        <f>Exogenous!$K$79*'Fiscal Forecasts'!F$58</f>
        <v>1.7087999999999999</v>
      </c>
      <c r="G251" s="35">
        <f>Exogenous!$K$79*'Fiscal Forecasts'!G$58</f>
        <v>2.0835749999999997</v>
      </c>
      <c r="H251" s="35">
        <f>Exogenous!$K$79*'Fiscal Forecasts'!H$58</f>
        <v>2.1366749999999999</v>
      </c>
      <c r="I251" s="35">
        <f>Exogenous!$K$79*'Fiscal Forecasts'!I$58</f>
        <v>2.2499249999999997</v>
      </c>
      <c r="J251" s="17">
        <f>Exogenous!$K$79*('Fiscal Forecasts'!J$58+Allocation!C$13)</f>
        <v>2.320125</v>
      </c>
      <c r="K251" s="17">
        <f>Exogenous!$K$79*('Fiscal Forecasts'!K$58+Allocation!D$13)</f>
        <v>2.4996149999999999</v>
      </c>
      <c r="L251" s="17">
        <f>Exogenous!$K$79*('Fiscal Forecasts'!L$58+Allocation!E$13)</f>
        <v>2.5617779999999999</v>
      </c>
      <c r="M251" s="17">
        <f>Exogenous!$K$79*('Fiscal Forecasts'!M$58+Allocation!F$13)</f>
        <v>2.6437530000000002</v>
      </c>
      <c r="N251" s="17">
        <f>Exogenous!$K$79*('Fiscal Forecasts'!N$58+Allocation!G$13)</f>
        <v>2.7231210000000003</v>
      </c>
      <c r="O251" s="16">
        <f ca="1">N$251*(1+SUMPRODUCT(Exogenous!$K$82:$K$99,'Population Treasury'!Z$239:Z$256)/('Population Treasury'!Z$276/'Population Treasury'!Y$276)+SUMPRODUCT(Exogenous!$L$82:$L$99,'Population Treasury'!Z$257:Z$274)/('Population Treasury'!Z$278/'Population Treasury'!Y$278))*(1+OFFSET(Assumptions!$B$42,0,$C$1))*(1+O$25)*(1+O$29)</f>
        <v>2.9223744799971363</v>
      </c>
      <c r="P251" s="16">
        <f ca="1">O$251*(1+SUMPRODUCT(Exogenous!$K$82:$K$99,'Population Treasury'!AA$239:AA$256)/('Population Treasury'!AA$276/'Population Treasury'!Z$276)+SUMPRODUCT(Exogenous!$L$82:$L$99,'Population Treasury'!AA$257:AA$274)/('Population Treasury'!AA$278/'Population Treasury'!Z$278))*(1+OFFSET(Assumptions!$B$42,0,$C$1))*(1+P$25)*(1+P$29)</f>
        <v>3.1373926491216699</v>
      </c>
      <c r="Q251" s="16">
        <f ca="1">P$251*(1+SUMPRODUCT(Exogenous!$K$82:$K$99,'Population Treasury'!AB$239:AB$256)/('Population Treasury'!AB$276/'Population Treasury'!AA$276)+SUMPRODUCT(Exogenous!$L$82:$L$99,'Population Treasury'!AB$257:AB$274)/('Population Treasury'!AB$278/'Population Treasury'!AA$278))*(1+OFFSET(Assumptions!$B$42,0,$C$1))*(1+Q$25)*(1+Q$29)</f>
        <v>3.3941747470573249</v>
      </c>
      <c r="R251" s="16">
        <f ca="1">Q$251*(1+SUMPRODUCT(Exogenous!$K$82:$K$99,'Population Treasury'!AC$239:AC$256)/('Population Treasury'!AC$276/'Population Treasury'!AB$276)+SUMPRODUCT(Exogenous!$L$82:$L$99,'Population Treasury'!AC$257:AC$274)/('Population Treasury'!AC$278/'Population Treasury'!AB$278))*(1+OFFSET(Assumptions!$B$42,0,$C$1))*(1+R$25)*(1+R$29)</f>
        <v>3.6555561169406232</v>
      </c>
      <c r="S251" s="16">
        <f ca="1">R$251*(1+SUMPRODUCT(Exogenous!$K$82:$K$99,'Population Treasury'!AD$239:AD$256)/('Population Treasury'!AD$276/'Population Treasury'!AC$276)+SUMPRODUCT(Exogenous!$L$82:$L$99,'Population Treasury'!AD$257:AD$274)/('Population Treasury'!AD$278/'Population Treasury'!AC$278))*(1+OFFSET(Assumptions!$B$42,0,$C$1))*(1+S$25)*(1+S$29)</f>
        <v>3.9209816325829978</v>
      </c>
      <c r="T251" s="16">
        <f ca="1">S$251*(1+SUMPRODUCT(Exogenous!$K$82:$K$99,'Population Treasury'!AE$239:AE$256)/('Population Treasury'!AE$276/'Population Treasury'!AD$276)+SUMPRODUCT(Exogenous!$L$82:$L$99,'Population Treasury'!AE$257:AE$274)/('Population Treasury'!AE$278/'Population Treasury'!AD$278))*(1+OFFSET(Assumptions!$B$42,0,$C$1))*(1+T$25)*(1+T$29)</f>
        <v>4.1992924400728553</v>
      </c>
      <c r="U251" s="16">
        <f ca="1">T$251*(1+SUMPRODUCT(Exogenous!$K$82:$K$99,'Population Treasury'!AF$239:AF$256)/('Population Treasury'!AF$276/'Population Treasury'!AE$276)+SUMPRODUCT(Exogenous!$L$82:$L$99,'Population Treasury'!AF$257:AF$274)/('Population Treasury'!AF$278/'Population Treasury'!AE$278))*(1+OFFSET(Assumptions!$B$42,0,$C$1))*(1+U$25)*(1+U$29)</f>
        <v>4.4850970709998714</v>
      </c>
      <c r="V251" s="16">
        <f ca="1">U$251*(1+SUMPRODUCT(Exogenous!$K$82:$K$99,'Population Treasury'!AG$239:AG$256)/('Population Treasury'!AG$276/'Population Treasury'!AF$276)+SUMPRODUCT(Exogenous!$L$82:$L$99,'Population Treasury'!AG$257:AG$274)/('Population Treasury'!AG$278/'Population Treasury'!AF$278))*(1+OFFSET(Assumptions!$B$42,0,$C$1))*(1+V$25)*(1+V$29)</f>
        <v>4.7863909851692261</v>
      </c>
      <c r="W251" s="16">
        <f ca="1">V$251*(1+SUMPRODUCT(Exogenous!$K$82:$K$99,'Population Treasury'!AH$239:AH$256)/('Population Treasury'!AH$276/'Population Treasury'!AG$276)+SUMPRODUCT(Exogenous!$L$82:$L$99,'Population Treasury'!AH$257:AH$274)/('Population Treasury'!AH$278/'Population Treasury'!AG$278))*(1+OFFSET(Assumptions!$B$42,0,$C$1))*(1+W$25)*(1+W$29)</f>
        <v>5.0998895597884859</v>
      </c>
      <c r="X251" s="16">
        <f ca="1">W$251*(1+SUMPRODUCT(Exogenous!$K$82:$K$99,'Population Treasury'!AI$239:AI$256)/('Population Treasury'!AI$276/'Population Treasury'!AH$276)+SUMPRODUCT(Exogenous!$L$82:$L$99,'Population Treasury'!AI$257:AI$274)/('Population Treasury'!AI$278/'Population Treasury'!AH$278))*(1+OFFSET(Assumptions!$B$42,0,$C$1))*(1+X$25)*(1+X$29)</f>
        <v>5.4324480590357469</v>
      </c>
      <c r="Y251" s="16">
        <f ca="1">X$251*(1+SUMPRODUCT(Exogenous!$K$82:$K$99,'Population Treasury'!AJ$239:AJ$256)/('Population Treasury'!AJ$276/'Population Treasury'!AI$276)+SUMPRODUCT(Exogenous!$L$82:$L$99,'Population Treasury'!AJ$257:AJ$274)/('Population Treasury'!AJ$278/'Population Treasury'!AI$278))*(1+OFFSET(Assumptions!$B$42,0,$C$1))*(1+Y$25)*(1+Y$29)</f>
        <v>5.7779597726112844</v>
      </c>
      <c r="Z251" s="16">
        <f ca="1">Y$251*(1+SUMPRODUCT(Exogenous!$K$82:$K$99,'Population Treasury'!AK$239:AK$256)/('Population Treasury'!AK$276/'Population Treasury'!AJ$276)+SUMPRODUCT(Exogenous!$L$82:$L$99,'Population Treasury'!AK$257:AK$274)/('Population Treasury'!AK$278/'Population Treasury'!AJ$278))*(1+OFFSET(Assumptions!$B$42,0,$C$1))*(1+Z$25)*(1+Z$29)</f>
        <v>6.1443693808178477</v>
      </c>
      <c r="AA251" s="16">
        <f ca="1">Z$251*(1+SUMPRODUCT(Exogenous!$K$82:$K$99,'Population Treasury'!AL$239:AL$256)/('Population Treasury'!AL$276/'Population Treasury'!AK$276)+SUMPRODUCT(Exogenous!$L$82:$L$99,'Population Treasury'!AL$257:AL$274)/('Population Treasury'!AL$278/'Population Treasury'!AK$278))*(1+OFFSET(Assumptions!$B$42,0,$C$1))*(1+AA$25)*(1+AA$29)</f>
        <v>6.5296055449513055</v>
      </c>
      <c r="AB251" s="16">
        <f ca="1">AA$251*(1+SUMPRODUCT(Exogenous!$K$82:$K$99,'Population Treasury'!AM$239:AM$256)/('Population Treasury'!AM$276/'Population Treasury'!AL$276)+SUMPRODUCT(Exogenous!$L$82:$L$99,'Population Treasury'!AM$257:AM$274)/('Population Treasury'!AM$278/'Population Treasury'!AL$278))*(1+OFFSET(Assumptions!$B$42,0,$C$1))*(1+AB$25)*(1+AB$29)</f>
        <v>6.9322598408112004</v>
      </c>
      <c r="AC251" s="16">
        <f ca="1">AB$251*(1+SUMPRODUCT(Exogenous!$K$82:$K$99,'Population Treasury'!AN$239:AN$256)/('Population Treasury'!AN$276/'Population Treasury'!AM$276)+SUMPRODUCT(Exogenous!$L$82:$L$99,'Population Treasury'!AN$257:AN$274)/('Population Treasury'!AN$278/'Population Treasury'!AM$278))*(1+OFFSET(Assumptions!$B$42,0,$C$1))*(1+AC$25)*(1+AC$29)</f>
        <v>7.3538921737380774</v>
      </c>
      <c r="AD251" s="16">
        <f ca="1">AC$251*(1+SUMPRODUCT(Exogenous!$K$82:$K$99,'Population Treasury'!AO$239:AO$256)/('Population Treasury'!AO$276/'Population Treasury'!AN$276)+SUMPRODUCT(Exogenous!$L$82:$L$99,'Population Treasury'!AO$257:AO$274)/('Population Treasury'!AO$278/'Population Treasury'!AN$278))*(1+OFFSET(Assumptions!$B$42,0,$C$1))*(1+AD$25)*(1+AD$29)</f>
        <v>7.78592008940117</v>
      </c>
      <c r="AE251" s="16">
        <f ca="1">AD$251*(1+SUMPRODUCT(Exogenous!$K$82:$K$99,'Population Treasury'!AP$239:AP$256)/('Population Treasury'!AP$276/'Population Treasury'!AO$276)+SUMPRODUCT(Exogenous!$L$82:$L$99,'Population Treasury'!AP$257:AP$274)/('Population Treasury'!AP$278/'Population Treasury'!AO$278))*(1+OFFSET(Assumptions!$B$42,0,$C$1))*(1+AE$25)*(1+AE$29)</f>
        <v>8.2447198245495752</v>
      </c>
      <c r="AF251" s="16">
        <f ca="1">AE$251*(1+SUMPRODUCT(Exogenous!$K$82:$K$99,'Population Treasury'!AQ$239:AQ$256)/('Population Treasury'!AQ$276/'Population Treasury'!AP$276)+SUMPRODUCT(Exogenous!$L$82:$L$99,'Population Treasury'!AQ$257:AQ$274)/('Population Treasury'!AQ$278/'Population Treasury'!AP$278))*(1+OFFSET(Assumptions!$B$42,0,$C$1))*(1+AF$25)*(1+AF$29)</f>
        <v>8.7260682241807253</v>
      </c>
      <c r="AG251" s="16">
        <f ca="1">AF$251*(1+SUMPRODUCT(Exogenous!$K$82:$K$99,'Population Treasury'!AR$239:AR$256)/('Population Treasury'!AR$276/'Population Treasury'!AQ$276)+SUMPRODUCT(Exogenous!$L$82:$L$99,'Population Treasury'!AR$257:AR$274)/('Population Treasury'!AR$278/'Population Treasury'!AQ$278))*(1+OFFSET(Assumptions!$B$42,0,$C$1))*(1+AG$25)*(1+AG$29)</f>
        <v>9.2219403040955381</v>
      </c>
      <c r="AH251" s="16">
        <f ca="1">AG$251*(1+SUMPRODUCT(Exogenous!$K$82:$K$99,'Population Treasury'!AS$239:AS$256)/('Population Treasury'!AS$276/'Population Treasury'!AR$276)+SUMPRODUCT(Exogenous!$L$82:$L$99,'Population Treasury'!AS$257:AS$274)/('Population Treasury'!AS$278/'Population Treasury'!AR$278))*(1+OFFSET(Assumptions!$B$42,0,$C$1))*(1+AH$25)*(1+AH$29)</f>
        <v>9.7265583603697809</v>
      </c>
      <c r="AI251" s="16">
        <f ca="1">AH$251*(1+SUMPRODUCT(Exogenous!$K$82:$K$99,'Population Treasury'!AT$239:AT$256)/('Population Treasury'!AT$276/'Population Treasury'!AS$276)+SUMPRODUCT(Exogenous!$L$82:$L$99,'Population Treasury'!AT$257:AT$274)/('Population Treasury'!AT$278/'Population Treasury'!AS$278))*(1+OFFSET(Assumptions!$B$42,0,$C$1))*(1+AI$25)*(1+AI$29)</f>
        <v>10.234725468751396</v>
      </c>
      <c r="AJ251" s="16">
        <f ca="1">AI$251*(1+SUMPRODUCT(Exogenous!$K$82:$K$99,'Population Treasury'!AU$239:AU$256)/('Population Treasury'!AU$276/'Population Treasury'!AT$276)+SUMPRODUCT(Exogenous!$L$82:$L$99,'Population Treasury'!AU$257:AU$274)/('Population Treasury'!AU$278/'Population Treasury'!AT$278))*(1+OFFSET(Assumptions!$B$42,0,$C$1))*(1+AJ$25)*(1+AJ$29)</f>
        <v>10.758669563145471</v>
      </c>
      <c r="AK251" s="16">
        <f ca="1">AJ$251*(1+SUMPRODUCT(Exogenous!$K$82:$K$99,'Population Treasury'!AV$239:AV$256)/('Population Treasury'!AV$276/'Population Treasury'!AU$276)+SUMPRODUCT(Exogenous!$L$82:$L$99,'Population Treasury'!AV$257:AV$274)/('Population Treasury'!AV$278/'Population Treasury'!AU$278))*(1+OFFSET(Assumptions!$B$42,0,$C$1))*(1+AK$25)*(1+AK$29)</f>
        <v>11.308143063076356</v>
      </c>
      <c r="AL251" s="16">
        <f ca="1">AK$251*(1+SUMPRODUCT(Exogenous!$K$82:$K$99,'Population Treasury'!AW$239:AW$256)/('Population Treasury'!AW$276/'Population Treasury'!AV$276)+SUMPRODUCT(Exogenous!$L$82:$L$99,'Population Treasury'!AW$257:AW$274)/('Population Treasury'!AW$278/'Population Treasury'!AV$278))*(1+OFFSET(Assumptions!$B$42,0,$C$1))*(1+AL$25)*(1+AL$29)</f>
        <v>11.878337651964697</v>
      </c>
      <c r="AM251" s="16">
        <f ca="1">AL$251*(1+SUMPRODUCT(Exogenous!$K$82:$K$99,'Population Treasury'!AX$239:AX$256)/('Population Treasury'!AX$276/'Population Treasury'!AW$276)+SUMPRODUCT(Exogenous!$L$82:$L$99,'Population Treasury'!AX$257:AX$274)/('Population Treasury'!AX$278/'Population Treasury'!AW$278))*(1+OFFSET(Assumptions!$B$42,0,$C$1))*(1+AM$25)*(1+AM$29)</f>
        <v>12.478464205772621</v>
      </c>
      <c r="AN251" s="16">
        <f ca="1">AM$251*(1+SUMPRODUCT(Exogenous!$K$82:$K$99,'Population Treasury'!AY$239:AY$256)/('Population Treasury'!AY$276/'Population Treasury'!AX$276)+SUMPRODUCT(Exogenous!$L$82:$L$99,'Population Treasury'!AY$257:AY$274)/('Population Treasury'!AY$278/'Population Treasury'!AX$278))*(1+OFFSET(Assumptions!$B$42,0,$C$1))*(1+AN$25)*(1+AN$29)</f>
        <v>13.102029861644898</v>
      </c>
      <c r="AO251" s="16">
        <f ca="1">AN$251*(1+SUMPRODUCT(Exogenous!$K$82:$K$99,'Population Treasury'!AZ$239:AZ$256)/('Population Treasury'!AZ$276/'Population Treasury'!AY$276)+SUMPRODUCT(Exogenous!$L$82:$L$99,'Population Treasury'!AZ$257:AZ$274)/('Population Treasury'!AZ$278/'Population Treasury'!AY$278))*(1+OFFSET(Assumptions!$B$42,0,$C$1))*(1+AO$25)*(1+AO$29)</f>
        <v>13.764992941440337</v>
      </c>
      <c r="AP251" s="16">
        <f ca="1">AO$251*(1+SUMPRODUCT(Exogenous!$K$82:$K$99,'Population Treasury'!BA$239:BA$256)/('Population Treasury'!BA$276/'Population Treasury'!AZ$276)+SUMPRODUCT(Exogenous!$L$82:$L$99,'Population Treasury'!BA$257:BA$274)/('Population Treasury'!BA$278/'Population Treasury'!AZ$278))*(1+OFFSET(Assumptions!$B$42,0,$C$1))*(1+AP$25)*(1+AP$29)</f>
        <v>14.45799125298608</v>
      </c>
      <c r="AQ251" s="16">
        <f ca="1">AP$251*(1+SUMPRODUCT(Exogenous!$K$82:$K$99,'Population Treasury'!BB$239:BB$256)/('Population Treasury'!BB$276/'Population Treasury'!BA$276)+SUMPRODUCT(Exogenous!$L$82:$L$99,'Population Treasury'!BB$257:BB$274)/('Population Treasury'!BB$278/'Population Treasury'!BA$278))*(1+OFFSET(Assumptions!$B$42,0,$C$1))*(1+AQ$25)*(1+AQ$29)</f>
        <v>15.171264334081556</v>
      </c>
      <c r="AR251" s="16">
        <f ca="1">AQ$251*(1+SUMPRODUCT(Exogenous!$K$82:$K$99,'Population Treasury'!BC$239:BC$256)/('Population Treasury'!BC$276/'Population Treasury'!BB$276)+SUMPRODUCT(Exogenous!$L$82:$L$99,'Population Treasury'!BC$257:BC$274)/('Population Treasury'!BC$278/'Population Treasury'!BB$278))*(1+OFFSET(Assumptions!$B$42,0,$C$1))*(1+AR$25)*(1+AR$29)</f>
        <v>15.915391492200012</v>
      </c>
      <c r="AS251" s="16">
        <f ca="1">AR$251*(1+SUMPRODUCT(Exogenous!$K$82:$K$99,'Population Treasury'!BD$239:BD$256)/('Population Treasury'!BD$276/'Population Treasury'!BC$276)+SUMPRODUCT(Exogenous!$L$82:$L$99,'Population Treasury'!BD$257:BD$274)/('Population Treasury'!BD$278/'Population Treasury'!BC$278))*(1+OFFSET(Assumptions!$B$42,0,$C$1))*(1+AS$25)*(1+AS$29)</f>
        <v>16.692147927631442</v>
      </c>
      <c r="AT251" s="16">
        <f ca="1">AS$251*(1+SUMPRODUCT(Exogenous!$K$82:$K$99,'Population Treasury'!BE$239:BE$256)/('Population Treasury'!BE$276/'Population Treasury'!BD$276)+SUMPRODUCT(Exogenous!$L$82:$L$99,'Population Treasury'!BE$257:BE$274)/('Population Treasury'!BE$278/'Population Treasury'!BD$278))*(1+OFFSET(Assumptions!$B$42,0,$C$1))*(1+AT$25)*(1+AT$29)</f>
        <v>17.498118364224499</v>
      </c>
      <c r="AU251" s="16">
        <f ca="1">AT$251*(1+SUMPRODUCT(Exogenous!$K$82:$K$99,'Population Treasury'!BF$239:BF$256)/('Population Treasury'!BF$276/'Population Treasury'!BE$276)+SUMPRODUCT(Exogenous!$L$82:$L$99,'Population Treasury'!BF$257:BF$274)/('Population Treasury'!BF$278/'Population Treasury'!BE$278))*(1+OFFSET(Assumptions!$B$42,0,$C$1))*(1+AU$25)*(1+AU$29)</f>
        <v>18.363919534482186</v>
      </c>
      <c r="AV251" s="16">
        <f ca="1">AU$251*(1+SUMPRODUCT(Exogenous!$K$82:$K$99,'Population Treasury'!BG$239:BG$256)/('Population Treasury'!BG$276/'Population Treasury'!BF$276)+SUMPRODUCT(Exogenous!$L$82:$L$99,'Population Treasury'!BG$257:BG$274)/('Population Treasury'!BG$278/'Population Treasury'!BF$278))*(1+OFFSET(Assumptions!$B$42,0,$C$1))*(1+AV$25)*(1+AV$29)</f>
        <v>19.284031607161193</v>
      </c>
      <c r="AW251" s="16">
        <f ca="1">AV$251*(1+SUMPRODUCT(Exogenous!$K$82:$K$99,'Population Treasury'!BH$239:BH$256)/('Population Treasury'!BH$276/'Population Treasury'!BG$276)+SUMPRODUCT(Exogenous!$L$82:$L$99,'Population Treasury'!BH$257:BH$274)/('Population Treasury'!BH$278/'Population Treasury'!BG$278))*(1+OFFSET(Assumptions!$B$42,0,$C$1))*(1+AW$25)*(1+AW$29)</f>
        <v>20.27248313420943</v>
      </c>
      <c r="AX251" s="16">
        <f ca="1">AW$251*(1+SUMPRODUCT(Exogenous!$K$82:$K$99,'Population Treasury'!BI$239:BI$256)/('Population Treasury'!BI$276/'Population Treasury'!BH$276)+SUMPRODUCT(Exogenous!$L$82:$L$99,'Population Treasury'!BI$257:BI$274)/('Population Treasury'!BI$278/'Population Treasury'!BH$278))*(1+OFFSET(Assumptions!$B$42,0,$C$1))*(1+AX$25)*(1+AX$29)</f>
        <v>21.338745079371879</v>
      </c>
    </row>
    <row r="252" spans="1:50" x14ac:dyDescent="0.25">
      <c r="A252" s="11" t="s">
        <v>1236</v>
      </c>
      <c r="B252" s="10" t="str">
        <f t="shared" si="1128"/>
        <v>From Fiscal Forecasts</v>
      </c>
      <c r="D252" s="35">
        <f>Exogenous!$N$79*'Fiscal Forecasts'!D$58</f>
        <v>1.2787600000000001</v>
      </c>
      <c r="E252" s="35">
        <f>Exogenous!$N$79*'Fiscal Forecasts'!E$58</f>
        <v>1.3923700000000001</v>
      </c>
      <c r="F252" s="35">
        <f>Exogenous!$N$79*'Fiscal Forecasts'!F$58</f>
        <v>1.5948800000000001</v>
      </c>
      <c r="G252" s="35">
        <f>Exogenous!$N$79*'Fiscal Forecasts'!G$58</f>
        <v>1.9446700000000001</v>
      </c>
      <c r="H252" s="35">
        <f>Exogenous!$N$79*'Fiscal Forecasts'!H$58</f>
        <v>1.9942300000000002</v>
      </c>
      <c r="I252" s="35">
        <f>Exogenous!$N$79*'Fiscal Forecasts'!I$58</f>
        <v>2.0999300000000001</v>
      </c>
      <c r="J252" s="17">
        <f>Exogenous!$N$79*('Fiscal Forecasts'!J$58+Allocation!C$13)</f>
        <v>2.1654500000000003</v>
      </c>
      <c r="K252" s="17">
        <f>Exogenous!$N$79*('Fiscal Forecasts'!K$58+Allocation!D$13)</f>
        <v>2.3329740000000005</v>
      </c>
      <c r="L252" s="17">
        <f>Exogenous!$N$79*('Fiscal Forecasts'!L$58+Allocation!E$13)</f>
        <v>2.3909928000000003</v>
      </c>
      <c r="M252" s="17">
        <f>Exogenous!$N$79*('Fiscal Forecasts'!M$58+Allocation!F$13)</f>
        <v>2.4675028000000006</v>
      </c>
      <c r="N252" s="17">
        <f>Exogenous!$N$79*('Fiscal Forecasts'!N$58+Allocation!G$13)</f>
        <v>2.5415796000000004</v>
      </c>
      <c r="O252" s="16">
        <f ca="1">N$252*(1+SUMPRODUCT(Exogenous!$N$82:$N$99,'Population Treasury'!Z$239:Z$256)/('Population Treasury'!Z$276/'Population Treasury'!Y$276)+SUMPRODUCT(Exogenous!$O$82:$O$99,'Population Treasury'!Z$257:Z$274)/('Population Treasury'!Z$278/'Population Treasury'!Y$278))*(1+OFFSET(Assumptions!$B$42,0,$C$1))*(1+O$25)*(1+O$29)</f>
        <v>2.7183245700328942</v>
      </c>
      <c r="P252" s="16">
        <f ca="1">O$252*(1+SUMPRODUCT(Exogenous!$N$82:$N$99,'Population Treasury'!AA$239:AA$256)/('Population Treasury'!AA$276/'Population Treasury'!Z$276)+SUMPRODUCT(Exogenous!$O$82:$O$99,'Population Treasury'!AA$257:AA$274)/('Population Treasury'!AA$278/'Population Treasury'!Z$278))*(1+OFFSET(Assumptions!$B$42,0,$C$1))*(1+P$25)*(1+P$29)</f>
        <v>2.9068008453547627</v>
      </c>
      <c r="Q252" s="16">
        <f ca="1">P$252*(1+SUMPRODUCT(Exogenous!$N$82:$N$99,'Population Treasury'!AB$239:AB$256)/('Population Treasury'!AB$276/'Population Treasury'!AA$276)+SUMPRODUCT(Exogenous!$O$82:$O$99,'Population Treasury'!AB$257:AB$274)/('Population Treasury'!AB$278/'Population Treasury'!AA$278))*(1+OFFSET(Assumptions!$B$42,0,$C$1))*(1+Q$25)*(1+Q$29)</f>
        <v>3.1219433917906962</v>
      </c>
      <c r="R252" s="16">
        <f ca="1">Q$252*(1+SUMPRODUCT(Exogenous!$N$82:$N$99,'Population Treasury'!AC$239:AC$256)/('Population Treasury'!AC$276/'Population Treasury'!AB$276)+SUMPRODUCT(Exogenous!$O$82:$O$99,'Population Treasury'!AC$257:AC$274)/('Population Treasury'!AC$278/'Population Treasury'!AB$278))*(1+OFFSET(Assumptions!$B$42,0,$C$1))*(1+R$25)*(1+R$29)</f>
        <v>3.3420722939503884</v>
      </c>
      <c r="S252" s="16">
        <f ca="1">R$252*(1+SUMPRODUCT(Exogenous!$N$82:$N$99,'Population Treasury'!AD$239:AD$256)/('Population Treasury'!AD$276/'Population Treasury'!AC$276)+SUMPRODUCT(Exogenous!$O$82:$O$99,'Population Treasury'!AD$257:AD$274)/('Population Treasury'!AD$278/'Population Treasury'!AC$278))*(1+OFFSET(Assumptions!$B$42,0,$C$1))*(1+S$25)*(1+S$29)</f>
        <v>3.5676769679220821</v>
      </c>
      <c r="T252" s="16">
        <f ca="1">S$252*(1+SUMPRODUCT(Exogenous!$N$82:$N$99,'Population Treasury'!AE$239:AE$256)/('Population Treasury'!AE$276/'Population Treasury'!AD$276)+SUMPRODUCT(Exogenous!$O$82:$O$99,'Population Treasury'!AE$257:AE$274)/('Population Treasury'!AE$278/'Population Treasury'!AD$278))*(1+OFFSET(Assumptions!$B$42,0,$C$1))*(1+T$25)*(1+T$29)</f>
        <v>3.8023142659195663</v>
      </c>
      <c r="U252" s="16">
        <f ca="1">T$252*(1+SUMPRODUCT(Exogenous!$N$82:$N$99,'Population Treasury'!AF$239:AF$256)/('Population Treasury'!AF$276/'Population Treasury'!AE$276)+SUMPRODUCT(Exogenous!$O$82:$O$99,'Population Treasury'!AF$257:AF$274)/('Population Treasury'!AF$278/'Population Treasury'!AE$278))*(1+OFFSET(Assumptions!$B$42,0,$C$1))*(1+U$25)*(1+U$29)</f>
        <v>4.0453247186560795</v>
      </c>
      <c r="V252" s="16">
        <f ca="1">U$252*(1+SUMPRODUCT(Exogenous!$N$82:$N$99,'Population Treasury'!AG$239:AG$256)/('Population Treasury'!AG$276/'Population Treasury'!AF$276)+SUMPRODUCT(Exogenous!$O$82:$O$99,'Population Treasury'!AG$257:AG$274)/('Population Treasury'!AG$278/'Population Treasury'!AF$278))*(1+OFFSET(Assumptions!$B$42,0,$C$1))*(1+V$25)*(1+V$29)</f>
        <v>4.3000672326367448</v>
      </c>
      <c r="W252" s="16">
        <f ca="1">V$252*(1+SUMPRODUCT(Exogenous!$N$82:$N$99,'Population Treasury'!AH$239:AH$256)/('Population Treasury'!AH$276/'Population Treasury'!AG$276)+SUMPRODUCT(Exogenous!$O$82:$O$99,'Population Treasury'!AH$257:AH$274)/('Population Treasury'!AH$278/'Population Treasury'!AG$278))*(1+OFFSET(Assumptions!$B$42,0,$C$1))*(1+W$25)*(1+W$29)</f>
        <v>4.5643567670213621</v>
      </c>
      <c r="X252" s="16">
        <f ca="1">W$252*(1+SUMPRODUCT(Exogenous!$N$82:$N$99,'Population Treasury'!AI$239:AI$256)/('Population Treasury'!AI$276/'Population Treasury'!AH$276)+SUMPRODUCT(Exogenous!$O$82:$O$99,'Population Treasury'!AI$257:AI$274)/('Population Treasury'!AI$278/'Population Treasury'!AH$278))*(1+OFFSET(Assumptions!$B$42,0,$C$1))*(1+X$25)*(1+X$29)</f>
        <v>4.8422088496157665</v>
      </c>
      <c r="Y252" s="16">
        <f ca="1">X$252*(1+SUMPRODUCT(Exogenous!$N$82:$N$99,'Population Treasury'!AJ$239:AJ$256)/('Population Treasury'!AJ$276/'Population Treasury'!AI$276)+SUMPRODUCT(Exogenous!$O$82:$O$99,'Population Treasury'!AJ$257:AJ$274)/('Population Treasury'!AJ$278/'Population Treasury'!AI$278))*(1+OFFSET(Assumptions!$B$42,0,$C$1))*(1+Y$25)*(1+Y$29)</f>
        <v>5.1290126719755342</v>
      </c>
      <c r="Z252" s="16">
        <f ca="1">Y$252*(1+SUMPRODUCT(Exogenous!$N$82:$N$99,'Population Treasury'!AK$239:AK$256)/('Population Treasury'!AK$276/'Population Treasury'!AJ$276)+SUMPRODUCT(Exogenous!$O$82:$O$99,'Population Treasury'!AK$257:AK$274)/('Population Treasury'!AK$278/'Population Treasury'!AJ$278))*(1+OFFSET(Assumptions!$B$42,0,$C$1))*(1+Z$25)*(1+Z$29)</f>
        <v>5.4310482489114031</v>
      </c>
      <c r="AA252" s="16">
        <f ca="1">Z$252*(1+SUMPRODUCT(Exogenous!$N$82:$N$99,'Population Treasury'!AL$239:AL$256)/('Population Treasury'!AL$276/'Population Treasury'!AK$276)+SUMPRODUCT(Exogenous!$O$82:$O$99,'Population Treasury'!AL$257:AL$274)/('Population Treasury'!AL$278/'Population Treasury'!AK$278))*(1+OFFSET(Assumptions!$B$42,0,$C$1))*(1+AA$25)*(1+AA$29)</f>
        <v>5.747297865393004</v>
      </c>
      <c r="AB252" s="16">
        <f ca="1">AA$252*(1+SUMPRODUCT(Exogenous!$N$82:$N$99,'Population Treasury'!AM$239:AM$256)/('Population Treasury'!AM$276/'Population Treasury'!AL$276)+SUMPRODUCT(Exogenous!$O$82:$O$99,'Population Treasury'!AM$257:AM$274)/('Population Treasury'!AM$278/'Population Treasury'!AL$278))*(1+OFFSET(Assumptions!$B$42,0,$C$1))*(1+AB$25)*(1+AB$29)</f>
        <v>6.0755991846066326</v>
      </c>
      <c r="AC252" s="16">
        <f ca="1">AB$252*(1+SUMPRODUCT(Exogenous!$N$82:$N$99,'Population Treasury'!AN$239:AN$256)/('Population Treasury'!AN$276/'Population Treasury'!AM$276)+SUMPRODUCT(Exogenous!$O$82:$O$99,'Population Treasury'!AN$257:AN$274)/('Population Treasury'!AN$278/'Population Treasury'!AM$278))*(1+OFFSET(Assumptions!$B$42,0,$C$1))*(1+AC$25)*(1+AC$29)</f>
        <v>6.4177147214822394</v>
      </c>
      <c r="AD252" s="16">
        <f ca="1">AC$252*(1+SUMPRODUCT(Exogenous!$N$82:$N$99,'Population Treasury'!AO$239:AO$256)/('Population Treasury'!AO$276/'Population Treasury'!AN$276)+SUMPRODUCT(Exogenous!$O$82:$O$99,'Population Treasury'!AO$257:AO$274)/('Population Treasury'!AO$278/'Population Treasury'!AN$278))*(1+OFFSET(Assumptions!$B$42,0,$C$1))*(1+AD$25)*(1+AD$29)</f>
        <v>6.7686859983309366</v>
      </c>
      <c r="AE252" s="16">
        <f ca="1">AD$252*(1+SUMPRODUCT(Exogenous!$N$82:$N$99,'Population Treasury'!AP$239:AP$256)/('Population Treasury'!AP$276/'Population Treasury'!AO$276)+SUMPRODUCT(Exogenous!$O$82:$O$99,'Population Treasury'!AP$257:AP$274)/('Population Treasury'!AP$278/'Population Treasury'!AO$278))*(1+OFFSET(Assumptions!$B$42,0,$C$1))*(1+AE$25)*(1+AE$29)</f>
        <v>7.1381228110914918</v>
      </c>
      <c r="AF252" s="16">
        <f ca="1">AE$252*(1+SUMPRODUCT(Exogenous!$N$82:$N$99,'Population Treasury'!AQ$239:AQ$256)/('Population Treasury'!AQ$276/'Population Treasury'!AP$276)+SUMPRODUCT(Exogenous!$O$82:$O$99,'Population Treasury'!AQ$257:AQ$274)/('Population Treasury'!AQ$278/'Population Treasury'!AP$278))*(1+OFFSET(Assumptions!$B$42,0,$C$1))*(1+AF$25)*(1+AF$29)</f>
        <v>7.523913071203733</v>
      </c>
      <c r="AG252" s="16">
        <f ca="1">AF$252*(1+SUMPRODUCT(Exogenous!$N$82:$N$99,'Population Treasury'!AR$239:AR$256)/('Population Treasury'!AR$276/'Population Treasury'!AQ$276)+SUMPRODUCT(Exogenous!$O$82:$O$99,'Population Treasury'!AR$257:AR$274)/('Population Treasury'!AR$278/'Population Treasury'!AQ$278))*(1+OFFSET(Assumptions!$B$42,0,$C$1))*(1+AG$25)*(1+AG$29)</f>
        <v>7.9229049060021559</v>
      </c>
      <c r="AH252" s="16">
        <f ca="1">AG$252*(1+SUMPRODUCT(Exogenous!$N$82:$N$99,'Population Treasury'!AS$239:AS$256)/('Population Treasury'!AS$276/'Population Treasury'!AR$276)+SUMPRODUCT(Exogenous!$O$82:$O$99,'Population Treasury'!AS$257:AS$274)/('Population Treasury'!AS$278/'Population Treasury'!AR$278))*(1+OFFSET(Assumptions!$B$42,0,$C$1))*(1+AH$25)*(1+AH$29)</f>
        <v>8.3341913410873207</v>
      </c>
      <c r="AI252" s="16">
        <f ca="1">AH$252*(1+SUMPRODUCT(Exogenous!$N$82:$N$99,'Population Treasury'!AT$239:AT$256)/('Population Treasury'!AT$276/'Population Treasury'!AS$276)+SUMPRODUCT(Exogenous!$O$82:$O$99,'Population Treasury'!AT$257:AT$274)/('Population Treasury'!AT$278/'Population Treasury'!AS$278))*(1+OFFSET(Assumptions!$B$42,0,$C$1))*(1+AI$25)*(1+AI$29)</f>
        <v>8.7553431269969533</v>
      </c>
      <c r="AJ252" s="16">
        <f ca="1">AI$252*(1+SUMPRODUCT(Exogenous!$N$82:$N$99,'Population Treasury'!AU$239:AU$256)/('Population Treasury'!AU$276/'Population Treasury'!AT$276)+SUMPRODUCT(Exogenous!$O$82:$O$99,'Population Treasury'!AU$257:AU$274)/('Population Treasury'!AU$278/'Population Treasury'!AT$278))*(1+OFFSET(Assumptions!$B$42,0,$C$1))*(1+AJ$25)*(1+AJ$29)</f>
        <v>9.1935890214206637</v>
      </c>
      <c r="AK252" s="16">
        <f ca="1">AJ$252*(1+SUMPRODUCT(Exogenous!$N$82:$N$99,'Population Treasury'!AV$239:AV$256)/('Population Treasury'!AV$276/'Population Treasury'!AU$276)+SUMPRODUCT(Exogenous!$O$82:$O$99,'Population Treasury'!AV$257:AV$274)/('Population Treasury'!AV$278/'Population Treasury'!AU$278))*(1+OFFSET(Assumptions!$B$42,0,$C$1))*(1+AK$25)*(1+AK$29)</f>
        <v>9.653318889973546</v>
      </c>
      <c r="AL252" s="16">
        <f ca="1">AK$252*(1+SUMPRODUCT(Exogenous!$N$82:$N$99,'Population Treasury'!AW$239:AW$256)/('Population Treasury'!AW$276/'Population Treasury'!AV$276)+SUMPRODUCT(Exogenous!$O$82:$O$99,'Population Treasury'!AW$257:AW$274)/('Population Treasury'!AW$278/'Population Treasury'!AV$278))*(1+OFFSET(Assumptions!$B$42,0,$C$1))*(1+AL$25)*(1+AL$29)</f>
        <v>10.132031403010991</v>
      </c>
      <c r="AM252" s="16">
        <f ca="1">AL$252*(1+SUMPRODUCT(Exogenous!$N$82:$N$99,'Population Treasury'!AX$239:AX$256)/('Population Treasury'!AX$276/'Population Treasury'!AW$276)+SUMPRODUCT(Exogenous!$O$82:$O$99,'Population Treasury'!AX$257:AX$274)/('Population Treasury'!AX$278/'Population Treasury'!AW$278))*(1+OFFSET(Assumptions!$B$42,0,$C$1))*(1+AM$25)*(1+AM$29)</f>
        <v>10.634077244783008</v>
      </c>
      <c r="AN252" s="16">
        <f ca="1">AM$252*(1+SUMPRODUCT(Exogenous!$N$82:$N$99,'Population Treasury'!AY$239:AY$256)/('Population Treasury'!AY$276/'Population Treasury'!AX$276)+SUMPRODUCT(Exogenous!$O$82:$O$99,'Population Treasury'!AY$257:AY$274)/('Population Treasury'!AY$278/'Population Treasury'!AX$278))*(1+OFFSET(Assumptions!$B$42,0,$C$1))*(1+AN$25)*(1+AN$29)</f>
        <v>11.159330092869881</v>
      </c>
      <c r="AO252" s="16">
        <f ca="1">AN$252*(1+SUMPRODUCT(Exogenous!$N$82:$N$99,'Population Treasury'!AZ$239:AZ$256)/('Population Treasury'!AZ$276/'Population Treasury'!AY$276)+SUMPRODUCT(Exogenous!$O$82:$O$99,'Population Treasury'!AZ$257:AZ$274)/('Population Treasury'!AZ$278/'Population Treasury'!AY$278))*(1+OFFSET(Assumptions!$B$42,0,$C$1))*(1+AO$25)*(1+AO$29)</f>
        <v>11.712626986125942</v>
      </c>
      <c r="AP252" s="16">
        <f ca="1">AO$252*(1+SUMPRODUCT(Exogenous!$N$82:$N$99,'Population Treasury'!BA$239:BA$256)/('Population Treasury'!BA$276/'Population Treasury'!AZ$276)+SUMPRODUCT(Exogenous!$O$82:$O$99,'Population Treasury'!BA$257:BA$274)/('Population Treasury'!BA$278/'Population Treasury'!AZ$278))*(1+OFFSET(Assumptions!$B$42,0,$C$1))*(1+AP$25)*(1+AP$29)</f>
        <v>12.294609103887755</v>
      </c>
      <c r="AQ252" s="16">
        <f ca="1">AP$252*(1+SUMPRODUCT(Exogenous!$N$82:$N$99,'Population Treasury'!BB$239:BB$256)/('Population Treasury'!BB$276/'Population Treasury'!BA$276)+SUMPRODUCT(Exogenous!$O$82:$O$99,'Population Treasury'!BB$257:BB$274)/('Population Treasury'!BB$278/'Population Treasury'!BA$278))*(1+OFFSET(Assumptions!$B$42,0,$C$1))*(1+AQ$25)*(1+AQ$29)</f>
        <v>12.900323900734914</v>
      </c>
      <c r="AR252" s="16">
        <f ca="1">AQ$252*(1+SUMPRODUCT(Exogenous!$N$82:$N$99,'Population Treasury'!BC$239:BC$256)/('Population Treasury'!BC$276/'Population Treasury'!BB$276)+SUMPRODUCT(Exogenous!$O$82:$O$99,'Population Treasury'!BC$257:BC$274)/('Population Treasury'!BC$278/'Population Treasury'!BB$278))*(1+OFFSET(Assumptions!$B$42,0,$C$1))*(1+AR$25)*(1+AR$29)</f>
        <v>13.536009261041238</v>
      </c>
      <c r="AS252" s="16">
        <f ca="1">AR$252*(1+SUMPRODUCT(Exogenous!$N$82:$N$99,'Population Treasury'!BD$239:BD$256)/('Population Treasury'!BD$276/'Population Treasury'!BC$276)+SUMPRODUCT(Exogenous!$O$82:$O$99,'Population Treasury'!BD$257:BD$274)/('Population Treasury'!BD$278/'Population Treasury'!BC$278))*(1+OFFSET(Assumptions!$B$42,0,$C$1))*(1+AS$25)*(1+AS$29)</f>
        <v>14.208303203146841</v>
      </c>
      <c r="AT252" s="16">
        <f ca="1">AS$252*(1+SUMPRODUCT(Exogenous!$N$82:$N$99,'Population Treasury'!BE$239:BE$256)/('Population Treasury'!BE$276/'Population Treasury'!BD$276)+SUMPRODUCT(Exogenous!$O$82:$O$99,'Population Treasury'!BE$257:BE$274)/('Population Treasury'!BE$278/'Population Treasury'!BD$278))*(1+OFFSET(Assumptions!$B$42,0,$C$1))*(1+AT$25)*(1+AT$29)</f>
        <v>14.911695303915899</v>
      </c>
      <c r="AU252" s="16">
        <f ca="1">AT$252*(1+SUMPRODUCT(Exogenous!$N$82:$N$99,'Population Treasury'!BF$239:BF$256)/('Population Treasury'!BF$276/'Population Treasury'!BE$276)+SUMPRODUCT(Exogenous!$O$82:$O$99,'Population Treasury'!BF$257:BF$274)/('Population Treasury'!BF$278/'Population Treasury'!BE$278))*(1+OFFSET(Assumptions!$B$42,0,$C$1))*(1+AU$25)*(1+AU$29)</f>
        <v>15.660621925771283</v>
      </c>
      <c r="AV252" s="16">
        <f ca="1">AU$252*(1+SUMPRODUCT(Exogenous!$N$82:$N$99,'Population Treasury'!BG$239:BG$256)/('Population Treasury'!BG$276/'Population Treasury'!BF$276)+SUMPRODUCT(Exogenous!$O$82:$O$99,'Population Treasury'!BG$257:BG$274)/('Population Treasury'!BG$278/'Population Treasury'!BF$278))*(1+OFFSET(Assumptions!$B$42,0,$C$1))*(1+AV$25)*(1+AV$29)</f>
        <v>16.454590878193713</v>
      </c>
      <c r="AW252" s="16">
        <f ca="1">AV$252*(1+SUMPRODUCT(Exogenous!$N$82:$N$99,'Population Treasury'!BH$239:BH$256)/('Population Treasury'!BH$276/'Population Treasury'!BG$276)+SUMPRODUCT(Exogenous!$O$82:$O$99,'Population Treasury'!BH$257:BH$274)/('Population Treasury'!BH$278/'Population Treasury'!BG$278))*(1+OFFSET(Assumptions!$B$42,0,$C$1))*(1+AW$25)*(1+AW$29)</f>
        <v>17.293891392583216</v>
      </c>
      <c r="AX252" s="16">
        <f ca="1">AW$252*(1+SUMPRODUCT(Exogenous!$N$82:$N$99,'Population Treasury'!BI$239:BI$256)/('Population Treasury'!BI$276/'Population Treasury'!BH$276)+SUMPRODUCT(Exogenous!$O$82:$O$99,'Population Treasury'!BI$257:BI$274)/('Population Treasury'!BI$278/'Population Treasury'!BH$278))*(1+OFFSET(Assumptions!$B$42,0,$C$1))*(1+AX$25)*(1+AX$29)</f>
        <v>18.191186866480969</v>
      </c>
    </row>
    <row r="253" spans="1:50" x14ac:dyDescent="0.25">
      <c r="A253" s="9" t="s">
        <v>1002</v>
      </c>
      <c r="B253" s="10"/>
      <c r="D253" s="64">
        <f t="shared" ref="D253:AX253" si="1129">SUM(D$248:D$252)</f>
        <v>18.268000000000001</v>
      </c>
      <c r="E253" s="64">
        <f t="shared" si="1129"/>
        <v>19.890999999999998</v>
      </c>
      <c r="F253" s="64">
        <f t="shared" si="1129"/>
        <v>22.783999999999999</v>
      </c>
      <c r="G253" s="64">
        <f t="shared" si="1129"/>
        <v>27.780999999999999</v>
      </c>
      <c r="H253" s="64">
        <f t="shared" si="1129"/>
        <v>28.489000000000004</v>
      </c>
      <c r="I253" s="64">
        <f t="shared" si="1129"/>
        <v>29.998999999999999</v>
      </c>
      <c r="J253" s="65">
        <f t="shared" si="1129"/>
        <v>30.934999999999995</v>
      </c>
      <c r="K253" s="65">
        <f t="shared" si="1129"/>
        <v>33.328200000000002</v>
      </c>
      <c r="L253" s="65">
        <f t="shared" si="1129"/>
        <v>34.157040000000002</v>
      </c>
      <c r="M253" s="65">
        <f t="shared" si="1129"/>
        <v>35.250040000000006</v>
      </c>
      <c r="N253" s="65">
        <f t="shared" si="1129"/>
        <v>36.308280000000003</v>
      </c>
      <c r="O253" s="66">
        <f t="shared" ca="1" si="1129"/>
        <v>38.234890324437615</v>
      </c>
      <c r="P253" s="66">
        <f t="shared" ca="1" si="1129"/>
        <v>40.253440379721113</v>
      </c>
      <c r="Q253" s="66">
        <f t="shared" ca="1" si="1129"/>
        <v>42.419529696954619</v>
      </c>
      <c r="R253" s="66">
        <f t="shared" ca="1" si="1129"/>
        <v>44.650587305703716</v>
      </c>
      <c r="S253" s="66">
        <f t="shared" ca="1" si="1129"/>
        <v>46.961115677982107</v>
      </c>
      <c r="T253" s="66">
        <f t="shared" ca="1" si="1129"/>
        <v>49.361220950129479</v>
      </c>
      <c r="U253" s="66">
        <f t="shared" ca="1" si="1129"/>
        <v>51.858972314854583</v>
      </c>
      <c r="V253" s="66">
        <f t="shared" ca="1" si="1129"/>
        <v>54.474801979136615</v>
      </c>
      <c r="W253" s="66">
        <f t="shared" ca="1" si="1129"/>
        <v>57.190336290761124</v>
      </c>
      <c r="X253" s="66">
        <f t="shared" ca="1" si="1129"/>
        <v>60.026676633333857</v>
      </c>
      <c r="Y253" s="66">
        <f t="shared" ca="1" si="1129"/>
        <v>62.98224054750122</v>
      </c>
      <c r="Z253" s="66">
        <f t="shared" ca="1" si="1129"/>
        <v>66.071646471102156</v>
      </c>
      <c r="AA253" s="66">
        <f t="shared" ca="1" si="1129"/>
        <v>69.290659067791282</v>
      </c>
      <c r="AB253" s="66">
        <f t="shared" ca="1" si="1129"/>
        <v>72.627014685858128</v>
      </c>
      <c r="AC253" s="66">
        <f t="shared" ca="1" si="1129"/>
        <v>76.091663847355392</v>
      </c>
      <c r="AD253" s="66">
        <f t="shared" ca="1" si="1129"/>
        <v>79.68438573870192</v>
      </c>
      <c r="AE253" s="66">
        <f t="shared" ca="1" si="1129"/>
        <v>83.425623728372386</v>
      </c>
      <c r="AF253" s="66">
        <f t="shared" ca="1" si="1129"/>
        <v>87.309464090255744</v>
      </c>
      <c r="AG253" s="66">
        <f t="shared" ca="1" si="1129"/>
        <v>91.330767231487712</v>
      </c>
      <c r="AH253" s="66">
        <f t="shared" ca="1" si="1129"/>
        <v>95.493594846192735</v>
      </c>
      <c r="AI253" s="66">
        <f t="shared" ca="1" si="1129"/>
        <v>99.814946804947368</v>
      </c>
      <c r="AJ253" s="66">
        <f t="shared" ca="1" si="1129"/>
        <v>104.30289665056236</v>
      </c>
      <c r="AK253" s="66">
        <f t="shared" ca="1" si="1129"/>
        <v>108.97427325214709</v>
      </c>
      <c r="AL253" s="66">
        <f t="shared" ca="1" si="1129"/>
        <v>113.83111369952616</v>
      </c>
      <c r="AM253" s="66">
        <f t="shared" ca="1" si="1129"/>
        <v>118.886034696564</v>
      </c>
      <c r="AN253" s="66">
        <f t="shared" ca="1" si="1129"/>
        <v>124.16599334476291</v>
      </c>
      <c r="AO253" s="66">
        <f t="shared" ca="1" si="1129"/>
        <v>129.67024034558867</v>
      </c>
      <c r="AP253" s="66">
        <f t="shared" ca="1" si="1129"/>
        <v>135.42085040394974</v>
      </c>
      <c r="AQ253" s="66">
        <f t="shared" ca="1" si="1129"/>
        <v>141.43084735998303</v>
      </c>
      <c r="AR253" s="66">
        <f t="shared" ca="1" si="1129"/>
        <v>147.69307961964574</v>
      </c>
      <c r="AS253" s="66">
        <f t="shared" ca="1" si="1129"/>
        <v>154.24670324052721</v>
      </c>
      <c r="AT253" s="66">
        <f t="shared" ca="1" si="1129"/>
        <v>161.06876488461654</v>
      </c>
      <c r="AU253" s="66">
        <f t="shared" ca="1" si="1129"/>
        <v>168.21833248963335</v>
      </c>
      <c r="AV253" s="66">
        <f t="shared" ca="1" si="1129"/>
        <v>175.71066244036496</v>
      </c>
      <c r="AW253" s="66">
        <f t="shared" ca="1" si="1129"/>
        <v>183.52484325155928</v>
      </c>
      <c r="AX253" s="66">
        <f t="shared" ca="1" si="1129"/>
        <v>191.69736032196565</v>
      </c>
    </row>
    <row r="254" spans="1:50" x14ac:dyDescent="0.25">
      <c r="A254" s="11" t="s">
        <v>630</v>
      </c>
      <c r="B254" s="10" t="str">
        <f>$B$38</f>
        <v>From Fiscal Forecasts</v>
      </c>
      <c r="D254" s="35">
        <f>'Fiscal Forecasts'!D$207</f>
        <v>16.579000000000001</v>
      </c>
      <c r="E254" s="35">
        <f>'Fiscal Forecasts'!E$207</f>
        <v>17.788</v>
      </c>
      <c r="F254" s="35">
        <f>'Fiscal Forecasts'!F$207</f>
        <v>18.856000000000002</v>
      </c>
      <c r="G254" s="35">
        <f>'Fiscal Forecasts'!G$207</f>
        <v>22.004999999999999</v>
      </c>
      <c r="H254" s="35">
        <f>'Fiscal Forecasts'!H$207</f>
        <v>27.765999999999998</v>
      </c>
      <c r="I254" s="35">
        <f>'Fiscal Forecasts'!I$207</f>
        <v>27.89</v>
      </c>
      <c r="J254" s="17">
        <f>'Fiscal Forecasts'!J$207</f>
        <v>28.486999999999998</v>
      </c>
      <c r="K254" s="17">
        <f>'Fiscal Forecasts'!K$207</f>
        <v>28.939</v>
      </c>
      <c r="L254" s="17">
        <f>'Fiscal Forecasts'!L$207</f>
        <v>30.300999999999998</v>
      </c>
      <c r="M254" s="17">
        <f>'Fiscal Forecasts'!M$207</f>
        <v>30.123999999999999</v>
      </c>
      <c r="N254" s="17">
        <f>'Fiscal Forecasts'!N$207</f>
        <v>30.146999999999998</v>
      </c>
      <c r="O254" s="16">
        <f ca="1">N$254+O$253-N$253</f>
        <v>32.073610324437617</v>
      </c>
      <c r="P254" s="16">
        <f t="shared" ref="P254:AX254" ca="1" si="1130">O$254+P$253-O$253</f>
        <v>34.092160379721108</v>
      </c>
      <c r="Q254" s="16">
        <f t="shared" ca="1" si="1130"/>
        <v>36.258249696954621</v>
      </c>
      <c r="R254" s="16">
        <f t="shared" ca="1" si="1130"/>
        <v>38.489307305703726</v>
      </c>
      <c r="S254" s="16">
        <f t="shared" ca="1" si="1130"/>
        <v>40.799835677982109</v>
      </c>
      <c r="T254" s="16">
        <f t="shared" ca="1" si="1130"/>
        <v>43.199940950129488</v>
      </c>
      <c r="U254" s="16">
        <f t="shared" ca="1" si="1130"/>
        <v>45.697692314854592</v>
      </c>
      <c r="V254" s="16">
        <f t="shared" ca="1" si="1130"/>
        <v>48.313521979136624</v>
      </c>
      <c r="W254" s="16">
        <f t="shared" ca="1" si="1130"/>
        <v>51.029056290761133</v>
      </c>
      <c r="X254" s="16">
        <f t="shared" ca="1" si="1130"/>
        <v>53.865396633333873</v>
      </c>
      <c r="Y254" s="16">
        <f t="shared" ca="1" si="1130"/>
        <v>56.820960547501237</v>
      </c>
      <c r="Z254" s="16">
        <f t="shared" ca="1" si="1130"/>
        <v>59.910366471102179</v>
      </c>
      <c r="AA254" s="16">
        <f t="shared" ca="1" si="1130"/>
        <v>63.129379067791319</v>
      </c>
      <c r="AB254" s="16">
        <f t="shared" ca="1" si="1130"/>
        <v>66.465734685858152</v>
      </c>
      <c r="AC254" s="16">
        <f t="shared" ca="1" si="1130"/>
        <v>69.930383847355401</v>
      </c>
      <c r="AD254" s="16">
        <f t="shared" ca="1" si="1130"/>
        <v>73.523105738701929</v>
      </c>
      <c r="AE254" s="16">
        <f t="shared" ca="1" si="1130"/>
        <v>77.264343728372396</v>
      </c>
      <c r="AF254" s="16">
        <f t="shared" ca="1" si="1130"/>
        <v>81.148184090255768</v>
      </c>
      <c r="AG254" s="16">
        <f t="shared" ca="1" si="1130"/>
        <v>85.169487231487722</v>
      </c>
      <c r="AH254" s="16">
        <f t="shared" ca="1" si="1130"/>
        <v>89.332314846192745</v>
      </c>
      <c r="AI254" s="16">
        <f t="shared" ca="1" si="1130"/>
        <v>93.653666804947392</v>
      </c>
      <c r="AJ254" s="16">
        <f t="shared" ca="1" si="1130"/>
        <v>98.141616650562383</v>
      </c>
      <c r="AK254" s="16">
        <f t="shared" ca="1" si="1130"/>
        <v>102.81299325214709</v>
      </c>
      <c r="AL254" s="16">
        <f t="shared" ca="1" si="1130"/>
        <v>107.66983369952617</v>
      </c>
      <c r="AM254" s="16">
        <f t="shared" ca="1" si="1130"/>
        <v>112.72475469656399</v>
      </c>
      <c r="AN254" s="16">
        <f t="shared" ca="1" si="1130"/>
        <v>118.00471334476291</v>
      </c>
      <c r="AO254" s="16">
        <f t="shared" ca="1" si="1130"/>
        <v>123.50896034558866</v>
      </c>
      <c r="AP254" s="16">
        <f t="shared" ca="1" si="1130"/>
        <v>129.25957040394977</v>
      </c>
      <c r="AQ254" s="16">
        <f t="shared" ca="1" si="1130"/>
        <v>135.26956735998309</v>
      </c>
      <c r="AR254" s="16">
        <f t="shared" ca="1" si="1130"/>
        <v>141.53179961964582</v>
      </c>
      <c r="AS254" s="16">
        <f t="shared" ca="1" si="1130"/>
        <v>148.08542324052729</v>
      </c>
      <c r="AT254" s="16">
        <f t="shared" ca="1" si="1130"/>
        <v>154.90748488461662</v>
      </c>
      <c r="AU254" s="16">
        <f t="shared" ca="1" si="1130"/>
        <v>162.05705248963346</v>
      </c>
      <c r="AV254" s="16">
        <f t="shared" ca="1" si="1130"/>
        <v>169.54938244036506</v>
      </c>
      <c r="AW254" s="16">
        <f t="shared" ca="1" si="1130"/>
        <v>177.36356325155936</v>
      </c>
      <c r="AX254" s="16">
        <f t="shared" ca="1" si="1130"/>
        <v>185.5360803219657</v>
      </c>
    </row>
    <row r="255" spans="1:50" x14ac:dyDescent="0.25">
      <c r="A255" s="11" t="s">
        <v>787</v>
      </c>
      <c r="B255" s="10" t="str">
        <f>$B$38</f>
        <v>From Fiscal Forecasts</v>
      </c>
      <c r="D255" s="35">
        <f>'Fiscal Forecasts'!D$41-SUM(D$253:D$254)</f>
        <v>-16.187000000000001</v>
      </c>
      <c r="E255" s="35">
        <f>'Fiscal Forecasts'!E$41-SUM(E$253:E$254)</f>
        <v>-17.21</v>
      </c>
      <c r="F255" s="35">
        <f>'Fiscal Forecasts'!F$41-SUM(F$253:F$254)</f>
        <v>-19.042000000000002</v>
      </c>
      <c r="G255" s="35">
        <f>'Fiscal Forecasts'!G$41-SUM(G$253:G$254)</f>
        <v>-22.128</v>
      </c>
      <c r="H255" s="35">
        <f>'Fiscal Forecasts'!H$41-SUM(H$253:H$254)</f>
        <v>-26.431000000000001</v>
      </c>
      <c r="I255" s="35">
        <f>'Fiscal Forecasts'!I$41-SUM(I$253:I$254)</f>
        <v>-28.048999999999996</v>
      </c>
      <c r="J255" s="17">
        <f>'Fiscal Forecasts'!J$41-SUM(J$253:J$254)+Allocation!C$13</f>
        <v>-28.708999999999996</v>
      </c>
      <c r="K255" s="17">
        <f>'Fiscal Forecasts'!K$41-SUM(K$253:K$254)+Allocation!D$13</f>
        <v>-30.424000000000003</v>
      </c>
      <c r="L255" s="17">
        <f>'Fiscal Forecasts'!L$41-SUM(L$253:L$254)+Allocation!E$13</f>
        <v>-31.831</v>
      </c>
      <c r="M255" s="17">
        <f>'Fiscal Forecasts'!M$41-SUM(M$253:M$254)+Allocation!F$13</f>
        <v>-32.005000000000003</v>
      </c>
      <c r="N255" s="17">
        <f>'Fiscal Forecasts'!N$41-SUM(N$253:N$254)+Allocation!G$13</f>
        <v>-32.191000000000003</v>
      </c>
      <c r="O255" s="16">
        <f ca="1">N$255-(O$253-N$253)</f>
        <v>-34.117610324437614</v>
      </c>
      <c r="P255" s="16">
        <f t="shared" ref="P255:AX255" ca="1" si="1131">O$255-(P$253-O$253)</f>
        <v>-36.136160379721112</v>
      </c>
      <c r="Q255" s="16">
        <f t="shared" ca="1" si="1131"/>
        <v>-38.302249696954618</v>
      </c>
      <c r="R255" s="16">
        <f t="shared" ca="1" si="1131"/>
        <v>-40.533307305703715</v>
      </c>
      <c r="S255" s="16">
        <f t="shared" ca="1" si="1131"/>
        <v>-42.843835677982106</v>
      </c>
      <c r="T255" s="16">
        <f t="shared" ca="1" si="1131"/>
        <v>-45.243940950129478</v>
      </c>
      <c r="U255" s="16">
        <f t="shared" ca="1" si="1131"/>
        <v>-47.741692314854582</v>
      </c>
      <c r="V255" s="16">
        <f t="shared" ca="1" si="1131"/>
        <v>-50.357521979136614</v>
      </c>
      <c r="W255" s="16">
        <f t="shared" ca="1" si="1131"/>
        <v>-53.073056290761123</v>
      </c>
      <c r="X255" s="16">
        <f t="shared" ca="1" si="1131"/>
        <v>-55.909396633333856</v>
      </c>
      <c r="Y255" s="16">
        <f t="shared" ca="1" si="1131"/>
        <v>-58.864960547501219</v>
      </c>
      <c r="Z255" s="16">
        <f t="shared" ca="1" si="1131"/>
        <v>-61.954366471102155</v>
      </c>
      <c r="AA255" s="16">
        <f t="shared" ca="1" si="1131"/>
        <v>-65.173379067791274</v>
      </c>
      <c r="AB255" s="16">
        <f t="shared" ca="1" si="1131"/>
        <v>-68.50973468585812</v>
      </c>
      <c r="AC255" s="16">
        <f t="shared" ca="1" si="1131"/>
        <v>-71.974383847355384</v>
      </c>
      <c r="AD255" s="16">
        <f t="shared" ca="1" si="1131"/>
        <v>-75.567105738701912</v>
      </c>
      <c r="AE255" s="16">
        <f t="shared" ca="1" si="1131"/>
        <v>-79.308343728372378</v>
      </c>
      <c r="AF255" s="16">
        <f t="shared" ca="1" si="1131"/>
        <v>-83.192184090255736</v>
      </c>
      <c r="AG255" s="16">
        <f t="shared" ca="1" si="1131"/>
        <v>-87.213487231487704</v>
      </c>
      <c r="AH255" s="16">
        <f t="shared" ca="1" si="1131"/>
        <v>-91.376314846192727</v>
      </c>
      <c r="AI255" s="16">
        <f t="shared" ca="1" si="1131"/>
        <v>-95.69766680494736</v>
      </c>
      <c r="AJ255" s="16">
        <f t="shared" ca="1" si="1131"/>
        <v>-100.18561665056235</v>
      </c>
      <c r="AK255" s="16">
        <f t="shared" ca="1" si="1131"/>
        <v>-104.85699325214708</v>
      </c>
      <c r="AL255" s="16">
        <f t="shared" ca="1" si="1131"/>
        <v>-109.71383369952615</v>
      </c>
      <c r="AM255" s="16">
        <f t="shared" ca="1" si="1131"/>
        <v>-114.76875469656399</v>
      </c>
      <c r="AN255" s="16">
        <f t="shared" ca="1" si="1131"/>
        <v>-120.0487133447629</v>
      </c>
      <c r="AO255" s="16">
        <f t="shared" ca="1" si="1131"/>
        <v>-125.55296034558866</v>
      </c>
      <c r="AP255" s="16">
        <f t="shared" ca="1" si="1131"/>
        <v>-131.30357040394972</v>
      </c>
      <c r="AQ255" s="16">
        <f t="shared" ca="1" si="1131"/>
        <v>-137.31356735998301</v>
      </c>
      <c r="AR255" s="16">
        <f t="shared" ca="1" si="1131"/>
        <v>-143.57579961964572</v>
      </c>
      <c r="AS255" s="16">
        <f t="shared" ca="1" si="1131"/>
        <v>-150.12942324052719</v>
      </c>
      <c r="AT255" s="16">
        <f t="shared" ca="1" si="1131"/>
        <v>-156.95148488461652</v>
      </c>
      <c r="AU255" s="16">
        <f t="shared" ca="1" si="1131"/>
        <v>-164.10105248963333</v>
      </c>
      <c r="AV255" s="16">
        <f t="shared" ca="1" si="1131"/>
        <v>-171.59338244036493</v>
      </c>
      <c r="AW255" s="16">
        <f t="shared" ca="1" si="1131"/>
        <v>-179.40756325155925</v>
      </c>
      <c r="AX255" s="16">
        <f t="shared" ca="1" si="1131"/>
        <v>-187.58008032196562</v>
      </c>
    </row>
    <row r="256" spans="1:50" x14ac:dyDescent="0.25">
      <c r="A256" s="9" t="s">
        <v>887</v>
      </c>
      <c r="D256" s="64">
        <f t="shared" ref="D256:I256" si="1132">SUM(D$253:D$255)</f>
        <v>18.66</v>
      </c>
      <c r="E256" s="64">
        <f t="shared" si="1132"/>
        <v>20.469000000000001</v>
      </c>
      <c r="F256" s="64">
        <f t="shared" si="1132"/>
        <v>22.597999999999999</v>
      </c>
      <c r="G256" s="64">
        <f t="shared" si="1132"/>
        <v>27.658000000000001</v>
      </c>
      <c r="H256" s="64">
        <f t="shared" si="1132"/>
        <v>29.824000000000002</v>
      </c>
      <c r="I256" s="64">
        <f t="shared" si="1132"/>
        <v>29.84</v>
      </c>
      <c r="J256" s="65">
        <f t="shared" ref="J256:AX256" si="1133">SUM(J$253:J$255)</f>
        <v>30.713000000000001</v>
      </c>
      <c r="K256" s="65">
        <f t="shared" si="1133"/>
        <v>31.8432</v>
      </c>
      <c r="L256" s="65">
        <f t="shared" si="1133"/>
        <v>32.627039999999994</v>
      </c>
      <c r="M256" s="65">
        <f t="shared" si="1133"/>
        <v>33.369040000000005</v>
      </c>
      <c r="N256" s="65">
        <f t="shared" si="1133"/>
        <v>34.264279999999999</v>
      </c>
      <c r="O256" s="66">
        <f t="shared" ca="1" si="1133"/>
        <v>36.190890324437611</v>
      </c>
      <c r="P256" s="66">
        <f t="shared" ca="1" si="1133"/>
        <v>38.209440379721109</v>
      </c>
      <c r="Q256" s="66">
        <f t="shared" ca="1" si="1133"/>
        <v>40.375529696954629</v>
      </c>
      <c r="R256" s="66">
        <f t="shared" ca="1" si="1133"/>
        <v>42.606587305703727</v>
      </c>
      <c r="S256" s="66">
        <f t="shared" ca="1" si="1133"/>
        <v>44.917115677982103</v>
      </c>
      <c r="T256" s="66">
        <f t="shared" ca="1" si="1133"/>
        <v>47.317220950129489</v>
      </c>
      <c r="U256" s="66">
        <f t="shared" ca="1" si="1133"/>
        <v>49.814972314854593</v>
      </c>
      <c r="V256" s="66">
        <f t="shared" ca="1" si="1133"/>
        <v>52.430801979136625</v>
      </c>
      <c r="W256" s="66">
        <f t="shared" ca="1" si="1133"/>
        <v>55.146336290761134</v>
      </c>
      <c r="X256" s="66">
        <f t="shared" ca="1" si="1133"/>
        <v>57.982676633333867</v>
      </c>
      <c r="Y256" s="66">
        <f t="shared" ca="1" si="1133"/>
        <v>60.938240547501245</v>
      </c>
      <c r="Z256" s="66">
        <f t="shared" ca="1" si="1133"/>
        <v>64.027646471102173</v>
      </c>
      <c r="AA256" s="66">
        <f t="shared" ca="1" si="1133"/>
        <v>67.246659067791342</v>
      </c>
      <c r="AB256" s="66">
        <f t="shared" ca="1" si="1133"/>
        <v>70.58301468585816</v>
      </c>
      <c r="AC256" s="66">
        <f t="shared" ca="1" si="1133"/>
        <v>74.047663847355423</v>
      </c>
      <c r="AD256" s="66">
        <f t="shared" ca="1" si="1133"/>
        <v>77.640385738701923</v>
      </c>
      <c r="AE256" s="66">
        <f t="shared" ca="1" si="1133"/>
        <v>81.381623728372418</v>
      </c>
      <c r="AF256" s="66">
        <f t="shared" ca="1" si="1133"/>
        <v>85.265464090255776</v>
      </c>
      <c r="AG256" s="66">
        <f t="shared" ca="1" si="1133"/>
        <v>89.286767231487715</v>
      </c>
      <c r="AH256" s="66">
        <f t="shared" ca="1" si="1133"/>
        <v>93.449594846192767</v>
      </c>
      <c r="AI256" s="66">
        <f t="shared" ca="1" si="1133"/>
        <v>97.7709468049474</v>
      </c>
      <c r="AJ256" s="66">
        <f t="shared" ca="1" si="1133"/>
        <v>102.25889665056239</v>
      </c>
      <c r="AK256" s="66">
        <f t="shared" ca="1" si="1133"/>
        <v>106.93027325214709</v>
      </c>
      <c r="AL256" s="66">
        <f t="shared" ca="1" si="1133"/>
        <v>111.78711369952619</v>
      </c>
      <c r="AM256" s="66">
        <f t="shared" ca="1" si="1133"/>
        <v>116.842034696564</v>
      </c>
      <c r="AN256" s="66">
        <f t="shared" ca="1" si="1133"/>
        <v>122.12199334476291</v>
      </c>
      <c r="AO256" s="66">
        <f t="shared" ca="1" si="1133"/>
        <v>127.62624034558867</v>
      </c>
      <c r="AP256" s="66">
        <f t="shared" ca="1" si="1133"/>
        <v>133.37685040394979</v>
      </c>
      <c r="AQ256" s="66">
        <f t="shared" ca="1" si="1133"/>
        <v>139.38684735998314</v>
      </c>
      <c r="AR256" s="66">
        <f t="shared" ca="1" si="1133"/>
        <v>145.64907961964585</v>
      </c>
      <c r="AS256" s="66">
        <f t="shared" ca="1" si="1133"/>
        <v>152.20270324052731</v>
      </c>
      <c r="AT256" s="66">
        <f t="shared" ca="1" si="1133"/>
        <v>159.02476488461664</v>
      </c>
      <c r="AU256" s="66">
        <f t="shared" ca="1" si="1133"/>
        <v>166.17433248963351</v>
      </c>
      <c r="AV256" s="66">
        <f t="shared" ca="1" si="1133"/>
        <v>173.66666244036506</v>
      </c>
      <c r="AW256" s="66">
        <f t="shared" ca="1" si="1133"/>
        <v>181.48084325155938</v>
      </c>
      <c r="AX256" s="66">
        <f t="shared" ca="1" si="1133"/>
        <v>189.65336032196569</v>
      </c>
    </row>
    <row r="257" spans="1:50" x14ac:dyDescent="0.25">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row>
    <row r="258" spans="1:50" x14ac:dyDescent="0.25">
      <c r="A258" s="9" t="s">
        <v>888</v>
      </c>
    </row>
    <row r="259" spans="1:50" x14ac:dyDescent="0.25">
      <c r="A259" s="11" t="s">
        <v>1110</v>
      </c>
      <c r="B259" s="10" t="str">
        <f>$B$38</f>
        <v>From Fiscal Forecasts</v>
      </c>
      <c r="D259" s="35">
        <f>'Fiscal Forecasts'!D$408</f>
        <v>1.8959999999999999</v>
      </c>
      <c r="E259" s="35">
        <f>'Fiscal Forecasts'!E$408</f>
        <v>2.0070000000000001</v>
      </c>
      <c r="F259" s="35">
        <f>'Fiscal Forecasts'!F$408</f>
        <v>2.1320000000000001</v>
      </c>
      <c r="G259" s="35">
        <f>'Fiscal Forecasts'!G$408</f>
        <v>2.2469999999999999</v>
      </c>
      <c r="H259" s="35">
        <f>'Fiscal Forecasts'!H$408</f>
        <v>2.355</v>
      </c>
      <c r="I259" s="35">
        <f>'Fiscal Forecasts'!I$408</f>
        <v>2.71</v>
      </c>
      <c r="J259" s="17">
        <f>'Fiscal Forecasts'!J$408+Allocation!C$26</f>
        <v>2.9649999999999999</v>
      </c>
      <c r="K259" s="17">
        <f>'Fiscal Forecasts'!K$408+Allocation!D$26</f>
        <v>3.1242109999999998</v>
      </c>
      <c r="L259" s="17">
        <f>'Fiscal Forecasts'!L$408+Allocation!E$26</f>
        <v>3.2397638250000003</v>
      </c>
      <c r="M259" s="17">
        <f>'Fiscal Forecasts'!M$408+Allocation!F$26</f>
        <v>3.373990075</v>
      </c>
      <c r="N259" s="17">
        <f>'Fiscal Forecasts'!N$408+Allocation!G$26</f>
        <v>3.5042230249999999</v>
      </c>
      <c r="O259" s="16">
        <f ca="1">N$259*(1+SUMPRODUCT(Exogenous!$B$65:$B$70,'Population Treasury'!Z$280:Z$285)+SUMPRODUCT(Exogenous!$C$65:$C$70,'Population Treasury'!Z$304:Z$309))*(1+OFFSET(Assumptions!$B$41,0,$C$1))*(1+O$25)*(1+O$29)</f>
        <v>3.6290321712008673</v>
      </c>
      <c r="P259" s="16">
        <f ca="1">O$259*(1+SUMPRODUCT(Exogenous!$B$65:$B$70,'Population Treasury'!AA$280:AA$285)+SUMPRODUCT(Exogenous!$C$65:$C$70,'Population Treasury'!AA$304:AA$309))*(1+OFFSET(Assumptions!$B$41,0,$C$1))*(1+P$25)*(1+P$29)</f>
        <v>3.7557582424158285</v>
      </c>
      <c r="Q259" s="16">
        <f ca="1">P$259*(1+SUMPRODUCT(Exogenous!$B$65:$B$70,'Population Treasury'!AB$280:AB$285)+SUMPRODUCT(Exogenous!$C$65:$C$70,'Population Treasury'!AB$304:AB$309))*(1+OFFSET(Assumptions!$B$41,0,$C$1))*(1+Q$25)*(1+Q$29)</f>
        <v>3.8853415077743065</v>
      </c>
      <c r="R259" s="16">
        <f ca="1">Q$259*(1+SUMPRODUCT(Exogenous!$B$65:$B$70,'Population Treasury'!AC$280:AC$285)+SUMPRODUCT(Exogenous!$C$65:$C$70,'Population Treasury'!AC$304:AC$309))*(1+OFFSET(Assumptions!$B$41,0,$C$1))*(1+R$25)*(1+R$29)</f>
        <v>4.0193860853342835</v>
      </c>
      <c r="S259" s="16">
        <f ca="1">R$259*(1+SUMPRODUCT(Exogenous!$B$65:$B$70,'Population Treasury'!AD$280:AD$285)+SUMPRODUCT(Exogenous!$C$65:$C$70,'Population Treasury'!AD$304:AD$309))*(1+OFFSET(Assumptions!$B$41,0,$C$1))*(1+S$25)*(1+S$29)</f>
        <v>4.1600636540098588</v>
      </c>
      <c r="T259" s="16">
        <f ca="1">S$259*(1+SUMPRODUCT(Exogenous!$B$65:$B$70,'Population Treasury'!AE$280:AE$285)+SUMPRODUCT(Exogenous!$C$65:$C$70,'Population Treasury'!AE$304:AE$309))*(1+OFFSET(Assumptions!$B$41,0,$C$1))*(1+T$25)*(1+T$29)</f>
        <v>4.3082626853090904</v>
      </c>
      <c r="U259" s="16">
        <f ca="1">T$259*(1+SUMPRODUCT(Exogenous!$B$65:$B$70,'Population Treasury'!AF$280:AF$285)+SUMPRODUCT(Exogenous!$C$65:$C$70,'Population Treasury'!AF$304:AF$309))*(1+OFFSET(Assumptions!$B$41,0,$C$1))*(1+U$25)*(1+U$29)</f>
        <v>4.4657830666392337</v>
      </c>
      <c r="V259" s="16">
        <f ca="1">U$259*(1+SUMPRODUCT(Exogenous!$B$65:$B$70,'Population Treasury'!AG$280:AG$285)+SUMPRODUCT(Exogenous!$C$65:$C$70,'Population Treasury'!AG$304:AG$309))*(1+OFFSET(Assumptions!$B$41,0,$C$1))*(1+V$25)*(1+V$29)</f>
        <v>4.6339254053213894</v>
      </c>
      <c r="W259" s="16">
        <f ca="1">V$259*(1+SUMPRODUCT(Exogenous!$B$65:$B$70,'Population Treasury'!AH$280:AH$285)+SUMPRODUCT(Exogenous!$C$65:$C$70,'Population Treasury'!AH$304:AH$309))*(1+OFFSET(Assumptions!$B$41,0,$C$1))*(1+W$25)*(1+W$29)</f>
        <v>4.813186919984302</v>
      </c>
      <c r="X259" s="16">
        <f ca="1">W$259*(1+SUMPRODUCT(Exogenous!$B$65:$B$70,'Population Treasury'!AI$280:AI$285)+SUMPRODUCT(Exogenous!$C$65:$C$70,'Population Treasury'!AI$304:AI$309))*(1+OFFSET(Assumptions!$B$41,0,$C$1))*(1+X$25)*(1+X$29)</f>
        <v>5.0038231257635726</v>
      </c>
      <c r="Y259" s="16">
        <f ca="1">X$259*(1+SUMPRODUCT(Exogenous!$B$65:$B$70,'Population Treasury'!AJ$280:AJ$285)+SUMPRODUCT(Exogenous!$C$65:$C$70,'Population Treasury'!AJ$304:AJ$309))*(1+OFFSET(Assumptions!$B$41,0,$C$1))*(1+Y$25)*(1+Y$29)</f>
        <v>5.2062468770229531</v>
      </c>
      <c r="Z259" s="16">
        <f ca="1">Y$259*(1+SUMPRODUCT(Exogenous!$B$65:$B$70,'Population Treasury'!AK$280:AK$285)+SUMPRODUCT(Exogenous!$C$65:$C$70,'Population Treasury'!AK$304:AK$309))*(1+OFFSET(Assumptions!$B$41,0,$C$1))*(1+Z$25)*(1+Z$29)</f>
        <v>5.4194545462213686</v>
      </c>
      <c r="AA259" s="16">
        <f ca="1">Z$259*(1+SUMPRODUCT(Exogenous!$B$65:$B$70,'Population Treasury'!AL$280:AL$285)+SUMPRODUCT(Exogenous!$C$65:$C$70,'Population Treasury'!AL$304:AL$309))*(1+OFFSET(Assumptions!$B$41,0,$C$1))*(1+AA$25)*(1+AA$29)</f>
        <v>5.6423674722999149</v>
      </c>
      <c r="AB259" s="16">
        <f ca="1">AA$259*(1+SUMPRODUCT(Exogenous!$B$65:$B$70,'Population Treasury'!AM$280:AM$285)+SUMPRODUCT(Exogenous!$C$65:$C$70,'Population Treasury'!AM$304:AM$309))*(1+OFFSET(Assumptions!$B$41,0,$C$1))*(1+AB$25)*(1+AB$29)</f>
        <v>5.8740133868293505</v>
      </c>
      <c r="AC259" s="16">
        <f ca="1">AB$259*(1+SUMPRODUCT(Exogenous!$B$65:$B$70,'Population Treasury'!AN$280:AN$285)+SUMPRODUCT(Exogenous!$C$65:$C$70,'Population Treasury'!AN$304:AN$309))*(1+OFFSET(Assumptions!$B$41,0,$C$1))*(1+AC$25)*(1+AC$29)</f>
        <v>6.1129596175058953</v>
      </c>
      <c r="AD259" s="16">
        <f ca="1">AC$259*(1+SUMPRODUCT(Exogenous!$B$65:$B$70,'Population Treasury'!AO$280:AO$285)+SUMPRODUCT(Exogenous!$C$65:$C$70,'Population Treasury'!AO$304:AO$309))*(1+OFFSET(Assumptions!$B$41,0,$C$1))*(1+AD$25)*(1+AD$29)</f>
        <v>6.3571164231768691</v>
      </c>
      <c r="AE259" s="16">
        <f ca="1">AD$259*(1+SUMPRODUCT(Exogenous!$B$65:$B$70,'Population Treasury'!AP$280:AP$285)+SUMPRODUCT(Exogenous!$C$65:$C$70,'Population Treasury'!AP$304:AP$309))*(1+OFFSET(Assumptions!$B$41,0,$C$1))*(1+AE$25)*(1+AE$29)</f>
        <v>6.6047076203351978</v>
      </c>
      <c r="AF259" s="16">
        <f ca="1">AE$259*(1+SUMPRODUCT(Exogenous!$B$65:$B$70,'Population Treasury'!AQ$280:AQ$285)+SUMPRODUCT(Exogenous!$C$65:$C$70,'Population Treasury'!AQ$304:AQ$309))*(1+OFFSET(Assumptions!$B$41,0,$C$1))*(1+AF$25)*(1+AF$29)</f>
        <v>6.8556719007968168</v>
      </c>
      <c r="AG259" s="16">
        <f ca="1">AF$259*(1+SUMPRODUCT(Exogenous!$B$65:$B$70,'Population Treasury'!AR$280:AR$285)+SUMPRODUCT(Exogenous!$C$65:$C$70,'Population Treasury'!AR$304:AR$309))*(1+OFFSET(Assumptions!$B$41,0,$C$1))*(1+AG$25)*(1+AG$29)</f>
        <v>7.1094153946956826</v>
      </c>
      <c r="AH259" s="16">
        <f ca="1">AG$259*(1+SUMPRODUCT(Exogenous!$B$65:$B$70,'Population Treasury'!AS$280:AS$285)+SUMPRODUCT(Exogenous!$C$65:$C$70,'Population Treasury'!AS$304:AS$309))*(1+OFFSET(Assumptions!$B$41,0,$C$1))*(1+AH$25)*(1+AH$29)</f>
        <v>7.3652225060457397</v>
      </c>
      <c r="AI259" s="16">
        <f ca="1">AH$259*(1+SUMPRODUCT(Exogenous!$B$65:$B$70,'Population Treasury'!AT$280:AT$285)+SUMPRODUCT(Exogenous!$C$65:$C$70,'Population Treasury'!AT$304:AT$309))*(1+OFFSET(Assumptions!$B$41,0,$C$1))*(1+AI$25)*(1+AI$29)</f>
        <v>7.6233828020838219</v>
      </c>
      <c r="AJ259" s="16">
        <f ca="1">AI$259*(1+SUMPRODUCT(Exogenous!$B$65:$B$70,'Population Treasury'!AU$280:AU$285)+SUMPRODUCT(Exogenous!$C$65:$C$70,'Population Treasury'!AU$304:AU$309))*(1+OFFSET(Assumptions!$B$41,0,$C$1))*(1+AJ$25)*(1+AJ$29)</f>
        <v>7.8851362619594418</v>
      </c>
      <c r="AK259" s="16">
        <f ca="1">AJ$259*(1+SUMPRODUCT(Exogenous!$B$65:$B$70,'Population Treasury'!AV$280:AV$285)+SUMPRODUCT(Exogenous!$C$65:$C$70,'Population Treasury'!AV$304:AV$309))*(1+OFFSET(Assumptions!$B$41,0,$C$1))*(1+AK$25)*(1+AK$29)</f>
        <v>8.1504980301721996</v>
      </c>
      <c r="AL259" s="16">
        <f ca="1">AK$259*(1+SUMPRODUCT(Exogenous!$B$65:$B$70,'Population Treasury'!AW$280:AW$285)+SUMPRODUCT(Exogenous!$C$65:$C$70,'Population Treasury'!AW$304:AW$309))*(1+OFFSET(Assumptions!$B$41,0,$C$1))*(1+AL$25)*(1+AL$29)</f>
        <v>8.4209673534017799</v>
      </c>
      <c r="AM259" s="16">
        <f ca="1">AL$259*(1+SUMPRODUCT(Exogenous!$B$65:$B$70,'Population Treasury'!AX$280:AX$285)+SUMPRODUCT(Exogenous!$C$65:$C$70,'Population Treasury'!AX$304:AX$309))*(1+OFFSET(Assumptions!$B$41,0,$C$1))*(1+AM$25)*(1+AM$29)</f>
        <v>8.6974745134074745</v>
      </c>
      <c r="AN259" s="16">
        <f ca="1">AM$259*(1+SUMPRODUCT(Exogenous!$B$65:$B$70,'Population Treasury'!AY$280:AY$285)+SUMPRODUCT(Exogenous!$C$65:$C$70,'Population Treasury'!AY$304:AY$309))*(1+OFFSET(Assumptions!$B$41,0,$C$1))*(1+AN$25)*(1+AN$29)</f>
        <v>8.980753699690478</v>
      </c>
      <c r="AO259" s="16">
        <f ca="1">AN$259*(1+SUMPRODUCT(Exogenous!$B$65:$B$70,'Population Treasury'!AZ$280:AZ$285)+SUMPRODUCT(Exogenous!$C$65:$C$70,'Population Treasury'!AZ$304:AZ$309))*(1+OFFSET(Assumptions!$B$41,0,$C$1))*(1+AO$25)*(1+AO$29)</f>
        <v>9.2732702482740486</v>
      </c>
      <c r="AP259" s="16">
        <f ca="1">AO$259*(1+SUMPRODUCT(Exogenous!$B$65:$B$70,'Population Treasury'!BA$280:BA$285)+SUMPRODUCT(Exogenous!$C$65:$C$70,'Population Treasury'!BA$304:BA$309))*(1+OFFSET(Assumptions!$B$41,0,$C$1))*(1+AP$25)*(1+AP$29)</f>
        <v>9.5767999070850927</v>
      </c>
      <c r="AQ259" s="16">
        <f ca="1">AP$259*(1+SUMPRODUCT(Exogenous!$B$65:$B$70,'Population Treasury'!BB$280:BB$285)+SUMPRODUCT(Exogenous!$C$65:$C$70,'Population Treasury'!BB$304:BB$309))*(1+OFFSET(Assumptions!$B$41,0,$C$1))*(1+AQ$25)*(1+AQ$29)</f>
        <v>9.8922958568646333</v>
      </c>
      <c r="AR259" s="16">
        <f ca="1">AQ$259*(1+SUMPRODUCT(Exogenous!$B$65:$B$70,'Population Treasury'!BC$280:BC$285)+SUMPRODUCT(Exogenous!$C$65:$C$70,'Population Treasury'!BC$304:BC$309))*(1+OFFSET(Assumptions!$B$41,0,$C$1))*(1+AR$25)*(1+AR$29)</f>
        <v>10.222613693151164</v>
      </c>
      <c r="AS259" s="16">
        <f ca="1">AR$259*(1+SUMPRODUCT(Exogenous!$B$65:$B$70,'Population Treasury'!BD$280:BD$285)+SUMPRODUCT(Exogenous!$C$65:$C$70,'Population Treasury'!BD$304:BD$309))*(1+OFFSET(Assumptions!$B$41,0,$C$1))*(1+AS$25)*(1+AS$29)</f>
        <v>10.567365056048065</v>
      </c>
      <c r="AT259" s="16">
        <f ca="1">AS$259*(1+SUMPRODUCT(Exogenous!$B$65:$B$70,'Population Treasury'!BE$280:BE$285)+SUMPRODUCT(Exogenous!$C$65:$C$70,'Population Treasury'!BE$304:BE$309))*(1+OFFSET(Assumptions!$B$41,0,$C$1))*(1+AT$25)*(1+AT$29)</f>
        <v>10.930673674218143</v>
      </c>
      <c r="AU259" s="16">
        <f ca="1">AT$259*(1+SUMPRODUCT(Exogenous!$B$65:$B$70,'Population Treasury'!BF$280:BF$285)+SUMPRODUCT(Exogenous!$C$65:$C$70,'Population Treasury'!BF$304:BF$309))*(1+OFFSET(Assumptions!$B$41,0,$C$1))*(1+AU$25)*(1+AU$29)</f>
        <v>11.311357201448262</v>
      </c>
      <c r="AV259" s="16">
        <f ca="1">AU$259*(1+SUMPRODUCT(Exogenous!$B$65:$B$70,'Population Treasury'!BG$280:BG$285)+SUMPRODUCT(Exogenous!$C$65:$C$70,'Population Treasury'!BG$304:BG$309))*(1+OFFSET(Assumptions!$B$41,0,$C$1))*(1+AV$25)*(1+AV$29)</f>
        <v>11.713562392804286</v>
      </c>
      <c r="AW259" s="16">
        <f ca="1">AV$259*(1+SUMPRODUCT(Exogenous!$B$65:$B$70,'Population Treasury'!BH$280:BH$285)+SUMPRODUCT(Exogenous!$C$65:$C$70,'Population Treasury'!BH$304:BH$309))*(1+OFFSET(Assumptions!$B$41,0,$C$1))*(1+AW$25)*(1+AW$29)</f>
        <v>12.135046368222808</v>
      </c>
      <c r="AX259" s="16">
        <f ca="1">AW$259*(1+SUMPRODUCT(Exogenous!$B$65:$B$70,'Population Treasury'!BI$280:BI$285)+SUMPRODUCT(Exogenous!$C$65:$C$70,'Population Treasury'!BI$304:BI$309))*(1+OFFSET(Assumptions!$B$41,0,$C$1))*(1+AX$25)*(1+AX$29)</f>
        <v>12.578336988929232</v>
      </c>
    </row>
    <row r="260" spans="1:50" x14ac:dyDescent="0.25">
      <c r="A260" s="11" t="s">
        <v>1131</v>
      </c>
      <c r="B260" s="10" t="str">
        <f t="shared" ref="B260:B262" si="1134">$B$38</f>
        <v>From Fiscal Forecasts</v>
      </c>
      <c r="D260" s="35">
        <f>'Fiscal Forecasts'!D$409</f>
        <v>3.835</v>
      </c>
      <c r="E260" s="35">
        <f>'Fiscal Forecasts'!E$409</f>
        <v>4.0129999999999999</v>
      </c>
      <c r="F260" s="35">
        <f>'Fiscal Forecasts'!F$409</f>
        <v>4.6470000000000002</v>
      </c>
      <c r="G260" s="35">
        <f>'Fiscal Forecasts'!G$409</f>
        <v>4.7329999999999997</v>
      </c>
      <c r="H260" s="35">
        <f>'Fiscal Forecasts'!H$409</f>
        <v>4.7789999999999999</v>
      </c>
      <c r="I260" s="35">
        <f>'Fiscal Forecasts'!I$409</f>
        <v>5.39</v>
      </c>
      <c r="J260" s="17">
        <f>'Fiscal Forecasts'!J$409+Allocation!C$27</f>
        <v>5.5470000000000006</v>
      </c>
      <c r="K260" s="17">
        <f>'Fiscal Forecasts'!K$409+Allocation!D$27</f>
        <v>5.8368080000000004</v>
      </c>
      <c r="L260" s="17">
        <f>'Fiscal Forecasts'!L$409+Allocation!E$27</f>
        <v>5.947954600000001</v>
      </c>
      <c r="M260" s="17">
        <f>'Fiscal Forecasts'!M$409+Allocation!F$27</f>
        <v>6.0061646</v>
      </c>
      <c r="N260" s="17">
        <f>'Fiscal Forecasts'!N$409+Allocation!G$27</f>
        <v>6.1110921999999999</v>
      </c>
      <c r="O260" s="16">
        <f ca="1">N$260*(1+SUMPRODUCT(Exogenous!$G$65:$G$73,'Population Treasury'!Z$285:Z$293)+SUMPRODUCT(Exogenous!$H$65:$H$73,'Population Treasury'!Z$309:Z$317))*(1+OFFSET(Assumptions!$B$41,0,$C$1))*(1+O$25)*(1+O$29)</f>
        <v>6.2834297097682708</v>
      </c>
      <c r="P260" s="16">
        <f ca="1">O$260*(1+SUMPRODUCT(Exogenous!$G$65:$G$73,'Population Treasury'!AA$285:AA$293)+SUMPRODUCT(Exogenous!$H$65:$H$73,'Population Treasury'!AA$309:AA$317))*(1+OFFSET(Assumptions!$B$41,0,$C$1))*(1+P$25)*(1+P$29)</f>
        <v>6.465062234949559</v>
      </c>
      <c r="Q260" s="16">
        <f ca="1">P$260*(1+SUMPRODUCT(Exogenous!$G$65:$G$73,'Population Treasury'!AB$285:AB$293)+SUMPRODUCT(Exogenous!$H$65:$H$73,'Population Treasury'!AB$309:AB$317))*(1+OFFSET(Assumptions!$B$41,0,$C$1))*(1+Q$25)*(1+Q$29)</f>
        <v>6.654674329653762</v>
      </c>
      <c r="R260" s="16">
        <f ca="1">Q$260*(1+SUMPRODUCT(Exogenous!$G$65:$G$73,'Population Treasury'!AC$285:AC$293)+SUMPRODUCT(Exogenous!$H$65:$H$73,'Population Treasury'!AC$309:AC$317))*(1+OFFSET(Assumptions!$B$41,0,$C$1))*(1+R$25)*(1+R$29)</f>
        <v>6.8536051830089466</v>
      </c>
      <c r="S260" s="16">
        <f ca="1">R$260*(1+SUMPRODUCT(Exogenous!$G$65:$G$73,'Population Treasury'!AD$285:AD$293)+SUMPRODUCT(Exogenous!$H$65:$H$73,'Population Treasury'!AD$309:AD$317))*(1+OFFSET(Assumptions!$B$41,0,$C$1))*(1+S$25)*(1+S$29)</f>
        <v>7.0604389322620538</v>
      </c>
      <c r="T260" s="16">
        <f ca="1">S$260*(1+SUMPRODUCT(Exogenous!$G$65:$G$73,'Population Treasury'!AE$285:AE$293)+SUMPRODUCT(Exogenous!$H$65:$H$73,'Population Treasury'!AE$309:AE$317))*(1+OFFSET(Assumptions!$B$41,0,$C$1))*(1+T$25)*(1+T$29)</f>
        <v>7.2713524581632596</v>
      </c>
      <c r="U260" s="16">
        <f ca="1">T$260*(1+SUMPRODUCT(Exogenous!$G$65:$G$73,'Population Treasury'!AF$285:AF$293)+SUMPRODUCT(Exogenous!$H$65:$H$73,'Population Treasury'!AF$309:AF$317))*(1+OFFSET(Assumptions!$B$41,0,$C$1))*(1+U$25)*(1+U$29)</f>
        <v>7.5170380051320365</v>
      </c>
      <c r="V260" s="16">
        <f ca="1">U$260*(1+SUMPRODUCT(Exogenous!$G$65:$G$73,'Population Treasury'!AG$285:AG$293)+SUMPRODUCT(Exogenous!$H$65:$H$73,'Population Treasury'!AG$309:AG$317))*(1+OFFSET(Assumptions!$B$41,0,$C$1))*(1+V$25)*(1+V$29)</f>
        <v>7.7954188620525429</v>
      </c>
      <c r="W260" s="16">
        <f ca="1">V$260*(1+SUMPRODUCT(Exogenous!$G$65:$G$73,'Population Treasury'!AH$285:AH$293)+SUMPRODUCT(Exogenous!$H$65:$H$73,'Population Treasury'!AH$309:AH$317))*(1+OFFSET(Assumptions!$B$41,0,$C$1))*(1+W$25)*(1+W$29)</f>
        <v>8.0777517275842019</v>
      </c>
      <c r="X260" s="16">
        <f ca="1">W$260*(1+SUMPRODUCT(Exogenous!$G$65:$G$73,'Population Treasury'!AI$285:AI$293)+SUMPRODUCT(Exogenous!$H$65:$H$73,'Population Treasury'!AI$309:AI$317))*(1+OFFSET(Assumptions!$B$41,0,$C$1))*(1+X$25)*(1+X$29)</f>
        <v>8.3644681811145176</v>
      </c>
      <c r="Y260" s="16">
        <f ca="1">X$260*(1+SUMPRODUCT(Exogenous!$G$65:$G$73,'Population Treasury'!AJ$285:AJ$293)+SUMPRODUCT(Exogenous!$H$65:$H$73,'Population Treasury'!AJ$309:AJ$317))*(1+OFFSET(Assumptions!$B$41,0,$C$1))*(1+Y$25)*(1+Y$29)</f>
        <v>8.6636613248361609</v>
      </c>
      <c r="Z260" s="16">
        <f ca="1">Y$260*(1+SUMPRODUCT(Exogenous!$G$65:$G$73,'Population Treasury'!AK$285:AK$293)+SUMPRODUCT(Exogenous!$H$65:$H$73,'Population Treasury'!AK$309:AK$317))*(1+OFFSET(Assumptions!$B$41,0,$C$1))*(1+Z$25)*(1+Z$29)</f>
        <v>8.9780889294739801</v>
      </c>
      <c r="AA260" s="16">
        <f ca="1">Z$260*(1+SUMPRODUCT(Exogenous!$G$65:$G$73,'Population Treasury'!AL$285:AL$293)+SUMPRODUCT(Exogenous!$H$65:$H$73,'Population Treasury'!AL$309:AL$317))*(1+OFFSET(Assumptions!$B$41,0,$C$1))*(1+AA$25)*(1+AA$29)</f>
        <v>9.3104624050773239</v>
      </c>
      <c r="AB260" s="16">
        <f ca="1">AA$260*(1+SUMPRODUCT(Exogenous!$G$65:$G$73,'Population Treasury'!AM$285:AM$293)+SUMPRODUCT(Exogenous!$H$65:$H$73,'Population Treasury'!AM$309:AM$317))*(1+OFFSET(Assumptions!$B$41,0,$C$1))*(1+AB$25)*(1+AB$29)</f>
        <v>9.6616654725382496</v>
      </c>
      <c r="AC260" s="16">
        <f ca="1">AB$260*(1+SUMPRODUCT(Exogenous!$G$65:$G$73,'Population Treasury'!AN$285:AN$293)+SUMPRODUCT(Exogenous!$H$65:$H$73,'Population Treasury'!AN$309:AN$317))*(1+OFFSET(Assumptions!$B$41,0,$C$1))*(1+AC$25)*(1+AC$29)</f>
        <v>10.033919830281645</v>
      </c>
      <c r="AD260" s="16">
        <f ca="1">AC$260*(1+SUMPRODUCT(Exogenous!$G$65:$G$73,'Population Treasury'!AO$285:AO$293)+SUMPRODUCT(Exogenous!$H$65:$H$73,'Population Treasury'!AO$309:AO$317))*(1+OFFSET(Assumptions!$B$41,0,$C$1))*(1+AD$25)*(1+AD$29)</f>
        <v>10.427773468973514</v>
      </c>
      <c r="AE260" s="16">
        <f ca="1">AD$260*(1+SUMPRODUCT(Exogenous!$G$65:$G$73,'Population Treasury'!AP$285:AP$293)+SUMPRODUCT(Exogenous!$H$65:$H$73,'Population Treasury'!AP$309:AP$317))*(1+OFFSET(Assumptions!$B$41,0,$C$1))*(1+AE$25)*(1+AE$29)</f>
        <v>10.843197278925752</v>
      </c>
      <c r="AF260" s="16">
        <f ca="1">AE$260*(1+SUMPRODUCT(Exogenous!$G$65:$G$73,'Population Treasury'!AQ$285:AQ$293)+SUMPRODUCT(Exogenous!$H$65:$H$73,'Population Treasury'!AQ$309:AQ$317))*(1+OFFSET(Assumptions!$B$41,0,$C$1))*(1+AF$25)*(1+AF$29)</f>
        <v>11.279705067298897</v>
      </c>
      <c r="AG260" s="16">
        <f ca="1">AF$260*(1+SUMPRODUCT(Exogenous!$G$65:$G$73,'Population Treasury'!AR$285:AR$293)+SUMPRODUCT(Exogenous!$H$65:$H$73,'Population Treasury'!AR$309:AR$317))*(1+OFFSET(Assumptions!$B$41,0,$C$1))*(1+AG$25)*(1+AG$29)</f>
        <v>11.735508282247698</v>
      </c>
      <c r="AH260" s="16">
        <f ca="1">AG$260*(1+SUMPRODUCT(Exogenous!$G$65:$G$73,'Population Treasury'!AS$285:AS$293)+SUMPRODUCT(Exogenous!$H$65:$H$73,'Population Treasury'!AS$309:AS$317))*(1+OFFSET(Assumptions!$B$41,0,$C$1))*(1+AH$25)*(1+AH$29)</f>
        <v>12.209091482232253</v>
      </c>
      <c r="AI260" s="16">
        <f ca="1">AH$260*(1+SUMPRODUCT(Exogenous!$G$65:$G$73,'Population Treasury'!AT$285:AT$293)+SUMPRODUCT(Exogenous!$H$65:$H$73,'Population Treasury'!AT$309:AT$317))*(1+OFFSET(Assumptions!$B$41,0,$C$1))*(1+AI$25)*(1+AI$29)</f>
        <v>12.698320250354394</v>
      </c>
      <c r="AJ260" s="16">
        <f ca="1">AI$260*(1+SUMPRODUCT(Exogenous!$G$65:$G$73,'Population Treasury'!AU$285:AU$293)+SUMPRODUCT(Exogenous!$H$65:$H$73,'Population Treasury'!AU$309:AU$317))*(1+OFFSET(Assumptions!$B$41,0,$C$1))*(1+AJ$25)*(1+AJ$29)</f>
        <v>13.2005512970408</v>
      </c>
      <c r="AK260" s="16">
        <f ca="1">AJ$260*(1+SUMPRODUCT(Exogenous!$G$65:$G$73,'Population Treasury'!AV$285:AV$293)+SUMPRODUCT(Exogenous!$H$65:$H$73,'Population Treasury'!AV$309:AV$317))*(1+OFFSET(Assumptions!$B$41,0,$C$1))*(1+AK$25)*(1+AK$29)</f>
        <v>13.713528701896406</v>
      </c>
      <c r="AL260" s="16">
        <f ca="1">AK$260*(1+SUMPRODUCT(Exogenous!$G$65:$G$73,'Population Treasury'!AW$285:AW$293)+SUMPRODUCT(Exogenous!$H$65:$H$73,'Population Treasury'!AW$309:AW$317))*(1+OFFSET(Assumptions!$B$41,0,$C$1))*(1+AL$25)*(1+AL$29)</f>
        <v>14.236976509010928</v>
      </c>
      <c r="AM260" s="16">
        <f ca="1">AL$260*(1+SUMPRODUCT(Exogenous!$G$65:$G$73,'Population Treasury'!AX$285:AX$293)+SUMPRODUCT(Exogenous!$H$65:$H$73,'Population Treasury'!AX$309:AX$317))*(1+OFFSET(Assumptions!$B$41,0,$C$1))*(1+AM$25)*(1+AM$29)</f>
        <v>14.767423959768358</v>
      </c>
      <c r="AN260" s="16">
        <f ca="1">AM$260*(1+SUMPRODUCT(Exogenous!$G$65:$G$73,'Population Treasury'!AY$285:AY$293)+SUMPRODUCT(Exogenous!$H$65:$H$73,'Population Treasury'!AY$309:AY$317))*(1+OFFSET(Assumptions!$B$41,0,$C$1))*(1+AN$25)*(1+AN$29)</f>
        <v>15.305368266097567</v>
      </c>
      <c r="AO260" s="16">
        <f ca="1">AN$260*(1+SUMPRODUCT(Exogenous!$G$65:$G$73,'Population Treasury'!AZ$285:AZ$293)+SUMPRODUCT(Exogenous!$H$65:$H$73,'Population Treasury'!AZ$309:AZ$317))*(1+OFFSET(Assumptions!$B$41,0,$C$1))*(1+AO$25)*(1+AO$29)</f>
        <v>15.851870134836574</v>
      </c>
      <c r="AP260" s="16">
        <f ca="1">AO$260*(1+SUMPRODUCT(Exogenous!$G$65:$G$73,'Population Treasury'!BA$285:BA$293)+SUMPRODUCT(Exogenous!$H$65:$H$73,'Population Treasury'!BA$309:BA$317))*(1+OFFSET(Assumptions!$B$41,0,$C$1))*(1+AP$25)*(1+AP$29)</f>
        <v>16.406254963232147</v>
      </c>
      <c r="AQ260" s="16">
        <f ca="1">AP$260*(1+SUMPRODUCT(Exogenous!$G$65:$G$73,'Population Treasury'!BB$285:BB$293)+SUMPRODUCT(Exogenous!$H$65:$H$73,'Population Treasury'!BB$309:BB$317))*(1+OFFSET(Assumptions!$B$41,0,$C$1))*(1+AQ$25)*(1+AQ$29)</f>
        <v>16.970410151306364</v>
      </c>
      <c r="AR260" s="16">
        <f ca="1">AQ$260*(1+SUMPRODUCT(Exogenous!$G$65:$G$73,'Population Treasury'!BC$285:BC$293)+SUMPRODUCT(Exogenous!$H$65:$H$73,'Population Treasury'!BC$309:BC$317))*(1+OFFSET(Assumptions!$B$41,0,$C$1))*(1+AR$25)*(1+AR$29)</f>
        <v>17.546187458556719</v>
      </c>
      <c r="AS260" s="16">
        <f ca="1">AR$260*(1+SUMPRODUCT(Exogenous!$G$65:$G$73,'Population Treasury'!BD$285:BD$293)+SUMPRODUCT(Exogenous!$H$65:$H$73,'Population Treasury'!BD$309:BD$317))*(1+OFFSET(Assumptions!$B$41,0,$C$1))*(1+AS$25)*(1+AS$29)</f>
        <v>18.135892555229471</v>
      </c>
      <c r="AT260" s="16">
        <f ca="1">AS$260*(1+SUMPRODUCT(Exogenous!$G$65:$G$73,'Population Treasury'!BE$285:BE$293)+SUMPRODUCT(Exogenous!$H$65:$H$73,'Population Treasury'!BE$309:BE$317))*(1+OFFSET(Assumptions!$B$41,0,$C$1))*(1+AT$25)*(1+AT$29)</f>
        <v>18.741503215519504</v>
      </c>
      <c r="AU260" s="16">
        <f ca="1">AT$260*(1+SUMPRODUCT(Exogenous!$G$65:$G$73,'Population Treasury'!BF$285:BF$293)+SUMPRODUCT(Exogenous!$H$65:$H$73,'Population Treasury'!BF$309:BF$317))*(1+OFFSET(Assumptions!$B$41,0,$C$1))*(1+AU$25)*(1+AU$29)</f>
        <v>19.365758458140217</v>
      </c>
      <c r="AV260" s="16">
        <f ca="1">AU$260*(1+SUMPRODUCT(Exogenous!$G$65:$G$73,'Population Treasury'!BG$285:BG$293)+SUMPRODUCT(Exogenous!$H$65:$H$73,'Population Treasury'!BG$309:BG$317))*(1+OFFSET(Assumptions!$B$41,0,$C$1))*(1+AV$25)*(1+AV$29)</f>
        <v>20.013278877722446</v>
      </c>
      <c r="AW260" s="16">
        <f ca="1">AV$260*(1+SUMPRODUCT(Exogenous!$G$65:$G$73,'Population Treasury'!BH$285:BH$293)+SUMPRODUCT(Exogenous!$H$65:$H$73,'Population Treasury'!BH$309:BH$317))*(1+OFFSET(Assumptions!$B$41,0,$C$1))*(1+AW$25)*(1+AW$29)</f>
        <v>20.685955209796944</v>
      </c>
      <c r="AX260" s="16">
        <f ca="1">AW$260*(1+SUMPRODUCT(Exogenous!$G$65:$G$73,'Population Treasury'!BI$285:BI$293)+SUMPRODUCT(Exogenous!$H$65:$H$73,'Population Treasury'!BI$309:BI$317))*(1+OFFSET(Assumptions!$B$41,0,$C$1))*(1+AX$25)*(1+AX$29)</f>
        <v>21.387098195357467</v>
      </c>
    </row>
    <row r="261" spans="1:50" x14ac:dyDescent="0.25">
      <c r="A261" s="11" t="s">
        <v>1132</v>
      </c>
      <c r="B261" s="10" t="str">
        <f t="shared" si="1134"/>
        <v>From Fiscal Forecasts</v>
      </c>
      <c r="D261" s="35">
        <f>'Fiscal Forecasts'!D$410</f>
        <v>2.988</v>
      </c>
      <c r="E261" s="35">
        <f>'Fiscal Forecasts'!E$410</f>
        <v>3.0950000000000002</v>
      </c>
      <c r="F261" s="35">
        <f>'Fiscal Forecasts'!F$410</f>
        <v>3.5830000000000002</v>
      </c>
      <c r="G261" s="35">
        <f>'Fiscal Forecasts'!G$410</f>
        <v>3.7450000000000001</v>
      </c>
      <c r="H261" s="35">
        <f>'Fiscal Forecasts'!H$410</f>
        <v>3.8370000000000002</v>
      </c>
      <c r="I261" s="35">
        <f>'Fiscal Forecasts'!I$410</f>
        <v>4.351</v>
      </c>
      <c r="J261" s="17">
        <f>'Fiscal Forecasts'!J$410+Allocation!C$28</f>
        <v>4.5339999999999998</v>
      </c>
      <c r="K261" s="17">
        <f>'Fiscal Forecasts'!K$410+Allocation!D$28</f>
        <v>4.8394919999999999</v>
      </c>
      <c r="L261" s="17">
        <f>'Fiscal Forecasts'!L$410+Allocation!E$28</f>
        <v>4.9303928999999993</v>
      </c>
      <c r="M261" s="17">
        <f>'Fiscal Forecasts'!M$410+Allocation!F$28</f>
        <v>4.9900579</v>
      </c>
      <c r="N261" s="17">
        <f>'Fiscal Forecasts'!N$410+Allocation!G$28</f>
        <v>5.1032153000000005</v>
      </c>
      <c r="O261" s="16">
        <f ca="1">N$261*(1+SUMPRODUCT(Exogenous!$L$65:$L$71,'Population Treasury'!Z$293:Z$299)+SUMPRODUCT(Exogenous!$M$65:$M$71,'Population Treasury'!Z$317:Z$323))*(1+OFFSET(Assumptions!$B$41,0,$C$1))*(1+O$25)*(1+O$29)</f>
        <v>5.2615204245170597</v>
      </c>
      <c r="P261" s="16">
        <f ca="1">O$261*(1+SUMPRODUCT(Exogenous!$L$65:$L$71,'Population Treasury'!AA$293:AA$299)+SUMPRODUCT(Exogenous!$M$65:$M$71,'Population Treasury'!AA$317:AA$323))*(1+OFFSET(Assumptions!$B$41,0,$C$1))*(1+P$25)*(1+P$29)</f>
        <v>5.4202865964735718</v>
      </c>
      <c r="Q261" s="16">
        <f ca="1">P$261*(1+SUMPRODUCT(Exogenous!$L$65:$L$71,'Population Treasury'!AB$293:AB$299)+SUMPRODUCT(Exogenous!$M$65:$M$71,'Population Treasury'!AB$317:AB$323))*(1+OFFSET(Assumptions!$B$41,0,$C$1))*(1+Q$25)*(1+Q$29)</f>
        <v>5.5914283652367471</v>
      </c>
      <c r="R261" s="16">
        <f ca="1">Q$261*(1+SUMPRODUCT(Exogenous!$L$65:$L$71,'Population Treasury'!AC$293:AC$299)+SUMPRODUCT(Exogenous!$M$65:$M$71,'Population Treasury'!AC$317:AC$323))*(1+OFFSET(Assumptions!$B$41,0,$C$1))*(1+R$25)*(1+R$29)</f>
        <v>5.7610916585983158</v>
      </c>
      <c r="S261" s="16">
        <f ca="1">R$261*(1+SUMPRODUCT(Exogenous!$L$65:$L$71,'Population Treasury'!AD$293:AD$299)+SUMPRODUCT(Exogenous!$M$65:$M$71,'Population Treasury'!AD$317:AD$323))*(1+OFFSET(Assumptions!$B$41,0,$C$1))*(1+S$25)*(1+S$29)</f>
        <v>5.9437926447916478</v>
      </c>
      <c r="T261" s="16">
        <f ca="1">S$261*(1+SUMPRODUCT(Exogenous!$L$65:$L$71,'Population Treasury'!AE$293:AE$299)+SUMPRODUCT(Exogenous!$M$65:$M$71,'Population Treasury'!AE$317:AE$323))*(1+OFFSET(Assumptions!$B$41,0,$C$1))*(1+T$25)*(1+T$29)</f>
        <v>6.1338655689855379</v>
      </c>
      <c r="U261" s="16">
        <f ca="1">T$261*(1+SUMPRODUCT(Exogenous!$L$65:$L$71,'Population Treasury'!AF$293:AF$299)+SUMPRODUCT(Exogenous!$M$65:$M$71,'Population Treasury'!AF$317:AF$323))*(1+OFFSET(Assumptions!$B$41,0,$C$1))*(1+U$25)*(1+U$29)</f>
        <v>6.2999159092114665</v>
      </c>
      <c r="V261" s="16">
        <f ca="1">U$261*(1+SUMPRODUCT(Exogenous!$L$65:$L$71,'Population Treasury'!AG$293:AG$299)+SUMPRODUCT(Exogenous!$M$65:$M$71,'Population Treasury'!AG$317:AG$323))*(1+OFFSET(Assumptions!$B$41,0,$C$1))*(1+V$25)*(1+V$29)</f>
        <v>6.4311542082704483</v>
      </c>
      <c r="W261" s="16">
        <f ca="1">V$261*(1+SUMPRODUCT(Exogenous!$L$65:$L$71,'Population Treasury'!AH$293:AH$299)+SUMPRODUCT(Exogenous!$M$65:$M$71,'Population Treasury'!AH$317:AH$323))*(1+OFFSET(Assumptions!$B$41,0,$C$1))*(1+W$25)*(1+W$29)</f>
        <v>6.5807386597913604</v>
      </c>
      <c r="X261" s="16">
        <f ca="1">W$261*(1+SUMPRODUCT(Exogenous!$L$65:$L$71,'Population Treasury'!AI$293:AI$299)+SUMPRODUCT(Exogenous!$M$65:$M$71,'Population Treasury'!AI$317:AI$323))*(1+OFFSET(Assumptions!$B$41,0,$C$1))*(1+X$25)*(1+X$29)</f>
        <v>6.7493490780705327</v>
      </c>
      <c r="Y261" s="16">
        <f ca="1">X$261*(1+SUMPRODUCT(Exogenous!$L$65:$L$71,'Population Treasury'!AJ$293:AJ$299)+SUMPRODUCT(Exogenous!$M$65:$M$71,'Population Treasury'!AJ$317:AJ$323))*(1+OFFSET(Assumptions!$B$41,0,$C$1))*(1+Y$25)*(1+Y$29)</f>
        <v>6.9454910315643659</v>
      </c>
      <c r="Z261" s="16">
        <f ca="1">Y$261*(1+SUMPRODUCT(Exogenous!$L$65:$L$71,'Population Treasury'!AK$293:AK$299)+SUMPRODUCT(Exogenous!$M$65:$M$71,'Population Treasury'!AK$317:AK$323))*(1+OFFSET(Assumptions!$B$41,0,$C$1))*(1+Z$25)*(1+Z$29)</f>
        <v>7.2026879961029184</v>
      </c>
      <c r="AA261" s="16">
        <f ca="1">Z$261*(1+SUMPRODUCT(Exogenous!$L$65:$L$71,'Population Treasury'!AL$293:AL$299)+SUMPRODUCT(Exogenous!$M$65:$M$71,'Population Treasury'!AL$317:AL$323))*(1+OFFSET(Assumptions!$B$41,0,$C$1))*(1+AA$25)*(1+AA$29)</f>
        <v>7.4732574575489474</v>
      </c>
      <c r="AB261" s="16">
        <f ca="1">AA$261*(1+SUMPRODUCT(Exogenous!$L$65:$L$71,'Population Treasury'!AM$293:AM$299)+SUMPRODUCT(Exogenous!$M$65:$M$71,'Population Treasury'!AM$317:AM$323))*(1+OFFSET(Assumptions!$B$41,0,$C$1))*(1+AB$25)*(1+AB$29)</f>
        <v>7.7429127009969552</v>
      </c>
      <c r="AC261" s="16">
        <f ca="1">AB$261*(1+SUMPRODUCT(Exogenous!$L$65:$L$71,'Population Treasury'!AN$293:AN$299)+SUMPRODUCT(Exogenous!$M$65:$M$71,'Population Treasury'!AN$317:AN$323))*(1+OFFSET(Assumptions!$B$41,0,$C$1))*(1+AC$25)*(1+AC$29)</f>
        <v>8.018497824263088</v>
      </c>
      <c r="AD261" s="16">
        <f ca="1">AC$261*(1+SUMPRODUCT(Exogenous!$L$65:$L$71,'Population Treasury'!AO$293:AO$299)+SUMPRODUCT(Exogenous!$M$65:$M$71,'Population Treasury'!AO$317:AO$323))*(1+OFFSET(Assumptions!$B$41,0,$C$1))*(1+AD$25)*(1+AD$29)</f>
        <v>8.3009197143522329</v>
      </c>
      <c r="AE261" s="16">
        <f ca="1">AD$261*(1+SUMPRODUCT(Exogenous!$L$65:$L$71,'Population Treasury'!AP$293:AP$299)+SUMPRODUCT(Exogenous!$M$65:$M$71,'Population Treasury'!AP$317:AP$323))*(1+OFFSET(Assumptions!$B$41,0,$C$1))*(1+AE$25)*(1+AE$29)</f>
        <v>8.5953117848139655</v>
      </c>
      <c r="AF261" s="16">
        <f ca="1">AE$261*(1+SUMPRODUCT(Exogenous!$L$65:$L$71,'Population Treasury'!AQ$293:AQ$299)+SUMPRODUCT(Exogenous!$M$65:$M$71,'Population Treasury'!AQ$317:AQ$323))*(1+OFFSET(Assumptions!$B$41,0,$C$1))*(1+AF$25)*(1+AF$29)</f>
        <v>8.9048034095938728</v>
      </c>
      <c r="AG261" s="16">
        <f ca="1">AF$261*(1+SUMPRODUCT(Exogenous!$L$65:$L$71,'Population Treasury'!AR$293:AR$299)+SUMPRODUCT(Exogenous!$M$65:$M$71,'Population Treasury'!AR$317:AR$323))*(1+OFFSET(Assumptions!$B$41,0,$C$1))*(1+AG$25)*(1+AG$29)</f>
        <v>9.2307650088466975</v>
      </c>
      <c r="AH261" s="16">
        <f ca="1">AG$261*(1+SUMPRODUCT(Exogenous!$L$65:$L$71,'Population Treasury'!AS$293:AS$299)+SUMPRODUCT(Exogenous!$M$65:$M$71,'Population Treasury'!AS$317:AS$323))*(1+OFFSET(Assumptions!$B$41,0,$C$1))*(1+AH$25)*(1+AH$29)</f>
        <v>9.5772757711634089</v>
      </c>
      <c r="AI261" s="16">
        <f ca="1">AH$261*(1+SUMPRODUCT(Exogenous!$L$65:$L$71,'Population Treasury'!AT$293:AT$299)+SUMPRODUCT(Exogenous!$M$65:$M$71,'Population Treasury'!AT$317:AT$323))*(1+OFFSET(Assumptions!$B$41,0,$C$1))*(1+AI$25)*(1+AI$29)</f>
        <v>9.9457603217915267</v>
      </c>
      <c r="AJ261" s="16">
        <f ca="1">AI$261*(1+SUMPRODUCT(Exogenous!$L$65:$L$71,'Population Treasury'!AU$293:AU$299)+SUMPRODUCT(Exogenous!$M$65:$M$71,'Population Treasury'!AU$317:AU$323))*(1+OFFSET(Assumptions!$B$41,0,$C$1))*(1+AJ$25)*(1+AJ$29)</f>
        <v>10.337430734028846</v>
      </c>
      <c r="AK261" s="16">
        <f ca="1">AJ$261*(1+SUMPRODUCT(Exogenous!$L$65:$L$71,'Population Treasury'!AV$293:AV$299)+SUMPRODUCT(Exogenous!$M$65:$M$71,'Population Treasury'!AV$317:AV$323))*(1+OFFSET(Assumptions!$B$41,0,$C$1))*(1+AK$25)*(1+AK$29)</f>
        <v>10.753542861237975</v>
      </c>
      <c r="AL261" s="16">
        <f ca="1">AK$261*(1+SUMPRODUCT(Exogenous!$L$65:$L$71,'Population Treasury'!AW$293:AW$299)+SUMPRODUCT(Exogenous!$M$65:$M$71,'Population Treasury'!AW$317:AW$323))*(1+OFFSET(Assumptions!$B$41,0,$C$1))*(1+AL$25)*(1+AL$29)</f>
        <v>11.193162043009403</v>
      </c>
      <c r="AM261" s="16">
        <f ca="1">AL$261*(1+SUMPRODUCT(Exogenous!$L$65:$L$71,'Population Treasury'!AX$293:AX$299)+SUMPRODUCT(Exogenous!$M$65:$M$71,'Population Treasury'!AX$317:AX$323))*(1+OFFSET(Assumptions!$B$41,0,$C$1))*(1+AM$25)*(1+AM$29)</f>
        <v>11.655758553759037</v>
      </c>
      <c r="AN261" s="16">
        <f ca="1">AM$261*(1+SUMPRODUCT(Exogenous!$L$65:$L$71,'Population Treasury'!AY$293:AY$299)+SUMPRODUCT(Exogenous!$M$65:$M$71,'Population Treasury'!AY$317:AY$323))*(1+OFFSET(Assumptions!$B$41,0,$C$1))*(1+AN$25)*(1+AN$29)</f>
        <v>12.137955930153815</v>
      </c>
      <c r="AO261" s="16">
        <f ca="1">AN$261*(1+SUMPRODUCT(Exogenous!$L$65:$L$71,'Population Treasury'!AZ$293:AZ$299)+SUMPRODUCT(Exogenous!$M$65:$M$71,'Population Treasury'!AZ$317:AZ$323))*(1+OFFSET(Assumptions!$B$41,0,$C$1))*(1+AO$25)*(1+AO$29)</f>
        <v>12.637977381137615</v>
      </c>
      <c r="AP261" s="16">
        <f ca="1">AO$261*(1+SUMPRODUCT(Exogenous!$L$65:$L$71,'Population Treasury'!BA$293:BA$299)+SUMPRODUCT(Exogenous!$M$65:$M$71,'Population Treasury'!BA$317:BA$323))*(1+OFFSET(Assumptions!$B$41,0,$C$1))*(1+AP$25)*(1+AP$29)</f>
        <v>13.150931160373448</v>
      </c>
      <c r="AQ261" s="16">
        <f ca="1">AP$261*(1+SUMPRODUCT(Exogenous!$L$65:$L$71,'Population Treasury'!BB$293:BB$299)+SUMPRODUCT(Exogenous!$M$65:$M$71,'Population Treasury'!BB$317:BB$323))*(1+OFFSET(Assumptions!$B$41,0,$C$1))*(1+AQ$25)*(1+AQ$29)</f>
        <v>13.67677984039759</v>
      </c>
      <c r="AR261" s="16">
        <f ca="1">AQ$261*(1+SUMPRODUCT(Exogenous!$L$65:$L$71,'Population Treasury'!BC$293:BC$299)+SUMPRODUCT(Exogenous!$M$65:$M$71,'Population Treasury'!BC$317:BC$323))*(1+OFFSET(Assumptions!$B$41,0,$C$1))*(1+AR$25)*(1+AR$29)</f>
        <v>14.211237320648292</v>
      </c>
      <c r="AS261" s="16">
        <f ca="1">AR$261*(1+SUMPRODUCT(Exogenous!$L$65:$L$71,'Population Treasury'!BD$293:BD$299)+SUMPRODUCT(Exogenous!$M$65:$M$71,'Population Treasury'!BD$317:BD$323))*(1+OFFSET(Assumptions!$B$41,0,$C$1))*(1+AS$25)*(1+AS$29)</f>
        <v>14.752557235496434</v>
      </c>
      <c r="AT261" s="16">
        <f ca="1">AS$261*(1+SUMPRODUCT(Exogenous!$L$65:$L$71,'Population Treasury'!BE$293:BE$299)+SUMPRODUCT(Exogenous!$M$65:$M$71,'Population Treasury'!BE$317:BE$323))*(1+OFFSET(Assumptions!$B$41,0,$C$1))*(1+AT$25)*(1+AT$29)</f>
        <v>15.300868731279522</v>
      </c>
      <c r="AU261" s="16">
        <f ca="1">AT$261*(1+SUMPRODUCT(Exogenous!$L$65:$L$71,'Population Treasury'!BF$293:BF$299)+SUMPRODUCT(Exogenous!$M$65:$M$71,'Population Treasury'!BF$317:BF$323))*(1+OFFSET(Assumptions!$B$41,0,$C$1))*(1+AU$25)*(1+AU$29)</f>
        <v>15.857071530750749</v>
      </c>
      <c r="AV261" s="16">
        <f ca="1">AU$261*(1+SUMPRODUCT(Exogenous!$L$65:$L$71,'Population Treasury'!BG$293:BG$299)+SUMPRODUCT(Exogenous!$M$65:$M$71,'Population Treasury'!BG$317:BG$323))*(1+OFFSET(Assumptions!$B$41,0,$C$1))*(1+AV$25)*(1+AV$29)</f>
        <v>16.419673849827007</v>
      </c>
      <c r="AW261" s="16">
        <f ca="1">AV$261*(1+SUMPRODUCT(Exogenous!$L$65:$L$71,'Population Treasury'!BH$293:BH$299)+SUMPRODUCT(Exogenous!$M$65:$M$71,'Population Treasury'!BH$317:BH$323))*(1+OFFSET(Assumptions!$B$41,0,$C$1))*(1+AW$25)*(1+AW$29)</f>
        <v>16.992790700144148</v>
      </c>
      <c r="AX261" s="16">
        <f ca="1">AW$261*(1+SUMPRODUCT(Exogenous!$L$65:$L$71,'Population Treasury'!BI$293:BI$299)+SUMPRODUCT(Exogenous!$M$65:$M$71,'Population Treasury'!BI$317:BI$323))*(1+OFFSET(Assumptions!$B$41,0,$C$1))*(1+AX$25)*(1+AX$29)</f>
        <v>17.575385284738513</v>
      </c>
    </row>
    <row r="262" spans="1:50" x14ac:dyDescent="0.25">
      <c r="A262" s="11" t="s">
        <v>1134</v>
      </c>
      <c r="B262" s="10" t="str">
        <f t="shared" si="1134"/>
        <v>From Fiscal Forecasts</v>
      </c>
      <c r="D262" s="35">
        <f>'Fiscal Forecasts'!D$411</f>
        <v>2.9660000000000002</v>
      </c>
      <c r="E262" s="35">
        <f>'Fiscal Forecasts'!E$411</f>
        <v>4.548</v>
      </c>
      <c r="F262" s="35">
        <f>'Fiscal Forecasts'!F$411</f>
        <v>2.4600000000000004</v>
      </c>
      <c r="G262" s="35">
        <f>'Fiscal Forecasts'!G$411</f>
        <v>3.7590000000000003</v>
      </c>
      <c r="H262" s="35">
        <f>'Fiscal Forecasts'!H$411</f>
        <v>3.5869999999999997</v>
      </c>
      <c r="I262" s="35">
        <f>'Fiscal Forecasts'!I$411</f>
        <v>3.9439999999999995</v>
      </c>
      <c r="J262" s="17">
        <f>'Fiscal Forecasts'!J$411+Allocation!C$29</f>
        <v>3.9629999999999996</v>
      </c>
      <c r="K262" s="17">
        <f>'Fiscal Forecasts'!K$411+Allocation!D$29</f>
        <v>3.9718780000000002</v>
      </c>
      <c r="L262" s="17">
        <f>'Fiscal Forecasts'!L$411+Allocation!E$29</f>
        <v>4.0898198499999996</v>
      </c>
      <c r="M262" s="17">
        <f>'Fiscal Forecasts'!M$411+Allocation!F$29</f>
        <v>4.2632423500000005</v>
      </c>
      <c r="N262" s="17">
        <f>'Fiscal Forecasts'!N$411+Allocation!G$29</f>
        <v>4.4768614500000004</v>
      </c>
      <c r="O262" s="16">
        <f ca="1">N$262*(1+Exogenous!$Q$65*'Population Treasury'!Z$297+SUMPRODUCT(Exogenous!$Q$66:$Q$69,'Population Treasury'!Z$300:Z$303)+Exogenous!$R$65*'Population Treasury'!Z$321+SUMPRODUCT(Exogenous!$R$66:$R$69,'Population Treasury'!Z$324:Z$327))*(1+OFFSET(Assumptions!$B$41,0,$C$1))*(1+O$25)*(1+O$29)</f>
        <v>4.6987610428474609</v>
      </c>
      <c r="P262" s="16">
        <f ca="1">O$262*(1+Exogenous!$Q$65*'Population Treasury'!AA$297+SUMPRODUCT(Exogenous!$Q$66:$Q$69,'Population Treasury'!AA$300:AA$303)+Exogenous!$R$65*'Population Treasury'!AA$321+SUMPRODUCT(Exogenous!$R$66:$R$69,'Population Treasury'!AA$324:AA$327))*(1+OFFSET(Assumptions!$B$41,0,$C$1))*(1+P$25)*(1+P$29)</f>
        <v>4.921753824251728</v>
      </c>
      <c r="Q262" s="16">
        <f ca="1">P$262*(1+Exogenous!$Q$65*'Population Treasury'!AB$297+SUMPRODUCT(Exogenous!$Q$66:$Q$69,'Population Treasury'!AB$300:AB$303)+Exogenous!$R$65*'Population Treasury'!AB$321+SUMPRODUCT(Exogenous!$R$66:$R$69,'Population Treasury'!AB$324:AB$327))*(1+OFFSET(Assumptions!$B$41,0,$C$1))*(1+Q$25)*(1+Q$29)</f>
        <v>5.1277605022271784</v>
      </c>
      <c r="R262" s="16">
        <f ca="1">Q$262*(1+Exogenous!$Q$65*'Population Treasury'!AC$297+SUMPRODUCT(Exogenous!$Q$66:$Q$69,'Population Treasury'!AC$300:AC$303)+Exogenous!$R$65*'Population Treasury'!AC$321+SUMPRODUCT(Exogenous!$R$66:$R$69,'Population Treasury'!AC$324:AC$327))*(1+OFFSET(Assumptions!$B$41,0,$C$1))*(1+R$25)*(1+R$29)</f>
        <v>5.3297121576097144</v>
      </c>
      <c r="S262" s="16">
        <f ca="1">R$262*(1+Exogenous!$Q$65*'Population Treasury'!AD$297+SUMPRODUCT(Exogenous!$Q$66:$Q$69,'Population Treasury'!AD$300:AD$303)+Exogenous!$R$65*'Population Treasury'!AD$321+SUMPRODUCT(Exogenous!$R$66:$R$69,'Population Treasury'!AD$324:AD$327))*(1+OFFSET(Assumptions!$B$41,0,$C$1))*(1+S$25)*(1+S$29)</f>
        <v>5.5395887263989945</v>
      </c>
      <c r="T262" s="16">
        <f ca="1">S$262*(1+Exogenous!$Q$65*'Population Treasury'!AE$297+SUMPRODUCT(Exogenous!$Q$66:$Q$69,'Population Treasury'!AE$300:AE$303)+Exogenous!$R$65*'Population Treasury'!AE$321+SUMPRODUCT(Exogenous!$R$66:$R$69,'Population Treasury'!AE$324:AE$327))*(1+OFFSET(Assumptions!$B$41,0,$C$1))*(1+T$25)*(1+T$29)</f>
        <v>5.7490502757067752</v>
      </c>
      <c r="U262" s="16">
        <f ca="1">T$262*(1+Exogenous!$Q$65*'Population Treasury'!AF$297+SUMPRODUCT(Exogenous!$Q$66:$Q$69,'Population Treasury'!AF$300:AF$303)+Exogenous!$R$65*'Population Treasury'!AF$321+SUMPRODUCT(Exogenous!$R$66:$R$69,'Population Treasury'!AF$324:AF$327))*(1+OFFSET(Assumptions!$B$41,0,$C$1))*(1+U$25)*(1+U$29)</f>
        <v>5.9630602144475429</v>
      </c>
      <c r="V262" s="16">
        <f ca="1">U$262*(1+Exogenous!$Q$65*'Population Treasury'!AG$297+SUMPRODUCT(Exogenous!$Q$66:$Q$69,'Population Treasury'!AG$300:AG$303)+Exogenous!$R$65*'Population Treasury'!AG$321+SUMPRODUCT(Exogenous!$R$66:$R$69,'Population Treasury'!AG$324:AG$327))*(1+OFFSET(Assumptions!$B$41,0,$C$1))*(1+V$25)*(1+V$29)</f>
        <v>6.1819856651579004</v>
      </c>
      <c r="W262" s="16">
        <f ca="1">V$262*(1+Exogenous!$Q$65*'Population Treasury'!AH$297+SUMPRODUCT(Exogenous!$Q$66:$Q$69,'Population Treasury'!AH$300:AH$303)+Exogenous!$R$65*'Population Treasury'!AH$321+SUMPRODUCT(Exogenous!$R$66:$R$69,'Population Treasury'!AH$324:AH$327))*(1+OFFSET(Assumptions!$B$41,0,$C$1))*(1+W$25)*(1+W$29)</f>
        <v>6.4052323723907563</v>
      </c>
      <c r="X262" s="16">
        <f ca="1">W$262*(1+Exogenous!$Q$65*'Population Treasury'!AI$297+SUMPRODUCT(Exogenous!$Q$66:$Q$69,'Population Treasury'!AI$300:AI$303)+Exogenous!$R$65*'Population Treasury'!AI$321+SUMPRODUCT(Exogenous!$R$66:$R$69,'Population Treasury'!AI$324:AI$327))*(1+OFFSET(Assumptions!$B$41,0,$C$1))*(1+X$25)*(1+X$29)</f>
        <v>6.6451272046007999</v>
      </c>
      <c r="Y262" s="16">
        <f ca="1">X$262*(1+Exogenous!$Q$65*'Population Treasury'!AJ$297+SUMPRODUCT(Exogenous!$Q$66:$Q$69,'Population Treasury'!AJ$300:AJ$303)+Exogenous!$R$65*'Population Treasury'!AJ$321+SUMPRODUCT(Exogenous!$R$66:$R$69,'Population Treasury'!AJ$324:AJ$327))*(1+OFFSET(Assumptions!$B$41,0,$C$1))*(1+Y$25)*(1+Y$29)</f>
        <v>6.8795984320498462</v>
      </c>
      <c r="Z262" s="16">
        <f ca="1">Y$262*(1+Exogenous!$Q$65*'Population Treasury'!AK$297+SUMPRODUCT(Exogenous!$Q$66:$Q$69,'Population Treasury'!AK$300:AK$303)+Exogenous!$R$65*'Population Treasury'!AK$321+SUMPRODUCT(Exogenous!$R$66:$R$69,'Population Treasury'!AK$324:AK$327))*(1+OFFSET(Assumptions!$B$41,0,$C$1))*(1+Z$25)*(1+Z$29)</f>
        <v>7.0968217065875718</v>
      </c>
      <c r="AA262" s="16">
        <f ca="1">Z$262*(1+Exogenous!$Q$65*'Population Treasury'!AL$297+SUMPRODUCT(Exogenous!$Q$66:$Q$69,'Population Treasury'!AL$300:AL$303)+Exogenous!$R$65*'Population Treasury'!AL$321+SUMPRODUCT(Exogenous!$R$66:$R$69,'Population Treasury'!AL$324:AL$327))*(1+OFFSET(Assumptions!$B$41,0,$C$1))*(1+AA$25)*(1+AA$29)</f>
        <v>7.3203696863299879</v>
      </c>
      <c r="AB262" s="16">
        <f ca="1">AA$262*(1+Exogenous!$Q$65*'Population Treasury'!AM$297+SUMPRODUCT(Exogenous!$Q$66:$Q$69,'Population Treasury'!AM$300:AM$303)+Exogenous!$R$65*'Population Treasury'!AM$321+SUMPRODUCT(Exogenous!$R$66:$R$69,'Population Treasury'!AM$324:AM$327))*(1+OFFSET(Assumptions!$B$41,0,$C$1))*(1+AB$25)*(1+AB$29)</f>
        <v>7.5690799699283913</v>
      </c>
      <c r="AC262" s="16">
        <f ca="1">AB$262*(1+Exogenous!$Q$65*'Population Treasury'!AN$297+SUMPRODUCT(Exogenous!$Q$66:$Q$69,'Population Treasury'!AN$300:AN$303)+Exogenous!$R$65*'Population Treasury'!AN$321+SUMPRODUCT(Exogenous!$R$66:$R$69,'Population Treasury'!AN$324:AN$327))*(1+OFFSET(Assumptions!$B$41,0,$C$1))*(1+AC$25)*(1+AC$29)</f>
        <v>7.8217311829674792</v>
      </c>
      <c r="AD262" s="16">
        <f ca="1">AC$262*(1+Exogenous!$Q$65*'Population Treasury'!AO$297+SUMPRODUCT(Exogenous!$Q$66:$Q$69,'Population Treasury'!AO$300:AO$303)+Exogenous!$R$65*'Population Treasury'!AO$321+SUMPRODUCT(Exogenous!$R$66:$R$69,'Population Treasury'!AO$324:AO$327))*(1+OFFSET(Assumptions!$B$41,0,$C$1))*(1+AD$25)*(1+AD$29)</f>
        <v>8.0841245555325845</v>
      </c>
      <c r="AE262" s="16">
        <f ca="1">AD$262*(1+Exogenous!$Q$65*'Population Treasury'!AP$297+SUMPRODUCT(Exogenous!$Q$66:$Q$69,'Population Treasury'!AP$300:AP$303)+Exogenous!$R$65*'Population Treasury'!AP$321+SUMPRODUCT(Exogenous!$R$66:$R$69,'Population Treasury'!AP$324:AP$327))*(1+OFFSET(Assumptions!$B$41,0,$C$1))*(1+AE$25)*(1+AE$29)</f>
        <v>8.3474677785238747</v>
      </c>
      <c r="AF262" s="16">
        <f ca="1">AE$262*(1+Exogenous!$Q$65*'Population Treasury'!AQ$297+SUMPRODUCT(Exogenous!$Q$66:$Q$69,'Population Treasury'!AQ$300:AQ$303)+Exogenous!$R$65*'Population Treasury'!AQ$321+SUMPRODUCT(Exogenous!$R$66:$R$69,'Population Treasury'!AQ$324:AQ$327))*(1+OFFSET(Assumptions!$B$41,0,$C$1))*(1+AF$25)*(1+AF$29)</f>
        <v>8.6183440329798486</v>
      </c>
      <c r="AG262" s="16">
        <f ca="1">AF$262*(1+Exogenous!$Q$65*'Population Treasury'!AR$297+SUMPRODUCT(Exogenous!$Q$66:$Q$69,'Population Treasury'!AR$300:AR$303)+Exogenous!$R$65*'Population Treasury'!AR$321+SUMPRODUCT(Exogenous!$R$66:$R$69,'Population Treasury'!AR$324:AR$327))*(1+OFFSET(Assumptions!$B$41,0,$C$1))*(1+AG$25)*(1+AG$29)</f>
        <v>8.9317708373210785</v>
      </c>
      <c r="AH262" s="16">
        <f ca="1">AG$262*(1+Exogenous!$Q$65*'Population Treasury'!AS$297+SUMPRODUCT(Exogenous!$Q$66:$Q$69,'Population Treasury'!AS$300:AS$303)+Exogenous!$R$65*'Population Treasury'!AS$321+SUMPRODUCT(Exogenous!$R$66:$R$69,'Population Treasury'!AS$324:AS$327))*(1+OFFSET(Assumptions!$B$41,0,$C$1))*(1+AH$25)*(1+AH$29)</f>
        <v>9.2595086076515614</v>
      </c>
      <c r="AI262" s="16">
        <f ca="1">AH$262*(1+Exogenous!$Q$65*'Population Treasury'!AT$297+SUMPRODUCT(Exogenous!$Q$66:$Q$69,'Population Treasury'!AT$300:AT$303)+Exogenous!$R$65*'Population Treasury'!AT$321+SUMPRODUCT(Exogenous!$R$66:$R$69,'Population Treasury'!AT$324:AT$327))*(1+OFFSET(Assumptions!$B$41,0,$C$1))*(1+AI$25)*(1+AI$29)</f>
        <v>9.5907164850933491</v>
      </c>
      <c r="AJ262" s="16">
        <f ca="1">AI$262*(1+Exogenous!$Q$65*'Population Treasury'!AU$297+SUMPRODUCT(Exogenous!$Q$66:$Q$69,'Population Treasury'!AU$300:AU$303)+Exogenous!$R$65*'Population Treasury'!AU$321+SUMPRODUCT(Exogenous!$R$66:$R$69,'Population Treasury'!AU$324:AU$327))*(1+OFFSET(Assumptions!$B$41,0,$C$1))*(1+AJ$25)*(1+AJ$29)</f>
        <v>9.9362937907602991</v>
      </c>
      <c r="AK262" s="16">
        <f ca="1">AJ$262*(1+Exogenous!$Q$65*'Population Treasury'!AV$297+SUMPRODUCT(Exogenous!$Q$66:$Q$69,'Population Treasury'!AV$300:AV$303)+Exogenous!$R$65*'Population Treasury'!AV$321+SUMPRODUCT(Exogenous!$R$66:$R$69,'Population Treasury'!AV$324:AV$327))*(1+OFFSET(Assumptions!$B$41,0,$C$1))*(1+AK$25)*(1+AK$29)</f>
        <v>10.298225971730689</v>
      </c>
      <c r="AL262" s="16">
        <f ca="1">AK$262*(1+Exogenous!$Q$65*'Population Treasury'!AW$297+SUMPRODUCT(Exogenous!$Q$66:$Q$69,'Population Treasury'!AW$300:AW$303)+Exogenous!$R$65*'Population Treasury'!AW$321+SUMPRODUCT(Exogenous!$R$66:$R$69,'Population Treasury'!AW$324:AW$327))*(1+OFFSET(Assumptions!$B$41,0,$C$1))*(1+AL$25)*(1+AL$29)</f>
        <v>10.676976495392974</v>
      </c>
      <c r="AM262" s="16">
        <f ca="1">AL$262*(1+Exogenous!$Q$65*'Population Treasury'!AX$297+SUMPRODUCT(Exogenous!$Q$66:$Q$69,'Population Treasury'!AX$300:AX$303)+Exogenous!$R$65*'Population Treasury'!AX$321+SUMPRODUCT(Exogenous!$R$66:$R$69,'Population Treasury'!AX$324:AX$327))*(1+OFFSET(Assumptions!$B$41,0,$C$1))*(1+AM$25)*(1+AM$29)</f>
        <v>11.078175809042408</v>
      </c>
      <c r="AN262" s="16">
        <f ca="1">AM$262*(1+Exogenous!$Q$65*'Population Treasury'!AY$297+SUMPRODUCT(Exogenous!$Q$66:$Q$69,'Population Treasury'!AY$300:AY$303)+Exogenous!$R$65*'Population Treasury'!AY$321+SUMPRODUCT(Exogenous!$R$66:$R$69,'Population Treasury'!AY$324:AY$327))*(1+OFFSET(Assumptions!$B$41,0,$C$1))*(1+AN$25)*(1+AN$29)</f>
        <v>11.495775929295668</v>
      </c>
      <c r="AO262" s="16">
        <f ca="1">AN$262*(1+Exogenous!$Q$65*'Population Treasury'!AZ$297+SUMPRODUCT(Exogenous!$Q$66:$Q$69,'Population Treasury'!AZ$300:AZ$303)+Exogenous!$R$65*'Population Treasury'!AZ$321+SUMPRODUCT(Exogenous!$R$66:$R$69,'Population Treasury'!AZ$324:AZ$327))*(1+OFFSET(Assumptions!$B$41,0,$C$1))*(1+AO$25)*(1+AO$29)</f>
        <v>11.936331363406831</v>
      </c>
      <c r="AP262" s="16">
        <f ca="1">AO$262*(1+Exogenous!$Q$65*'Population Treasury'!BA$297+SUMPRODUCT(Exogenous!$Q$66:$Q$69,'Population Treasury'!BA$300:BA$303)+Exogenous!$R$65*'Population Treasury'!BA$321+SUMPRODUCT(Exogenous!$R$66:$R$69,'Population Treasury'!BA$324:BA$327))*(1+OFFSET(Assumptions!$B$41,0,$C$1))*(1+AP$25)*(1+AP$29)</f>
        <v>12.401089911942757</v>
      </c>
      <c r="AQ262" s="16">
        <f ca="1">AP$262*(1+Exogenous!$Q$65*'Population Treasury'!BB$297+SUMPRODUCT(Exogenous!$Q$66:$Q$69,'Population Treasury'!BB$300:BB$303)+Exogenous!$R$65*'Population Treasury'!BB$321+SUMPRODUCT(Exogenous!$R$66:$R$69,'Population Treasury'!BB$324:BB$327))*(1+OFFSET(Assumptions!$B$41,0,$C$1))*(1+AQ$25)*(1+AQ$29)</f>
        <v>12.888922819914564</v>
      </c>
      <c r="AR262" s="16">
        <f ca="1">AQ$262*(1+Exogenous!$Q$65*'Population Treasury'!BC$297+SUMPRODUCT(Exogenous!$Q$66:$Q$69,'Population Treasury'!BC$300:BC$303)+Exogenous!$R$65*'Population Treasury'!BC$321+SUMPRODUCT(Exogenous!$R$66:$R$69,'Population Treasury'!BC$324:BC$327))*(1+OFFSET(Assumptions!$B$41,0,$C$1))*(1+AR$25)*(1+AR$29)</f>
        <v>13.39695410756447</v>
      </c>
      <c r="AS262" s="16">
        <f ca="1">AR$262*(1+Exogenous!$Q$65*'Population Treasury'!BD$297+SUMPRODUCT(Exogenous!$Q$66:$Q$69,'Population Treasury'!BD$300:BD$303)+Exogenous!$R$65*'Population Treasury'!BD$321+SUMPRODUCT(Exogenous!$R$66:$R$69,'Population Treasury'!BD$324:BD$327))*(1+OFFSET(Assumptions!$B$41,0,$C$1))*(1+AS$25)*(1+AS$29)</f>
        <v>13.927253145478197</v>
      </c>
      <c r="AT262" s="16">
        <f ca="1">AS$262*(1+Exogenous!$Q$65*'Population Treasury'!BE$297+SUMPRODUCT(Exogenous!$Q$66:$Q$69,'Population Treasury'!BE$300:BE$303)+Exogenous!$R$65*'Population Treasury'!BE$321+SUMPRODUCT(Exogenous!$R$66:$R$69,'Population Treasury'!BE$324:BE$327))*(1+OFFSET(Assumptions!$B$41,0,$C$1))*(1+AT$25)*(1+AT$29)</f>
        <v>14.475058102238973</v>
      </c>
      <c r="AU262" s="16">
        <f ca="1">AT$262*(1+Exogenous!$Q$65*'Population Treasury'!BF$297+SUMPRODUCT(Exogenous!$Q$66:$Q$69,'Population Treasury'!BF$300:BF$303)+Exogenous!$R$65*'Population Treasury'!BF$321+SUMPRODUCT(Exogenous!$R$66:$R$69,'Population Treasury'!BF$324:BF$327))*(1+OFFSET(Assumptions!$B$41,0,$C$1))*(1+AU$25)*(1+AU$29)</f>
        <v>15.036168733741734</v>
      </c>
      <c r="AV262" s="16">
        <f ca="1">AU$262*(1+Exogenous!$Q$65*'Population Treasury'!BG$297+SUMPRODUCT(Exogenous!$Q$66:$Q$69,'Population Treasury'!BG$300:BG$303)+Exogenous!$R$65*'Population Treasury'!BG$321+SUMPRODUCT(Exogenous!$R$66:$R$69,'Population Treasury'!BG$324:BG$327))*(1+OFFSET(Assumptions!$B$41,0,$C$1))*(1+AV$25)*(1+AV$29)</f>
        <v>15.616953820920669</v>
      </c>
      <c r="AW262" s="16">
        <f ca="1">AV$262*(1+Exogenous!$Q$65*'Population Treasury'!BH$297+SUMPRODUCT(Exogenous!$Q$66:$Q$69,'Population Treasury'!BH$300:BH$303)+Exogenous!$R$65*'Population Treasury'!BH$321+SUMPRODUCT(Exogenous!$R$66:$R$69,'Population Treasury'!BH$324:BH$327))*(1+OFFSET(Assumptions!$B$41,0,$C$1))*(1+AW$25)*(1+AW$29)</f>
        <v>16.216478139357832</v>
      </c>
      <c r="AX262" s="16">
        <f ca="1">AW$262*(1+Exogenous!$Q$65*'Population Treasury'!BI$297+SUMPRODUCT(Exogenous!$Q$66:$Q$69,'Population Treasury'!BI$300:BI$303)+Exogenous!$R$65*'Population Treasury'!BI$321+SUMPRODUCT(Exogenous!$R$66:$R$69,'Population Treasury'!BI$324:BI$327))*(1+OFFSET(Assumptions!$B$41,0,$C$1))*(1+AX$25)*(1+AX$29)</f>
        <v>16.827320613987499</v>
      </c>
    </row>
    <row r="263" spans="1:50" x14ac:dyDescent="0.25">
      <c r="A263" s="11" t="s">
        <v>644</v>
      </c>
      <c r="D263" s="35">
        <f>D$188</f>
        <v>0.58299999999999996</v>
      </c>
      <c r="E263" s="35">
        <f t="shared" ref="E263:AX263" si="1135">E$188</f>
        <v>0.56699999999999995</v>
      </c>
      <c r="F263" s="35">
        <f t="shared" si="1135"/>
        <v>0.59</v>
      </c>
      <c r="G263" s="35">
        <f t="shared" si="1135"/>
        <v>0.55600000000000005</v>
      </c>
      <c r="H263" s="35">
        <f t="shared" si="1135"/>
        <v>0.52500000000000002</v>
      </c>
      <c r="I263" s="35">
        <f t="shared" si="1135"/>
        <v>0.52600000000000002</v>
      </c>
      <c r="J263" s="17">
        <f t="shared" si="1135"/>
        <v>0.57799999999999996</v>
      </c>
      <c r="K263" s="17">
        <f t="shared" si="1135"/>
        <v>0.63500000000000001</v>
      </c>
      <c r="L263" s="17">
        <f t="shared" si="1135"/>
        <v>0.64</v>
      </c>
      <c r="M263" s="17">
        <f t="shared" si="1135"/>
        <v>0.63700000000000001</v>
      </c>
      <c r="N263" s="17">
        <f t="shared" si="1135"/>
        <v>0.628</v>
      </c>
      <c r="O263" s="16">
        <f t="shared" ca="1" si="1135"/>
        <v>0.64417418760845835</v>
      </c>
      <c r="P263" s="16">
        <f t="shared" ca="1" si="1135"/>
        <v>0.65934126518153779</v>
      </c>
      <c r="Q263" s="16">
        <f t="shared" ca="1" si="1135"/>
        <v>0.67370952831115627</v>
      </c>
      <c r="R263" s="16">
        <f t="shared" ca="1" si="1135"/>
        <v>0.68856200589422512</v>
      </c>
      <c r="S263" s="16">
        <f t="shared" ca="1" si="1135"/>
        <v>0.70407554216417345</v>
      </c>
      <c r="T263" s="16">
        <f t="shared" ca="1" si="1135"/>
        <v>0.72107401724107778</v>
      </c>
      <c r="U263" s="16">
        <f t="shared" ca="1" si="1135"/>
        <v>0.73847913528771725</v>
      </c>
      <c r="V263" s="16">
        <f t="shared" ca="1" si="1135"/>
        <v>0.7571676177704233</v>
      </c>
      <c r="W263" s="16">
        <f t="shared" ca="1" si="1135"/>
        <v>0.77664207695307519</v>
      </c>
      <c r="X263" s="16">
        <f t="shared" ca="1" si="1135"/>
        <v>0.79721617076312634</v>
      </c>
      <c r="Y263" s="16">
        <f t="shared" ca="1" si="1135"/>
        <v>0.82638183138730792</v>
      </c>
      <c r="Z263" s="16">
        <f t="shared" ca="1" si="1135"/>
        <v>0.85349809286428202</v>
      </c>
      <c r="AA263" s="16">
        <f t="shared" ca="1" si="1135"/>
        <v>0.88192707853011276</v>
      </c>
      <c r="AB263" s="16">
        <f t="shared" ca="1" si="1135"/>
        <v>0.91265281804488119</v>
      </c>
      <c r="AC263" s="16">
        <f t="shared" ca="1" si="1135"/>
        <v>0.94419100014715152</v>
      </c>
      <c r="AD263" s="16">
        <f t="shared" ca="1" si="1135"/>
        <v>0.97591504891339464</v>
      </c>
      <c r="AE263" s="16">
        <f t="shared" ca="1" si="1135"/>
        <v>1.0084918563320979</v>
      </c>
      <c r="AF263" s="16">
        <f t="shared" ca="1" si="1135"/>
        <v>1.0413039409745655</v>
      </c>
      <c r="AG263" s="16">
        <f t="shared" ca="1" si="1135"/>
        <v>1.0723995480223443</v>
      </c>
      <c r="AH263" s="16">
        <f t="shared" ca="1" si="1135"/>
        <v>1.1028018923900502</v>
      </c>
      <c r="AI263" s="16">
        <f t="shared" ca="1" si="1135"/>
        <v>1.1344234049611823</v>
      </c>
      <c r="AJ263" s="16">
        <f t="shared" ca="1" si="1135"/>
        <v>1.1660520694451117</v>
      </c>
      <c r="AK263" s="16">
        <f t="shared" ca="1" si="1135"/>
        <v>1.1987149050703494</v>
      </c>
      <c r="AL263" s="16">
        <f t="shared" ca="1" si="1135"/>
        <v>1.2324630656836031</v>
      </c>
      <c r="AM263" s="16">
        <f t="shared" ca="1" si="1135"/>
        <v>1.2673847520692156</v>
      </c>
      <c r="AN263" s="16">
        <f t="shared" ca="1" si="1135"/>
        <v>1.3043740455355544</v>
      </c>
      <c r="AO263" s="16">
        <f t="shared" ca="1" si="1135"/>
        <v>1.3426375839209779</v>
      </c>
      <c r="AP263" s="16">
        <f t="shared" ca="1" si="1135"/>
        <v>1.3828844100995616</v>
      </c>
      <c r="AQ263" s="16">
        <f t="shared" ca="1" si="1135"/>
        <v>1.4245124918989898</v>
      </c>
      <c r="AR263" s="16">
        <f t="shared" ca="1" si="1135"/>
        <v>1.4684772750399813</v>
      </c>
      <c r="AS263" s="16">
        <f t="shared" ca="1" si="1135"/>
        <v>1.5137868197959896</v>
      </c>
      <c r="AT263" s="16">
        <f t="shared" ca="1" si="1135"/>
        <v>1.5616808978322398</v>
      </c>
      <c r="AU263" s="16">
        <f t="shared" ca="1" si="1135"/>
        <v>1.6106869487446307</v>
      </c>
      <c r="AV263" s="16">
        <f t="shared" ca="1" si="1135"/>
        <v>1.6617083166967896</v>
      </c>
      <c r="AW263" s="16">
        <f t="shared" ca="1" si="1135"/>
        <v>1.7182568717170192</v>
      </c>
      <c r="AX263" s="16">
        <f t="shared" ca="1" si="1135"/>
        <v>1.7767093842847701</v>
      </c>
    </row>
    <row r="264" spans="1:50" x14ac:dyDescent="0.25">
      <c r="A264" s="11" t="s">
        <v>889</v>
      </c>
      <c r="D264" s="35">
        <f t="shared" ref="D264:AX264" si="1136">D$403</f>
        <v>0.56299999999999994</v>
      </c>
      <c r="E264" s="35">
        <f t="shared" si="1136"/>
        <v>0.50600000000000001</v>
      </c>
      <c r="F264" s="35">
        <f t="shared" si="1136"/>
        <v>0.46899999999999997</v>
      </c>
      <c r="G264" s="35">
        <f t="shared" si="1136"/>
        <v>0.48899999999999999</v>
      </c>
      <c r="H264" s="35">
        <f t="shared" si="1136"/>
        <v>0.55100000000000005</v>
      </c>
      <c r="I264" s="35">
        <f t="shared" si="1136"/>
        <v>0.54400000000000004</v>
      </c>
      <c r="J264" s="17">
        <f t="shared" si="1136"/>
        <v>0.56000000000000005</v>
      </c>
      <c r="K264" s="17">
        <f t="shared" si="1136"/>
        <v>0.63600000000000001</v>
      </c>
      <c r="L264" s="17">
        <f t="shared" si="1136"/>
        <v>0.628</v>
      </c>
      <c r="M264" s="17">
        <f t="shared" si="1136"/>
        <v>0.627</v>
      </c>
      <c r="N264" s="17">
        <f t="shared" si="1136"/>
        <v>0.65300000000000002</v>
      </c>
      <c r="O264" s="16">
        <f t="shared" si="1136"/>
        <v>0.59908734355342375</v>
      </c>
      <c r="P264" s="16">
        <f t="shared" si="1136"/>
        <v>0.61319598051257074</v>
      </c>
      <c r="Q264" s="16">
        <f t="shared" si="1136"/>
        <v>0.62974995353311924</v>
      </c>
      <c r="R264" s="16">
        <f t="shared" si="1136"/>
        <v>0.64518792892745702</v>
      </c>
      <c r="S264" s="16">
        <f t="shared" si="1136"/>
        <v>0.65933015253806015</v>
      </c>
      <c r="T264" s="16">
        <f t="shared" si="1136"/>
        <v>0.67239862514432691</v>
      </c>
      <c r="U264" s="16">
        <f t="shared" si="1136"/>
        <v>0.68465828502678294</v>
      </c>
      <c r="V264" s="16">
        <f t="shared" si="1136"/>
        <v>0.69703452915375852</v>
      </c>
      <c r="W264" s="16">
        <f t="shared" si="1136"/>
        <v>0.70932870854437469</v>
      </c>
      <c r="X264" s="16">
        <f t="shared" si="1136"/>
        <v>0.72222633104253953</v>
      </c>
      <c r="Y264" s="16">
        <f t="shared" si="1136"/>
        <v>0.73537089628857999</v>
      </c>
      <c r="Z264" s="16">
        <f t="shared" si="1136"/>
        <v>0.74873042354600106</v>
      </c>
      <c r="AA264" s="16">
        <f t="shared" si="1136"/>
        <v>0.76251391930167212</v>
      </c>
      <c r="AB264" s="16">
        <f t="shared" si="1136"/>
        <v>0.77710090552342614</v>
      </c>
      <c r="AC264" s="16">
        <f t="shared" si="1136"/>
        <v>0.79202526932763051</v>
      </c>
      <c r="AD264" s="16">
        <f t="shared" si="1136"/>
        <v>0.80729501624665856</v>
      </c>
      <c r="AE264" s="16">
        <f t="shared" si="1136"/>
        <v>0.82271662995191253</v>
      </c>
      <c r="AF264" s="16">
        <f t="shared" si="1136"/>
        <v>0.83776008887002451</v>
      </c>
      <c r="AG264" s="16">
        <f t="shared" si="1136"/>
        <v>0.85207669186267154</v>
      </c>
      <c r="AH264" s="16">
        <f t="shared" si="1136"/>
        <v>0.86568408036178868</v>
      </c>
      <c r="AI264" s="16">
        <f t="shared" si="1136"/>
        <v>0.87822136009323659</v>
      </c>
      <c r="AJ264" s="16">
        <f t="shared" si="1136"/>
        <v>0.88936364545335045</v>
      </c>
      <c r="AK264" s="16">
        <f t="shared" si="1136"/>
        <v>0.89900506542196523</v>
      </c>
      <c r="AL264" s="16">
        <f t="shared" si="1136"/>
        <v>0.90701022295504352</v>
      </c>
      <c r="AM264" s="16">
        <f t="shared" si="1136"/>
        <v>0.91317314059713262</v>
      </c>
      <c r="AN264" s="16">
        <f t="shared" si="1136"/>
        <v>1.0292723399477397</v>
      </c>
      <c r="AO264" s="16">
        <f t="shared" si="1136"/>
        <v>1.0815596066337083</v>
      </c>
      <c r="AP264" s="16">
        <f t="shared" si="1136"/>
        <v>1.0909969742093337</v>
      </c>
      <c r="AQ264" s="16">
        <f t="shared" si="1136"/>
        <v>1.1017058892821119</v>
      </c>
      <c r="AR264" s="16">
        <f t="shared" si="1136"/>
        <v>1.113789524240977</v>
      </c>
      <c r="AS264" s="16">
        <f t="shared" si="1136"/>
        <v>1.127449946599218</v>
      </c>
      <c r="AT264" s="16">
        <f t="shared" si="1136"/>
        <v>1.143336070787913</v>
      </c>
      <c r="AU264" s="16">
        <f t="shared" si="1136"/>
        <v>1.1615898641842208</v>
      </c>
      <c r="AV264" s="16">
        <f t="shared" si="1136"/>
        <v>1.1825585395371088</v>
      </c>
      <c r="AW264" s="16">
        <f t="shared" si="1136"/>
        <v>1.2064738793150762</v>
      </c>
      <c r="AX264" s="16">
        <f t="shared" si="1136"/>
        <v>1.2325463697940795</v>
      </c>
    </row>
    <row r="265" spans="1:50" x14ac:dyDescent="0.25">
      <c r="A265" s="11" t="s">
        <v>1133</v>
      </c>
      <c r="B265" s="10" t="str">
        <f>$B$38</f>
        <v>From Fiscal Forecasts</v>
      </c>
      <c r="C265" s="63" cm="1">
        <f t="array" aca="1" ref="C265" ca="1">SUMPRODUCT(OFFSET($N$265,0,0,1,-OFFSET(Assumptions!$B$39,0,$C$1))/OFFSET($N$13,0,0,1,-OFFSET(Assumptions!$B$39,0,$C$1)))/OFFSET(Assumptions!$B$39,0,$C$1)</f>
        <v>6.2212716367126778E-3</v>
      </c>
      <c r="D265" s="35">
        <f>'Fiscal Forecasts'!D$414</f>
        <v>1.462</v>
      </c>
      <c r="E265" s="35">
        <f>'Fiscal Forecasts'!E$414</f>
        <v>1.5860000000000001</v>
      </c>
      <c r="F265" s="35">
        <f>'Fiscal Forecasts'!F$414</f>
        <v>2.1579999999999999</v>
      </c>
      <c r="G265" s="35">
        <f>'Fiscal Forecasts'!G$414</f>
        <v>2.4940000000000002</v>
      </c>
      <c r="H265" s="35">
        <f>'Fiscal Forecasts'!H$414</f>
        <v>2.7690000000000001</v>
      </c>
      <c r="I265" s="35">
        <f>'Fiscal Forecasts'!I$414</f>
        <v>2.758</v>
      </c>
      <c r="J265" s="17">
        <f>'Fiscal Forecasts'!J$414+Allocation!C$30</f>
        <v>2.7749999999999999</v>
      </c>
      <c r="K265" s="17">
        <f>'Fiscal Forecasts'!K$414+Allocation!D$30</f>
        <v>2.8492109999999999</v>
      </c>
      <c r="L265" s="17">
        <f>'Fiscal Forecasts'!L$414+Allocation!E$30</f>
        <v>2.9467638250000001</v>
      </c>
      <c r="M265" s="17">
        <f>'Fiscal Forecasts'!M$414+Allocation!F$30</f>
        <v>2.9999900749999999</v>
      </c>
      <c r="N265" s="17">
        <f>'Fiscal Forecasts'!N$414+Allocation!G$30</f>
        <v>3.0852230249999995</v>
      </c>
      <c r="O265" s="16">
        <f ca="1">(N$265/N$13+MIN(ABS($C$265-N$265/N$13),OFFSET(Assumptions!$B$40,0,$C$1))*SIGN($C$265-N$265/N$13))*O$13</f>
        <v>3.4069894638109415</v>
      </c>
      <c r="P265" s="16">
        <f ca="1">(O$265/O$13+MIN(ABS($C$265-O$265/O$13),OFFSET(Assumptions!$B$40,0,$C$1))*SIGN($C$265-O$265/O$13))*P$13</f>
        <v>3.5575624942012634</v>
      </c>
      <c r="Q265" s="16">
        <f ca="1">(P$265/P$13+MIN(ABS($C$265-P$265/P$13),OFFSET(Assumptions!$B$40,0,$C$1))*SIGN($C$265-P$265/P$13))*Q$13</f>
        <v>3.7086369474222343</v>
      </c>
      <c r="R265" s="16">
        <f ca="1">(Q$265/Q$13+MIN(ABS($C$265-Q$265/Q$13),OFFSET(Assumptions!$B$40,0,$C$1))*SIGN($C$265-Q$265/Q$13))*R$13</f>
        <v>3.8597016453470525</v>
      </c>
      <c r="S265" s="16">
        <f ca="1">(R$265/R$13+MIN(ABS($C$265-R$265/R$13),OFFSET(Assumptions!$B$40,0,$C$1))*SIGN($C$265-R$265/R$13))*S$13</f>
        <v>4.0155968347737163</v>
      </c>
      <c r="T265" s="16">
        <f ca="1">(S$265/S$13+MIN(ABS($C$265-S$265/S$13),OFFSET(Assumptions!$B$40,0,$C$1))*SIGN($C$265-S$265/S$13))*T$13</f>
        <v>4.1762465429933098</v>
      </c>
      <c r="U265" s="16">
        <f ca="1">(T$265/T$13+MIN(ABS($C$265-T$265/T$13),OFFSET(Assumptions!$B$40,0,$C$1))*SIGN($C$265-T$265/T$13))*U$13</f>
        <v>4.3422976272080662</v>
      </c>
      <c r="V265" s="16">
        <f ca="1">(U$265/U$13+MIN(ABS($C$265-U$265/U$13),OFFSET(Assumptions!$B$40,0,$C$1))*SIGN($C$265-U$265/U$13))*V$13</f>
        <v>4.5137964351697617</v>
      </c>
      <c r="W265" s="16">
        <f ca="1">(V$265/V$13+MIN(ABS($C$265-V$265/V$13),OFFSET(Assumptions!$B$40,0,$C$1))*SIGN($C$265-V$265/V$13))*W$13</f>
        <v>4.6898490689683676</v>
      </c>
      <c r="X265" s="16">
        <f ca="1">(W$265/W$13+MIN(ABS($C$265-W$265/W$13),OFFSET(Assumptions!$B$40,0,$C$1))*SIGN($C$265-W$265/W$13))*X$13</f>
        <v>4.870740737883172</v>
      </c>
      <c r="Y265" s="16">
        <f ca="1">(X$265/X$13+MIN(ABS($C$265-X$265/X$13),OFFSET(Assumptions!$B$40,0,$C$1))*SIGN($C$265-X$265/X$13))*Y$13</f>
        <v>5.0574188928965942</v>
      </c>
      <c r="Z265" s="16">
        <f ca="1">(Y$265/Y$13+MIN(ABS($C$265-Y$265/Y$13),OFFSET(Assumptions!$B$40,0,$C$1))*SIGN($C$265-Y$265/Y$13))*Z$13</f>
        <v>5.2499157118818935</v>
      </c>
      <c r="AA265" s="16">
        <f ca="1">(Z$265/Z$13+MIN(ABS($C$265-Z$265/Z$13),OFFSET(Assumptions!$B$40,0,$C$1))*SIGN($C$265-Z$265/Z$13))*AA$13</f>
        <v>5.4490185114670453</v>
      </c>
      <c r="AB265" s="16">
        <f ca="1">(AA$265/AA$13+MIN(ABS($C$265-AA$265/AA$13),OFFSET(Assumptions!$B$40,0,$C$1))*SIGN($C$265-AA$265/AA$13))*AB$13</f>
        <v>5.6545160070518756</v>
      </c>
      <c r="AC265" s="16">
        <f ca="1">(AB$265/AB$13+MIN(ABS($C$265-AB$265/AB$13),OFFSET(Assumptions!$B$40,0,$C$1))*SIGN($C$265-AB$265/AB$13))*AC$13</f>
        <v>5.8664029137353335</v>
      </c>
      <c r="AD265" s="16">
        <f ca="1">(AC$265/AC$13+MIN(ABS($C$265-AC$265/AC$13),OFFSET(Assumptions!$B$40,0,$C$1))*SIGN($C$265-AC$265/AC$13))*AD$13</f>
        <v>6.0848310861018655</v>
      </c>
      <c r="AE265" s="16">
        <f ca="1">(AD$265/AD$13+MIN(ABS($C$265-AD$265/AD$13),OFFSET(Assumptions!$B$40,0,$C$1))*SIGN($C$265-AD$265/AD$13))*AE$13</f>
        <v>6.3097409375133235</v>
      </c>
      <c r="AF265" s="16">
        <f ca="1">(AE$265/AE$13+MIN(ABS($C$265-AE$265/AE$13),OFFSET(Assumptions!$B$40,0,$C$1))*SIGN($C$265-AE$265/AE$13))*AF$13</f>
        <v>6.5411852155918684</v>
      </c>
      <c r="AG265" s="16">
        <f ca="1">(AF$265/AF$13+MIN(ABS($C$265-AF$265/AF$13),OFFSET(Assumptions!$B$40,0,$C$1))*SIGN($C$265-AF$265/AF$13))*AG$13</f>
        <v>6.779188858291989</v>
      </c>
      <c r="AH265" s="16">
        <f ca="1">(AG$265/AG$13+MIN(ABS($C$265-AG$265/AG$13),OFFSET(Assumptions!$B$40,0,$C$1))*SIGN($C$265-AG$265/AG$13))*AH$13</f>
        <v>7.0236396413773869</v>
      </c>
      <c r="AI265" s="16">
        <f ca="1">(AH$265/AH$13+MIN(ABS($C$265-AH$265/AH$13),OFFSET(Assumptions!$B$40,0,$C$1))*SIGN($C$265-AH$265/AH$13))*AI$13</f>
        <v>7.2747693312812576</v>
      </c>
      <c r="AJ265" s="16">
        <f ca="1">(AI$265/AI$13+MIN(ABS($C$265-AI$265/AI$13),OFFSET(Assumptions!$B$40,0,$C$1))*SIGN($C$265-AI$265/AI$13))*AJ$13</f>
        <v>7.532874227358497</v>
      </c>
      <c r="AK265" s="16">
        <f ca="1">(AJ$265/AJ$13+MIN(ABS($C$265-AJ$265/AJ$13),OFFSET(Assumptions!$B$40,0,$C$1))*SIGN($C$265-AJ$265/AJ$13))*AK$13</f>
        <v>7.7976117007083472</v>
      </c>
      <c r="AL265" s="16">
        <f ca="1">(AK$265/AK$13+MIN(ABS($C$265-AK$265/AK$13),OFFSET(Assumptions!$B$40,0,$C$1))*SIGN($C$265-AK$265/AK$13))*AL$13</f>
        <v>8.0693449131553692</v>
      </c>
      <c r="AM265" s="16">
        <f ca="1">(AL$265/AL$13+MIN(ABS($C$265-AL$265/AL$13),OFFSET(Assumptions!$B$40,0,$C$1))*SIGN($C$265-AL$265/AL$13))*AM$13</f>
        <v>8.3484669795992605</v>
      </c>
      <c r="AN265" s="16">
        <f ca="1">(AM$265/AM$13+MIN(ABS($C$265-AM$265/AM$13),OFFSET(Assumptions!$B$40,0,$C$1))*SIGN($C$265-AM$265/AM$13))*AN$13</f>
        <v>8.6352952890452475</v>
      </c>
      <c r="AO265" s="16">
        <f ca="1">(AN$265/AN$13+MIN(ABS($C$265-AN$265/AN$13),OFFSET(Assumptions!$B$40,0,$C$1))*SIGN($C$265-AN$265/AN$13))*AO$13</f>
        <v>8.9299490833214392</v>
      </c>
      <c r="AP265" s="16">
        <f ca="1">(AO$265/AO$13+MIN(ABS($C$265-AO$265/AO$13),OFFSET(Assumptions!$B$40,0,$C$1))*SIGN($C$265-AO$265/AO$13))*AP$13</f>
        <v>9.2333348628665739</v>
      </c>
      <c r="AQ265" s="16">
        <f ca="1">(AP$265/AP$13+MIN(ABS($C$265-AP$265/AP$13),OFFSET(Assumptions!$B$40,0,$C$1))*SIGN($C$265-AP$265/AP$13))*AQ$13</f>
        <v>9.5457490502404632</v>
      </c>
      <c r="AR265" s="16">
        <f ca="1">(AQ$265/AQ$13+MIN(ABS($C$265-AQ$265/AQ$13),OFFSET(Assumptions!$B$40,0,$C$1))*SIGN($C$265-AQ$265/AQ$13))*AR$13</f>
        <v>9.8680069530133121</v>
      </c>
      <c r="AS265" s="16">
        <f ca="1">(AR$265/AR$13+MIN(ABS($C$265-AR$265/AR$13),OFFSET(Assumptions!$B$40,0,$C$1))*SIGN($C$265-AR$265/AR$13))*AS$13</f>
        <v>10.200349566118929</v>
      </c>
      <c r="AT265" s="16">
        <f ca="1">(AS$265/AS$13+MIN(ABS($C$265-AS$265/AS$13),OFFSET(Assumptions!$B$40,0,$C$1))*SIGN($C$265-AS$265/AS$13))*AT$13</f>
        <v>10.543811064827995</v>
      </c>
      <c r="AU265" s="16">
        <f ca="1">(AT$265/AT$13+MIN(ABS($C$265-AT$265/AT$13),OFFSET(Assumptions!$B$40,0,$C$1))*SIGN($C$265-AT$265/AT$13))*AU$13</f>
        <v>10.898242958968495</v>
      </c>
      <c r="AV265" s="16">
        <f ca="1">(AU$265/AU$13+MIN(ABS($C$265-AU$265/AU$13),OFFSET(Assumptions!$B$40,0,$C$1))*SIGN($C$265-AU$265/AU$13))*AV$13</f>
        <v>11.264650091492692</v>
      </c>
      <c r="AW265" s="16">
        <f ca="1">(AV$265/AV$13+MIN(ABS($C$265-AV$265/AV$13),OFFSET(Assumptions!$B$40,0,$C$1))*SIGN($C$265-AV$265/AV$13))*AW$13</f>
        <v>11.643355399163456</v>
      </c>
      <c r="AX265" s="16">
        <f ca="1">(AW$265/AW$13+MIN(ABS($C$265-AW$265/AW$13),OFFSET(Assumptions!$B$40,0,$C$1))*SIGN($C$265-AW$265/AW$13))*AX$13</f>
        <v>12.034201528947678</v>
      </c>
    </row>
    <row r="266" spans="1:50" x14ac:dyDescent="0.25">
      <c r="A266" s="9" t="s">
        <v>890</v>
      </c>
      <c r="D266" s="64">
        <f t="shared" ref="D266:AX266" si="1137">SUM(D$259:D$265)</f>
        <v>14.292999999999999</v>
      </c>
      <c r="E266" s="64">
        <f t="shared" si="1137"/>
        <v>16.321999999999999</v>
      </c>
      <c r="F266" s="64">
        <f t="shared" si="1137"/>
        <v>16.039000000000001</v>
      </c>
      <c r="G266" s="64">
        <f t="shared" si="1137"/>
        <v>18.023</v>
      </c>
      <c r="H266" s="64">
        <f t="shared" si="1137"/>
        <v>18.402999999999999</v>
      </c>
      <c r="I266" s="64">
        <f t="shared" si="1137"/>
        <v>20.222999999999999</v>
      </c>
      <c r="J266" s="65">
        <f t="shared" si="1137"/>
        <v>20.921999999999997</v>
      </c>
      <c r="K266" s="65">
        <f t="shared" si="1137"/>
        <v>21.892600000000002</v>
      </c>
      <c r="L266" s="65">
        <f t="shared" si="1137"/>
        <v>22.422695000000001</v>
      </c>
      <c r="M266" s="65">
        <f t="shared" si="1137"/>
        <v>22.897445000000001</v>
      </c>
      <c r="N266" s="65">
        <f t="shared" si="1137"/>
        <v>23.561614999999996</v>
      </c>
      <c r="O266" s="66">
        <f t="shared" ca="1" si="1137"/>
        <v>24.522994343306486</v>
      </c>
      <c r="P266" s="66">
        <f t="shared" ca="1" si="1137"/>
        <v>25.392960637986061</v>
      </c>
      <c r="Q266" s="66">
        <f t="shared" ca="1" si="1137"/>
        <v>26.271301134158506</v>
      </c>
      <c r="R266" s="66">
        <f t="shared" ca="1" si="1137"/>
        <v>27.157246664719992</v>
      </c>
      <c r="S266" s="66">
        <f t="shared" ca="1" si="1137"/>
        <v>28.082886486938509</v>
      </c>
      <c r="T266" s="66">
        <f t="shared" ca="1" si="1137"/>
        <v>29.032250173543382</v>
      </c>
      <c r="U266" s="66">
        <f t="shared" ca="1" si="1137"/>
        <v>30.011232242952843</v>
      </c>
      <c r="V266" s="66">
        <f t="shared" ca="1" si="1137"/>
        <v>31.010482722896224</v>
      </c>
      <c r="W266" s="66">
        <f t="shared" ca="1" si="1137"/>
        <v>32.052729534216439</v>
      </c>
      <c r="X266" s="66">
        <f t="shared" ca="1" si="1137"/>
        <v>33.152950829238257</v>
      </c>
      <c r="Y266" s="66">
        <f t="shared" ca="1" si="1137"/>
        <v>34.314169286045811</v>
      </c>
      <c r="Z266" s="66">
        <f t="shared" ca="1" si="1137"/>
        <v>35.549197406678019</v>
      </c>
      <c r="AA266" s="66">
        <f t="shared" ca="1" si="1137"/>
        <v>36.839916530555001</v>
      </c>
      <c r="AB266" s="66">
        <f t="shared" ca="1" si="1137"/>
        <v>38.191941260913126</v>
      </c>
      <c r="AC266" s="66">
        <f t="shared" ca="1" si="1137"/>
        <v>39.589727638228226</v>
      </c>
      <c r="AD266" s="66">
        <f t="shared" ca="1" si="1137"/>
        <v>41.03797531329711</v>
      </c>
      <c r="AE266" s="66">
        <f t="shared" ca="1" si="1137"/>
        <v>42.531633886396122</v>
      </c>
      <c r="AF266" s="66">
        <f t="shared" ca="1" si="1137"/>
        <v>44.078773656105895</v>
      </c>
      <c r="AG266" s="66">
        <f t="shared" ca="1" si="1137"/>
        <v>45.711124621288157</v>
      </c>
      <c r="AH266" s="66">
        <f t="shared" ca="1" si="1137"/>
        <v>47.403223981222183</v>
      </c>
      <c r="AI266" s="66">
        <f t="shared" ca="1" si="1137"/>
        <v>49.145593955658761</v>
      </c>
      <c r="AJ266" s="66">
        <f t="shared" ca="1" si="1137"/>
        <v>50.94770202604635</v>
      </c>
      <c r="AK266" s="66">
        <f t="shared" ca="1" si="1137"/>
        <v>52.81112723623793</v>
      </c>
      <c r="AL266" s="66">
        <f t="shared" ca="1" si="1137"/>
        <v>54.736900602609097</v>
      </c>
      <c r="AM266" s="66">
        <f t="shared" ca="1" si="1137"/>
        <v>56.72785770824288</v>
      </c>
      <c r="AN266" s="66">
        <f t="shared" ca="1" si="1137"/>
        <v>58.888795499766069</v>
      </c>
      <c r="AO266" s="66">
        <f t="shared" ca="1" si="1137"/>
        <v>61.05359540153119</v>
      </c>
      <c r="AP266" s="66">
        <f t="shared" ca="1" si="1137"/>
        <v>63.242292189808907</v>
      </c>
      <c r="AQ266" s="66">
        <f t="shared" ca="1" si="1137"/>
        <v>65.500376099904713</v>
      </c>
      <c r="AR266" s="66">
        <f t="shared" ca="1" si="1137"/>
        <v>67.827266332214919</v>
      </c>
      <c r="AS266" s="66">
        <f t="shared" ca="1" si="1137"/>
        <v>70.224654324766306</v>
      </c>
      <c r="AT266" s="66">
        <f t="shared" ca="1" si="1137"/>
        <v>72.696931756704288</v>
      </c>
      <c r="AU266" s="66">
        <f t="shared" ca="1" si="1137"/>
        <v>75.240875695978303</v>
      </c>
      <c r="AV266" s="66">
        <f t="shared" ca="1" si="1137"/>
        <v>77.872385889001009</v>
      </c>
      <c r="AW266" s="66">
        <f t="shared" ca="1" si="1137"/>
        <v>80.598356567717275</v>
      </c>
      <c r="AX266" s="66">
        <f t="shared" ca="1" si="1137"/>
        <v>83.411598366039229</v>
      </c>
    </row>
    <row r="267" spans="1:50" x14ac:dyDescent="0.25">
      <c r="A267" s="11" t="s">
        <v>630</v>
      </c>
      <c r="B267" s="10" t="str">
        <f>$B$38</f>
        <v>From Fiscal Forecasts</v>
      </c>
      <c r="D267" s="35">
        <f>'Fiscal Forecasts'!D$208</f>
        <v>11.428000000000001</v>
      </c>
      <c r="E267" s="35">
        <f>'Fiscal Forecasts'!E$208</f>
        <v>13.705</v>
      </c>
      <c r="F267" s="35">
        <f>'Fiscal Forecasts'!F$208</f>
        <v>12.840999999999999</v>
      </c>
      <c r="G267" s="35">
        <f>'Fiscal Forecasts'!G$208</f>
        <v>13.805</v>
      </c>
      <c r="H267" s="35">
        <f>'Fiscal Forecasts'!H$208</f>
        <v>14.166</v>
      </c>
      <c r="I267" s="35">
        <f>'Fiscal Forecasts'!I$208</f>
        <v>15.346</v>
      </c>
      <c r="J267" s="17">
        <f>'Fiscal Forecasts'!J$208</f>
        <v>16.146999999999998</v>
      </c>
      <c r="K267" s="17">
        <f>'Fiscal Forecasts'!K$208</f>
        <v>16.46</v>
      </c>
      <c r="L267" s="17">
        <f>'Fiscal Forecasts'!L$208</f>
        <v>16.408999999999999</v>
      </c>
      <c r="M267" s="17">
        <f>'Fiscal Forecasts'!M$208</f>
        <v>16.244</v>
      </c>
      <c r="N267" s="17">
        <f>'Fiscal Forecasts'!N$208</f>
        <v>16.202999999999999</v>
      </c>
      <c r="O267" s="16">
        <f ca="1">N$267+SUM(O$259:O$262,O$265)-SUM(N$259:N$262,N$265)</f>
        <v>17.202117812144607</v>
      </c>
      <c r="P267" s="16">
        <f t="shared" ref="P267:AX267" ca="1" si="1138">O$267+SUM(P$259:P$262,P$265)-SUM(O$259:O$262,O$265)</f>
        <v>18.04280839229196</v>
      </c>
      <c r="Q267" s="16">
        <f t="shared" ca="1" si="1138"/>
        <v>18.890226652314244</v>
      </c>
      <c r="R267" s="16">
        <f t="shared" ca="1" si="1138"/>
        <v>19.745881729898318</v>
      </c>
      <c r="S267" s="16">
        <f t="shared" ca="1" si="1138"/>
        <v>20.641865792236288</v>
      </c>
      <c r="T267" s="16">
        <f t="shared" ca="1" si="1138"/>
        <v>21.561162531157983</v>
      </c>
      <c r="U267" s="16">
        <f t="shared" ca="1" si="1138"/>
        <v>22.510479822638359</v>
      </c>
      <c r="V267" s="16">
        <f t="shared" ca="1" si="1138"/>
        <v>23.478665575972055</v>
      </c>
      <c r="W267" s="16">
        <f t="shared" ca="1" si="1138"/>
        <v>24.489143748718998</v>
      </c>
      <c r="X267" s="16">
        <f t="shared" ca="1" si="1138"/>
        <v>25.555893327432607</v>
      </c>
      <c r="Y267" s="16">
        <f t="shared" ca="1" si="1138"/>
        <v>26.674801558369936</v>
      </c>
      <c r="Z267" s="16">
        <f t="shared" ca="1" si="1138"/>
        <v>27.869353890267746</v>
      </c>
      <c r="AA267" s="16">
        <f t="shared" ca="1" si="1138"/>
        <v>29.117860532723235</v>
      </c>
      <c r="AB267" s="16">
        <f t="shared" ca="1" si="1138"/>
        <v>30.424572537344844</v>
      </c>
      <c r="AC267" s="16">
        <f t="shared" ca="1" si="1138"/>
        <v>31.775896368753465</v>
      </c>
      <c r="AD267" s="16">
        <f t="shared" ca="1" si="1138"/>
        <v>33.177150248137089</v>
      </c>
      <c r="AE267" s="16">
        <f t="shared" ca="1" si="1138"/>
        <v>34.622810400112144</v>
      </c>
      <c r="AF267" s="16">
        <f t="shared" ca="1" si="1138"/>
        <v>36.12209462626133</v>
      </c>
      <c r="AG267" s="16">
        <f t="shared" ca="1" si="1138"/>
        <v>37.709033381403167</v>
      </c>
      <c r="AH267" s="16">
        <f t="shared" ca="1" si="1138"/>
        <v>39.357123008470367</v>
      </c>
      <c r="AI267" s="16">
        <f t="shared" ca="1" si="1138"/>
        <v>41.05533419060437</v>
      </c>
      <c r="AJ267" s="16">
        <f t="shared" ca="1" si="1138"/>
        <v>42.814671311147912</v>
      </c>
      <c r="AK267" s="16">
        <f t="shared" ca="1" si="1138"/>
        <v>44.63579226574565</v>
      </c>
      <c r="AL267" s="16">
        <f t="shared" ca="1" si="1138"/>
        <v>46.519812313970476</v>
      </c>
      <c r="AM267" s="16">
        <f t="shared" ca="1" si="1138"/>
        <v>48.469684815576564</v>
      </c>
      <c r="AN267" s="16">
        <f t="shared" ca="1" si="1138"/>
        <v>50.477534114282804</v>
      </c>
      <c r="AO267" s="16">
        <f t="shared" ca="1" si="1138"/>
        <v>52.551783210976531</v>
      </c>
      <c r="AP267" s="16">
        <f t="shared" ca="1" si="1138"/>
        <v>54.690795805500031</v>
      </c>
      <c r="AQ267" s="16">
        <f t="shared" ca="1" si="1138"/>
        <v>56.896542718723637</v>
      </c>
      <c r="AR267" s="16">
        <f t="shared" ca="1" si="1138"/>
        <v>59.16738453293398</v>
      </c>
      <c r="AS267" s="16">
        <f t="shared" ca="1" si="1138"/>
        <v>61.505802558371116</v>
      </c>
      <c r="AT267" s="16">
        <f t="shared" ca="1" si="1138"/>
        <v>63.914299788084165</v>
      </c>
      <c r="AU267" s="16">
        <f t="shared" ca="1" si="1138"/>
        <v>66.390983883049458</v>
      </c>
      <c r="AV267" s="16">
        <f t="shared" ca="1" si="1138"/>
        <v>68.9505040327671</v>
      </c>
      <c r="AW267" s="16">
        <f t="shared" ca="1" si="1138"/>
        <v>71.59601081668518</v>
      </c>
      <c r="AX267" s="16">
        <f t="shared" ca="1" si="1138"/>
        <v>74.324727611960355</v>
      </c>
    </row>
    <row r="268" spans="1:50" x14ac:dyDescent="0.25">
      <c r="A268" s="11" t="s">
        <v>787</v>
      </c>
      <c r="B268" s="10" t="str">
        <f>$B$38</f>
        <v>From Fiscal Forecasts</v>
      </c>
      <c r="D268" s="35">
        <f>'Fiscal Forecasts'!D$42-SUM(D$266:D$267)</f>
        <v>-10.441000000000001</v>
      </c>
      <c r="E268" s="35">
        <f>'Fiscal Forecasts'!E$42-SUM(E$266:E$267)</f>
        <v>-12.446000000000002</v>
      </c>
      <c r="F268" s="35">
        <f>'Fiscal Forecasts'!F$42-SUM(F$266:F$267)</f>
        <v>-11.496000000000002</v>
      </c>
      <c r="G268" s="35">
        <f>'Fiscal Forecasts'!G$42-SUM(G$266:G$267)</f>
        <v>-12.916999999999998</v>
      </c>
      <c r="H268" s="35">
        <f>'Fiscal Forecasts'!H$42-SUM(H$266:H$267)</f>
        <v>-12.96</v>
      </c>
      <c r="I268" s="35">
        <f>'Fiscal Forecasts'!I$42-SUM(I$266:I$267)</f>
        <v>-14.383000000000003</v>
      </c>
      <c r="J268" s="17">
        <f>'Fiscal Forecasts'!J$42-SUM(J$266:J$267)+Allocation!C$14</f>
        <v>-14.744999999999994</v>
      </c>
      <c r="K268" s="17">
        <f>'Fiscal Forecasts'!K$42-SUM(K$266:K$267)+Allocation!D$14</f>
        <v>-14.965000000000002</v>
      </c>
      <c r="L268" s="17">
        <f>'Fiscal Forecasts'!L$42-SUM(L$266:L$267)+Allocation!E$14</f>
        <v>-14.852999999999996</v>
      </c>
      <c r="M268" s="17">
        <f>'Fiscal Forecasts'!M$42-SUM(M$266:M$267)+Allocation!F$14</f>
        <v>-14.612000000000005</v>
      </c>
      <c r="N268" s="17">
        <f>'Fiscal Forecasts'!N$42-SUM(N$266:N$267)+Allocation!G$14</f>
        <v>-14.51799999999999</v>
      </c>
      <c r="O268" s="16">
        <f ca="1">N$268-(SUM(O$259:O$262,O$265)-SUM(N$259:N$262,N$265))</f>
        <v>-15.517117812144594</v>
      </c>
      <c r="P268" s="16">
        <f t="shared" ref="P268:AX268" ca="1" si="1139">O$268-(SUM(P$259:P$262,P$265)-SUM(O$259:O$262,O$265))</f>
        <v>-16.357808392291943</v>
      </c>
      <c r="Q268" s="16">
        <f t="shared" ca="1" si="1139"/>
        <v>-17.205226652314224</v>
      </c>
      <c r="R268" s="16">
        <f t="shared" ca="1" si="1139"/>
        <v>-18.060881729898302</v>
      </c>
      <c r="S268" s="16">
        <f t="shared" ca="1" si="1139"/>
        <v>-18.956865792236268</v>
      </c>
      <c r="T268" s="16">
        <f t="shared" ca="1" si="1139"/>
        <v>-19.876162531157963</v>
      </c>
      <c r="U268" s="16">
        <f t="shared" ca="1" si="1139"/>
        <v>-20.825479822638336</v>
      </c>
      <c r="V268" s="16">
        <f t="shared" ca="1" si="1139"/>
        <v>-21.793665575972035</v>
      </c>
      <c r="W268" s="16">
        <f t="shared" ca="1" si="1139"/>
        <v>-22.804143748718982</v>
      </c>
      <c r="X268" s="16">
        <f t="shared" ca="1" si="1139"/>
        <v>-23.870893327432587</v>
      </c>
      <c r="Y268" s="16">
        <f t="shared" ca="1" si="1139"/>
        <v>-24.989801558369916</v>
      </c>
      <c r="Z268" s="16">
        <f t="shared" ca="1" si="1139"/>
        <v>-26.184353890267726</v>
      </c>
      <c r="AA268" s="16">
        <f t="shared" ca="1" si="1139"/>
        <v>-27.432860532723215</v>
      </c>
      <c r="AB268" s="16">
        <f t="shared" ca="1" si="1139"/>
        <v>-28.739572537344817</v>
      </c>
      <c r="AC268" s="16">
        <f t="shared" ca="1" si="1139"/>
        <v>-30.09089636875343</v>
      </c>
      <c r="AD268" s="16">
        <f t="shared" ca="1" si="1139"/>
        <v>-31.492150248137055</v>
      </c>
      <c r="AE268" s="16">
        <f t="shared" ca="1" si="1139"/>
        <v>-32.937810400112099</v>
      </c>
      <c r="AF268" s="16">
        <f t="shared" ca="1" si="1139"/>
        <v>-34.437094626261292</v>
      </c>
      <c r="AG268" s="16">
        <f t="shared" ca="1" si="1139"/>
        <v>-36.024033381403129</v>
      </c>
      <c r="AH268" s="16">
        <f t="shared" ca="1" si="1139"/>
        <v>-37.672123008470336</v>
      </c>
      <c r="AI268" s="16">
        <f t="shared" ca="1" si="1139"/>
        <v>-39.370334190604332</v>
      </c>
      <c r="AJ268" s="16">
        <f t="shared" ca="1" si="1139"/>
        <v>-41.129671311147874</v>
      </c>
      <c r="AK268" s="16">
        <f t="shared" ca="1" si="1139"/>
        <v>-42.950792265745605</v>
      </c>
      <c r="AL268" s="16">
        <f t="shared" ca="1" si="1139"/>
        <v>-44.834812313970438</v>
      </c>
      <c r="AM268" s="16">
        <f t="shared" ca="1" si="1139"/>
        <v>-46.784684815576526</v>
      </c>
      <c r="AN268" s="16">
        <f t="shared" ca="1" si="1139"/>
        <v>-48.792534114282766</v>
      </c>
      <c r="AO268" s="16">
        <f t="shared" ca="1" si="1139"/>
        <v>-50.866783210976493</v>
      </c>
      <c r="AP268" s="16">
        <f t="shared" ca="1" si="1139"/>
        <v>-53.0057958055</v>
      </c>
      <c r="AQ268" s="16">
        <f t="shared" ca="1" si="1139"/>
        <v>-55.211542718723607</v>
      </c>
      <c r="AR268" s="16">
        <f t="shared" ca="1" si="1139"/>
        <v>-57.482384532933949</v>
      </c>
      <c r="AS268" s="16">
        <f t="shared" ca="1" si="1139"/>
        <v>-59.820802558371085</v>
      </c>
      <c r="AT268" s="16">
        <f t="shared" ca="1" si="1139"/>
        <v>-62.229299788084134</v>
      </c>
      <c r="AU268" s="16">
        <f t="shared" ca="1" si="1139"/>
        <v>-64.705983883049441</v>
      </c>
      <c r="AV268" s="16">
        <f t="shared" ca="1" si="1139"/>
        <v>-67.265504032767097</v>
      </c>
      <c r="AW268" s="16">
        <f t="shared" ca="1" si="1139"/>
        <v>-69.911010816685177</v>
      </c>
      <c r="AX268" s="16">
        <f t="shared" ca="1" si="1139"/>
        <v>-72.639727611960367</v>
      </c>
    </row>
    <row r="269" spans="1:50" x14ac:dyDescent="0.25">
      <c r="A269" s="9" t="s">
        <v>891</v>
      </c>
      <c r="D269" s="64">
        <f t="shared" ref="D269:I269" si="1140">SUM(D$266:D$268)</f>
        <v>15.28</v>
      </c>
      <c r="E269" s="64">
        <f t="shared" si="1140"/>
        <v>17.581</v>
      </c>
      <c r="F269" s="64">
        <f t="shared" si="1140"/>
        <v>17.384</v>
      </c>
      <c r="G269" s="64">
        <f t="shared" si="1140"/>
        <v>18.911000000000001</v>
      </c>
      <c r="H269" s="64">
        <f t="shared" si="1140"/>
        <v>19.609000000000002</v>
      </c>
      <c r="I269" s="64">
        <f t="shared" si="1140"/>
        <v>21.186</v>
      </c>
      <c r="J269" s="65">
        <f t="shared" ref="J269:AX269" si="1141">SUM(J$266:J$268)</f>
        <v>22.324000000000002</v>
      </c>
      <c r="K269" s="65">
        <f t="shared" si="1141"/>
        <v>23.387599999999999</v>
      </c>
      <c r="L269" s="65">
        <f t="shared" si="1141"/>
        <v>23.978695000000002</v>
      </c>
      <c r="M269" s="65">
        <f t="shared" si="1141"/>
        <v>24.529444999999999</v>
      </c>
      <c r="N269" s="65">
        <f t="shared" si="1141"/>
        <v>25.246615000000002</v>
      </c>
      <c r="O269" s="66">
        <f t="shared" ca="1" si="1141"/>
        <v>26.207994343306499</v>
      </c>
      <c r="P269" s="66">
        <f t="shared" ca="1" si="1141"/>
        <v>27.077960637986081</v>
      </c>
      <c r="Q269" s="66">
        <f t="shared" ca="1" si="1141"/>
        <v>27.956301134158522</v>
      </c>
      <c r="R269" s="66">
        <f t="shared" ca="1" si="1141"/>
        <v>28.842246664720005</v>
      </c>
      <c r="S269" s="66">
        <f t="shared" ca="1" si="1141"/>
        <v>29.767886486938526</v>
      </c>
      <c r="T269" s="66">
        <f t="shared" ca="1" si="1141"/>
        <v>30.717250173543402</v>
      </c>
      <c r="U269" s="66">
        <f t="shared" ca="1" si="1141"/>
        <v>31.696232242952867</v>
      </c>
      <c r="V269" s="66">
        <f t="shared" ca="1" si="1141"/>
        <v>32.695482722896244</v>
      </c>
      <c r="W269" s="66">
        <f t="shared" ca="1" si="1141"/>
        <v>33.737729534216456</v>
      </c>
      <c r="X269" s="66">
        <f t="shared" ca="1" si="1141"/>
        <v>34.837950829238281</v>
      </c>
      <c r="Y269" s="66">
        <f t="shared" ca="1" si="1141"/>
        <v>35.999169286045827</v>
      </c>
      <c r="Z269" s="66">
        <f t="shared" ca="1" si="1141"/>
        <v>37.234197406678035</v>
      </c>
      <c r="AA269" s="66">
        <f t="shared" ca="1" si="1141"/>
        <v>38.524916530555018</v>
      </c>
      <c r="AB269" s="66">
        <f t="shared" ca="1" si="1141"/>
        <v>39.876941260913156</v>
      </c>
      <c r="AC269" s="66">
        <f t="shared" ca="1" si="1141"/>
        <v>41.274727638228256</v>
      </c>
      <c r="AD269" s="66">
        <f t="shared" ca="1" si="1141"/>
        <v>42.722975313297155</v>
      </c>
      <c r="AE269" s="66">
        <f t="shared" ca="1" si="1141"/>
        <v>44.216633886396167</v>
      </c>
      <c r="AF269" s="66">
        <f t="shared" ca="1" si="1141"/>
        <v>45.763773656105933</v>
      </c>
      <c r="AG269" s="66">
        <f t="shared" ca="1" si="1141"/>
        <v>47.396124621288195</v>
      </c>
      <c r="AH269" s="66">
        <f t="shared" ca="1" si="1141"/>
        <v>49.088223981222214</v>
      </c>
      <c r="AI269" s="66">
        <f t="shared" ca="1" si="1141"/>
        <v>50.830593955658792</v>
      </c>
      <c r="AJ269" s="66">
        <f t="shared" ca="1" si="1141"/>
        <v>52.632702026046388</v>
      </c>
      <c r="AK269" s="66">
        <f t="shared" ca="1" si="1141"/>
        <v>54.496127236237982</v>
      </c>
      <c r="AL269" s="66">
        <f t="shared" ca="1" si="1141"/>
        <v>56.421900602609135</v>
      </c>
      <c r="AM269" s="66">
        <f t="shared" ca="1" si="1141"/>
        <v>58.41285770824291</v>
      </c>
      <c r="AN269" s="66">
        <f t="shared" ca="1" si="1141"/>
        <v>60.573795499766113</v>
      </c>
      <c r="AO269" s="66">
        <f t="shared" ca="1" si="1141"/>
        <v>62.738595401531228</v>
      </c>
      <c r="AP269" s="66">
        <f t="shared" ca="1" si="1141"/>
        <v>64.927292189808938</v>
      </c>
      <c r="AQ269" s="66">
        <f t="shared" ca="1" si="1141"/>
        <v>67.185376099904744</v>
      </c>
      <c r="AR269" s="66">
        <f t="shared" ca="1" si="1141"/>
        <v>69.512266332214949</v>
      </c>
      <c r="AS269" s="66">
        <f t="shared" ca="1" si="1141"/>
        <v>71.90965432476635</v>
      </c>
      <c r="AT269" s="66">
        <f t="shared" ca="1" si="1141"/>
        <v>74.381931756704304</v>
      </c>
      <c r="AU269" s="66">
        <f t="shared" ca="1" si="1141"/>
        <v>76.925875695978334</v>
      </c>
      <c r="AV269" s="66">
        <f t="shared" ca="1" si="1141"/>
        <v>79.557385889001011</v>
      </c>
      <c r="AW269" s="66">
        <f t="shared" ca="1" si="1141"/>
        <v>82.283356567717277</v>
      </c>
      <c r="AX269" s="66">
        <f t="shared" ca="1" si="1141"/>
        <v>85.096598366039203</v>
      </c>
    </row>
    <row r="271" spans="1:50" x14ac:dyDescent="0.25">
      <c r="A271" s="9" t="s">
        <v>892</v>
      </c>
    </row>
    <row r="272" spans="1:50" x14ac:dyDescent="0.25">
      <c r="A272" s="11" t="s">
        <v>893</v>
      </c>
      <c r="D272" s="35">
        <f t="shared" ref="D272:AX272" si="1142">D$378</f>
        <v>0.13</v>
      </c>
      <c r="E272" s="35">
        <f t="shared" si="1142"/>
        <v>0.15</v>
      </c>
      <c r="F272" s="35">
        <f t="shared" si="1142"/>
        <v>0.125</v>
      </c>
      <c r="G272" s="35">
        <f t="shared" si="1142"/>
        <v>-0.51700000000000002</v>
      </c>
      <c r="H272" s="35">
        <f t="shared" si="1142"/>
        <v>1.054</v>
      </c>
      <c r="I272" s="35">
        <f t="shared" si="1142"/>
        <v>0.189</v>
      </c>
      <c r="J272" s="17">
        <f t="shared" si="1142"/>
        <v>0.253</v>
      </c>
      <c r="K272" s="17">
        <f t="shared" si="1142"/>
        <v>0.314</v>
      </c>
      <c r="L272" s="17">
        <f t="shared" si="1142"/>
        <v>0.33600000000000002</v>
      </c>
      <c r="M272" s="17">
        <f t="shared" si="1142"/>
        <v>0.36</v>
      </c>
      <c r="N272" s="17">
        <f t="shared" si="1142"/>
        <v>0.38700000000000001</v>
      </c>
      <c r="O272" s="16">
        <f t="shared" si="1142"/>
        <v>0.40586808623399473</v>
      </c>
      <c r="P272" s="16">
        <f t="shared" si="1142"/>
        <v>0.43211052292566959</v>
      </c>
      <c r="Q272" s="16">
        <f t="shared" si="1142"/>
        <v>0.45969698004200543</v>
      </c>
      <c r="R272" s="16">
        <f t="shared" si="1142"/>
        <v>0.48855322649784494</v>
      </c>
      <c r="S272" s="16">
        <f t="shared" si="1142"/>
        <v>0.51862396631692476</v>
      </c>
      <c r="T272" s="16">
        <f t="shared" si="1142"/>
        <v>0.54997375172341156</v>
      </c>
      <c r="U272" s="16">
        <f t="shared" si="1142"/>
        <v>0.58263299576314753</v>
      </c>
      <c r="V272" s="16">
        <f t="shared" si="1142"/>
        <v>0.61664185847439335</v>
      </c>
      <c r="W272" s="16">
        <f t="shared" si="1142"/>
        <v>0.65228066283552566</v>
      </c>
      <c r="X272" s="16">
        <f t="shared" si="1142"/>
        <v>0.68991166492678913</v>
      </c>
      <c r="Y272" s="16">
        <f t="shared" si="1142"/>
        <v>0.72996620961296754</v>
      </c>
      <c r="Z272" s="16">
        <f t="shared" si="1142"/>
        <v>0.77292284672717804</v>
      </c>
      <c r="AA272" s="16">
        <f t="shared" si="1142"/>
        <v>0.81914046812160268</v>
      </c>
      <c r="AB272" s="16">
        <f t="shared" si="1142"/>
        <v>0.86893218909143166</v>
      </c>
      <c r="AC272" s="16">
        <f t="shared" si="1142"/>
        <v>0.92253195977640035</v>
      </c>
      <c r="AD272" s="16">
        <f t="shared" si="1142"/>
        <v>0.97687550876097051</v>
      </c>
      <c r="AE272" s="16">
        <f t="shared" si="1142"/>
        <v>1.0346374900015003</v>
      </c>
      <c r="AF272" s="16">
        <f t="shared" si="1142"/>
        <v>1.095820667795059</v>
      </c>
      <c r="AG272" s="16">
        <f t="shared" si="1142"/>
        <v>1.160347108024016</v>
      </c>
      <c r="AH272" s="16">
        <f t="shared" si="1142"/>
        <v>1.2281213950507972</v>
      </c>
      <c r="AI272" s="16">
        <f t="shared" si="1142"/>
        <v>1.299071265819596</v>
      </c>
      <c r="AJ272" s="16">
        <f t="shared" si="1142"/>
        <v>1.3730869971447293</v>
      </c>
      <c r="AK272" s="16">
        <f t="shared" si="1142"/>
        <v>1.4498817828801258</v>
      </c>
      <c r="AL272" s="16">
        <f t="shared" si="1142"/>
        <v>1.5289513591877704</v>
      </c>
      <c r="AM272" s="16">
        <f t="shared" si="1142"/>
        <v>1.6098889483957628</v>
      </c>
      <c r="AN272" s="16">
        <f t="shared" si="1142"/>
        <v>1.6922464166350075</v>
      </c>
      <c r="AO272" s="16">
        <f t="shared" si="1142"/>
        <v>1.7755066215360866</v>
      </c>
      <c r="AP272" s="16">
        <f t="shared" si="1142"/>
        <v>1.8594459006795792</v>
      </c>
      <c r="AQ272" s="16">
        <f t="shared" si="1142"/>
        <v>1.9440948901509696</v>
      </c>
      <c r="AR272" s="16">
        <f t="shared" si="1142"/>
        <v>2.0296972058318246</v>
      </c>
      <c r="AS272" s="16">
        <f t="shared" si="1142"/>
        <v>2.1164816248396927</v>
      </c>
      <c r="AT272" s="16">
        <f t="shared" si="1142"/>
        <v>2.2046217857180603</v>
      </c>
      <c r="AU272" s="16">
        <f t="shared" si="1142"/>
        <v>2.2944208435468707</v>
      </c>
      <c r="AV272" s="16">
        <f t="shared" si="1142"/>
        <v>2.3861160458332886</v>
      </c>
      <c r="AW272" s="16">
        <f t="shared" si="1142"/>
        <v>2.4799892767273239</v>
      </c>
      <c r="AX272" s="16">
        <f t="shared" si="1142"/>
        <v>2.5760407715194589</v>
      </c>
    </row>
    <row r="273" spans="1:50" x14ac:dyDescent="0.25">
      <c r="A273" s="11" t="s">
        <v>894</v>
      </c>
      <c r="D273" s="35">
        <f t="shared" ref="D273:AX273" si="1143">D$191</f>
        <v>0.70799999999999996</v>
      </c>
      <c r="E273" s="35">
        <f t="shared" si="1143"/>
        <v>0.73599999999999999</v>
      </c>
      <c r="F273" s="35">
        <f t="shared" si="1143"/>
        <v>0.80400000000000005</v>
      </c>
      <c r="G273" s="35">
        <f t="shared" si="1143"/>
        <v>0.82699999999999996</v>
      </c>
      <c r="H273" s="35">
        <f t="shared" si="1143"/>
        <v>0.97099999999999997</v>
      </c>
      <c r="I273" s="35">
        <f t="shared" si="1143"/>
        <v>1.202</v>
      </c>
      <c r="J273" s="17">
        <f t="shared" si="1143"/>
        <v>1.1160000000000001</v>
      </c>
      <c r="K273" s="17">
        <f t="shared" si="1143"/>
        <v>0.995</v>
      </c>
      <c r="L273" s="17">
        <f t="shared" si="1143"/>
        <v>0.94099999999999995</v>
      </c>
      <c r="M273" s="17">
        <f t="shared" si="1143"/>
        <v>0.94099999999999995</v>
      </c>
      <c r="N273" s="17">
        <f t="shared" si="1143"/>
        <v>0.94099999999999995</v>
      </c>
      <c r="O273" s="16">
        <f t="shared" ca="1" si="1143"/>
        <v>0.95982000000000001</v>
      </c>
      <c r="P273" s="16">
        <f t="shared" ca="1" si="1143"/>
        <v>0.97901640000000001</v>
      </c>
      <c r="Q273" s="16">
        <f t="shared" ca="1" si="1143"/>
        <v>0.99859672799999999</v>
      </c>
      <c r="R273" s="16">
        <f t="shared" ca="1" si="1143"/>
        <v>1.0185686625600001</v>
      </c>
      <c r="S273" s="16">
        <f t="shared" ca="1" si="1143"/>
        <v>1.0389400358112002</v>
      </c>
      <c r="T273" s="16">
        <f t="shared" ca="1" si="1143"/>
        <v>1.0597188365274242</v>
      </c>
      <c r="U273" s="16">
        <f t="shared" ca="1" si="1143"/>
        <v>1.0809132132579726</v>
      </c>
      <c r="V273" s="16">
        <f t="shared" ca="1" si="1143"/>
        <v>1.1025314775231321</v>
      </c>
      <c r="W273" s="16">
        <f t="shared" ca="1" si="1143"/>
        <v>1.1245821070735946</v>
      </c>
      <c r="X273" s="16">
        <f t="shared" ca="1" si="1143"/>
        <v>1.1470737492150664</v>
      </c>
      <c r="Y273" s="16">
        <f t="shared" ca="1" si="1143"/>
        <v>1.1700152241993678</v>
      </c>
      <c r="Z273" s="16">
        <f t="shared" ca="1" si="1143"/>
        <v>1.1934155286833552</v>
      </c>
      <c r="AA273" s="16">
        <f t="shared" ca="1" si="1143"/>
        <v>1.2172838392570224</v>
      </c>
      <c r="AB273" s="16">
        <f t="shared" ca="1" si="1143"/>
        <v>1.2416295160421629</v>
      </c>
      <c r="AC273" s="16">
        <f t="shared" ca="1" si="1143"/>
        <v>1.2664621063630062</v>
      </c>
      <c r="AD273" s="16">
        <f t="shared" ca="1" si="1143"/>
        <v>1.2917913484902663</v>
      </c>
      <c r="AE273" s="16">
        <f t="shared" ca="1" si="1143"/>
        <v>1.3176271754600717</v>
      </c>
      <c r="AF273" s="16">
        <f t="shared" ca="1" si="1143"/>
        <v>1.343979718969273</v>
      </c>
      <c r="AG273" s="16">
        <f t="shared" ca="1" si="1143"/>
        <v>1.3708593133486586</v>
      </c>
      <c r="AH273" s="16">
        <f t="shared" ca="1" si="1143"/>
        <v>1.3982764996156318</v>
      </c>
      <c r="AI273" s="16">
        <f t="shared" ca="1" si="1143"/>
        <v>1.4262420296079446</v>
      </c>
      <c r="AJ273" s="16">
        <f t="shared" ca="1" si="1143"/>
        <v>1.4547668702001035</v>
      </c>
      <c r="AK273" s="16">
        <f t="shared" ca="1" si="1143"/>
        <v>1.4838622076041057</v>
      </c>
      <c r="AL273" s="16">
        <f t="shared" ca="1" si="1143"/>
        <v>1.5135394517561878</v>
      </c>
      <c r="AM273" s="16">
        <f t="shared" ca="1" si="1143"/>
        <v>1.5438102407913115</v>
      </c>
      <c r="AN273" s="16">
        <f t="shared" ca="1" si="1143"/>
        <v>1.5746864456071377</v>
      </c>
      <c r="AO273" s="16">
        <f t="shared" ca="1" si="1143"/>
        <v>1.6061801745192805</v>
      </c>
      <c r="AP273" s="16">
        <f t="shared" ca="1" si="1143"/>
        <v>1.6383037780096661</v>
      </c>
      <c r="AQ273" s="16">
        <f t="shared" ca="1" si="1143"/>
        <v>1.6710698535698594</v>
      </c>
      <c r="AR273" s="16">
        <f t="shared" ca="1" si="1143"/>
        <v>1.7044912506412566</v>
      </c>
      <c r="AS273" s="16">
        <f t="shared" ca="1" si="1143"/>
        <v>1.7385810756540818</v>
      </c>
      <c r="AT273" s="16">
        <f t="shared" ca="1" si="1143"/>
        <v>1.7733526971671636</v>
      </c>
      <c r="AU273" s="16">
        <f t="shared" ca="1" si="1143"/>
        <v>1.8088197511105069</v>
      </c>
      <c r="AV273" s="16">
        <f t="shared" ca="1" si="1143"/>
        <v>1.8449961461327171</v>
      </c>
      <c r="AW273" s="16">
        <f t="shared" ca="1" si="1143"/>
        <v>1.8818960690553714</v>
      </c>
      <c r="AX273" s="16">
        <f t="shared" ca="1" si="1143"/>
        <v>1.919533990436479</v>
      </c>
    </row>
    <row r="274" spans="1:50" x14ac:dyDescent="0.25">
      <c r="A274" s="11" t="s">
        <v>895</v>
      </c>
      <c r="B274" s="10" t="s">
        <v>898</v>
      </c>
      <c r="D274" s="35">
        <f>Exogenous!O$39</f>
        <v>0.82899999999999996</v>
      </c>
      <c r="E274" s="35">
        <f>Exogenous!P$39</f>
        <v>1.3560000000000001</v>
      </c>
      <c r="F274" s="35">
        <f>Exogenous!Q$39</f>
        <v>0.88200000000000001</v>
      </c>
      <c r="G274" s="35">
        <f>Exogenous!R$39</f>
        <v>0.66200000000000003</v>
      </c>
      <c r="H274" s="35">
        <f>Exogenous!S$39</f>
        <v>1.4530000000000001</v>
      </c>
      <c r="I274" s="35">
        <f>Exogenous!T$39</f>
        <v>2.3929999999999998</v>
      </c>
      <c r="J274" s="17">
        <f>Exogenous!U$39</f>
        <v>1.994</v>
      </c>
      <c r="K274" s="17">
        <f>Exogenous!V$39</f>
        <v>1.52</v>
      </c>
      <c r="L274" s="17">
        <f>Exogenous!W$39</f>
        <v>1.425</v>
      </c>
      <c r="M274" s="17">
        <f>Exogenous!X$39</f>
        <v>1.238</v>
      </c>
      <c r="N274" s="17">
        <f>Exogenous!Y$39</f>
        <v>1.238</v>
      </c>
      <c r="O274" s="16">
        <f t="shared" ref="O274:AX274" ca="1" si="1144">N$274*O$140/N$140</f>
        <v>1.2875569392941764</v>
      </c>
      <c r="P274" s="16">
        <f t="shared" ca="1" si="1144"/>
        <v>1.3423914552514553</v>
      </c>
      <c r="Q274" s="16">
        <f t="shared" ca="1" si="1144"/>
        <v>1.3989332540714567</v>
      </c>
      <c r="R274" s="16">
        <f t="shared" ca="1" si="1144"/>
        <v>1.4556462001590675</v>
      </c>
      <c r="S274" s="16">
        <f t="shared" ca="1" si="1144"/>
        <v>1.5141658722260167</v>
      </c>
      <c r="T274" s="16">
        <f t="shared" ca="1" si="1144"/>
        <v>1.5744536447747792</v>
      </c>
      <c r="U274" s="16">
        <f t="shared" ca="1" si="1144"/>
        <v>1.6367632308512903</v>
      </c>
      <c r="V274" s="16">
        <f t="shared" ca="1" si="1144"/>
        <v>1.7011025823795789</v>
      </c>
      <c r="W274" s="16">
        <f t="shared" ca="1" si="1144"/>
        <v>1.7671145620737871</v>
      </c>
      <c r="X274" s="16">
        <f t="shared" ca="1" si="1144"/>
        <v>1.8349338994293833</v>
      </c>
      <c r="Y274" s="16">
        <f t="shared" ca="1" si="1144"/>
        <v>1.9049207168551585</v>
      </c>
      <c r="Z274" s="16">
        <f t="shared" ca="1" si="1144"/>
        <v>1.9770782825449866</v>
      </c>
      <c r="AA274" s="16">
        <f t="shared" ca="1" si="1144"/>
        <v>2.0516986375444253</v>
      </c>
      <c r="AB274" s="16">
        <f t="shared" ca="1" si="1144"/>
        <v>2.1287027519862507</v>
      </c>
      <c r="AC274" s="16">
        <f t="shared" ca="1" si="1144"/>
        <v>2.2080899528563367</v>
      </c>
      <c r="AD274" s="16">
        <f t="shared" ca="1" si="1144"/>
        <v>2.2899167233077362</v>
      </c>
      <c r="AE274" s="16">
        <f t="shared" ca="1" si="1144"/>
        <v>2.3741622886251457</v>
      </c>
      <c r="AF274" s="16">
        <f t="shared" ca="1" si="1144"/>
        <v>2.4608462869590642</v>
      </c>
      <c r="AG274" s="16">
        <f t="shared" ca="1" si="1144"/>
        <v>2.5499801752761484</v>
      </c>
      <c r="AH274" s="16">
        <f t="shared" ca="1" si="1144"/>
        <v>2.6415221033578198</v>
      </c>
      <c r="AI274" s="16">
        <f t="shared" ca="1" si="1144"/>
        <v>2.7355616222540036</v>
      </c>
      <c r="AJ274" s="16">
        <f t="shared" ca="1" si="1144"/>
        <v>2.8322077321068586</v>
      </c>
      <c r="AK274" s="16">
        <f t="shared" ca="1" si="1144"/>
        <v>2.9313373213695231</v>
      </c>
      <c r="AL274" s="16">
        <f t="shared" ca="1" si="1144"/>
        <v>3.0330854252000536</v>
      </c>
      <c r="AM274" s="16">
        <f t="shared" ca="1" si="1144"/>
        <v>3.1375982638070701</v>
      </c>
      <c r="AN274" s="16">
        <f t="shared" ca="1" si="1144"/>
        <v>3.2449954371021779</v>
      </c>
      <c r="AO274" s="16">
        <f t="shared" ca="1" si="1144"/>
        <v>3.3553205399808461</v>
      </c>
      <c r="AP274" s="16">
        <f t="shared" ca="1" si="1144"/>
        <v>3.4689114938224481</v>
      </c>
      <c r="AQ274" s="16">
        <f t="shared" ca="1" si="1144"/>
        <v>3.5858754001017545</v>
      </c>
      <c r="AR274" s="16">
        <f t="shared" ca="1" si="1144"/>
        <v>3.7065175739950273</v>
      </c>
      <c r="AS274" s="16">
        <f t="shared" ca="1" si="1144"/>
        <v>3.8309234547201041</v>
      </c>
      <c r="AT274" s="16">
        <f t="shared" ca="1" si="1144"/>
        <v>3.9594754320512333</v>
      </c>
      <c r="AU274" s="16">
        <f t="shared" ca="1" si="1144"/>
        <v>4.0921221190871631</v>
      </c>
      <c r="AV274" s="16">
        <f t="shared" ca="1" si="1144"/>
        <v>4.2292309883236134</v>
      </c>
      <c r="AW274" s="16">
        <f t="shared" ca="1" si="1144"/>
        <v>4.3709240082892897</v>
      </c>
      <c r="AX274" s="16">
        <f t="shared" ca="1" si="1144"/>
        <v>4.5171411247095445</v>
      </c>
    </row>
    <row r="275" spans="1:50" x14ac:dyDescent="0.25">
      <c r="A275" s="11" t="s">
        <v>906</v>
      </c>
      <c r="B275" s="10" t="str">
        <f>$B$38</f>
        <v>From Fiscal Forecasts</v>
      </c>
      <c r="C275" s="63" cm="1">
        <f t="array" aca="1" ref="C275" ca="1">SUMPRODUCT(OFFSET($N$275,0,0,1,-OFFSET(Assumptions!$B$39,0,$C$1))/OFFSET($N$13,0,0,1,-OFFSET(Assumptions!$B$39,0,$C$1)))/OFFSET(Assumptions!$B$39,0,$C$1)</f>
        <v>9.7479227025390764E-3</v>
      </c>
      <c r="D275" s="35">
        <f>'Fiscal Forecasts'!D$60-SUM(D$272:D$274)</f>
        <v>3.4990000000000006</v>
      </c>
      <c r="E275" s="35">
        <f>'Fiscal Forecasts'!E$60-SUM(E$272:E$274)</f>
        <v>3.8410000000000002</v>
      </c>
      <c r="F275" s="35">
        <f>'Fiscal Forecasts'!F$60-SUM(F$272:F$274)</f>
        <v>3.9429999999999996</v>
      </c>
      <c r="G275" s="35">
        <f>'Fiscal Forecasts'!G$60-SUM(G$272:G$274)</f>
        <v>4.7479999999999993</v>
      </c>
      <c r="H275" s="35">
        <f>'Fiscal Forecasts'!H$60-SUM(H$272:H$274)</f>
        <v>3.3280000000000003</v>
      </c>
      <c r="I275" s="35">
        <f>'Fiscal Forecasts'!I$60-SUM(I$272:I$274)</f>
        <v>4.6840000000000002</v>
      </c>
      <c r="J275" s="17">
        <f>'Fiscal Forecasts'!J$60-SUM(J$272:J$274)+Allocation!C$15</f>
        <v>3.9749999999999992</v>
      </c>
      <c r="K275" s="17">
        <f>'Fiscal Forecasts'!K$60-SUM(K$272:K$274)+Allocation!D$15</f>
        <v>3.6994000000000002</v>
      </c>
      <c r="L275" s="17">
        <f>'Fiscal Forecasts'!L$60-SUM(L$272:L$274)+Allocation!E$15</f>
        <v>4.1662299999999997</v>
      </c>
      <c r="M275" s="17">
        <f>'Fiscal Forecasts'!M$60-SUM(M$272:M$274)+Allocation!F$15</f>
        <v>3.8767300000000002</v>
      </c>
      <c r="N275" s="17">
        <f>'Fiscal Forecasts'!N$60-SUM(N$272:N$274)+Allocation!G$15</f>
        <v>4.0871100000000009</v>
      </c>
      <c r="O275" s="16">
        <f ca="1">(N$275/N$13+MIN(ABS($C$275-N$275/N$13),OFFSET(Assumptions!$B$40,0,$C$1))*SIGN($C$275-N$275/N$13))*O$13</f>
        <v>4.5442866683976195</v>
      </c>
      <c r="P275" s="16">
        <f ca="1">(O$275/O$13+MIN(ABS($C$275-O$275/O$13),OFFSET(Assumptions!$B$40,0,$C$1))*SIGN($C$275-O$275/O$13))*P$13</f>
        <v>5.0310421645150214</v>
      </c>
      <c r="Q275" s="16">
        <f ca="1">(P$275/P$13+MIN(ABS($C$275-P$275/P$13),OFFSET(Assumptions!$B$40,0,$C$1))*SIGN($C$275-P$275/P$13))*Q$13</f>
        <v>5.542749997596764</v>
      </c>
      <c r="R275" s="16">
        <f ca="1">(Q$275/Q$13+MIN(ABS($C$275-Q$275/Q$13),OFFSET(Assumptions!$B$40,0,$C$1))*SIGN($C$275-Q$275/Q$13))*R$13</f>
        <v>6.0476499807017809</v>
      </c>
      <c r="S275" s="16">
        <f ca="1">(R$275/R$13+MIN(ABS($C$275-R$275/R$13),OFFSET(Assumptions!$B$40,0,$C$1))*SIGN($C$275-R$275/R$13))*S$13</f>
        <v>6.2919174464174858</v>
      </c>
      <c r="T275" s="16">
        <f ca="1">(S$275/S$13+MIN(ABS($C$275-S$275/S$13),OFFSET(Assumptions!$B$40,0,$C$1))*SIGN($C$275-S$275/S$13))*T$13</f>
        <v>6.5436346240872156</v>
      </c>
      <c r="U275" s="16">
        <f ca="1">(T$275/T$13+MIN(ABS($C$275-T$275/T$13),OFFSET(Assumptions!$B$40,0,$C$1))*SIGN($C$275-T$275/T$13))*U$13</f>
        <v>6.8038150547320262</v>
      </c>
      <c r="V275" s="16">
        <f ca="1">(U$275/U$13+MIN(ABS($C$275-U$275/U$13),OFFSET(Assumptions!$B$40,0,$C$1))*SIGN($C$275-U$275/U$13))*V$13</f>
        <v>7.0725313592449019</v>
      </c>
      <c r="W275" s="16">
        <f ca="1">(V$275/V$13+MIN(ABS($C$275-V$275/V$13),OFFSET(Assumptions!$B$40,0,$C$1))*SIGN($C$275-V$275/V$13))*W$13</f>
        <v>7.3483829159780916</v>
      </c>
      <c r="X275" s="16">
        <f ca="1">(W$275/W$13+MIN(ABS($C$275-W$275/W$13),OFFSET(Assumptions!$B$40,0,$C$1))*SIGN($C$275-W$275/W$13))*X$13</f>
        <v>7.6318166107406205</v>
      </c>
      <c r="Y275" s="16">
        <f ca="1">(X$275/X$13+MIN(ABS($C$275-X$275/X$13),OFFSET(Assumptions!$B$40,0,$C$1))*SIGN($C$275-X$275/X$13))*Y$13</f>
        <v>7.9243169758725616</v>
      </c>
      <c r="Z275" s="16">
        <f ca="1">(Y$275/Y$13+MIN(ABS($C$275-Y$275/Y$13),OFFSET(Assumptions!$B$40,0,$C$1))*SIGN($C$275-Y$275/Y$13))*Z$13</f>
        <v>8.2259344299120514</v>
      </c>
      <c r="AA275" s="16">
        <f ca="1">(Z$275/Z$13+MIN(ABS($C$275-Z$275/Z$13),OFFSET(Assumptions!$B$40,0,$C$1))*SIGN($C$275-Z$275/Z$13))*AA$13</f>
        <v>8.5379025955137582</v>
      </c>
      <c r="AB275" s="16">
        <f ca="1">(AA$275/AA$13+MIN(ABS($C$275-AA$275/AA$13),OFFSET(Assumptions!$B$40,0,$C$1))*SIGN($C$275-AA$275/AA$13))*AB$13</f>
        <v>8.8598904172165192</v>
      </c>
      <c r="AC275" s="16">
        <f ca="1">(AB$275/AB$13+MIN(ABS($C$275-AB$275/AB$13),OFFSET(Assumptions!$B$40,0,$C$1))*SIGN($C$275-AB$275/AB$13))*AC$13</f>
        <v>9.191889614268435</v>
      </c>
      <c r="AD275" s="16">
        <f ca="1">(AC$275/AC$13+MIN(ABS($C$275-AC$275/AC$13),OFFSET(Assumptions!$B$40,0,$C$1))*SIGN($C$275-AC$275/AC$13))*AD$13</f>
        <v>9.5341381230332622</v>
      </c>
      <c r="AE275" s="16">
        <f ca="1">(AD$275/AD$13+MIN(ABS($C$275-AD$275/AD$13),OFFSET(Assumptions!$B$40,0,$C$1))*SIGN($C$275-AD$275/AD$13))*AE$13</f>
        <v>9.8865425790066563</v>
      </c>
      <c r="AF275" s="16">
        <f ca="1">(AE$275/AE$13+MIN(ABS($C$275-AE$275/AE$13),OFFSET(Assumptions!$B$40,0,$C$1))*SIGN($C$275-AE$275/AE$13))*AF$13</f>
        <v>10.24918563084529</v>
      </c>
      <c r="AG275" s="16">
        <f ca="1">(AF$275/AF$13+MIN(ABS($C$275-AF$275/AF$13),OFFSET(Assumptions!$B$40,0,$C$1))*SIGN($C$275-AF$275/AF$13))*AG$13</f>
        <v>10.622106353077154</v>
      </c>
      <c r="AH275" s="16">
        <f ca="1">(AG$275/AG$13+MIN(ABS($C$275-AG$275/AG$13),OFFSET(Assumptions!$B$40,0,$C$1))*SIGN($C$275-AG$275/AG$13))*AH$13</f>
        <v>11.00512890493453</v>
      </c>
      <c r="AI275" s="16">
        <f ca="1">(AH$275/AH$13+MIN(ABS($C$275-AH$275/AH$13),OFFSET(Assumptions!$B$40,0,$C$1))*SIGN($C$275-AH$275/AH$13))*AI$13</f>
        <v>11.398616434244383</v>
      </c>
      <c r="AJ275" s="16">
        <f ca="1">(AI$275/AI$13+MIN(ABS($C$275-AI$275/AI$13),OFFSET(Assumptions!$B$40,0,$C$1))*SIGN($C$275-AI$275/AI$13))*AJ$13</f>
        <v>11.803033203520393</v>
      </c>
      <c r="AK275" s="16">
        <f ca="1">(AJ$275/AJ$13+MIN(ABS($C$275-AJ$275/AJ$13),OFFSET(Assumptions!$B$40,0,$C$1))*SIGN($C$275-AJ$275/AJ$13))*AK$13</f>
        <v>12.217842357882192</v>
      </c>
      <c r="AL275" s="16">
        <f ca="1">(AK$275/AK$13+MIN(ABS($C$275-AK$275/AK$13),OFFSET(Assumptions!$B$40,0,$C$1))*SIGN($C$275-AK$275/AK$13))*AL$13</f>
        <v>12.643612924628551</v>
      </c>
      <c r="AM275" s="16">
        <f ca="1">(AL$275/AL$13+MIN(ABS($C$275-AL$275/AL$13),OFFSET(Assumptions!$B$40,0,$C$1))*SIGN($C$275-AL$275/AL$13))*AM$13</f>
        <v>13.080960863627361</v>
      </c>
      <c r="AN275" s="16">
        <f ca="1">(AM$275/AM$13+MIN(ABS($C$275-AM$275/AM$13),OFFSET(Assumptions!$B$40,0,$C$1))*SIGN($C$275-AM$275/AM$13))*AN$13</f>
        <v>13.530383482128686</v>
      </c>
      <c r="AO275" s="16">
        <f ca="1">(AN$275/AN$13+MIN(ABS($C$275-AN$275/AN$13),OFFSET(Assumptions!$B$40,0,$C$1))*SIGN($C$275-AN$275/AN$13))*AO$13</f>
        <v>13.992067616552989</v>
      </c>
      <c r="AP275" s="16">
        <f ca="1">(AO$275/AO$13+MIN(ABS($C$275-AO$275/AO$13),OFFSET(Assumptions!$B$40,0,$C$1))*SIGN($C$275-AO$275/AO$13))*AP$13</f>
        <v>14.467433635069778</v>
      </c>
      <c r="AQ275" s="16">
        <f ca="1">(AP$275/AP$13+MIN(ABS($C$275-AP$275/AP$13),OFFSET(Assumptions!$B$40,0,$C$1))*SIGN($C$275-AP$275/AP$13))*AQ$13</f>
        <v>14.956945993238792</v>
      </c>
      <c r="AR275" s="16">
        <f ca="1">(AQ$275/AQ$13+MIN(ABS($C$275-AQ$275/AQ$13),OFFSET(Assumptions!$B$40,0,$C$1))*SIGN($C$275-AQ$275/AQ$13))*AR$13</f>
        <v>15.46188217187702</v>
      </c>
      <c r="AS275" s="16">
        <f ca="1">(AR$275/AR$13+MIN(ABS($C$275-AR$275/AR$13),OFFSET(Assumptions!$B$40,0,$C$1))*SIGN($C$275-AR$275/AR$13))*AS$13</f>
        <v>15.982619778670417</v>
      </c>
      <c r="AT275" s="16">
        <f ca="1">(AS$275/AS$13+MIN(ABS($C$275-AS$275/AS$13),OFFSET(Assumptions!$B$40,0,$C$1))*SIGN($C$275-AS$275/AS$13))*AT$13</f>
        <v>16.520779231628062</v>
      </c>
      <c r="AU275" s="16">
        <f ca="1">(AT$275/AT$13+MIN(ABS($C$275-AT$275/AT$13),OFFSET(Assumptions!$B$40,0,$C$1))*SIGN($C$275-AT$275/AT$13))*AU$13</f>
        <v>17.076127865982453</v>
      </c>
      <c r="AV275" s="16">
        <f ca="1">(AU$275/AU$13+MIN(ABS($C$275-AU$275/AU$13),OFFSET(Assumptions!$B$40,0,$C$1))*SIGN($C$275-AU$275/AU$13))*AV$13</f>
        <v>17.650240139818507</v>
      </c>
      <c r="AW275" s="16">
        <f ca="1">(AV$275/AV$13+MIN(ABS($C$275-AV$275/AV$13),OFFSET(Assumptions!$B$40,0,$C$1))*SIGN($C$275-AV$275/AV$13))*AW$13</f>
        <v>18.243622053000252</v>
      </c>
      <c r="AX275" s="16">
        <f ca="1">(AW$275/AW$13+MIN(ABS($C$275-AW$275/AW$13),OFFSET(Assumptions!$B$40,0,$C$1))*SIGN($C$275-AW$275/AW$13))*AX$13</f>
        <v>18.856027053810717</v>
      </c>
    </row>
    <row r="276" spans="1:50" x14ac:dyDescent="0.25">
      <c r="A276" s="9" t="s">
        <v>896</v>
      </c>
      <c r="D276" s="64">
        <f t="shared" ref="D276:O276" si="1145">SUM(D$272:D$275)</f>
        <v>5.1660000000000004</v>
      </c>
      <c r="E276" s="64">
        <f t="shared" si="1145"/>
        <v>6.0830000000000002</v>
      </c>
      <c r="F276" s="64">
        <f t="shared" si="1145"/>
        <v>5.7539999999999996</v>
      </c>
      <c r="G276" s="64">
        <f t="shared" si="1145"/>
        <v>5.7199999999999989</v>
      </c>
      <c r="H276" s="64">
        <f t="shared" si="1145"/>
        <v>6.806</v>
      </c>
      <c r="I276" s="64">
        <f t="shared" si="1145"/>
        <v>8.468</v>
      </c>
      <c r="J276" s="65">
        <f t="shared" si="1145"/>
        <v>7.3379999999999992</v>
      </c>
      <c r="K276" s="65">
        <f t="shared" si="1145"/>
        <v>6.5283999999999995</v>
      </c>
      <c r="L276" s="65">
        <f t="shared" si="1145"/>
        <v>6.8682299999999996</v>
      </c>
      <c r="M276" s="65">
        <f t="shared" si="1145"/>
        <v>6.4157299999999999</v>
      </c>
      <c r="N276" s="65">
        <f t="shared" si="1145"/>
        <v>6.6531100000000007</v>
      </c>
      <c r="O276" s="66">
        <f t="shared" ca="1" si="1145"/>
        <v>7.1975316939257903</v>
      </c>
      <c r="P276" s="66">
        <f t="shared" ref="P276:AX276" ca="1" si="1146">SUM(P$272:P$275)</f>
        <v>7.7845605426921463</v>
      </c>
      <c r="Q276" s="66">
        <f t="shared" ca="1" si="1146"/>
        <v>8.3999769597102265</v>
      </c>
      <c r="R276" s="66">
        <f t="shared" ca="1" si="1146"/>
        <v>9.0104180699186927</v>
      </c>
      <c r="S276" s="66">
        <f t="shared" ca="1" si="1146"/>
        <v>9.3636473207716264</v>
      </c>
      <c r="T276" s="66">
        <f t="shared" ca="1" si="1146"/>
        <v>9.7277808571128297</v>
      </c>
      <c r="U276" s="66">
        <f t="shared" ca="1" si="1146"/>
        <v>10.104124494604436</v>
      </c>
      <c r="V276" s="66">
        <f t="shared" ca="1" si="1146"/>
        <v>10.492807277622006</v>
      </c>
      <c r="W276" s="66">
        <f t="shared" ca="1" si="1146"/>
        <v>10.892360247960999</v>
      </c>
      <c r="X276" s="66">
        <f t="shared" ca="1" si="1146"/>
        <v>11.303735924311859</v>
      </c>
      <c r="Y276" s="66">
        <f t="shared" ca="1" si="1146"/>
        <v>11.729219126540055</v>
      </c>
      <c r="Z276" s="66">
        <f t="shared" ca="1" si="1146"/>
        <v>12.169351087867572</v>
      </c>
      <c r="AA276" s="66">
        <f t="shared" ca="1" si="1146"/>
        <v>12.626025540436808</v>
      </c>
      <c r="AB276" s="66">
        <f t="shared" ca="1" si="1146"/>
        <v>13.099154874336364</v>
      </c>
      <c r="AC276" s="66">
        <f t="shared" ca="1" si="1146"/>
        <v>13.588973633264178</v>
      </c>
      <c r="AD276" s="66">
        <f t="shared" ca="1" si="1146"/>
        <v>14.092721703592236</v>
      </c>
      <c r="AE276" s="66">
        <f t="shared" ca="1" si="1146"/>
        <v>14.612969533093374</v>
      </c>
      <c r="AF276" s="66">
        <f t="shared" ca="1" si="1146"/>
        <v>15.149832304568687</v>
      </c>
      <c r="AG276" s="66">
        <f t="shared" ca="1" si="1146"/>
        <v>15.703292949725977</v>
      </c>
      <c r="AH276" s="66">
        <f t="shared" ca="1" si="1146"/>
        <v>16.273048902958777</v>
      </c>
      <c r="AI276" s="66">
        <f t="shared" ca="1" si="1146"/>
        <v>16.859491351925925</v>
      </c>
      <c r="AJ276" s="66">
        <f t="shared" ca="1" si="1146"/>
        <v>17.463094802972083</v>
      </c>
      <c r="AK276" s="66">
        <f t="shared" ca="1" si="1146"/>
        <v>18.082923669735948</v>
      </c>
      <c r="AL276" s="66">
        <f t="shared" ca="1" si="1146"/>
        <v>18.719189160772562</v>
      </c>
      <c r="AM276" s="66">
        <f t="shared" ca="1" si="1146"/>
        <v>19.372258316621505</v>
      </c>
      <c r="AN276" s="66">
        <f t="shared" ca="1" si="1146"/>
        <v>20.042311781473011</v>
      </c>
      <c r="AO276" s="66">
        <f t="shared" ca="1" si="1146"/>
        <v>20.729074952589201</v>
      </c>
      <c r="AP276" s="66">
        <f t="shared" ca="1" si="1146"/>
        <v>21.43409480758147</v>
      </c>
      <c r="AQ276" s="66">
        <f t="shared" ca="1" si="1146"/>
        <v>22.157986137061375</v>
      </c>
      <c r="AR276" s="66">
        <f t="shared" ca="1" si="1146"/>
        <v>22.902588202345129</v>
      </c>
      <c r="AS276" s="66">
        <f t="shared" ca="1" si="1146"/>
        <v>23.668605933884294</v>
      </c>
      <c r="AT276" s="66">
        <f t="shared" ca="1" si="1146"/>
        <v>24.45822914656452</v>
      </c>
      <c r="AU276" s="66">
        <f t="shared" ca="1" si="1146"/>
        <v>25.271490579726994</v>
      </c>
      <c r="AV276" s="66">
        <f t="shared" ca="1" si="1146"/>
        <v>26.110583320108127</v>
      </c>
      <c r="AW276" s="66">
        <f t="shared" ca="1" si="1146"/>
        <v>26.976431407072237</v>
      </c>
      <c r="AX276" s="66">
        <f t="shared" ca="1" si="1146"/>
        <v>27.868742940476199</v>
      </c>
    </row>
    <row r="277" spans="1:50" x14ac:dyDescent="0.25">
      <c r="A277" s="9" t="s">
        <v>897</v>
      </c>
      <c r="B277" s="10" t="str">
        <f>$B$38</f>
        <v>From Fiscal Forecasts</v>
      </c>
      <c r="D277" s="42">
        <f>'Fiscal Forecasts'!D$43</f>
        <v>4.7320000000000002</v>
      </c>
      <c r="E277" s="42">
        <f>'Fiscal Forecasts'!E$43</f>
        <v>5.8689999999999998</v>
      </c>
      <c r="F277" s="42">
        <f>'Fiscal Forecasts'!F$43</f>
        <v>5.6020000000000003</v>
      </c>
      <c r="G277" s="42">
        <f>'Fiscal Forecasts'!G$43</f>
        <v>5.4260000000000002</v>
      </c>
      <c r="H277" s="42">
        <f>'Fiscal Forecasts'!H$43</f>
        <v>6.6630000000000003</v>
      </c>
      <c r="I277" s="42">
        <f>'Fiscal Forecasts'!I$43</f>
        <v>8.1780000000000008</v>
      </c>
      <c r="J277" s="43">
        <f>'Fiscal Forecasts'!J$43+Allocation!C$15</f>
        <v>7.01</v>
      </c>
      <c r="K277" s="43">
        <f>'Fiscal Forecasts'!K$43+Allocation!D$15</f>
        <v>6.3573999999999993</v>
      </c>
      <c r="L277" s="43">
        <f>'Fiscal Forecasts'!L$43+Allocation!E$15</f>
        <v>6.7782299999999998</v>
      </c>
      <c r="M277" s="43">
        <f>'Fiscal Forecasts'!M$43+Allocation!F$15</f>
        <v>6.2757300000000003</v>
      </c>
      <c r="N277" s="43">
        <f>'Fiscal Forecasts'!N$43+Allocation!G$15</f>
        <v>6.5571100000000007</v>
      </c>
      <c r="O277" s="47">
        <f ca="1">O$276+N$277-N$276</f>
        <v>7.1015316939257902</v>
      </c>
      <c r="P277" s="47">
        <f t="shared" ref="P277:AX277" ca="1" si="1147">P$276+O$277-O$276</f>
        <v>7.6885605426921471</v>
      </c>
      <c r="Q277" s="47">
        <f t="shared" ca="1" si="1147"/>
        <v>8.3039769597102282</v>
      </c>
      <c r="R277" s="47">
        <f t="shared" ca="1" si="1147"/>
        <v>8.9144180699186926</v>
      </c>
      <c r="S277" s="47">
        <f t="shared" ca="1" si="1147"/>
        <v>9.2676473207716263</v>
      </c>
      <c r="T277" s="47">
        <f t="shared" ca="1" si="1147"/>
        <v>9.6317808571128296</v>
      </c>
      <c r="U277" s="47">
        <f t="shared" ca="1" si="1147"/>
        <v>10.008124494604434</v>
      </c>
      <c r="V277" s="47">
        <f t="shared" ca="1" si="1147"/>
        <v>10.396807277622004</v>
      </c>
      <c r="W277" s="47">
        <f t="shared" ca="1" si="1147"/>
        <v>10.796360247960997</v>
      </c>
      <c r="X277" s="47">
        <f t="shared" ca="1" si="1147"/>
        <v>11.207735924311857</v>
      </c>
      <c r="Y277" s="47">
        <f t="shared" ca="1" si="1147"/>
        <v>11.633219126540055</v>
      </c>
      <c r="Z277" s="47">
        <f t="shared" ca="1" si="1147"/>
        <v>12.073351087867572</v>
      </c>
      <c r="AA277" s="47">
        <f t="shared" ca="1" si="1147"/>
        <v>12.530025540436807</v>
      </c>
      <c r="AB277" s="47">
        <f t="shared" ca="1" si="1147"/>
        <v>13.003154874336362</v>
      </c>
      <c r="AC277" s="47">
        <f t="shared" ca="1" si="1147"/>
        <v>13.492973633264178</v>
      </c>
      <c r="AD277" s="47">
        <f t="shared" ca="1" si="1147"/>
        <v>13.996721703592236</v>
      </c>
      <c r="AE277" s="47">
        <f t="shared" ca="1" si="1147"/>
        <v>14.516969533093373</v>
      </c>
      <c r="AF277" s="47">
        <f t="shared" ca="1" si="1147"/>
        <v>15.053832304568687</v>
      </c>
      <c r="AG277" s="47">
        <f t="shared" ca="1" si="1147"/>
        <v>15.607292949725977</v>
      </c>
      <c r="AH277" s="47">
        <f t="shared" ca="1" si="1147"/>
        <v>16.177048902958777</v>
      </c>
      <c r="AI277" s="47">
        <f t="shared" ca="1" si="1147"/>
        <v>16.763491351925921</v>
      </c>
      <c r="AJ277" s="47">
        <f t="shared" ca="1" si="1147"/>
        <v>17.367094802972076</v>
      </c>
      <c r="AK277" s="47">
        <f t="shared" ca="1" si="1147"/>
        <v>17.98692366973594</v>
      </c>
      <c r="AL277" s="47">
        <f t="shared" ca="1" si="1147"/>
        <v>18.623189160772554</v>
      </c>
      <c r="AM277" s="47">
        <f t="shared" ca="1" si="1147"/>
        <v>19.276258316621497</v>
      </c>
      <c r="AN277" s="47">
        <f t="shared" ca="1" si="1147"/>
        <v>19.946311781473007</v>
      </c>
      <c r="AO277" s="47">
        <f t="shared" ca="1" si="1147"/>
        <v>20.633074952589197</v>
      </c>
      <c r="AP277" s="47">
        <f t="shared" ca="1" si="1147"/>
        <v>21.33809480758147</v>
      </c>
      <c r="AQ277" s="47">
        <f t="shared" ca="1" si="1147"/>
        <v>22.061986137061371</v>
      </c>
      <c r="AR277" s="47">
        <f t="shared" ca="1" si="1147"/>
        <v>22.806588202345122</v>
      </c>
      <c r="AS277" s="47">
        <f t="shared" ca="1" si="1147"/>
        <v>23.57260593388429</v>
      </c>
      <c r="AT277" s="47">
        <f t="shared" ca="1" si="1147"/>
        <v>24.362229146564516</v>
      </c>
      <c r="AU277" s="47">
        <f t="shared" ca="1" si="1147"/>
        <v>25.17549057972699</v>
      </c>
      <c r="AV277" s="47">
        <f t="shared" ca="1" si="1147"/>
        <v>26.014583320108123</v>
      </c>
      <c r="AW277" s="47">
        <f t="shared" ca="1" si="1147"/>
        <v>26.88043140707223</v>
      </c>
      <c r="AX277" s="47">
        <f t="shared" ca="1" si="1147"/>
        <v>27.772742940476196</v>
      </c>
    </row>
    <row r="279" spans="1:50" x14ac:dyDescent="0.25">
      <c r="A279" s="9" t="s">
        <v>899</v>
      </c>
    </row>
    <row r="280" spans="1:50" x14ac:dyDescent="0.25">
      <c r="A280" s="9" t="s">
        <v>900</v>
      </c>
      <c r="B280" s="10" t="str">
        <f>$B$38</f>
        <v>From Fiscal Forecasts</v>
      </c>
      <c r="C280" s="63" cm="1">
        <f t="array" aca="1" ref="C280" ca="1">SUMPRODUCT(OFFSET($N$280,0,0,1,-OFFSET(Assumptions!$B$39,0,$C$1))/OFFSET($N$13,0,0,1,-OFFSET(Assumptions!$B$39,0,$C$1)))/OFFSET(Assumptions!$B$39,0,$C$1)</f>
        <v>1.5507866873745621E-2</v>
      </c>
      <c r="D280" s="42">
        <f>'Fiscal Forecasts'!D$61</f>
        <v>4.625</v>
      </c>
      <c r="E280" s="42">
        <f>'Fiscal Forecasts'!E$61</f>
        <v>4.9109999999999996</v>
      </c>
      <c r="F280" s="42">
        <f>'Fiscal Forecasts'!F$61</f>
        <v>5.202</v>
      </c>
      <c r="G280" s="42">
        <f>'Fiscal Forecasts'!G$61</f>
        <v>5.444</v>
      </c>
      <c r="H280" s="42">
        <f>'Fiscal Forecasts'!H$61</f>
        <v>6.165</v>
      </c>
      <c r="I280" s="42">
        <f>'Fiscal Forecasts'!I$61</f>
        <v>6.5270000000000001</v>
      </c>
      <c r="J280" s="43">
        <f>'Fiscal Forecasts'!J$61+Allocation!C$16</f>
        <v>6.9779999999999998</v>
      </c>
      <c r="K280" s="43">
        <f>'Fiscal Forecasts'!K$61+Allocation!D$16</f>
        <v>7.4882</v>
      </c>
      <c r="L280" s="43">
        <f>'Fiscal Forecasts'!L$61+Allocation!E$16</f>
        <v>7.6105650000000002</v>
      </c>
      <c r="M280" s="43">
        <f>'Fiscal Forecasts'!M$61+Allocation!F$16</f>
        <v>7.6858150000000007</v>
      </c>
      <c r="N280" s="43">
        <f>'Fiscal Forecasts'!N$61+Allocation!G$16</f>
        <v>7.8602050000000006</v>
      </c>
      <c r="O280" s="47">
        <f ca="1">(N$280/N$13+MIN(ABS($C$280-N$280/N$13),OFFSET(Assumptions!$B$40,0,$C$1))*SIGN($C$280-N$280/N$13))*O$13</f>
        <v>8.4866529968537119</v>
      </c>
      <c r="P280" s="47">
        <f ca="1">(O$280/O$13+MIN(ABS($C$280-O$280/O$13),OFFSET(Assumptions!$B$40,0,$C$1))*SIGN($C$280-O$280/O$13))*P$13</f>
        <v>8.8679949657777009</v>
      </c>
      <c r="Q280" s="47">
        <f ca="1">(P$280/P$13+MIN(ABS($C$280-P$280/P$13),OFFSET(Assumptions!$B$40,0,$C$1))*SIGN($C$280-P$280/P$13))*Q$13</f>
        <v>9.2445807581017743</v>
      </c>
      <c r="R280" s="47">
        <f ca="1">(Q$280/Q$13+MIN(ABS($C$280-Q$280/Q$13),OFFSET(Assumptions!$B$40,0,$C$1))*SIGN($C$280-Q$280/Q$13))*R$13</f>
        <v>9.6211422332375154</v>
      </c>
      <c r="S280" s="47">
        <f ca="1">(R$280/R$13+MIN(ABS($C$280-R$280/R$13),OFFSET(Assumptions!$B$40,0,$C$1))*SIGN($C$280-R$280/R$13))*S$13</f>
        <v>10.009744754564412</v>
      </c>
      <c r="T280" s="47">
        <f ca="1">(S$280/S$13+MIN(ABS($C$280-S$280/S$13),OFFSET(Assumptions!$B$40,0,$C$1))*SIGN($C$280-S$280/S$13))*T$13</f>
        <v>10.410198943652345</v>
      </c>
      <c r="U280" s="47">
        <f ca="1">(T$280/T$13+MIN(ABS($C$280-T$280/T$13),OFFSET(Assumptions!$B$40,0,$C$1))*SIGN($C$280-T$280/T$13))*U$13</f>
        <v>10.824117232165504</v>
      </c>
      <c r="V280" s="47">
        <f ca="1">(U$280/U$13+MIN(ABS($C$280-U$280/U$13),OFFSET(Assumptions!$B$40,0,$C$1))*SIGN($C$280-U$280/U$13))*V$13</f>
        <v>11.251615151912562</v>
      </c>
      <c r="W280" s="47">
        <f ca="1">(V$280/V$13+MIN(ABS($C$280-V$280/V$13),OFFSET(Assumptions!$B$40,0,$C$1))*SIGN($C$280-V$280/V$13))*W$13</f>
        <v>11.690464468764398</v>
      </c>
      <c r="X280" s="47">
        <f ca="1">(W$280/W$13+MIN(ABS($C$280-W$280/W$13),OFFSET(Assumptions!$B$40,0,$C$1))*SIGN($C$280-W$280/W$13))*X$13</f>
        <v>12.141376128616425</v>
      </c>
      <c r="Y280" s="47">
        <f ca="1">(X$280/X$13+MIN(ABS($C$280-X$280/X$13),OFFSET(Assumptions!$B$40,0,$C$1))*SIGN($C$280-X$280/X$13))*Y$13</f>
        <v>12.6067118582285</v>
      </c>
      <c r="Z280" s="47">
        <f ca="1">(Y$280/Y$13+MIN(ABS($C$280-Y$280/Y$13),OFFSET(Assumptions!$B$40,0,$C$1))*SIGN($C$280-Y$280/Y$13))*Z$13</f>
        <v>13.086551867918372</v>
      </c>
      <c r="AA280" s="47">
        <f ca="1">(Z$280/Z$13+MIN(ABS($C$280-Z$280/Z$13),OFFSET(Assumptions!$B$40,0,$C$1))*SIGN($C$280-Z$280/Z$13))*AA$13</f>
        <v>13.582858714887701</v>
      </c>
      <c r="AB280" s="47">
        <f ca="1">(AA$280/AA$13+MIN(ABS($C$280-AA$280/AA$13),OFFSET(Assumptions!$B$40,0,$C$1))*SIGN($C$280-AA$280/AA$13))*AB$13</f>
        <v>14.095105726513383</v>
      </c>
      <c r="AC280" s="47">
        <f ca="1">(AB$280/AB$13+MIN(ABS($C$280-AB$280/AB$13),OFFSET(Assumptions!$B$40,0,$C$1))*SIGN($C$280-AB$280/AB$13))*AC$13</f>
        <v>14.623279729035012</v>
      </c>
      <c r="AD280" s="47">
        <f ca="1">(AC$280/AC$13+MIN(ABS($C$280-AC$280/AC$13),OFFSET(Assumptions!$B$40,0,$C$1))*SIGN($C$280-AC$280/AC$13))*AD$13</f>
        <v>15.167759252890946</v>
      </c>
      <c r="AE280" s="47">
        <f ca="1">(AD$280/AD$13+MIN(ABS($C$280-AD$280/AD$13),OFFSET(Assumptions!$B$40,0,$C$1))*SIGN($C$280-AD$280/AD$13))*AE$13</f>
        <v>15.728395765481125</v>
      </c>
      <c r="AF280" s="47">
        <f ca="1">(AE$280/AE$13+MIN(ABS($C$280-AE$280/AE$13),OFFSET(Assumptions!$B$40,0,$C$1))*SIGN($C$280-AE$280/AE$13))*AF$13</f>
        <v>16.305320751677158</v>
      </c>
      <c r="AG280" s="47">
        <f ca="1">(AF$280/AF$13+MIN(ABS($C$280-AF$280/AF$13),OFFSET(Assumptions!$B$40,0,$C$1))*SIGN($C$280-AF$280/AF$13))*AG$13</f>
        <v>16.898596374731333</v>
      </c>
      <c r="AH280" s="47">
        <f ca="1">(AG$280/AG$13+MIN(ABS($C$280-AG$280/AG$13),OFFSET(Assumptions!$B$40,0,$C$1))*SIGN($C$280-AG$280/AG$13))*AH$13</f>
        <v>17.507942891430666</v>
      </c>
      <c r="AI280" s="47">
        <f ca="1">(AH$280/AH$13+MIN(ABS($C$280-AH$280/AH$13),OFFSET(Assumptions!$B$40,0,$C$1))*SIGN($C$280-AH$280/AH$13))*AI$13</f>
        <v>18.133938029802746</v>
      </c>
      <c r="AJ280" s="47">
        <f ca="1">(AI$280/AI$13+MIN(ABS($C$280-AI$280/AI$13),OFFSET(Assumptions!$B$40,0,$C$1))*SIGN($C$280-AI$280/AI$13))*AJ$13</f>
        <v>18.777320380158177</v>
      </c>
      <c r="AK280" s="47">
        <f ca="1">(AJ$280/AJ$13+MIN(ABS($C$280-AJ$280/AJ$13),OFFSET(Assumptions!$B$40,0,$C$1))*SIGN($C$280-AJ$280/AJ$13))*AK$13</f>
        <v>19.437235865759863</v>
      </c>
      <c r="AL280" s="47">
        <f ca="1">(AK$280/AK$13+MIN(ABS($C$280-AK$280/AK$13),OFFSET(Assumptions!$B$40,0,$C$1))*SIGN($C$280-AK$280/AK$13))*AL$13</f>
        <v>20.114589746104226</v>
      </c>
      <c r="AM280" s="47">
        <f ca="1">(AL$280/AL$13+MIN(ABS($C$280-AL$280/AL$13),OFFSET(Assumptions!$B$40,0,$C$1))*SIGN($C$280-AL$280/AL$13))*AM$13</f>
        <v>20.810361945214293</v>
      </c>
      <c r="AN280" s="47">
        <f ca="1">(AM$280/AM$13+MIN(ABS($C$280-AM$280/AM$13),OFFSET(Assumptions!$B$40,0,$C$1))*SIGN($C$280-AM$280/AM$13))*AN$13</f>
        <v>21.525343623921422</v>
      </c>
      <c r="AO280" s="47">
        <f ca="1">(AN$280/AN$13+MIN(ABS($C$280-AN$280/AN$13),OFFSET(Assumptions!$B$40,0,$C$1))*SIGN($C$280-AN$280/AN$13))*AO$13</f>
        <v>22.259832018305964</v>
      </c>
      <c r="AP280" s="47">
        <f ca="1">(AO$280/AO$13+MIN(ABS($C$280-AO$280/AO$13),OFFSET(Assumptions!$B$40,0,$C$1))*SIGN($C$280-AO$280/AO$13))*AP$13</f>
        <v>23.016086777029141</v>
      </c>
      <c r="AQ280" s="47">
        <f ca="1">(AP$280/AP$13+MIN(ABS($C$280-AP$280/AP$13),OFFSET(Assumptions!$B$40,0,$C$1))*SIGN($C$280-AP$280/AP$13))*AQ$13</f>
        <v>23.794846797516485</v>
      </c>
      <c r="AR280" s="47">
        <f ca="1">(AQ$280/AQ$13+MIN(ABS($C$280-AQ$280/AQ$13),OFFSET(Assumptions!$B$40,0,$C$1))*SIGN($C$280-AQ$280/AQ$13))*AR$13</f>
        <v>24.598144410455067</v>
      </c>
      <c r="AS280" s="47">
        <f ca="1">(AR$280/AR$13+MIN(ABS($C$280-AR$280/AR$13),OFFSET(Assumptions!$B$40,0,$C$1))*SIGN($C$280-AR$280/AR$13))*AS$13</f>
        <v>25.426580347908843</v>
      </c>
      <c r="AT280" s="47">
        <f ca="1">(AS$280/AS$13+MIN(ABS($C$280-AS$280/AS$13),OFFSET(Assumptions!$B$40,0,$C$1))*SIGN($C$280-AS$280/AS$13))*AT$13</f>
        <v>26.282732515707739</v>
      </c>
      <c r="AU280" s="47">
        <f ca="1">(AT$280/AT$13+MIN(ABS($C$280-AT$280/AT$13),OFFSET(Assumptions!$B$40,0,$C$1))*SIGN($C$280-AT$280/AT$13))*AU$13</f>
        <v>27.166230769940007</v>
      </c>
      <c r="AV280" s="47">
        <f ca="1">(AU$280/AU$13+MIN(ABS($C$280-AU$280/AU$13),OFFSET(Assumptions!$B$40,0,$C$1))*SIGN($C$280-AU$280/AU$13))*AV$13</f>
        <v>28.079579899279519</v>
      </c>
      <c r="AW280" s="47">
        <f ca="1">(AV$280/AV$13+MIN(ABS($C$280-AV$280/AV$13),OFFSET(Assumptions!$B$40,0,$C$1))*SIGN($C$280-AV$280/AV$13))*AW$13</f>
        <v>29.023584893545021</v>
      </c>
      <c r="AX280" s="47">
        <f ca="1">(AW$280/AW$13+MIN(ABS($C$280-AW$280/AW$13),OFFSET(Assumptions!$B$40,0,$C$1))*SIGN($C$280-AW$280/AW$13))*AX$13</f>
        <v>29.99785351622409</v>
      </c>
    </row>
    <row r="281" spans="1:50" x14ac:dyDescent="0.25">
      <c r="A281" s="9" t="s">
        <v>901</v>
      </c>
      <c r="B281" s="10" t="str">
        <f>$B$38</f>
        <v>From Fiscal Forecasts</v>
      </c>
      <c r="D281" s="42">
        <f>'Fiscal Forecasts'!D$44</f>
        <v>5.05</v>
      </c>
      <c r="E281" s="42">
        <f>'Fiscal Forecasts'!E$44</f>
        <v>5.3040000000000003</v>
      </c>
      <c r="F281" s="42">
        <f>'Fiscal Forecasts'!F$44</f>
        <v>5.5330000000000004</v>
      </c>
      <c r="G281" s="42">
        <f>'Fiscal Forecasts'!G$44</f>
        <v>5.9210000000000003</v>
      </c>
      <c r="H281" s="42">
        <f>'Fiscal Forecasts'!H$44</f>
        <v>6.6660000000000004</v>
      </c>
      <c r="I281" s="42">
        <f>'Fiscal Forecasts'!I$44</f>
        <v>7.0720000000000001</v>
      </c>
      <c r="J281" s="43">
        <f>'Fiscal Forecasts'!J$44+Allocation!C$16</f>
        <v>7.55</v>
      </c>
      <c r="K281" s="43">
        <f>'Fiscal Forecasts'!K$44+Allocation!D$16</f>
        <v>8.0922000000000001</v>
      </c>
      <c r="L281" s="43">
        <f>'Fiscal Forecasts'!L$44+Allocation!E$16</f>
        <v>8.1165649999999996</v>
      </c>
      <c r="M281" s="43">
        <f>'Fiscal Forecasts'!M$44+Allocation!F$16</f>
        <v>8.3188150000000007</v>
      </c>
      <c r="N281" s="43">
        <f>'Fiscal Forecasts'!N$44+Allocation!G$16</f>
        <v>8.4812049999999992</v>
      </c>
      <c r="O281" s="47">
        <f t="shared" ref="O281:AX281" ca="1" si="1148">O$280+(N$281-N$280)*(1+O$29)</f>
        <v>9.1200729968537111</v>
      </c>
      <c r="P281" s="47">
        <f t="shared" ca="1" si="1148"/>
        <v>9.5140833657777009</v>
      </c>
      <c r="Q281" s="47">
        <f t="shared" ca="1" si="1148"/>
        <v>9.9035909261017743</v>
      </c>
      <c r="R281" s="47">
        <f t="shared" ca="1" si="1148"/>
        <v>10.293332604597515</v>
      </c>
      <c r="S281" s="47">
        <f t="shared" ca="1" si="1148"/>
        <v>10.695378933351611</v>
      </c>
      <c r="T281" s="47">
        <f t="shared" ca="1" si="1148"/>
        <v>11.109545806015287</v>
      </c>
      <c r="U281" s="47">
        <f t="shared" ca="1" si="1148"/>
        <v>11.537451031775705</v>
      </c>
      <c r="V281" s="47">
        <f t="shared" ca="1" si="1148"/>
        <v>11.979215627514966</v>
      </c>
      <c r="W281" s="47">
        <f t="shared" ca="1" si="1148"/>
        <v>12.432616953878851</v>
      </c>
      <c r="X281" s="47">
        <f t="shared" ca="1" si="1148"/>
        <v>12.898371663433167</v>
      </c>
      <c r="Y281" s="47">
        <f t="shared" ca="1" si="1148"/>
        <v>13.378847303741576</v>
      </c>
      <c r="Z281" s="47">
        <f t="shared" ca="1" si="1148"/>
        <v>13.87413002234171</v>
      </c>
      <c r="AA281" s="47">
        <f t="shared" ca="1" si="1148"/>
        <v>14.386188432399505</v>
      </c>
      <c r="AB281" s="47">
        <f t="shared" ca="1" si="1148"/>
        <v>14.914502038375424</v>
      </c>
      <c r="AC281" s="47">
        <f t="shared" ca="1" si="1148"/>
        <v>15.459063967134295</v>
      </c>
      <c r="AD281" s="47">
        <f t="shared" ca="1" si="1148"/>
        <v>16.020259175752216</v>
      </c>
      <c r="AE281" s="47">
        <f t="shared" ca="1" si="1148"/>
        <v>16.597945686799619</v>
      </c>
      <c r="AF281" s="47">
        <f t="shared" ca="1" si="1148"/>
        <v>17.192261671422024</v>
      </c>
      <c r="AG281" s="47">
        <f t="shared" ca="1" si="1148"/>
        <v>17.803276112871096</v>
      </c>
      <c r="AH281" s="47">
        <f t="shared" ca="1" si="1148"/>
        <v>18.430716224333224</v>
      </c>
      <c r="AI281" s="47">
        <f t="shared" ca="1" si="1148"/>
        <v>19.075166829363354</v>
      </c>
      <c r="AJ281" s="47">
        <f t="shared" ca="1" si="1148"/>
        <v>19.737373755709996</v>
      </c>
      <c r="AK281" s="47">
        <f t="shared" ca="1" si="1148"/>
        <v>20.41649030882272</v>
      </c>
      <c r="AL281" s="47">
        <f t="shared" ca="1" si="1148"/>
        <v>21.113429278028342</v>
      </c>
      <c r="AM281" s="47">
        <f t="shared" ca="1" si="1148"/>
        <v>21.829178267776889</v>
      </c>
      <c r="AN281" s="47">
        <f t="shared" ca="1" si="1148"/>
        <v>22.564536272935271</v>
      </c>
      <c r="AO281" s="47">
        <f t="shared" ca="1" si="1148"/>
        <v>23.319808520300089</v>
      </c>
      <c r="AP281" s="47">
        <f t="shared" ca="1" si="1148"/>
        <v>24.09726280906315</v>
      </c>
      <c r="AQ281" s="47">
        <f t="shared" ca="1" si="1148"/>
        <v>24.897646350191174</v>
      </c>
      <c r="AR281" s="47">
        <f t="shared" ca="1" si="1148"/>
        <v>25.722999954183251</v>
      </c>
      <c r="AS281" s="47">
        <f t="shared" ca="1" si="1148"/>
        <v>26.573933002511591</v>
      </c>
      <c r="AT281" s="47">
        <f t="shared" ca="1" si="1148"/>
        <v>27.453032223402541</v>
      </c>
      <c r="AU281" s="47">
        <f t="shared" ca="1" si="1148"/>
        <v>28.359936471788707</v>
      </c>
      <c r="AV281" s="47">
        <f t="shared" ca="1" si="1148"/>
        <v>29.297159715165193</v>
      </c>
      <c r="AW281" s="47">
        <f t="shared" ca="1" si="1148"/>
        <v>30.26551630574841</v>
      </c>
      <c r="AX281" s="47">
        <f t="shared" ca="1" si="1148"/>
        <v>31.264623556671548</v>
      </c>
    </row>
    <row r="283" spans="1:50" x14ac:dyDescent="0.25">
      <c r="A283" s="9" t="s">
        <v>902</v>
      </c>
    </row>
    <row r="284" spans="1:50" x14ac:dyDescent="0.25">
      <c r="A284" s="9" t="s">
        <v>1003</v>
      </c>
      <c r="B284" s="10" t="str">
        <f>$B$38</f>
        <v>From Fiscal Forecasts</v>
      </c>
      <c r="D284" s="42">
        <f>'Fiscal Forecasts'!D$62</f>
        <v>2.8889999999999998</v>
      </c>
      <c r="E284" s="42">
        <f>'Fiscal Forecasts'!E$62</f>
        <v>3.1789999999999998</v>
      </c>
      <c r="F284" s="42">
        <f>'Fiscal Forecasts'!F$62</f>
        <v>5.6559999999999997</v>
      </c>
      <c r="G284" s="42">
        <f>'Fiscal Forecasts'!G$62</f>
        <v>4.657</v>
      </c>
      <c r="H284" s="42">
        <f>'Fiscal Forecasts'!H$62</f>
        <v>5.4720000000000004</v>
      </c>
      <c r="I284" s="42">
        <f>'Fiscal Forecasts'!I$62</f>
        <v>5.4870000000000001</v>
      </c>
      <c r="J284" s="43">
        <f>'Fiscal Forecasts'!J$62</f>
        <v>5.9160000000000004</v>
      </c>
      <c r="K284" s="43">
        <f>'Fiscal Forecasts'!K$62</f>
        <v>7.226</v>
      </c>
      <c r="L284" s="43">
        <f>'Fiscal Forecasts'!L$62</f>
        <v>5.0199999999999996</v>
      </c>
      <c r="M284" s="43">
        <f>'Fiscal Forecasts'!M$62</f>
        <v>4.7279999999999998</v>
      </c>
      <c r="N284" s="43">
        <f>'Fiscal Forecasts'!N$62</f>
        <v>5.1059999999999999</v>
      </c>
      <c r="O284" s="47">
        <f t="shared" ref="O284:AX284" ca="1" si="1149">N$284+O$136-N$136</f>
        <v>5.1055308206873775</v>
      </c>
      <c r="P284" s="47">
        <f t="shared" ca="1" si="1149"/>
        <v>5.0888730046634114</v>
      </c>
      <c r="Q284" s="47">
        <f t="shared" ca="1" si="1149"/>
        <v>5.298738856931279</v>
      </c>
      <c r="R284" s="47">
        <f t="shared" ca="1" si="1149"/>
        <v>5.5547771953069525</v>
      </c>
      <c r="S284" s="47">
        <f t="shared" ca="1" si="1149"/>
        <v>5.8190026947775735</v>
      </c>
      <c r="T284" s="47">
        <f t="shared" ca="1" si="1149"/>
        <v>6.0912865898114221</v>
      </c>
      <c r="U284" s="47">
        <f t="shared" ca="1" si="1149"/>
        <v>6.3727252334645144</v>
      </c>
      <c r="V284" s="47">
        <f t="shared" ca="1" si="1149"/>
        <v>6.6633971801676051</v>
      </c>
      <c r="W284" s="47">
        <f t="shared" ca="1" si="1149"/>
        <v>6.9617873695610886</v>
      </c>
      <c r="X284" s="47">
        <f t="shared" ca="1" si="1149"/>
        <v>7.2683792005525945</v>
      </c>
      <c r="Y284" s="47">
        <f t="shared" ca="1" si="1149"/>
        <v>7.5847785001722858</v>
      </c>
      <c r="Z284" s="47">
        <f t="shared" ca="1" si="1149"/>
        <v>7.9110398064380814</v>
      </c>
      <c r="AA284" s="47">
        <f t="shared" ca="1" si="1149"/>
        <v>8.2484975359540602</v>
      </c>
      <c r="AB284" s="47">
        <f t="shared" ca="1" si="1149"/>
        <v>8.596793584155126</v>
      </c>
      <c r="AC284" s="47">
        <f t="shared" ca="1" si="1149"/>
        <v>8.9559189937051045</v>
      </c>
      <c r="AD284" s="47">
        <f t="shared" ca="1" si="1149"/>
        <v>9.3261311417146597</v>
      </c>
      <c r="AE284" s="47">
        <f t="shared" ca="1" si="1149"/>
        <v>9.7073290352712878</v>
      </c>
      <c r="AF284" s="47">
        <f t="shared" ca="1" si="1149"/>
        <v>10.099602075894447</v>
      </c>
      <c r="AG284" s="47">
        <f t="shared" ca="1" si="1149"/>
        <v>10.502992530722111</v>
      </c>
      <c r="AH284" s="47">
        <f t="shared" ca="1" si="1149"/>
        <v>10.917310191801116</v>
      </c>
      <c r="AI284" s="47">
        <f t="shared" ca="1" si="1149"/>
        <v>11.342947878190197</v>
      </c>
      <c r="AJ284" s="47">
        <f t="shared" ca="1" si="1149"/>
        <v>11.780407785276703</v>
      </c>
      <c r="AK284" s="47">
        <f t="shared" ca="1" si="1149"/>
        <v>12.229109194099587</v>
      </c>
      <c r="AL284" s="47">
        <f t="shared" ca="1" si="1149"/>
        <v>12.689667624706884</v>
      </c>
      <c r="AM284" s="47">
        <f t="shared" ca="1" si="1149"/>
        <v>13.162749364372132</v>
      </c>
      <c r="AN284" s="47">
        <f t="shared" ca="1" si="1149"/>
        <v>13.648892353160969</v>
      </c>
      <c r="AO284" s="47">
        <f t="shared" ca="1" si="1149"/>
        <v>14.148298693086327</v>
      </c>
      <c r="AP284" s="47">
        <f t="shared" ca="1" si="1149"/>
        <v>14.662504804432098</v>
      </c>
      <c r="AQ284" s="47">
        <f t="shared" ca="1" si="1149"/>
        <v>15.192013091404649</v>
      </c>
      <c r="AR284" s="47">
        <f t="shared" ca="1" si="1149"/>
        <v>15.73820541223035</v>
      </c>
      <c r="AS284" s="47">
        <f t="shared" ca="1" si="1149"/>
        <v>16.301490227279199</v>
      </c>
      <c r="AT284" s="47">
        <f t="shared" ca="1" si="1149"/>
        <v>16.883620351878218</v>
      </c>
      <c r="AU284" s="47">
        <f t="shared" ca="1" si="1149"/>
        <v>17.484344111232236</v>
      </c>
      <c r="AV284" s="47">
        <f t="shared" ca="1" si="1149"/>
        <v>18.105364605558311</v>
      </c>
      <c r="AW284" s="47">
        <f t="shared" ca="1" si="1149"/>
        <v>18.747229177771779</v>
      </c>
      <c r="AX284" s="47">
        <f t="shared" ca="1" si="1149"/>
        <v>19.409671131485663</v>
      </c>
    </row>
    <row r="285" spans="1:50" x14ac:dyDescent="0.25">
      <c r="A285" s="11" t="s">
        <v>630</v>
      </c>
      <c r="B285" s="10" t="str">
        <f>$B$38</f>
        <v>From Fiscal Forecasts</v>
      </c>
      <c r="D285" s="35">
        <f>'Fiscal Forecasts'!D$209</f>
        <v>3.21</v>
      </c>
      <c r="E285" s="35">
        <f>'Fiscal Forecasts'!E$209</f>
        <v>3.8239999999999998</v>
      </c>
      <c r="F285" s="35">
        <f>'Fiscal Forecasts'!F$209</f>
        <v>4.2590000000000003</v>
      </c>
      <c r="G285" s="35">
        <f>'Fiscal Forecasts'!G$209</f>
        <v>4.5030000000000001</v>
      </c>
      <c r="H285" s="35">
        <f>'Fiscal Forecasts'!H$209</f>
        <v>6.1050000000000004</v>
      </c>
      <c r="I285" s="35">
        <f>'Fiscal Forecasts'!I$209</f>
        <v>6.6280000000000001</v>
      </c>
      <c r="J285" s="17">
        <f>'Fiscal Forecasts'!J$209</f>
        <v>6.51</v>
      </c>
      <c r="K285" s="17">
        <f>'Fiscal Forecasts'!K$209</f>
        <v>5.9379999999999997</v>
      </c>
      <c r="L285" s="17">
        <f>'Fiscal Forecasts'!L$209</f>
        <v>5.9710000000000001</v>
      </c>
      <c r="M285" s="17">
        <f>'Fiscal Forecasts'!M$209</f>
        <v>5.1829999999999998</v>
      </c>
      <c r="N285" s="17">
        <f>'Fiscal Forecasts'!N$209</f>
        <v>5.306</v>
      </c>
      <c r="O285" s="16">
        <f t="shared" ref="O285:AX285" ca="1" si="1150">O$284+(N$285-N$284)*(1+O$14)</f>
        <v>5.3145033659562397</v>
      </c>
      <c r="P285" s="16">
        <f t="shared" ca="1" si="1150"/>
        <v>5.3070811609442066</v>
      </c>
      <c r="Q285" s="16">
        <f t="shared" ca="1" si="1150"/>
        <v>5.5262133797066078</v>
      </c>
      <c r="R285" s="16">
        <f t="shared" ca="1" si="1150"/>
        <v>5.7915174862218484</v>
      </c>
      <c r="S285" s="16">
        <f t="shared" ca="1" si="1150"/>
        <v>6.0653050388997665</v>
      </c>
      <c r="T285" s="16">
        <f t="shared" ca="1" si="1150"/>
        <v>6.3474426123144685</v>
      </c>
      <c r="U285" s="16">
        <f t="shared" ca="1" si="1150"/>
        <v>6.6390662354286354</v>
      </c>
      <c r="V285" s="16">
        <f t="shared" ca="1" si="1150"/>
        <v>6.9402573054783074</v>
      </c>
      <c r="W285" s="16">
        <f t="shared" ca="1" si="1150"/>
        <v>7.2494459336039814</v>
      </c>
      <c r="X285" s="16">
        <f t="shared" ca="1" si="1150"/>
        <v>7.5671330124301477</v>
      </c>
      <c r="Y285" s="16">
        <f t="shared" ca="1" si="1150"/>
        <v>7.8949824822407422</v>
      </c>
      <c r="Z285" s="16">
        <f t="shared" ca="1" si="1150"/>
        <v>8.2330508547293135</v>
      </c>
      <c r="AA285" s="16">
        <f t="shared" ca="1" si="1150"/>
        <v>8.5827208376852919</v>
      </c>
      <c r="AB285" s="16">
        <f t="shared" ca="1" si="1150"/>
        <v>8.9436213671020717</v>
      </c>
      <c r="AC285" s="16">
        <f t="shared" ca="1" si="1150"/>
        <v>9.3157431614865551</v>
      </c>
      <c r="AD285" s="16">
        <f t="shared" ca="1" si="1150"/>
        <v>9.6993529121663578</v>
      </c>
      <c r="AE285" s="16">
        <f t="shared" ca="1" si="1150"/>
        <v>10.094345971397763</v>
      </c>
      <c r="AF285" s="16">
        <f t="shared" ca="1" si="1150"/>
        <v>10.50081497605067</v>
      </c>
      <c r="AG285" s="16">
        <f t="shared" ca="1" si="1150"/>
        <v>10.918803722867963</v>
      </c>
      <c r="AH285" s="16">
        <f t="shared" ca="1" si="1150"/>
        <v>11.348115120463307</v>
      </c>
      <c r="AI285" s="16">
        <f t="shared" ca="1" si="1150"/>
        <v>11.789156203619306</v>
      </c>
      <c r="AJ285" s="16">
        <f t="shared" ca="1" si="1150"/>
        <v>12.242447341665736</v>
      </c>
      <c r="AK285" s="16">
        <f t="shared" ca="1" si="1150"/>
        <v>12.707386800010525</v>
      </c>
      <c r="AL285" s="16">
        <f t="shared" ca="1" si="1150"/>
        <v>13.18461237374882</v>
      </c>
      <c r="AM285" s="16">
        <f t="shared" ca="1" si="1150"/>
        <v>13.674814462415746</v>
      </c>
      <c r="AN285" s="16">
        <f t="shared" ca="1" si="1150"/>
        <v>14.178550473583069</v>
      </c>
      <c r="AO285" s="16">
        <f t="shared" ca="1" si="1150"/>
        <v>14.696029823130871</v>
      </c>
      <c r="AP285" s="16">
        <f t="shared" ca="1" si="1150"/>
        <v>15.22884453283697</v>
      </c>
      <c r="AQ285" s="16">
        <f t="shared" ca="1" si="1150"/>
        <v>15.777515188407103</v>
      </c>
      <c r="AR285" s="16">
        <f t="shared" ca="1" si="1150"/>
        <v>16.343473656117251</v>
      </c>
      <c r="AS285" s="16">
        <f t="shared" ca="1" si="1150"/>
        <v>16.927143178104494</v>
      </c>
      <c r="AT285" s="16">
        <f t="shared" ca="1" si="1150"/>
        <v>17.530340002307216</v>
      </c>
      <c r="AU285" s="16">
        <f t="shared" ca="1" si="1150"/>
        <v>18.152803346074318</v>
      </c>
      <c r="AV285" s="16">
        <f t="shared" ca="1" si="1150"/>
        <v>18.796297943094739</v>
      </c>
      <c r="AW285" s="16">
        <f t="shared" ca="1" si="1150"/>
        <v>19.461390944069553</v>
      </c>
      <c r="AX285" s="16">
        <f t="shared" ca="1" si="1150"/>
        <v>20.147806001139656</v>
      </c>
    </row>
    <row r="286" spans="1:50" x14ac:dyDescent="0.25">
      <c r="A286" s="11" t="s">
        <v>825</v>
      </c>
      <c r="B286" s="10" t="str">
        <f>$B$38</f>
        <v>From Fiscal Forecasts</v>
      </c>
      <c r="D286" s="35">
        <f>'Fiscal Forecasts'!D$210</f>
        <v>5.4009999999999998</v>
      </c>
      <c r="E286" s="35">
        <f>'Fiscal Forecasts'!E$210</f>
        <v>8.9149999999999991</v>
      </c>
      <c r="F286" s="35">
        <f>'Fiscal Forecasts'!F$210</f>
        <v>5.8360000000000003</v>
      </c>
      <c r="G286" s="35">
        <f>'Fiscal Forecasts'!G$210</f>
        <v>4.8730000000000002</v>
      </c>
      <c r="H286" s="35">
        <f>'Fiscal Forecasts'!H$210</f>
        <v>8.5990000000000002</v>
      </c>
      <c r="I286" s="35">
        <f>'Fiscal Forecasts'!I$210</f>
        <v>10.317</v>
      </c>
      <c r="J286" s="17">
        <f>'Fiscal Forecasts'!J$210</f>
        <v>9.6999999999999993</v>
      </c>
      <c r="K286" s="17">
        <f>'Fiscal Forecasts'!K$210</f>
        <v>10.332000000000001</v>
      </c>
      <c r="L286" s="17">
        <f>'Fiscal Forecasts'!L$210</f>
        <v>10.58</v>
      </c>
      <c r="M286" s="17">
        <f>'Fiscal Forecasts'!M$210</f>
        <v>10.975</v>
      </c>
      <c r="N286" s="17">
        <f>'Fiscal Forecasts'!N$210</f>
        <v>11.539</v>
      </c>
      <c r="O286" s="16">
        <f t="shared" ref="O286:AX286" ca="1" si="1151">N$286*(1+O$14)</f>
        <v>12.056670999287018</v>
      </c>
      <c r="P286" s="16">
        <f t="shared" ca="1" si="1151"/>
        <v>12.589519576620482</v>
      </c>
      <c r="Q286" s="16">
        <f t="shared" ca="1" si="1151"/>
        <v>13.12414259152262</v>
      </c>
      <c r="R286" s="16">
        <f t="shared" ca="1" si="1151"/>
        <v>13.65873108433496</v>
      </c>
      <c r="S286" s="16">
        <f t="shared" ca="1" si="1151"/>
        <v>14.210413744129974</v>
      </c>
      <c r="T286" s="16">
        <f t="shared" ca="1" si="1151"/>
        <v>14.778921718313299</v>
      </c>
      <c r="U286" s="16">
        <f t="shared" ca="1" si="1151"/>
        <v>15.366544108319996</v>
      </c>
      <c r="V286" s="16">
        <f t="shared" ca="1" si="1151"/>
        <v>15.973444929801024</v>
      </c>
      <c r="W286" s="16">
        <f t="shared" ca="1" si="1151"/>
        <v>16.596460852454765</v>
      </c>
      <c r="X286" s="16">
        <f t="shared" ca="1" si="1151"/>
        <v>17.236601176275492</v>
      </c>
      <c r="Y286" s="16">
        <f t="shared" ca="1" si="1151"/>
        <v>17.897218745439666</v>
      </c>
      <c r="Z286" s="16">
        <f t="shared" ca="1" si="1151"/>
        <v>18.578427431162758</v>
      </c>
      <c r="AA286" s="16">
        <f t="shared" ca="1" si="1151"/>
        <v>19.283013393383495</v>
      </c>
      <c r="AB286" s="16">
        <f t="shared" ca="1" si="1151"/>
        <v>20.010228937124086</v>
      </c>
      <c r="AC286" s="16">
        <f t="shared" ca="1" si="1151"/>
        <v>20.760055360150808</v>
      </c>
      <c r="AD286" s="16">
        <f t="shared" ca="1" si="1151"/>
        <v>21.533030046210758</v>
      </c>
      <c r="AE286" s="16">
        <f t="shared" ca="1" si="1151"/>
        <v>22.328942129817058</v>
      </c>
      <c r="AF286" s="16">
        <f t="shared" ca="1" si="1151"/>
        <v>23.147978274513324</v>
      </c>
      <c r="AG286" s="16">
        <f t="shared" ca="1" si="1151"/>
        <v>23.990226730855028</v>
      </c>
      <c r="AH286" s="16">
        <f t="shared" ca="1" si="1151"/>
        <v>24.855290359165171</v>
      </c>
      <c r="AI286" s="16">
        <f t="shared" ca="1" si="1151"/>
        <v>25.743989335632556</v>
      </c>
      <c r="AJ286" s="16">
        <f t="shared" ca="1" si="1151"/>
        <v>26.657372205865325</v>
      </c>
      <c r="AK286" s="16">
        <f t="shared" ca="1" si="1151"/>
        <v>27.594226473031551</v>
      </c>
      <c r="AL286" s="16">
        <f t="shared" ca="1" si="1151"/>
        <v>28.555837295974474</v>
      </c>
      <c r="AM286" s="16">
        <f t="shared" ca="1" si="1151"/>
        <v>29.543595831626313</v>
      </c>
      <c r="AN286" s="16">
        <f t="shared" ca="1" si="1151"/>
        <v>30.558625257753075</v>
      </c>
      <c r="AO286" s="16">
        <f t="shared" ca="1" si="1151"/>
        <v>31.601347547920028</v>
      </c>
      <c r="AP286" s="16">
        <f t="shared" ca="1" si="1151"/>
        <v>32.674970630319116</v>
      </c>
      <c r="AQ286" s="16">
        <f t="shared" ca="1" si="1151"/>
        <v>33.780543486556631</v>
      </c>
      <c r="AR286" s="16">
        <f t="shared" ca="1" si="1151"/>
        <v>34.920951331054759</v>
      </c>
      <c r="AS286" s="16">
        <f t="shared" ca="1" si="1151"/>
        <v>36.097046997865455</v>
      </c>
      <c r="AT286" s="16">
        <f t="shared" ca="1" si="1151"/>
        <v>37.312490231501187</v>
      </c>
      <c r="AU286" s="16">
        <f t="shared" ca="1" si="1151"/>
        <v>38.566755554214041</v>
      </c>
      <c r="AV286" s="16">
        <f t="shared" ca="1" si="1151"/>
        <v>39.863398909164417</v>
      </c>
      <c r="AW286" s="16">
        <f t="shared" ca="1" si="1151"/>
        <v>41.203563106550241</v>
      </c>
      <c r="AX286" s="16">
        <f t="shared" ca="1" si="1151"/>
        <v>42.586691304687371</v>
      </c>
    </row>
    <row r="287" spans="1:50" x14ac:dyDescent="0.25">
      <c r="A287" s="11" t="s">
        <v>787</v>
      </c>
      <c r="B287" s="10" t="str">
        <f>$B$38</f>
        <v>From Fiscal Forecasts</v>
      </c>
      <c r="D287" s="35">
        <f>'Fiscal Forecasts'!D$45-SUM(D$284:D$286)</f>
        <v>-3.0709999999999997</v>
      </c>
      <c r="E287" s="35">
        <f>'Fiscal Forecasts'!E$45-SUM(E$284:E$286)</f>
        <v>-2.9559999999999995</v>
      </c>
      <c r="F287" s="35">
        <f>'Fiscal Forecasts'!F$45-SUM(F$284:F$286)</f>
        <v>-5.4159999999999986</v>
      </c>
      <c r="G287" s="35">
        <f>'Fiscal Forecasts'!G$45-SUM(G$284:G$286)</f>
        <v>-4.5050000000000008</v>
      </c>
      <c r="H287" s="35">
        <f>'Fiscal Forecasts'!H$45-SUM(H$284:H$286)</f>
        <v>-5.7480000000000011</v>
      </c>
      <c r="I287" s="35">
        <f>'Fiscal Forecasts'!I$45-SUM(I$284:I$286)</f>
        <v>-5.6990000000000016</v>
      </c>
      <c r="J287" s="17">
        <f>'Fiscal Forecasts'!J$45-SUM(J$284:J$286)</f>
        <v>-5.9019999999999975</v>
      </c>
      <c r="K287" s="17">
        <f>'Fiscal Forecasts'!K$45-SUM(K$284:K$286)</f>
        <v>-5.1730000000000018</v>
      </c>
      <c r="L287" s="17">
        <f>'Fiscal Forecasts'!L$45-SUM(L$284:L$286)</f>
        <v>-5.0519999999999996</v>
      </c>
      <c r="M287" s="17">
        <f>'Fiscal Forecasts'!M$45-SUM(M$284:M$286)</f>
        <v>-4.7740000000000009</v>
      </c>
      <c r="N287" s="17">
        <f>'Fiscal Forecasts'!N$45-SUM(N$284:N$286)</f>
        <v>-5.2390000000000008</v>
      </c>
      <c r="O287" s="16">
        <f ca="1">N$287-(O$284-N$284)</f>
        <v>-5.2385308206873784</v>
      </c>
      <c r="P287" s="16">
        <f t="shared" ref="P287" ca="1" si="1152">O$287-(P$284-O$284)</f>
        <v>-5.2218730046634123</v>
      </c>
      <c r="Q287" s="16">
        <f t="shared" ref="Q287" ca="1" si="1153">P$287-(Q$284-P$284)</f>
        <v>-5.4317388569312799</v>
      </c>
      <c r="R287" s="16">
        <f t="shared" ref="R287" ca="1" si="1154">Q$287-(R$284-Q$284)</f>
        <v>-5.6877771953069534</v>
      </c>
      <c r="S287" s="16">
        <f t="shared" ref="S287" ca="1" si="1155">R$287-(S$284-R$284)</f>
        <v>-5.9520026947775744</v>
      </c>
      <c r="T287" s="16">
        <f t="shared" ref="T287" ca="1" si="1156">S$287-(T$284-S$284)</f>
        <v>-6.224286589811423</v>
      </c>
      <c r="U287" s="16">
        <f t="shared" ref="U287" ca="1" si="1157">T$287-(U$284-T$284)</f>
        <v>-6.5057252334645153</v>
      </c>
      <c r="V287" s="16">
        <f t="shared" ref="V287" ca="1" si="1158">U$287-(V$284-U$284)</f>
        <v>-6.796397180167606</v>
      </c>
      <c r="W287" s="16">
        <f t="shared" ref="W287" ca="1" si="1159">V$287-(W$284-V$284)</f>
        <v>-7.0947873695610895</v>
      </c>
      <c r="X287" s="16">
        <f t="shared" ref="X287" ca="1" si="1160">W$287-(X$284-W$284)</f>
        <v>-7.4013792005525953</v>
      </c>
      <c r="Y287" s="16">
        <f t="shared" ref="Y287" ca="1" si="1161">X$287-(Y$284-X$284)</f>
        <v>-7.7177785001722867</v>
      </c>
      <c r="Z287" s="16">
        <f t="shared" ref="Z287" ca="1" si="1162">Y$287-(Z$284-Y$284)</f>
        <v>-8.0440398064380823</v>
      </c>
      <c r="AA287" s="16">
        <f t="shared" ref="AA287" ca="1" si="1163">Z$287-(AA$284-Z$284)</f>
        <v>-8.3814975359540611</v>
      </c>
      <c r="AB287" s="16">
        <f t="shared" ref="AB287" ca="1" si="1164">AA$287-(AB$284-AA$284)</f>
        <v>-8.7297935841551269</v>
      </c>
      <c r="AC287" s="16">
        <f t="shared" ref="AC287" ca="1" si="1165">AB$287-(AC$284-AB$284)</f>
        <v>-9.0889189937051054</v>
      </c>
      <c r="AD287" s="16">
        <f t="shared" ref="AD287" ca="1" si="1166">AC$287-(AD$284-AC$284)</f>
        <v>-9.4591311417146606</v>
      </c>
      <c r="AE287" s="16">
        <f t="shared" ref="AE287" ca="1" si="1167">AD$287-(AE$284-AD$284)</f>
        <v>-9.8403290352712887</v>
      </c>
      <c r="AF287" s="16">
        <f t="shared" ref="AF287" ca="1" si="1168">AE$287-(AF$284-AE$284)</f>
        <v>-10.232602075894448</v>
      </c>
      <c r="AG287" s="16">
        <f t="shared" ref="AG287" ca="1" si="1169">AF$287-(AG$284-AF$284)</f>
        <v>-10.635992530722111</v>
      </c>
      <c r="AH287" s="16">
        <f t="shared" ref="AH287" ca="1" si="1170">AG$287-(AH$284-AG$284)</f>
        <v>-11.050310191801117</v>
      </c>
      <c r="AI287" s="16">
        <f t="shared" ref="AI287" ca="1" si="1171">AH$287-(AI$284-AH$284)</f>
        <v>-11.475947878190198</v>
      </c>
      <c r="AJ287" s="16">
        <f t="shared" ref="AJ287" ca="1" si="1172">AI$287-(AJ$284-AI$284)</f>
        <v>-11.913407785276704</v>
      </c>
      <c r="AK287" s="16">
        <f t="shared" ref="AK287" ca="1" si="1173">AJ$287-(AK$284-AJ$284)</f>
        <v>-12.362109194099588</v>
      </c>
      <c r="AL287" s="16">
        <f t="shared" ref="AL287" ca="1" si="1174">AK$287-(AL$284-AK$284)</f>
        <v>-12.822667624706884</v>
      </c>
      <c r="AM287" s="16">
        <f t="shared" ref="AM287" ca="1" si="1175">AL$287-(AM$284-AL$284)</f>
        <v>-13.295749364372133</v>
      </c>
      <c r="AN287" s="16">
        <f t="shared" ref="AN287" ca="1" si="1176">AM$287-(AN$284-AM$284)</f>
        <v>-13.78189235316097</v>
      </c>
      <c r="AO287" s="16">
        <f t="shared" ref="AO287" ca="1" si="1177">AN$287-(AO$284-AN$284)</f>
        <v>-14.281298693086327</v>
      </c>
      <c r="AP287" s="16">
        <f t="shared" ref="AP287" ca="1" si="1178">AO$287-(AP$284-AO$284)</f>
        <v>-14.795504804432099</v>
      </c>
      <c r="AQ287" s="16">
        <f t="shared" ref="AQ287" ca="1" si="1179">AP$287-(AQ$284-AP$284)</f>
        <v>-15.325013091404649</v>
      </c>
      <c r="AR287" s="16">
        <f t="shared" ref="AR287" ca="1" si="1180">AQ$287-(AR$284-AQ$284)</f>
        <v>-15.871205412230351</v>
      </c>
      <c r="AS287" s="16">
        <f t="shared" ref="AS287" ca="1" si="1181">AR$287-(AS$284-AR$284)</f>
        <v>-16.434490227279198</v>
      </c>
      <c r="AT287" s="16">
        <f t="shared" ref="AT287" ca="1" si="1182">AS$287-(AT$284-AS$284)</f>
        <v>-17.016620351878217</v>
      </c>
      <c r="AU287" s="16">
        <f t="shared" ref="AU287" ca="1" si="1183">AT$287-(AU$284-AT$284)</f>
        <v>-17.617344111232235</v>
      </c>
      <c r="AV287" s="16">
        <f t="shared" ref="AV287" ca="1" si="1184">AU$287-(AV$284-AU$284)</f>
        <v>-18.23836460555831</v>
      </c>
      <c r="AW287" s="16">
        <f t="shared" ref="AW287" ca="1" si="1185">AV$287-(AW$284-AV$284)</f>
        <v>-18.880229177771778</v>
      </c>
      <c r="AX287" s="16">
        <f t="shared" ref="AX287" ca="1" si="1186">AW$287-(AX$284-AW$284)</f>
        <v>-19.542671131485662</v>
      </c>
    </row>
    <row r="288" spans="1:50" x14ac:dyDescent="0.25">
      <c r="A288" s="9" t="s">
        <v>903</v>
      </c>
      <c r="D288" s="64">
        <f t="shared" ref="D288:AX288" si="1187">SUM(D$284:D$287)</f>
        <v>8.4290000000000003</v>
      </c>
      <c r="E288" s="64">
        <f t="shared" si="1187"/>
        <v>12.962</v>
      </c>
      <c r="F288" s="64">
        <f t="shared" si="1187"/>
        <v>10.335000000000001</v>
      </c>
      <c r="G288" s="64">
        <f t="shared" si="1187"/>
        <v>9.5280000000000005</v>
      </c>
      <c r="H288" s="64">
        <f t="shared" si="1187"/>
        <v>14.428000000000001</v>
      </c>
      <c r="I288" s="64">
        <f t="shared" si="1187"/>
        <v>16.733000000000001</v>
      </c>
      <c r="J288" s="65">
        <f t="shared" si="1187"/>
        <v>16.224</v>
      </c>
      <c r="K288" s="65">
        <f t="shared" si="1187"/>
        <v>18.323</v>
      </c>
      <c r="L288" s="65">
        <f t="shared" si="1187"/>
        <v>16.518999999999998</v>
      </c>
      <c r="M288" s="65">
        <f t="shared" si="1187"/>
        <v>16.111999999999998</v>
      </c>
      <c r="N288" s="65">
        <f t="shared" si="1187"/>
        <v>16.712</v>
      </c>
      <c r="O288" s="66">
        <f t="shared" ca="1" si="1187"/>
        <v>17.238174365243253</v>
      </c>
      <c r="P288" s="66">
        <f t="shared" ca="1" si="1187"/>
        <v>17.76360073756469</v>
      </c>
      <c r="Q288" s="66">
        <f t="shared" ca="1" si="1187"/>
        <v>18.517355971229229</v>
      </c>
      <c r="R288" s="66">
        <f t="shared" ca="1" si="1187"/>
        <v>19.317248570556806</v>
      </c>
      <c r="S288" s="66">
        <f t="shared" ca="1" si="1187"/>
        <v>20.142718783029736</v>
      </c>
      <c r="T288" s="66">
        <f t="shared" ca="1" si="1187"/>
        <v>20.993364330627767</v>
      </c>
      <c r="U288" s="66">
        <f t="shared" ca="1" si="1187"/>
        <v>21.872610343748633</v>
      </c>
      <c r="V288" s="66">
        <f t="shared" ca="1" si="1187"/>
        <v>22.780702235279332</v>
      </c>
      <c r="W288" s="66">
        <f t="shared" ca="1" si="1187"/>
        <v>23.712906786058745</v>
      </c>
      <c r="X288" s="66">
        <f t="shared" ca="1" si="1187"/>
        <v>24.670734188705637</v>
      </c>
      <c r="Y288" s="66">
        <f t="shared" ca="1" si="1187"/>
        <v>25.659201227680406</v>
      </c>
      <c r="Z288" s="66">
        <f t="shared" ca="1" si="1187"/>
        <v>26.678478285892073</v>
      </c>
      <c r="AA288" s="66">
        <f t="shared" ca="1" si="1187"/>
        <v>27.732734231068783</v>
      </c>
      <c r="AB288" s="66">
        <f t="shared" ca="1" si="1187"/>
        <v>28.820850304226163</v>
      </c>
      <c r="AC288" s="66">
        <f t="shared" ca="1" si="1187"/>
        <v>29.942798521637357</v>
      </c>
      <c r="AD288" s="66">
        <f t="shared" ca="1" si="1187"/>
        <v>31.09938295837711</v>
      </c>
      <c r="AE288" s="66">
        <f t="shared" ca="1" si="1187"/>
        <v>32.29028810121482</v>
      </c>
      <c r="AF288" s="66">
        <f t="shared" ca="1" si="1187"/>
        <v>33.515793250563988</v>
      </c>
      <c r="AG288" s="66">
        <f t="shared" ca="1" si="1187"/>
        <v>34.776030453722989</v>
      </c>
      <c r="AH288" s="66">
        <f t="shared" ca="1" si="1187"/>
        <v>36.070405479628477</v>
      </c>
      <c r="AI288" s="66">
        <f t="shared" ca="1" si="1187"/>
        <v>37.400145539251859</v>
      </c>
      <c r="AJ288" s="66">
        <f t="shared" ca="1" si="1187"/>
        <v>38.766819547531057</v>
      </c>
      <c r="AK288" s="66">
        <f t="shared" ca="1" si="1187"/>
        <v>40.16861327304207</v>
      </c>
      <c r="AL288" s="66">
        <f t="shared" ca="1" si="1187"/>
        <v>41.607449669723295</v>
      </c>
      <c r="AM288" s="66">
        <f t="shared" ca="1" si="1187"/>
        <v>43.085410294042056</v>
      </c>
      <c r="AN288" s="66">
        <f t="shared" ca="1" si="1187"/>
        <v>44.604175731336142</v>
      </c>
      <c r="AO288" s="66">
        <f t="shared" ca="1" si="1187"/>
        <v>46.164377371050897</v>
      </c>
      <c r="AP288" s="66">
        <f t="shared" ca="1" si="1187"/>
        <v>47.770815163156087</v>
      </c>
      <c r="AQ288" s="66">
        <f t="shared" ca="1" si="1187"/>
        <v>49.425058674963729</v>
      </c>
      <c r="AR288" s="66">
        <f t="shared" ca="1" si="1187"/>
        <v>51.131424987172011</v>
      </c>
      <c r="AS288" s="66">
        <f t="shared" ca="1" si="1187"/>
        <v>52.891190175969953</v>
      </c>
      <c r="AT288" s="66">
        <f t="shared" ca="1" si="1187"/>
        <v>54.709830233808404</v>
      </c>
      <c r="AU288" s="66">
        <f t="shared" ca="1" si="1187"/>
        <v>56.58655890028836</v>
      </c>
      <c r="AV288" s="66">
        <f t="shared" ca="1" si="1187"/>
        <v>58.526696852259157</v>
      </c>
      <c r="AW288" s="66">
        <f t="shared" ca="1" si="1187"/>
        <v>60.531954050619788</v>
      </c>
      <c r="AX288" s="66">
        <f t="shared" ca="1" si="1187"/>
        <v>62.601497305827024</v>
      </c>
    </row>
    <row r="290" spans="1:50" x14ac:dyDescent="0.25">
      <c r="A290" s="9" t="s">
        <v>904</v>
      </c>
    </row>
    <row r="291" spans="1:50" x14ac:dyDescent="0.25">
      <c r="A291" s="11" t="s">
        <v>905</v>
      </c>
      <c r="D291" s="35">
        <f t="shared" ref="D291:AX291" si="1188">D$236</f>
        <v>0</v>
      </c>
      <c r="E291" s="35">
        <f t="shared" si="1188"/>
        <v>0</v>
      </c>
      <c r="F291" s="35">
        <f t="shared" si="1188"/>
        <v>1E-3</v>
      </c>
      <c r="G291" s="35">
        <f t="shared" si="1188"/>
        <v>1E-3</v>
      </c>
      <c r="H291" s="35">
        <f t="shared" si="1188"/>
        <v>3.0000000000000001E-3</v>
      </c>
      <c r="I291" s="35">
        <f t="shared" si="1188"/>
        <v>2E-3</v>
      </c>
      <c r="J291" s="17">
        <f t="shared" si="1188"/>
        <v>3.0000000000000001E-3</v>
      </c>
      <c r="K291" s="17">
        <f t="shared" si="1188"/>
        <v>3.0000000000000001E-3</v>
      </c>
      <c r="L291" s="17">
        <f t="shared" si="1188"/>
        <v>3.0000000000000001E-3</v>
      </c>
      <c r="M291" s="17">
        <f t="shared" si="1188"/>
        <v>2E-3</v>
      </c>
      <c r="N291" s="17">
        <f t="shared" si="1188"/>
        <v>3.0000000000000001E-3</v>
      </c>
      <c r="O291" s="16">
        <f t="shared" ca="1" si="1188"/>
        <v>0</v>
      </c>
      <c r="P291" s="16">
        <f t="shared" ca="1" si="1188"/>
        <v>0</v>
      </c>
      <c r="Q291" s="16">
        <f t="shared" ca="1" si="1188"/>
        <v>0</v>
      </c>
      <c r="R291" s="16">
        <f t="shared" ca="1" si="1188"/>
        <v>0</v>
      </c>
      <c r="S291" s="16">
        <f t="shared" ca="1" si="1188"/>
        <v>0</v>
      </c>
      <c r="T291" s="16">
        <f t="shared" ca="1" si="1188"/>
        <v>0</v>
      </c>
      <c r="U291" s="16">
        <f t="shared" ca="1" si="1188"/>
        <v>0</v>
      </c>
      <c r="V291" s="16">
        <f t="shared" ca="1" si="1188"/>
        <v>0</v>
      </c>
      <c r="W291" s="16">
        <f t="shared" ca="1" si="1188"/>
        <v>0</v>
      </c>
      <c r="X291" s="16">
        <f t="shared" ca="1" si="1188"/>
        <v>0</v>
      </c>
      <c r="Y291" s="16">
        <f t="shared" ca="1" si="1188"/>
        <v>0</v>
      </c>
      <c r="Z291" s="16">
        <f t="shared" ca="1" si="1188"/>
        <v>0</v>
      </c>
      <c r="AA291" s="16">
        <f t="shared" ca="1" si="1188"/>
        <v>0</v>
      </c>
      <c r="AB291" s="16">
        <f t="shared" ca="1" si="1188"/>
        <v>0</v>
      </c>
      <c r="AC291" s="16">
        <f t="shared" ca="1" si="1188"/>
        <v>0</v>
      </c>
      <c r="AD291" s="16">
        <f t="shared" ca="1" si="1188"/>
        <v>0</v>
      </c>
      <c r="AE291" s="16">
        <f t="shared" ca="1" si="1188"/>
        <v>0</v>
      </c>
      <c r="AF291" s="16">
        <f t="shared" ca="1" si="1188"/>
        <v>0</v>
      </c>
      <c r="AG291" s="16">
        <f t="shared" ca="1" si="1188"/>
        <v>0</v>
      </c>
      <c r="AH291" s="16">
        <f t="shared" ca="1" si="1188"/>
        <v>0</v>
      </c>
      <c r="AI291" s="16">
        <f t="shared" ca="1" si="1188"/>
        <v>0</v>
      </c>
      <c r="AJ291" s="16">
        <f t="shared" ca="1" si="1188"/>
        <v>0</v>
      </c>
      <c r="AK291" s="16">
        <f t="shared" ca="1" si="1188"/>
        <v>0</v>
      </c>
      <c r="AL291" s="16">
        <f t="shared" ca="1" si="1188"/>
        <v>0</v>
      </c>
      <c r="AM291" s="16">
        <f t="shared" ca="1" si="1188"/>
        <v>0</v>
      </c>
      <c r="AN291" s="16">
        <f t="shared" ca="1" si="1188"/>
        <v>0</v>
      </c>
      <c r="AO291" s="16">
        <f t="shared" ca="1" si="1188"/>
        <v>0</v>
      </c>
      <c r="AP291" s="16">
        <f t="shared" ca="1" si="1188"/>
        <v>0</v>
      </c>
      <c r="AQ291" s="16">
        <f t="shared" ca="1" si="1188"/>
        <v>0</v>
      </c>
      <c r="AR291" s="16">
        <f t="shared" ca="1" si="1188"/>
        <v>0</v>
      </c>
      <c r="AS291" s="16">
        <f t="shared" ca="1" si="1188"/>
        <v>0</v>
      </c>
      <c r="AT291" s="16">
        <f t="shared" ca="1" si="1188"/>
        <v>0</v>
      </c>
      <c r="AU291" s="16">
        <f t="shared" ca="1" si="1188"/>
        <v>0</v>
      </c>
      <c r="AV291" s="16">
        <f t="shared" ca="1" si="1188"/>
        <v>0</v>
      </c>
      <c r="AW291" s="16">
        <f t="shared" ca="1" si="1188"/>
        <v>0</v>
      </c>
      <c r="AX291" s="16">
        <f t="shared" ca="1" si="1188"/>
        <v>0</v>
      </c>
    </row>
    <row r="292" spans="1:50" x14ac:dyDescent="0.25">
      <c r="A292" s="11" t="s">
        <v>871</v>
      </c>
      <c r="D292" s="35">
        <f t="shared" ref="D292:AX292" si="1189">D$190</f>
        <v>0.95099999999999996</v>
      </c>
      <c r="E292" s="35">
        <f t="shared" si="1189"/>
        <v>0.89300000000000002</v>
      </c>
      <c r="F292" s="35">
        <f t="shared" si="1189"/>
        <v>0.91600000000000004</v>
      </c>
      <c r="G292" s="35">
        <f t="shared" si="1189"/>
        <v>0.96399999999999997</v>
      </c>
      <c r="H292" s="35">
        <f t="shared" si="1189"/>
        <v>0.997</v>
      </c>
      <c r="I292" s="35">
        <f t="shared" si="1189"/>
        <v>1.014</v>
      </c>
      <c r="J292" s="17">
        <f t="shared" si="1189"/>
        <v>1.06</v>
      </c>
      <c r="K292" s="17">
        <f t="shared" si="1189"/>
        <v>0.54500000000000004</v>
      </c>
      <c r="L292" s="17">
        <f t="shared" si="1189"/>
        <v>0.56499999999999995</v>
      </c>
      <c r="M292" s="17">
        <f t="shared" si="1189"/>
        <v>0.58799999999999997</v>
      </c>
      <c r="N292" s="17">
        <f t="shared" si="1189"/>
        <v>0.61299999999999999</v>
      </c>
      <c r="O292" s="16">
        <f t="shared" si="1189"/>
        <v>0.63900000000000001</v>
      </c>
      <c r="P292" s="16">
        <f t="shared" si="1189"/>
        <v>0.67</v>
      </c>
      <c r="Q292" s="16">
        <f t="shared" si="1189"/>
        <v>0.7</v>
      </c>
      <c r="R292" s="16">
        <f t="shared" ca="1" si="1189"/>
        <v>0.7285132489500955</v>
      </c>
      <c r="S292" s="16">
        <f t="shared" ca="1" si="1189"/>
        <v>0.75793824636714247</v>
      </c>
      <c r="T292" s="16">
        <f t="shared" ca="1" si="1189"/>
        <v>0.78826065250934496</v>
      </c>
      <c r="U292" s="16">
        <f t="shared" ca="1" si="1189"/>
        <v>0.8196025607624895</v>
      </c>
      <c r="V292" s="16">
        <f t="shared" ca="1" si="1189"/>
        <v>0.85197271919944018</v>
      </c>
      <c r="W292" s="16">
        <f t="shared" ca="1" si="1189"/>
        <v>0.88520240584878518</v>
      </c>
      <c r="X292" s="16">
        <f t="shared" ca="1" si="1189"/>
        <v>0.91934545356025654</v>
      </c>
      <c r="Y292" s="16">
        <f t="shared" ca="1" si="1189"/>
        <v>0.95458069237224752</v>
      </c>
      <c r="Z292" s="16">
        <f t="shared" ca="1" si="1189"/>
        <v>0.99091419581301143</v>
      </c>
      <c r="AA292" s="16">
        <f t="shared" ca="1" si="1189"/>
        <v>1.0284945687870981</v>
      </c>
      <c r="AB292" s="16">
        <f t="shared" ca="1" si="1189"/>
        <v>1.0672819316238313</v>
      </c>
      <c r="AC292" s="16">
        <f t="shared" ca="1" si="1189"/>
        <v>1.107275286805582</v>
      </c>
      <c r="AD292" s="16">
        <f t="shared" ca="1" si="1189"/>
        <v>1.148503296671268</v>
      </c>
      <c r="AE292" s="16">
        <f t="shared" ca="1" si="1189"/>
        <v>1.1909547143268706</v>
      </c>
      <c r="AF292" s="16">
        <f t="shared" ca="1" si="1189"/>
        <v>1.2346394958117746</v>
      </c>
      <c r="AG292" s="16">
        <f t="shared" ca="1" si="1189"/>
        <v>1.2795623481297629</v>
      </c>
      <c r="AH292" s="16">
        <f t="shared" ca="1" si="1189"/>
        <v>1.3257020891143088</v>
      </c>
      <c r="AI292" s="16">
        <f t="shared" ca="1" si="1189"/>
        <v>1.3731024643532215</v>
      </c>
      <c r="AJ292" s="16">
        <f t="shared" ca="1" si="1189"/>
        <v>1.4218193999323832</v>
      </c>
      <c r="AK292" s="16">
        <f t="shared" ca="1" si="1189"/>
        <v>1.4717882251293879</v>
      </c>
      <c r="AL292" s="16">
        <f t="shared" ca="1" si="1189"/>
        <v>1.5230774862270877</v>
      </c>
      <c r="AM292" s="16">
        <f t="shared" ca="1" si="1189"/>
        <v>1.5757613831090758</v>
      </c>
      <c r="AN292" s="16">
        <f t="shared" ca="1" si="1189"/>
        <v>1.6298998225030279</v>
      </c>
      <c r="AO292" s="16">
        <f t="shared" ca="1" si="1189"/>
        <v>1.6855153111360408</v>
      </c>
      <c r="AP292" s="16">
        <f t="shared" ca="1" si="1189"/>
        <v>1.7427789496890695</v>
      </c>
      <c r="AQ292" s="16">
        <f t="shared" ca="1" si="1189"/>
        <v>1.8017466875027497</v>
      </c>
      <c r="AR292" s="16">
        <f t="shared" ca="1" si="1189"/>
        <v>1.8625724127325511</v>
      </c>
      <c r="AS292" s="16">
        <f t="shared" ca="1" si="1189"/>
        <v>1.9253016128327745</v>
      </c>
      <c r="AT292" s="16">
        <f t="shared" ca="1" si="1189"/>
        <v>1.9901294869290667</v>
      </c>
      <c r="AU292" s="16">
        <f t="shared" ca="1" si="1189"/>
        <v>2.0570280077106164</v>
      </c>
      <c r="AV292" s="16">
        <f t="shared" ca="1" si="1189"/>
        <v>2.1261868378692848</v>
      </c>
      <c r="AW292" s="16">
        <f t="shared" ca="1" si="1189"/>
        <v>2.1976669312641892</v>
      </c>
      <c r="AX292" s="16">
        <f t="shared" ca="1" si="1189"/>
        <v>2.2714385877319709</v>
      </c>
    </row>
    <row r="293" spans="1:50" x14ac:dyDescent="0.25">
      <c r="A293" s="11" t="s">
        <v>907</v>
      </c>
      <c r="B293" s="10" t="str">
        <f>$B$38</f>
        <v>From Fiscal Forecasts</v>
      </c>
      <c r="C293" s="63" cm="1">
        <f t="array" aca="1" ref="C293" ca="1">SUMPRODUCT(OFFSET($N$293,0,0,1,-OFFSET(Assumptions!$B$39,0,$C$1))/OFFSET($N$13,0,0,1,-OFFSET(Assumptions!$B$39,0,$C$1)))/OFFSET(Assumptions!$B$39,0,$C$1)</f>
        <v>7.9702269682189481E-3</v>
      </c>
      <c r="D293" s="35">
        <f>'Fiscal Forecasts'!D$63-SUM(D$291:D$292)</f>
        <v>2.0549999999999997</v>
      </c>
      <c r="E293" s="35">
        <f>'Fiscal Forecasts'!E$63-SUM(E$291:E$292)</f>
        <v>3.0949999999999998</v>
      </c>
      <c r="F293" s="35">
        <f>'Fiscal Forecasts'!F$63-SUM(F$291:F$292)</f>
        <v>3.5640000000000001</v>
      </c>
      <c r="G293" s="35">
        <f>'Fiscal Forecasts'!G$63-SUM(G$291:G$292)</f>
        <v>7.1129999999999995</v>
      </c>
      <c r="H293" s="35">
        <f>'Fiscal Forecasts'!H$63-SUM(H$291:H$292)</f>
        <v>2.69</v>
      </c>
      <c r="I293" s="35">
        <f>'Fiscal Forecasts'!I$63-SUM(I$291:I$292)</f>
        <v>2.9939999999999998</v>
      </c>
      <c r="J293" s="17">
        <f>'Fiscal Forecasts'!J$63-SUM(J$291:J$292)+Allocation!C$17</f>
        <v>2.4350000000000001</v>
      </c>
      <c r="K293" s="17">
        <f>'Fiscal Forecasts'!K$63-SUM(K$291:K$292)+Allocation!D$17</f>
        <v>2.6035999999999997</v>
      </c>
      <c r="L293" s="17">
        <f>'Fiscal Forecasts'!L$63-SUM(L$291:L$292)+Allocation!E$17</f>
        <v>2.5866699999999998</v>
      </c>
      <c r="M293" s="17">
        <f>'Fiscal Forecasts'!M$63-SUM(M$291:M$292)+Allocation!F$17</f>
        <v>2.45017</v>
      </c>
      <c r="N293" s="17">
        <f>'Fiscal Forecasts'!N$63-SUM(N$291:N$292)+Allocation!G$17</f>
        <v>2.46719</v>
      </c>
      <c r="O293" s="16">
        <f ca="1">(N$293/N$13+MIN(ABS($C$293-N$293/N$13),OFFSET(Assumptions!$B$40,0,$C$1))*SIGN($C$293-N$293/N$13))*O$13</f>
        <v>2.8516926407379404</v>
      </c>
      <c r="P293" s="16">
        <f ca="1">(O$293/O$13+MIN(ABS($C$293-O$293/O$13),OFFSET(Assumptions!$B$40,0,$C$1))*SIGN($C$293-O$293/O$13))*P$13</f>
        <v>3.263643381903091</v>
      </c>
      <c r="Q293" s="16">
        <f ca="1">(P$293/P$13+MIN(ABS($C$293-P$293/P$13),OFFSET(Assumptions!$B$40,0,$C$1))*SIGN($C$293-P$293/P$13))*Q$13</f>
        <v>3.7002973529257064</v>
      </c>
      <c r="R293" s="16">
        <f ca="1">(Q$293/Q$13+MIN(ABS($C$293-Q$293/Q$13),OFFSET(Assumptions!$B$40,0,$C$1))*SIGN($C$293-Q$293/Q$13))*R$13</f>
        <v>4.1612243392605937</v>
      </c>
      <c r="S293" s="16">
        <f ca="1">(R$293/R$13+MIN(ABS($C$293-R$293/R$13),OFFSET(Assumptions!$B$40,0,$C$1))*SIGN($C$293-R$293/R$13))*S$13</f>
        <v>4.6520293670493338</v>
      </c>
      <c r="T293" s="16">
        <f ca="1">(S$293/S$13+MIN(ABS($C$293-S$293/S$13),OFFSET(Assumptions!$B$40,0,$C$1))*SIGN($C$293-S$293/S$13))*T$13</f>
        <v>5.1737829881915935</v>
      </c>
      <c r="U293" s="16">
        <f ca="1">(T$293/T$13+MIN(ABS($C$293-T$293/T$13),OFFSET(Assumptions!$B$40,0,$C$1))*SIGN($C$293-T$293/T$13))*U$13</f>
        <v>5.5630262868081957</v>
      </c>
      <c r="V293" s="16">
        <f ca="1">(U$293/U$13+MIN(ABS($C$293-U$293/U$13),OFFSET(Assumptions!$B$40,0,$C$1))*SIGN($C$293-U$293/U$13))*V$13</f>
        <v>5.7827377066033891</v>
      </c>
      <c r="W293" s="16">
        <f ca="1">(V$293/V$13+MIN(ABS($C$293-V$293/V$13),OFFSET(Assumptions!$B$40,0,$C$1))*SIGN($C$293-V$293/V$13))*W$13</f>
        <v>6.008283146774696</v>
      </c>
      <c r="X293" s="16">
        <f ca="1">(W$293/W$13+MIN(ABS($C$293-W$293/W$13),OFFSET(Assumptions!$B$40,0,$C$1))*SIGN($C$293-W$293/W$13))*X$13</f>
        <v>6.2400279960757503</v>
      </c>
      <c r="Y293" s="16">
        <f ca="1">(X$293/X$13+MIN(ABS($C$293-X$293/X$13),OFFSET(Assumptions!$B$40,0,$C$1))*SIGN($C$293-X$293/X$13))*Y$13</f>
        <v>6.4791860576985867</v>
      </c>
      <c r="Z293" s="16">
        <f ca="1">(Y$293/Y$13+MIN(ABS($C$293-Y$293/Y$13),OFFSET(Assumptions!$B$40,0,$C$1))*SIGN($C$293-Y$293/Y$13))*Z$13</f>
        <v>6.7257985555228572</v>
      </c>
      <c r="AA293" s="16">
        <f ca="1">(Z$293/Z$13+MIN(ABS($C$293-Z$293/Z$13),OFFSET(Assumptions!$B$40,0,$C$1))*SIGN($C$293-Z$293/Z$13))*AA$13</f>
        <v>6.980874140606935</v>
      </c>
      <c r="AB293" s="16">
        <f ca="1">(AA$293/AA$13+MIN(ABS($C$293-AA$293/AA$13),OFFSET(Assumptions!$B$40,0,$C$1))*SIGN($C$293-AA$293/AA$13))*AB$13</f>
        <v>7.2441421309557885</v>
      </c>
      <c r="AC293" s="16">
        <f ca="1">(AB$293/AB$13+MIN(ABS($C$293-AB$293/AB$13),OFFSET(Assumptions!$B$40,0,$C$1))*SIGN($C$293-AB$293/AB$13))*AC$13</f>
        <v>7.5155957559502671</v>
      </c>
      <c r="AD293" s="16">
        <f ca="1">(AC$293/AC$13+MIN(ABS($C$293-AC$293/AC$13),OFFSET(Assumptions!$B$40,0,$C$1))*SIGN($C$293-AC$293/AC$13))*AD$13</f>
        <v>7.7954295603032326</v>
      </c>
      <c r="AE293" s="16">
        <f ca="1">(AD$293/AD$13+MIN(ABS($C$293-AD$293/AD$13),OFFSET(Assumptions!$B$40,0,$C$1))*SIGN($C$293-AD$293/AD$13))*AE$13</f>
        <v>8.0835672060796053</v>
      </c>
      <c r="AF293" s="16">
        <f ca="1">(AE$293/AE$13+MIN(ABS($C$293-AE$293/AE$13),OFFSET(Assumptions!$B$40,0,$C$1))*SIGN($C$293-AE$293/AE$13))*AF$13</f>
        <v>8.3800762695797335</v>
      </c>
      <c r="AG293" s="16">
        <f ca="1">(AF$293/AF$13+MIN(ABS($C$293-AF$293/AF$13),OFFSET(Assumptions!$B$40,0,$C$1))*SIGN($C$293-AF$293/AF$13))*AG$13</f>
        <v>8.6849886994419343</v>
      </c>
      <c r="AH293" s="16">
        <f ca="1">(AG$293/AG$13+MIN(ABS($C$293-AG$293/AG$13),OFFSET(Assumptions!$B$40,0,$C$1))*SIGN($C$293-AG$293/AG$13))*AH$13</f>
        <v>8.9981607223852969</v>
      </c>
      <c r="AI293" s="16">
        <f ca="1">(AH$293/AH$13+MIN(ABS($C$293-AH$293/AH$13),OFFSET(Assumptions!$B$40,0,$C$1))*SIGN($C$293-AH$293/AH$13))*AI$13</f>
        <v>9.3198892601943157</v>
      </c>
      <c r="AJ293" s="16">
        <f ca="1">(AI$293/AI$13+MIN(ABS($C$293-AI$293/AI$13),OFFSET(Assumptions!$B$40,0,$C$1))*SIGN($C$293-AI$293/AI$13))*AJ$13</f>
        <v>9.6505539093963506</v>
      </c>
      <c r="AK293" s="16">
        <f ca="1">(AJ$293/AJ$13+MIN(ABS($C$293-AJ$293/AJ$13),OFFSET(Assumptions!$B$40,0,$C$1))*SIGN($C$293-AJ$293/AJ$13))*AK$13</f>
        <v>9.9897157195220458</v>
      </c>
      <c r="AL293" s="16">
        <f ca="1">(AK$293/AK$13+MIN(ABS($C$293-AK$293/AK$13),OFFSET(Assumptions!$B$40,0,$C$1))*SIGN($C$293-AK$293/AK$13))*AL$13</f>
        <v>10.337839946283895</v>
      </c>
      <c r="AM293" s="16">
        <f ca="1">(AL$293/AL$13+MIN(ABS($C$293-AL$293/AL$13),OFFSET(Assumptions!$B$40,0,$C$1))*SIGN($C$293-AL$293/AL$13))*AM$13</f>
        <v>10.695430219029424</v>
      </c>
      <c r="AN293" s="16">
        <f ca="1">(AM$293/AM$13+MIN(ABS($C$293-AM$293/AM$13),OFFSET(Assumptions!$B$40,0,$C$1))*SIGN($C$293-AM$293/AM$13))*AN$13</f>
        <v>11.062893152765431</v>
      </c>
      <c r="AO293" s="16">
        <f ca="1">(AN$293/AN$13+MIN(ABS($C$293-AN$293/AN$13),OFFSET(Assumptions!$B$40,0,$C$1))*SIGN($C$293-AN$293/AN$13))*AO$13</f>
        <v>11.440381511185521</v>
      </c>
      <c r="AP293" s="16">
        <f ca="1">(AO$293/AO$13+MIN(ABS($C$293-AO$293/AO$13),OFFSET(Assumptions!$B$40,0,$C$1))*SIGN($C$293-AO$293/AO$13))*AP$13</f>
        <v>11.829056634714199</v>
      </c>
      <c r="AQ293" s="16">
        <f ca="1">(AP$293/AP$13+MIN(ABS($C$293-AP$293/AP$13),OFFSET(Assumptions!$B$40,0,$C$1))*SIGN($C$293-AP$293/AP$13))*AQ$13</f>
        <v>12.229298277719728</v>
      </c>
      <c r="AR293" s="16">
        <f ca="1">(AQ$293/AQ$13+MIN(ABS($C$293-AQ$293/AQ$13),OFFSET(Assumptions!$B$40,0,$C$1))*SIGN($C$293-AQ$293/AQ$13))*AR$13</f>
        <v>12.642150951157891</v>
      </c>
      <c r="AS293" s="16">
        <f ca="1">(AR$293/AR$13+MIN(ABS($C$293-AR$293/AR$13),OFFSET(Assumptions!$B$40,0,$C$1))*SIGN($C$293-AR$293/AR$13))*AS$13</f>
        <v>13.067923399676534</v>
      </c>
      <c r="AT293" s="16">
        <f ca="1">(AS$293/AS$13+MIN(ABS($C$293-AS$293/AS$13),OFFSET(Assumptions!$B$40,0,$C$1))*SIGN($C$293-AS$293/AS$13))*AT$13</f>
        <v>13.507940531126266</v>
      </c>
      <c r="AU293" s="16">
        <f ca="1">(AT$293/AT$13+MIN(ABS($C$293-AT$293/AT$13),OFFSET(Assumptions!$B$40,0,$C$1))*SIGN($C$293-AT$293/AT$13))*AU$13</f>
        <v>13.962012111027288</v>
      </c>
      <c r="AV293" s="16">
        <f ca="1">(AU$293/AU$13+MIN(ABS($C$293-AU$293/AU$13),OFFSET(Assumptions!$B$40,0,$C$1))*SIGN($C$293-AU$293/AU$13))*AV$13</f>
        <v>14.431425468862157</v>
      </c>
      <c r="AW293" s="16">
        <f ca="1">(AV$293/AV$13+MIN(ABS($C$293-AV$293/AV$13),OFFSET(Assumptions!$B$40,0,$C$1))*SIGN($C$293-AV$293/AV$13))*AW$13</f>
        <v>14.91659432700899</v>
      </c>
      <c r="AX293" s="16">
        <f ca="1">(AW$293/AW$13+MIN(ABS($C$293-AW$293/AW$13),OFFSET(Assumptions!$B$40,0,$C$1))*SIGN($C$293-AW$293/AW$13))*AX$13</f>
        <v>15.417317096554584</v>
      </c>
    </row>
    <row r="294" spans="1:50" x14ac:dyDescent="0.25">
      <c r="A294" s="9" t="s">
        <v>908</v>
      </c>
      <c r="D294" s="64">
        <f t="shared" ref="D294:I294" si="1190">SUM(D$291:D$293)</f>
        <v>3.0059999999999998</v>
      </c>
      <c r="E294" s="64">
        <f t="shared" si="1190"/>
        <v>3.9879999999999995</v>
      </c>
      <c r="F294" s="64">
        <f t="shared" si="1190"/>
        <v>4.4809999999999999</v>
      </c>
      <c r="G294" s="64">
        <f t="shared" si="1190"/>
        <v>8.0779999999999994</v>
      </c>
      <c r="H294" s="64">
        <f t="shared" si="1190"/>
        <v>3.69</v>
      </c>
      <c r="I294" s="64">
        <f t="shared" si="1190"/>
        <v>4.01</v>
      </c>
      <c r="J294" s="65">
        <f t="shared" ref="J294:M294" si="1191">SUM(J$291:J$293)</f>
        <v>3.4980000000000002</v>
      </c>
      <c r="K294" s="65">
        <f t="shared" si="1191"/>
        <v>3.1515999999999997</v>
      </c>
      <c r="L294" s="65">
        <f t="shared" si="1191"/>
        <v>3.1546699999999999</v>
      </c>
      <c r="M294" s="65">
        <f t="shared" si="1191"/>
        <v>3.0401699999999998</v>
      </c>
      <c r="N294" s="65">
        <f t="shared" ref="N294:AX294" si="1192">SUM(N$291:N$293)</f>
        <v>3.0831900000000001</v>
      </c>
      <c r="O294" s="66">
        <f t="shared" ca="1" si="1192"/>
        <v>3.4906926407379402</v>
      </c>
      <c r="P294" s="66">
        <f t="shared" ca="1" si="1192"/>
        <v>3.9336433819030909</v>
      </c>
      <c r="Q294" s="66">
        <f t="shared" ca="1" si="1192"/>
        <v>4.4002973529257066</v>
      </c>
      <c r="R294" s="66">
        <f t="shared" ca="1" si="1192"/>
        <v>4.8897375882106893</v>
      </c>
      <c r="S294" s="66">
        <f t="shared" ca="1" si="1192"/>
        <v>5.4099676134164767</v>
      </c>
      <c r="T294" s="66">
        <f t="shared" ca="1" si="1192"/>
        <v>5.962043640700939</v>
      </c>
      <c r="U294" s="66">
        <f t="shared" ca="1" si="1192"/>
        <v>6.3826288475706852</v>
      </c>
      <c r="V294" s="66">
        <f t="shared" ca="1" si="1192"/>
        <v>6.6347104258028295</v>
      </c>
      <c r="W294" s="66">
        <f t="shared" ca="1" si="1192"/>
        <v>6.8934855526234813</v>
      </c>
      <c r="X294" s="66">
        <f t="shared" ca="1" si="1192"/>
        <v>7.1593734496360071</v>
      </c>
      <c r="Y294" s="66">
        <f t="shared" ca="1" si="1192"/>
        <v>7.4337667500708342</v>
      </c>
      <c r="Z294" s="66">
        <f t="shared" ca="1" si="1192"/>
        <v>7.7167127513358684</v>
      </c>
      <c r="AA294" s="66">
        <f t="shared" ca="1" si="1192"/>
        <v>8.0093687093940336</v>
      </c>
      <c r="AB294" s="66">
        <f t="shared" ca="1" si="1192"/>
        <v>8.3114240625796203</v>
      </c>
      <c r="AC294" s="66">
        <f t="shared" ca="1" si="1192"/>
        <v>8.6228710427558486</v>
      </c>
      <c r="AD294" s="66">
        <f t="shared" ca="1" si="1192"/>
        <v>8.9439328569745005</v>
      </c>
      <c r="AE294" s="66">
        <f t="shared" ca="1" si="1192"/>
        <v>9.2745219204064764</v>
      </c>
      <c r="AF294" s="66">
        <f t="shared" ca="1" si="1192"/>
        <v>9.6147157653915087</v>
      </c>
      <c r="AG294" s="66">
        <f t="shared" ca="1" si="1192"/>
        <v>9.9645510475716979</v>
      </c>
      <c r="AH294" s="66">
        <f t="shared" ca="1" si="1192"/>
        <v>10.323862811499605</v>
      </c>
      <c r="AI294" s="66">
        <f t="shared" ca="1" si="1192"/>
        <v>10.692991724547538</v>
      </c>
      <c r="AJ294" s="66">
        <f t="shared" ca="1" si="1192"/>
        <v>11.072373309328734</v>
      </c>
      <c r="AK294" s="66">
        <f t="shared" ca="1" si="1192"/>
        <v>11.461503944651433</v>
      </c>
      <c r="AL294" s="66">
        <f t="shared" ca="1" si="1192"/>
        <v>11.860917432510982</v>
      </c>
      <c r="AM294" s="66">
        <f t="shared" ca="1" si="1192"/>
        <v>12.271191602138499</v>
      </c>
      <c r="AN294" s="66">
        <f t="shared" ca="1" si="1192"/>
        <v>12.692792975268459</v>
      </c>
      <c r="AO294" s="66">
        <f t="shared" ca="1" si="1192"/>
        <v>13.125896822321561</v>
      </c>
      <c r="AP294" s="66">
        <f t="shared" ca="1" si="1192"/>
        <v>13.571835584403269</v>
      </c>
      <c r="AQ294" s="66">
        <f t="shared" ca="1" si="1192"/>
        <v>14.031044965222478</v>
      </c>
      <c r="AR294" s="66">
        <f t="shared" ca="1" si="1192"/>
        <v>14.504723363890442</v>
      </c>
      <c r="AS294" s="66">
        <f t="shared" ca="1" si="1192"/>
        <v>14.993225012509308</v>
      </c>
      <c r="AT294" s="66">
        <f t="shared" ca="1" si="1192"/>
        <v>15.498070018055333</v>
      </c>
      <c r="AU294" s="66">
        <f t="shared" ca="1" si="1192"/>
        <v>16.019040118737905</v>
      </c>
      <c r="AV294" s="66">
        <f t="shared" ca="1" si="1192"/>
        <v>16.557612306731443</v>
      </c>
      <c r="AW294" s="66">
        <f t="shared" ca="1" si="1192"/>
        <v>17.114261258273181</v>
      </c>
      <c r="AX294" s="66">
        <f t="shared" ca="1" si="1192"/>
        <v>17.688755684286555</v>
      </c>
    </row>
    <row r="295" spans="1:50" x14ac:dyDescent="0.25">
      <c r="A295" s="9" t="s">
        <v>909</v>
      </c>
      <c r="B295" s="10" t="str">
        <f>$B$38</f>
        <v>From Fiscal Forecasts</v>
      </c>
      <c r="D295" s="42">
        <f>'Fiscal Forecasts'!D$46</f>
        <v>10.433</v>
      </c>
      <c r="E295" s="42">
        <f>'Fiscal Forecasts'!E$46</f>
        <v>11.246</v>
      </c>
      <c r="F295" s="42">
        <f>'Fiscal Forecasts'!F$46</f>
        <v>13.429</v>
      </c>
      <c r="G295" s="42">
        <f>'Fiscal Forecasts'!G$46</f>
        <v>16.672999999999998</v>
      </c>
      <c r="H295" s="42">
        <f>'Fiscal Forecasts'!H$46</f>
        <v>12.384</v>
      </c>
      <c r="I295" s="42">
        <f>'Fiscal Forecasts'!I$46</f>
        <v>16.007999999999999</v>
      </c>
      <c r="J295" s="43">
        <f>'Fiscal Forecasts'!J$46+Allocation!C$17</f>
        <v>16.212</v>
      </c>
      <c r="K295" s="43">
        <f>'Fiscal Forecasts'!K$46+Allocation!D$17</f>
        <v>15.8026</v>
      </c>
      <c r="L295" s="43">
        <f>'Fiscal Forecasts'!L$46+Allocation!E$17</f>
        <v>15.885669999999999</v>
      </c>
      <c r="M295" s="43">
        <f>'Fiscal Forecasts'!M$46+Allocation!F$17</f>
        <v>16.38617</v>
      </c>
      <c r="N295" s="43">
        <f>'Fiscal Forecasts'!N$46+Allocation!G$17</f>
        <v>16.380189999999999</v>
      </c>
      <c r="O295" s="47">
        <f t="shared" ref="O295:AX295" ca="1" si="1193">O$294+(N$295-N$294)*(1+O$19)*(1+O$29)</f>
        <v>17.236100049362683</v>
      </c>
      <c r="P295" s="47">
        <f t="shared" ca="1" si="1193"/>
        <v>18.134331806436833</v>
      </c>
      <c r="Q295" s="47">
        <f t="shared" ca="1" si="1193"/>
        <v>19.065764125655633</v>
      </c>
      <c r="R295" s="47">
        <f t="shared" ca="1" si="1193"/>
        <v>20.026642225600497</v>
      </c>
      <c r="S295" s="47">
        <f t="shared" ca="1" si="1193"/>
        <v>21.030240238689828</v>
      </c>
      <c r="T295" s="47">
        <f t="shared" ca="1" si="1193"/>
        <v>22.072666444264634</v>
      </c>
      <c r="U295" s="47">
        <f t="shared" ca="1" si="1193"/>
        <v>22.997670322165469</v>
      </c>
      <c r="V295" s="47">
        <f t="shared" ca="1" si="1193"/>
        <v>23.763978576123396</v>
      </c>
      <c r="W295" s="47">
        <f t="shared" ca="1" si="1193"/>
        <v>24.533951666802103</v>
      </c>
      <c r="X295" s="47">
        <f t="shared" ca="1" si="1193"/>
        <v>25.321793361545428</v>
      </c>
      <c r="Y295" s="47">
        <f t="shared" ca="1" si="1193"/>
        <v>26.133918025029285</v>
      </c>
      <c r="Z295" s="47">
        <f t="shared" ca="1" si="1193"/>
        <v>26.966364755640026</v>
      </c>
      <c r="AA295" s="47">
        <f t="shared" ca="1" si="1193"/>
        <v>27.821099839290547</v>
      </c>
      <c r="AB295" s="47">
        <f t="shared" ca="1" si="1193"/>
        <v>28.697288989458045</v>
      </c>
      <c r="AC295" s="47">
        <f t="shared" ca="1" si="1193"/>
        <v>29.595519221327542</v>
      </c>
      <c r="AD295" s="47">
        <f t="shared" ca="1" si="1193"/>
        <v>30.516242242526154</v>
      </c>
      <c r="AE295" s="47">
        <f t="shared" ca="1" si="1193"/>
        <v>31.459928362642863</v>
      </c>
      <c r="AF295" s="47">
        <f t="shared" ca="1" si="1193"/>
        <v>32.426743054994148</v>
      </c>
      <c r="AG295" s="47">
        <f t="shared" ca="1" si="1193"/>
        <v>33.417777461732847</v>
      </c>
      <c r="AH295" s="47">
        <f t="shared" ca="1" si="1193"/>
        <v>34.432647501643615</v>
      </c>
      <c r="AI295" s="47">
        <f t="shared" ca="1" si="1193"/>
        <v>35.473601837647358</v>
      </c>
      <c r="AJ295" s="47">
        <f t="shared" ca="1" si="1193"/>
        <v>36.540957662819075</v>
      </c>
      <c r="AK295" s="47">
        <f t="shared" ca="1" si="1193"/>
        <v>37.635715193240998</v>
      </c>
      <c r="AL295" s="47">
        <f t="shared" ca="1" si="1193"/>
        <v>38.758933761425588</v>
      </c>
      <c r="AM295" s="47">
        <f t="shared" ca="1" si="1193"/>
        <v>39.911782238144745</v>
      </c>
      <c r="AN295" s="47">
        <f t="shared" ca="1" si="1193"/>
        <v>41.095925231867767</v>
      </c>
      <c r="AO295" s="47">
        <f t="shared" ca="1" si="1193"/>
        <v>42.311364134318019</v>
      </c>
      <c r="AP295" s="47">
        <f t="shared" ca="1" si="1193"/>
        <v>43.561142094987744</v>
      </c>
      <c r="AQ295" s="47">
        <f t="shared" ca="1" si="1193"/>
        <v>44.844670055413708</v>
      </c>
      <c r="AR295" s="47">
        <f t="shared" ca="1" si="1193"/>
        <v>46.165332314841656</v>
      </c>
      <c r="AS295" s="47">
        <f t="shared" ca="1" si="1193"/>
        <v>47.521887408862888</v>
      </c>
      <c r="AT295" s="47">
        <f t="shared" ca="1" si="1193"/>
        <v>48.916349747900014</v>
      </c>
      <c r="AU295" s="47">
        <f t="shared" ca="1" si="1193"/>
        <v>50.350070284088041</v>
      </c>
      <c r="AV295" s="47">
        <f t="shared" ca="1" si="1193"/>
        <v>51.823107935350549</v>
      </c>
      <c r="AW295" s="47">
        <f t="shared" ca="1" si="1193"/>
        <v>53.33728606409786</v>
      </c>
      <c r="AX295" s="47">
        <f t="shared" ca="1" si="1193"/>
        <v>54.891425137828548</v>
      </c>
    </row>
    <row r="297" spans="1:50" x14ac:dyDescent="0.25">
      <c r="A297" s="9" t="s">
        <v>910</v>
      </c>
    </row>
    <row r="298" spans="1:50" x14ac:dyDescent="0.25">
      <c r="A298" s="9" t="s">
        <v>911</v>
      </c>
      <c r="B298" s="10" t="str">
        <f>$B$38</f>
        <v>From Fiscal Forecasts</v>
      </c>
      <c r="C298" s="63" cm="1">
        <f t="array" aca="1" ref="C298" ca="1">IF(OFFSET(Assumptions!$B$38,0,$C$1)="Yes",2%,SUMPRODUCT(OFFSET($N$298,0,0,1,-OFFSET(Assumptions!$B$39,0,$C$1))/OFFSET($N$13,0,0,1,-OFFSET(Assumptions!$B$39,0,$C$1)))/OFFSET(Assumptions!$B$39,0,$C$1))</f>
        <v>0.02</v>
      </c>
      <c r="D298" s="42">
        <f>'Fiscal Forecasts'!D$64</f>
        <v>2.395</v>
      </c>
      <c r="E298" s="42">
        <f>'Fiscal Forecasts'!E$64</f>
        <v>2.4990000000000001</v>
      </c>
      <c r="F298" s="42">
        <f>'Fiscal Forecasts'!F$64</f>
        <v>2.6640000000000001</v>
      </c>
      <c r="G298" s="42">
        <f>'Fiscal Forecasts'!G$64</f>
        <v>2.8319999999999999</v>
      </c>
      <c r="H298" s="42">
        <f>'Fiscal Forecasts'!H$64</f>
        <v>2.8860000000000001</v>
      </c>
      <c r="I298" s="42">
        <f>'Fiscal Forecasts'!I$64</f>
        <v>3.1629999999999998</v>
      </c>
      <c r="J298" s="43">
        <f>'Fiscal Forecasts'!J$64+Allocation!C$18</f>
        <v>3.3180000000000001</v>
      </c>
      <c r="K298" s="43">
        <f>'Fiscal Forecasts'!K$64+Allocation!D$18</f>
        <v>3.7240000000000002</v>
      </c>
      <c r="L298" s="43">
        <f>'Fiscal Forecasts'!L$64+Allocation!E$18</f>
        <v>3.9839000000000002</v>
      </c>
      <c r="M298" s="43">
        <f>'Fiscal Forecasts'!M$64+Allocation!F$18</f>
        <v>4.2668999999999997</v>
      </c>
      <c r="N298" s="43">
        <f>'Fiscal Forecasts'!N$64+Allocation!G$18</f>
        <v>4.5083000000000002</v>
      </c>
      <c r="O298" s="47">
        <f ca="1">(N$298/N$13+MIN(ABS($C$298-N$298/N$13),IF(OFFSET(Assumptions!$B$38,0,$C$1)="Yes",OFFSET(Assumptions!$B$43,0,$C$1),OFFSET(Assumptions!$B$40,0,$C$1)))*SIGN($C$298-N$298/N$13))*O$13</f>
        <v>5.8058257128921307</v>
      </c>
      <c r="P298" s="47">
        <f ca="1">(O$298/O$13+MIN(ABS($C$298-O$298/O$13),IF(OFFSET(Assumptions!$B$38,0,$C$1)="Yes",OFFSET(Assumptions!$B$43,0,$C$1),OFFSET(Assumptions!$B$40,0,$C$1)))*SIGN($C$298-O$298/O$13))*P$13</f>
        <v>7.2060930605276061</v>
      </c>
      <c r="Q298" s="47">
        <f ca="1">(P$298/P$13+MIN(ABS($C$298-P$298/P$13),IF(OFFSET(Assumptions!$B$38,0,$C$1)="Yes",OFFSET(Assumptions!$B$43,0,$C$1),OFFSET(Assumptions!$B$40,0,$C$1)))*SIGN($C$298-P$298/P$13))*Q$13</f>
        <v>8.7043490099216179</v>
      </c>
      <c r="R298" s="47">
        <f ca="1">(Q$298/Q$13+MIN(ABS($C$298-Q$298/Q$13),IF(OFFSET(Assumptions!$B$38,0,$C$1)="Yes",OFFSET(Assumptions!$B$43,0,$C$1),OFFSET(Assumptions!$B$40,0,$C$1)))*SIGN($C$298-Q$298/Q$13))*R$13</f>
        <v>10.299713057854039</v>
      </c>
      <c r="S298" s="47">
        <f ca="1">(R$298/R$13+MIN(ABS($C$298-R$298/R$13),IF(OFFSET(Assumptions!$B$38,0,$C$1)="Yes",OFFSET(Assumptions!$B$43,0,$C$1),OFFSET(Assumptions!$B$40,0,$C$1)))*SIGN($C$298-R$298/R$13))*S$13</f>
        <v>12.006648150331058</v>
      </c>
      <c r="T298" s="47">
        <f ca="1">(S$298/S$13+MIN(ABS($C$298-S$298/S$13),IF(OFFSET(Assumptions!$B$38,0,$C$1)="Yes",OFFSET(Assumptions!$B$43,0,$C$1),OFFSET(Assumptions!$B$40,0,$C$1)))*SIGN($C$298-S$298/S$13))*T$13</f>
        <v>13.425700682634201</v>
      </c>
      <c r="U298" s="47">
        <f ca="1">(T$298/T$13+MIN(ABS($C$298-T$298/T$13),IF(OFFSET(Assumptions!$B$38,0,$C$1)="Yes",OFFSET(Assumptions!$B$43,0,$C$1),OFFSET(Assumptions!$B$40,0,$C$1)))*SIGN($C$298-T$298/T$13))*U$13</f>
        <v>13.959517863143933</v>
      </c>
      <c r="V298" s="47">
        <f ca="1">(U$298/U$13+MIN(ABS($C$298-U$298/U$13),IF(OFFSET(Assumptions!$B$38,0,$C$1)="Yes",OFFSET(Assumptions!$B$43,0,$C$1),OFFSET(Assumptions!$B$40,0,$C$1)))*SIGN($C$298-U$298/U$13))*V$13</f>
        <v>14.510848259809642</v>
      </c>
      <c r="W298" s="47">
        <f ca="1">(V$298/V$13+MIN(ABS($C$298-V$298/V$13),IF(OFFSET(Assumptions!$B$38,0,$C$1)="Yes",OFFSET(Assumptions!$B$43,0,$C$1),OFFSET(Assumptions!$B$40,0,$C$1)))*SIGN($C$298-V$298/V$13))*W$13</f>
        <v>15.076818190328966</v>
      </c>
      <c r="X298" s="47">
        <f ca="1">(W$298/W$13+MIN(ABS($C$298-W$298/W$13),IF(OFFSET(Assumptions!$B$38,0,$C$1)="Yes",OFFSET(Assumptions!$B$43,0,$C$1),OFFSET(Assumptions!$B$40,0,$C$1)))*SIGN($C$298-W$298/W$13))*X$13</f>
        <v>15.65834453888875</v>
      </c>
      <c r="Y298" s="47">
        <f ca="1">(X$298/X$13+MIN(ABS($C$298-X$298/X$13),IF(OFFSET(Assumptions!$B$38,0,$C$1)="Yes",OFFSET(Assumptions!$B$43,0,$C$1),OFFSET(Assumptions!$B$40,0,$C$1)))*SIGN($C$298-X$298/X$13))*Y$13</f>
        <v>16.25847314896842</v>
      </c>
      <c r="Z298" s="47">
        <f ca="1">(Y$298/Y$13+MIN(ABS($C$298-Y$298/Y$13),IF(OFFSET(Assumptions!$B$38,0,$C$1)="Yes",OFFSET(Assumptions!$B$43,0,$C$1),OFFSET(Assumptions!$B$40,0,$C$1)))*SIGN($C$298-Y$298/Y$13))*Z$13</f>
        <v>16.877307465249825</v>
      </c>
      <c r="AA298" s="47">
        <f ca="1">(Z$298/Z$13+MIN(ABS($C$298-Z$298/Z$13),IF(OFFSET(Assumptions!$B$38,0,$C$1)="Yes",OFFSET(Assumptions!$B$43,0,$C$1),OFFSET(Assumptions!$B$40,0,$C$1)))*SIGN($C$298-Z$298/Z$13))*AA$13</f>
        <v>17.517378534997739</v>
      </c>
      <c r="AB298" s="47">
        <f ca="1">(AA$298/AA$13+MIN(ABS($C$298-AA$298/AA$13),IF(OFFSET(Assumptions!$B$38,0,$C$1)="Yes",OFFSET(Assumptions!$B$43,0,$C$1),OFFSET(Assumptions!$B$40,0,$C$1)))*SIGN($C$298-AA$298/AA$13))*AB$13</f>
        <v>18.178007125371959</v>
      </c>
      <c r="AC298" s="47">
        <f ca="1">(AB$298/AB$13+MIN(ABS($C$298-AB$298/AB$13),IF(OFFSET(Assumptions!$B$38,0,$C$1)="Yes",OFFSET(Assumptions!$B$43,0,$C$1),OFFSET(Assumptions!$B$40,0,$C$1)))*SIGN($C$298-AB$298/AB$13))*AC$13</f>
        <v>18.859176246594959</v>
      </c>
      <c r="AD298" s="47">
        <f ca="1">(AC$298/AC$13+MIN(ABS($C$298-AC$298/AC$13),IF(OFFSET(Assumptions!$B$38,0,$C$1)="Yes",OFFSET(Assumptions!$B$43,0,$C$1),OFFSET(Assumptions!$B$40,0,$C$1)))*SIGN($C$298-AC$298/AC$13))*AD$13</f>
        <v>19.561374077268528</v>
      </c>
      <c r="AE298" s="47">
        <f ca="1">(AD$298/AD$13+MIN(ABS($C$298-AD$298/AD$13),IF(OFFSET(Assumptions!$B$38,0,$C$1)="Yes",OFFSET(Assumptions!$B$43,0,$C$1),OFFSET(Assumptions!$B$40,0,$C$1)))*SIGN($C$298-AD$298/AD$13))*AE$13</f>
        <v>20.284409059648109</v>
      </c>
      <c r="AF298" s="47">
        <f ca="1">(AE$298/AE$13+MIN(ABS($C$298-AE$298/AE$13),IF(OFFSET(Assumptions!$B$38,0,$C$1)="Yes",OFFSET(Assumptions!$B$43,0,$C$1),OFFSET(Assumptions!$B$40,0,$C$1)))*SIGN($C$298-AE$298/AE$13))*AF$13</f>
        <v>21.028450765568028</v>
      </c>
      <c r="AG298" s="47">
        <f ca="1">(AF$298/AF$13+MIN(ABS($C$298-AF$298/AF$13),IF(OFFSET(Assumptions!$B$38,0,$C$1)="Yes",OFFSET(Assumptions!$B$43,0,$C$1),OFFSET(Assumptions!$B$40,0,$C$1)))*SIGN($C$298-AF$298/AF$13))*AG$13</f>
        <v>21.793579364986915</v>
      </c>
      <c r="AH298" s="47">
        <f ca="1">(AG$298/AG$13+MIN(ABS($C$298-AG$298/AG$13),IF(OFFSET(Assumptions!$B$38,0,$C$1)="Yes",OFFSET(Assumptions!$B$43,0,$C$1),OFFSET(Assumptions!$B$40,0,$C$1)))*SIGN($C$298-AG$298/AG$13))*AH$13</f>
        <v>22.579434082028541</v>
      </c>
      <c r="AI298" s="47">
        <f ca="1">(AH$298/AH$13+MIN(ABS($C$298-AH$298/AH$13),IF(OFFSET(Assumptions!$B$38,0,$C$1)="Yes",OFFSET(Assumptions!$B$43,0,$C$1),OFFSET(Assumptions!$B$40,0,$C$1)))*SIGN($C$298-AH$298/AH$13))*AI$13</f>
        <v>23.386759994055648</v>
      </c>
      <c r="AJ298" s="47">
        <f ca="1">(AI$298/AI$13+MIN(ABS($C$298-AI$298/AI$13),IF(OFFSET(Assumptions!$B$38,0,$C$1)="Yes",OFFSET(Assumptions!$B$43,0,$C$1),OFFSET(Assumptions!$B$40,0,$C$1)))*SIGN($C$298-AI$298/AI$13))*AJ$13</f>
        <v>24.216509637373335</v>
      </c>
      <c r="AK298" s="47">
        <f ca="1">(AJ$298/AJ$13+MIN(ABS($C$298-AJ$298/AJ$13),IF(OFFSET(Assumptions!$B$38,0,$C$1)="Yes",OFFSET(Assumptions!$B$43,0,$C$1),OFFSET(Assumptions!$B$40,0,$C$1)))*SIGN($C$298-AJ$298/AJ$13))*AK$13</f>
        <v>25.06758153652525</v>
      </c>
      <c r="AL298" s="47">
        <f ca="1">(AK$298/AK$13+MIN(ABS($C$298-AK$298/AK$13),IF(OFFSET(Assumptions!$B$38,0,$C$1)="Yes",OFFSET(Assumptions!$B$43,0,$C$1),OFFSET(Assumptions!$B$40,0,$C$1)))*SIGN($C$298-AK$298/AK$13))*AL$13</f>
        <v>25.941143175735739</v>
      </c>
      <c r="AM298" s="47">
        <f ca="1">(AL$298/AL$13+MIN(ABS($C$298-AL$298/AL$13),IF(OFFSET(Assumptions!$B$38,0,$C$1)="Yes",OFFSET(Assumptions!$B$43,0,$C$1),OFFSET(Assumptions!$B$40,0,$C$1)))*SIGN($C$298-AL$298/AL$13))*AM$13</f>
        <v>26.838458331681508</v>
      </c>
      <c r="AN298" s="47">
        <f ca="1">(AM$298/AM$13+MIN(ABS($C$298-AM$298/AM$13),IF(OFFSET(Assumptions!$B$38,0,$C$1)="Yes",OFFSET(Assumptions!$B$43,0,$C$1),OFFSET(Assumptions!$B$40,0,$C$1)))*SIGN($C$298-AM$298/AM$13))*AN$13</f>
        <v>27.760547339187205</v>
      </c>
      <c r="AO298" s="47">
        <f ca="1">(AN$298/AN$13+MIN(ABS($C$298-AN$298/AN$13),IF(OFFSET(Assumptions!$B$38,0,$C$1)="Yes",OFFSET(Assumptions!$B$43,0,$C$1),OFFSET(Assumptions!$B$40,0,$C$1)))*SIGN($C$298-AN$298/AN$13))*AO$13</f>
        <v>28.707793534120711</v>
      </c>
      <c r="AP298" s="47">
        <f ca="1">(AO$298/AO$13+MIN(ABS($C$298-AO$298/AO$13),IF(OFFSET(Assumptions!$B$38,0,$C$1)="Yes",OFFSET(Assumptions!$B$43,0,$C$1),OFFSET(Assumptions!$B$40,0,$C$1)))*SIGN($C$298-AO$298/AO$13))*AP$13</f>
        <v>29.683111113101859</v>
      </c>
      <c r="AQ298" s="47">
        <f ca="1">(AP$298/AP$13+MIN(ABS($C$298-AP$298/AP$13),IF(OFFSET(Assumptions!$B$38,0,$C$1)="Yes",OFFSET(Assumptions!$B$43,0,$C$1),OFFSET(Assumptions!$B$40,0,$C$1)))*SIGN($C$298-AP$298/AP$13))*AQ$13</f>
        <v>30.687453008512065</v>
      </c>
      <c r="AR298" s="47">
        <f ca="1">(AQ$298/AQ$13+MIN(ABS($C$298-AQ$298/AQ$13),IF(OFFSET(Assumptions!$B$38,0,$C$1)="Yes",OFFSET(Assumptions!$B$43,0,$C$1),OFFSET(Assumptions!$B$40,0,$C$1)))*SIGN($C$298-AQ$298/AQ$13))*AR$13</f>
        <v>31.723440252249045</v>
      </c>
      <c r="AS298" s="47">
        <f ca="1">(AR$298/AR$13+MIN(ABS($C$298-AR$298/AR$13),IF(OFFSET(Assumptions!$B$38,0,$C$1)="Yes",OFFSET(Assumptions!$B$43,0,$C$1),OFFSET(Assumptions!$B$40,0,$C$1)))*SIGN($C$298-AR$298/AR$13))*AS$13</f>
        <v>32.791847589245585</v>
      </c>
      <c r="AT298" s="47">
        <f ca="1">(AS$298/AS$13+MIN(ABS($C$298-AS$298/AS$13),IF(OFFSET(Assumptions!$B$38,0,$C$1)="Yes",OFFSET(Assumptions!$B$43,0,$C$1),OFFSET(Assumptions!$B$40,0,$C$1)))*SIGN($C$298-AS$298/AS$13))*AT$13</f>
        <v>33.895999662214869</v>
      </c>
      <c r="AU298" s="47">
        <f ca="1">(AT$298/AT$13+MIN(ABS($C$298-AT$298/AT$13),IF(OFFSET(Assumptions!$B$38,0,$C$1)="Yes",OFFSET(Assumptions!$B$43,0,$C$1),OFFSET(Assumptions!$B$40,0,$C$1)))*SIGN($C$298-AT$298/AT$13))*AU$13</f>
        <v>35.035419108390293</v>
      </c>
      <c r="AV298" s="47">
        <f ca="1">(AU$298/AU$13+MIN(ABS($C$298-AU$298/AU$13),IF(OFFSET(Assumptions!$B$38,0,$C$1)="Yes",OFFSET(Assumptions!$B$43,0,$C$1),OFFSET(Assumptions!$B$40,0,$C$1)))*SIGN($C$298-AU$298/AU$13))*AV$13</f>
        <v>36.213336273626972</v>
      </c>
      <c r="AW298" s="47">
        <f ca="1">(AV$298/AV$13+MIN(ABS($C$298-AV$298/AV$13),IF(OFFSET(Assumptions!$B$38,0,$C$1)="Yes",OFFSET(Assumptions!$B$43,0,$C$1),OFFSET(Assumptions!$B$40,0,$C$1)))*SIGN($C$298-AV$298/AV$13))*AW$13</f>
        <v>37.430789327552361</v>
      </c>
      <c r="AX298" s="47">
        <f ca="1">(AW$298/AW$13+MIN(ABS($C$298-AW$298/AW$13),IF(OFFSET(Assumptions!$B$38,0,$C$1)="Yes",OFFSET(Assumptions!$B$43,0,$C$1),OFFSET(Assumptions!$B$40,0,$C$1)))*SIGN($C$298-AW$298/AW$13))*AX$13</f>
        <v>38.687272415279253</v>
      </c>
    </row>
    <row r="299" spans="1:50" x14ac:dyDescent="0.25">
      <c r="A299" s="9" t="s">
        <v>912</v>
      </c>
      <c r="B299" s="10" t="str">
        <f>$B$38</f>
        <v>From Fiscal Forecasts</v>
      </c>
      <c r="D299" s="42">
        <f>'Fiscal Forecasts'!D$47</f>
        <v>2.39</v>
      </c>
      <c r="E299" s="42">
        <f>'Fiscal Forecasts'!E$47</f>
        <v>2.4820000000000002</v>
      </c>
      <c r="F299" s="42">
        <f>'Fiscal Forecasts'!F$47</f>
        <v>2.6480000000000001</v>
      </c>
      <c r="G299" s="42">
        <f>'Fiscal Forecasts'!G$47</f>
        <v>2.8029999999999999</v>
      </c>
      <c r="H299" s="42">
        <f>'Fiscal Forecasts'!H$47</f>
        <v>2.8380000000000001</v>
      </c>
      <c r="I299" s="42">
        <f>'Fiscal Forecasts'!I$47</f>
        <v>3.125</v>
      </c>
      <c r="J299" s="43">
        <f>'Fiscal Forecasts'!J$47+Allocation!C$18</f>
        <v>3.2730000000000001</v>
      </c>
      <c r="K299" s="43">
        <f>'Fiscal Forecasts'!K$47+Allocation!D$18</f>
        <v>3.6790000000000003</v>
      </c>
      <c r="L299" s="43">
        <f>'Fiscal Forecasts'!L$47+Allocation!E$18</f>
        <v>3.9379</v>
      </c>
      <c r="M299" s="43">
        <f>'Fiscal Forecasts'!M$47+Allocation!F$18</f>
        <v>4.2209000000000003</v>
      </c>
      <c r="N299" s="43">
        <f>'Fiscal Forecasts'!N$47+Allocation!G$18</f>
        <v>4.4622999999999999</v>
      </c>
      <c r="O299" s="47">
        <f ca="1">O$298</f>
        <v>5.8058257128921307</v>
      </c>
      <c r="P299" s="47">
        <f t="shared" ref="P299:AX299" ca="1" si="1194">P$298</f>
        <v>7.2060930605276061</v>
      </c>
      <c r="Q299" s="47">
        <f t="shared" ca="1" si="1194"/>
        <v>8.7043490099216179</v>
      </c>
      <c r="R299" s="47">
        <f t="shared" ca="1" si="1194"/>
        <v>10.299713057854039</v>
      </c>
      <c r="S299" s="47">
        <f t="shared" ca="1" si="1194"/>
        <v>12.006648150331058</v>
      </c>
      <c r="T299" s="47">
        <f t="shared" ca="1" si="1194"/>
        <v>13.425700682634201</v>
      </c>
      <c r="U299" s="47">
        <f t="shared" ca="1" si="1194"/>
        <v>13.959517863143933</v>
      </c>
      <c r="V299" s="47">
        <f t="shared" ca="1" si="1194"/>
        <v>14.510848259809642</v>
      </c>
      <c r="W299" s="47">
        <f t="shared" ca="1" si="1194"/>
        <v>15.076818190328966</v>
      </c>
      <c r="X299" s="47">
        <f t="shared" ca="1" si="1194"/>
        <v>15.65834453888875</v>
      </c>
      <c r="Y299" s="47">
        <f t="shared" ca="1" si="1194"/>
        <v>16.25847314896842</v>
      </c>
      <c r="Z299" s="47">
        <f t="shared" ca="1" si="1194"/>
        <v>16.877307465249825</v>
      </c>
      <c r="AA299" s="47">
        <f t="shared" ca="1" si="1194"/>
        <v>17.517378534997739</v>
      </c>
      <c r="AB299" s="47">
        <f t="shared" ca="1" si="1194"/>
        <v>18.178007125371959</v>
      </c>
      <c r="AC299" s="47">
        <f t="shared" ca="1" si="1194"/>
        <v>18.859176246594959</v>
      </c>
      <c r="AD299" s="47">
        <f t="shared" ca="1" si="1194"/>
        <v>19.561374077268528</v>
      </c>
      <c r="AE299" s="47">
        <f t="shared" ca="1" si="1194"/>
        <v>20.284409059648109</v>
      </c>
      <c r="AF299" s="47">
        <f t="shared" ca="1" si="1194"/>
        <v>21.028450765568028</v>
      </c>
      <c r="AG299" s="47">
        <f t="shared" ca="1" si="1194"/>
        <v>21.793579364986915</v>
      </c>
      <c r="AH299" s="47">
        <f t="shared" ca="1" si="1194"/>
        <v>22.579434082028541</v>
      </c>
      <c r="AI299" s="47">
        <f t="shared" ca="1" si="1194"/>
        <v>23.386759994055648</v>
      </c>
      <c r="AJ299" s="47">
        <f t="shared" ca="1" si="1194"/>
        <v>24.216509637373335</v>
      </c>
      <c r="AK299" s="47">
        <f t="shared" ca="1" si="1194"/>
        <v>25.06758153652525</v>
      </c>
      <c r="AL299" s="47">
        <f t="shared" ca="1" si="1194"/>
        <v>25.941143175735739</v>
      </c>
      <c r="AM299" s="47">
        <f t="shared" ca="1" si="1194"/>
        <v>26.838458331681508</v>
      </c>
      <c r="AN299" s="47">
        <f t="shared" ca="1" si="1194"/>
        <v>27.760547339187205</v>
      </c>
      <c r="AO299" s="47">
        <f t="shared" ca="1" si="1194"/>
        <v>28.707793534120711</v>
      </c>
      <c r="AP299" s="47">
        <f t="shared" ca="1" si="1194"/>
        <v>29.683111113101859</v>
      </c>
      <c r="AQ299" s="47">
        <f t="shared" ca="1" si="1194"/>
        <v>30.687453008512065</v>
      </c>
      <c r="AR299" s="47">
        <f t="shared" ca="1" si="1194"/>
        <v>31.723440252249045</v>
      </c>
      <c r="AS299" s="47">
        <f t="shared" ca="1" si="1194"/>
        <v>32.791847589245585</v>
      </c>
      <c r="AT299" s="47">
        <f t="shared" ca="1" si="1194"/>
        <v>33.895999662214869</v>
      </c>
      <c r="AU299" s="47">
        <f t="shared" ca="1" si="1194"/>
        <v>35.035419108390293</v>
      </c>
      <c r="AV299" s="47">
        <f t="shared" ca="1" si="1194"/>
        <v>36.213336273626972</v>
      </c>
      <c r="AW299" s="47">
        <f t="shared" ca="1" si="1194"/>
        <v>37.430789327552361</v>
      </c>
      <c r="AX299" s="47">
        <f t="shared" ca="1" si="1194"/>
        <v>38.687272415279253</v>
      </c>
    </row>
    <row r="301" spans="1:50" x14ac:dyDescent="0.25">
      <c r="A301" s="9" t="s">
        <v>913</v>
      </c>
    </row>
    <row r="302" spans="1:50" x14ac:dyDescent="0.25">
      <c r="A302" s="9" t="s">
        <v>914</v>
      </c>
      <c r="B302" s="10" t="str">
        <f>$B$38</f>
        <v>From Fiscal Forecasts</v>
      </c>
      <c r="C302" s="63" cm="1">
        <f t="array" aca="1" ref="C302" ca="1">SUMPRODUCT(OFFSET($N$302,0,0,1,-OFFSET(Assumptions!$B$39,0,$C$1))/OFFSET($N$13,0,0,1,-OFFSET(Assumptions!$B$39,0,$C$1)))/OFFSET(Assumptions!$B$39,0,$C$1)</f>
        <v>3.3261635294301582E-3</v>
      </c>
      <c r="D302" s="42">
        <f>'Fiscal Forecasts'!D$65</f>
        <v>0.91800000000000004</v>
      </c>
      <c r="E302" s="42">
        <f>'Fiscal Forecasts'!E$65</f>
        <v>1.1060000000000001</v>
      </c>
      <c r="F302" s="42">
        <f>'Fiscal Forecasts'!F$65</f>
        <v>1.42</v>
      </c>
      <c r="G302" s="42">
        <f>'Fiscal Forecasts'!G$65</f>
        <v>1.468</v>
      </c>
      <c r="H302" s="42">
        <f>'Fiscal Forecasts'!H$65</f>
        <v>1.5369999999999999</v>
      </c>
      <c r="I302" s="42">
        <f>'Fiscal Forecasts'!I$65</f>
        <v>1.504</v>
      </c>
      <c r="J302" s="43">
        <f>'Fiscal Forecasts'!J$65+Allocation!C$19</f>
        <v>1.2545000000000002</v>
      </c>
      <c r="K302" s="43">
        <f>'Fiscal Forecasts'!K$65+Allocation!D$19</f>
        <v>1.3742999999999999</v>
      </c>
      <c r="L302" s="43">
        <f>'Fiscal Forecasts'!L$65+Allocation!E$19</f>
        <v>1.3763350000000001</v>
      </c>
      <c r="M302" s="43">
        <f>'Fiscal Forecasts'!M$65+Allocation!F$19</f>
        <v>1.392085</v>
      </c>
      <c r="N302" s="43">
        <f>'Fiscal Forecasts'!N$65+Allocation!G$19</f>
        <v>1.401095</v>
      </c>
      <c r="O302" s="47">
        <f ca="1">(N$302/N$13+MIN(ABS($C$302-N$302/N$13),OFFSET(Assumptions!$B$40,0,$C$1))*SIGN($C$302-N$302/N$13))*O$13</f>
        <v>1.7377697124959008</v>
      </c>
      <c r="P302" s="47">
        <f ca="1">(O$302/O$13+MIN(ABS($C$302-O$302/O$13),OFFSET(Assumptions!$B$40,0,$C$1))*SIGN($C$302-O$302/O$13))*P$13</f>
        <v>1.9020282850297485</v>
      </c>
      <c r="Q302" s="47">
        <f ca="1">(P$302/P$13+MIN(ABS($C$302-P$302/P$13),OFFSET(Assumptions!$B$40,0,$C$1))*SIGN($C$302-P$302/P$13))*Q$13</f>
        <v>1.9827992858596877</v>
      </c>
      <c r="R302" s="47">
        <f ca="1">(Q$302/Q$13+MIN(ABS($C$302-Q$302/Q$13),OFFSET(Assumptions!$B$40,0,$C$1))*SIGN($C$302-Q$302/Q$13))*R$13</f>
        <v>2.0635650710822433</v>
      </c>
      <c r="S302" s="47">
        <f ca="1">(R$302/R$13+MIN(ABS($C$302-R$302/R$13),OFFSET(Assumptions!$B$40,0,$C$1))*SIGN($C$302-R$302/R$13))*S$13</f>
        <v>2.1469134480321634</v>
      </c>
      <c r="T302" s="47">
        <f ca="1">(S$302/S$13+MIN(ABS($C$302-S$302/S$13),OFFSET(Assumptions!$B$40,0,$C$1))*SIGN($C$302-S$302/S$13))*T$13</f>
        <v>2.2328037983811728</v>
      </c>
      <c r="U302" s="47">
        <f ca="1">(T$302/T$13+MIN(ABS($C$302-T$302/T$13),OFFSET(Assumptions!$B$40,0,$C$1))*SIGN($C$302-T$302/T$13))*U$13</f>
        <v>2.3215819602409082</v>
      </c>
      <c r="V302" s="47">
        <f ca="1">(U$302/U$13+MIN(ABS($C$302-U$302/U$13),OFFSET(Assumptions!$B$40,0,$C$1))*SIGN($C$302-U$302/U$13))*V$13</f>
        <v>2.4132727131436953</v>
      </c>
      <c r="W302" s="47">
        <f ca="1">(V$302/V$13+MIN(ABS($C$302-V$302/V$13),OFFSET(Assumptions!$B$40,0,$C$1))*SIGN($C$302-V$302/V$13))*W$13</f>
        <v>2.5073981402260701</v>
      </c>
      <c r="X302" s="47">
        <f ca="1">(W$302/W$13+MIN(ABS($C$302-W$302/W$13),OFFSET(Assumptions!$B$40,0,$C$1))*SIGN($C$302-W$302/W$13))*X$13</f>
        <v>2.6041107268251826</v>
      </c>
      <c r="Y302" s="47">
        <f ca="1">(X$302/X$13+MIN(ABS($C$302-X$302/X$13),OFFSET(Assumptions!$B$40,0,$C$1))*SIGN($C$302-X$302/X$13))*Y$13</f>
        <v>2.7039170216159127</v>
      </c>
      <c r="Z302" s="47">
        <f ca="1">(Y$302/Y$13+MIN(ABS($C$302-Y$302/Y$13),OFFSET(Assumptions!$B$40,0,$C$1))*SIGN($C$302-Y$302/Y$13))*Z$13</f>
        <v>2.8068342282946657</v>
      </c>
      <c r="AA302" s="47">
        <f ca="1">(Z$302/Z$13+MIN(ABS($C$302-Z$302/Z$13),OFFSET(Assumptions!$B$40,0,$C$1))*SIGN($C$302-Z$302/Z$13))*AA$13</f>
        <v>2.9132832807166085</v>
      </c>
      <c r="AB302" s="47">
        <f ca="1">(AA$302/AA$13+MIN(ABS($C$302-AA$302/AA$13),OFFSET(Assumptions!$B$40,0,$C$1))*SIGN($C$302-AA$302/AA$13))*AB$13</f>
        <v>3.0231512169066876</v>
      </c>
      <c r="AC302" s="47">
        <f ca="1">(AB$302/AB$13+MIN(ABS($C$302-AB$302/AB$13),OFFSET(Assumptions!$B$40,0,$C$1))*SIGN($C$302-AB$302/AB$13))*AC$13</f>
        <v>3.1364352113259848</v>
      </c>
      <c r="AD302" s="47">
        <f ca="1">(AC$302/AC$13+MIN(ABS($C$302-AC$302/AC$13),OFFSET(Assumptions!$B$40,0,$C$1))*SIGN($C$302-AC$302/AC$13))*AD$13</f>
        <v>3.2532164520675542</v>
      </c>
      <c r="AE302" s="47">
        <f ca="1">(AD$302/AD$13+MIN(ABS($C$302-AD$302/AD$13),OFFSET(Assumptions!$B$40,0,$C$1))*SIGN($C$302-AD$302/AD$13))*AE$13</f>
        <v>3.3734630815122117</v>
      </c>
      <c r="AF302" s="47">
        <f ca="1">(AE$302/AE$13+MIN(ABS($C$302-AE$302/AE$13),OFFSET(Assumptions!$B$40,0,$C$1))*SIGN($C$302-AE$302/AE$13))*AF$13</f>
        <v>3.4972033008425032</v>
      </c>
      <c r="AG302" s="47">
        <f ca="1">(AF$302/AF$13+MIN(ABS($C$302-AF$302/AF$13),OFFSET(Assumptions!$B$40,0,$C$1))*SIGN($C$302-AF$302/AF$13))*AG$13</f>
        <v>3.6244504429780569</v>
      </c>
      <c r="AH302" s="47">
        <f ca="1">(AG$302/AG$13+MIN(ABS($C$302-AG$302/AG$13),OFFSET(Assumptions!$B$40,0,$C$1))*SIGN($C$302-AG$302/AG$13))*AH$13</f>
        <v>3.7551445079407828</v>
      </c>
      <c r="AI302" s="47">
        <f ca="1">(AH$302/AH$13+MIN(ABS($C$302-AH$302/AH$13),OFFSET(Assumptions!$B$40,0,$C$1))*SIGN($C$302-AH$302/AH$13))*AI$13</f>
        <v>3.8894094081882078</v>
      </c>
      <c r="AJ302" s="47">
        <f ca="1">(AI$302/AI$13+MIN(ABS($C$302-AI$302/AI$13),OFFSET(Assumptions!$B$40,0,$C$1))*SIGN($C$302-AI$302/AI$13))*AJ$13</f>
        <v>4.027403558296256</v>
      </c>
      <c r="AK302" s="47">
        <f ca="1">(AJ$302/AJ$13+MIN(ABS($C$302-AJ$302/AJ$13),OFFSET(Assumptions!$B$40,0,$C$1))*SIGN($C$302-AJ$302/AJ$13))*AK$13</f>
        <v>4.1689437738903541</v>
      </c>
      <c r="AL302" s="47">
        <f ca="1">(AK$302/AK$13+MIN(ABS($C$302-AK$302/AK$13),OFFSET(Assumptions!$B$40,0,$C$1))*SIGN($C$302-AK$302/AK$13))*AL$13</f>
        <v>4.3142242171429119</v>
      </c>
      <c r="AM302" s="47">
        <f ca="1">(AL$302/AL$13+MIN(ABS($C$302-AL$302/AL$13),OFFSET(Assumptions!$B$40,0,$C$1))*SIGN($C$302-AL$302/AL$13))*AM$13</f>
        <v>4.4634550644485005</v>
      </c>
      <c r="AN302" s="47">
        <f ca="1">(AM$302/AM$13+MIN(ABS($C$302-AM$302/AM$13),OFFSET(Assumptions!$B$40,0,$C$1))*SIGN($C$302-AM$302/AM$13))*AN$13</f>
        <v>4.6168060058311955</v>
      </c>
      <c r="AO302" s="47">
        <f ca="1">(AN$302/AN$13+MIN(ABS($C$302-AN$302/AN$13),OFFSET(Assumptions!$B$40,0,$C$1))*SIGN($C$302-AN$302/AN$13))*AO$13</f>
        <v>4.7743407931801611</v>
      </c>
      <c r="AP302" s="47">
        <f ca="1">(AO$302/AO$13+MIN(ABS($C$302-AO$302/AO$13),OFFSET(Assumptions!$B$40,0,$C$1))*SIGN($C$302-AO$302/AO$13))*AP$13</f>
        <v>4.9365440812211219</v>
      </c>
      <c r="AQ302" s="47">
        <f ca="1">(AP$302/AP$13+MIN(ABS($C$302-AP$302/AP$13),OFFSET(Assumptions!$B$40,0,$C$1))*SIGN($C$302-AP$302/AP$13))*AQ$13</f>
        <v>5.1035743504007307</v>
      </c>
      <c r="AR302" s="47">
        <f ca="1">(AQ$302/AQ$13+MIN(ABS($C$302-AQ$302/AQ$13),OFFSET(Assumptions!$B$40,0,$C$1))*SIGN($C$302-AQ$302/AQ$13))*AR$13</f>
        <v>5.2758674997543711</v>
      </c>
      <c r="AS302" s="47">
        <f ca="1">(AR$302/AR$13+MIN(ABS($C$302-AR$302/AR$13),OFFSET(Assumptions!$B$40,0,$C$1))*SIGN($C$302-AR$302/AR$13))*AS$13</f>
        <v>5.4535523756990463</v>
      </c>
      <c r="AT302" s="47">
        <f ca="1">(AS$302/AS$13+MIN(ABS($C$302-AS$302/AS$13),OFFSET(Assumptions!$B$40,0,$C$1))*SIGN($C$302-AS$302/AS$13))*AT$13</f>
        <v>5.6371818935018032</v>
      </c>
      <c r="AU302" s="47">
        <f ca="1">(AT$302/AT$13+MIN(ABS($C$302-AT$302/AT$13),OFFSET(Assumptions!$B$40,0,$C$1))*SIGN($C$302-AT$302/AT$13))*AU$13</f>
        <v>5.8266766638314129</v>
      </c>
      <c r="AV302" s="47">
        <f ca="1">(AU$302/AU$13+MIN(ABS($C$302-AU$302/AU$13),OFFSET(Assumptions!$B$40,0,$C$1))*SIGN($C$302-AU$302/AU$13))*AV$13</f>
        <v>6.0225739196164128</v>
      </c>
      <c r="AW302" s="47">
        <f ca="1">(AV$302/AV$13+MIN(ABS($C$302-AV$302/AV$13),OFFSET(Assumptions!$B$40,0,$C$1))*SIGN($C$302-AV$302/AV$13))*AW$13</f>
        <v>6.2250463169544128</v>
      </c>
      <c r="AX302" s="47">
        <f ca="1">(AW$302/AW$13+MIN(ABS($C$302-AW$302/AW$13),OFFSET(Assumptions!$B$40,0,$C$1))*SIGN($C$302-AW$302/AW$13))*AX$13</f>
        <v>6.4340097280415609</v>
      </c>
    </row>
    <row r="303" spans="1:50" x14ac:dyDescent="0.25">
      <c r="A303" s="9" t="s">
        <v>915</v>
      </c>
      <c r="B303" s="10" t="str">
        <f>$B$38</f>
        <v>From Fiscal Forecasts</v>
      </c>
      <c r="D303" s="42">
        <f>'Fiscal Forecasts'!D$48</f>
        <v>2.5030000000000001</v>
      </c>
      <c r="E303" s="42">
        <f>'Fiscal Forecasts'!E$48</f>
        <v>2.9039999999999999</v>
      </c>
      <c r="F303" s="42">
        <f>'Fiscal Forecasts'!F$48</f>
        <v>3.0230000000000001</v>
      </c>
      <c r="G303" s="42">
        <f>'Fiscal Forecasts'!G$48</f>
        <v>3.26</v>
      </c>
      <c r="H303" s="42">
        <f>'Fiscal Forecasts'!H$48</f>
        <v>3.4169999999999998</v>
      </c>
      <c r="I303" s="42">
        <f>'Fiscal Forecasts'!I$48</f>
        <v>3.6080000000000001</v>
      </c>
      <c r="J303" s="43">
        <f>'Fiscal Forecasts'!J$48+Allocation!C$19</f>
        <v>3.0705</v>
      </c>
      <c r="K303" s="43">
        <f>'Fiscal Forecasts'!K$48+Allocation!D$19</f>
        <v>3.3262999999999998</v>
      </c>
      <c r="L303" s="43">
        <f>'Fiscal Forecasts'!L$48+Allocation!E$19</f>
        <v>3.429335</v>
      </c>
      <c r="M303" s="43">
        <f>'Fiscal Forecasts'!M$48+Allocation!F$19</f>
        <v>3.4970849999999998</v>
      </c>
      <c r="N303" s="43">
        <f>'Fiscal Forecasts'!N$48+Allocation!G$19</f>
        <v>3.568095</v>
      </c>
      <c r="O303" s="47">
        <f t="shared" ref="O303:AX303" ca="1" si="1195">O$302+(N$303-N$302)*(1+O$29)</f>
        <v>3.948109712495901</v>
      </c>
      <c r="P303" s="47">
        <f t="shared" ca="1" si="1195"/>
        <v>4.1565750850297487</v>
      </c>
      <c r="Q303" s="47">
        <f t="shared" ca="1" si="1195"/>
        <v>4.2824370218596881</v>
      </c>
      <c r="R303" s="47">
        <f t="shared" ca="1" si="1195"/>
        <v>4.4091955618022434</v>
      </c>
      <c r="S303" s="47">
        <f t="shared" ca="1" si="1195"/>
        <v>4.5394565485665641</v>
      </c>
      <c r="T303" s="47">
        <f t="shared" ca="1" si="1195"/>
        <v>4.6731977609262616</v>
      </c>
      <c r="U303" s="47">
        <f t="shared" ca="1" si="1195"/>
        <v>4.8107838020368989</v>
      </c>
      <c r="V303" s="47">
        <f t="shared" ca="1" si="1195"/>
        <v>4.9522585917756059</v>
      </c>
      <c r="W303" s="47">
        <f t="shared" ca="1" si="1195"/>
        <v>5.0971637364306188</v>
      </c>
      <c r="X303" s="47">
        <f t="shared" ca="1" si="1195"/>
        <v>5.2456716349538226</v>
      </c>
      <c r="Y303" s="47">
        <f t="shared" ca="1" si="1195"/>
        <v>5.3983091479071259</v>
      </c>
      <c r="Z303" s="47">
        <f t="shared" ca="1" si="1195"/>
        <v>5.5551141971117026</v>
      </c>
      <c r="AA303" s="47">
        <f t="shared" ca="1" si="1195"/>
        <v>5.7165288489099861</v>
      </c>
      <c r="AB303" s="47">
        <f t="shared" ca="1" si="1195"/>
        <v>5.8824616964639329</v>
      </c>
      <c r="AC303" s="47">
        <f t="shared" ca="1" si="1195"/>
        <v>6.0529319004743751</v>
      </c>
      <c r="AD303" s="47">
        <f t="shared" ca="1" si="1195"/>
        <v>6.2280430749989124</v>
      </c>
      <c r="AE303" s="47">
        <f t="shared" ca="1" si="1195"/>
        <v>6.4077862369021972</v>
      </c>
      <c r="AF303" s="47">
        <f t="shared" ca="1" si="1195"/>
        <v>6.5922129193402883</v>
      </c>
      <c r="AG303" s="47">
        <f t="shared" ca="1" si="1195"/>
        <v>6.7813602538457971</v>
      </c>
      <c r="AH303" s="47">
        <f t="shared" ca="1" si="1195"/>
        <v>6.9751925150258778</v>
      </c>
      <c r="AI303" s="47">
        <f t="shared" ca="1" si="1195"/>
        <v>7.1738583754150049</v>
      </c>
      <c r="AJ303" s="47">
        <f t="shared" ca="1" si="1195"/>
        <v>7.3775415048675885</v>
      </c>
      <c r="AK303" s="47">
        <f t="shared" ca="1" si="1195"/>
        <v>7.5860844793931133</v>
      </c>
      <c r="AL303" s="47">
        <f t="shared" ca="1" si="1195"/>
        <v>7.7997077367557264</v>
      </c>
      <c r="AM303" s="47">
        <f t="shared" ca="1" si="1195"/>
        <v>8.0186482544535718</v>
      </c>
      <c r="AN303" s="47">
        <f t="shared" ca="1" si="1195"/>
        <v>8.2431030596363684</v>
      </c>
      <c r="AO303" s="47">
        <f t="shared" ca="1" si="1195"/>
        <v>8.4731637880614379</v>
      </c>
      <c r="AP303" s="47">
        <f t="shared" ca="1" si="1195"/>
        <v>8.7093435360000235</v>
      </c>
      <c r="AQ303" s="47">
        <f t="shared" ca="1" si="1195"/>
        <v>8.951829794275211</v>
      </c>
      <c r="AR303" s="47">
        <f t="shared" ca="1" si="1195"/>
        <v>9.201088052506341</v>
      </c>
      <c r="AS303" s="47">
        <f t="shared" ca="1" si="1195"/>
        <v>9.4572773395060565</v>
      </c>
      <c r="AT303" s="47">
        <f t="shared" ca="1" si="1195"/>
        <v>9.7209813565849537</v>
      </c>
      <c r="AU303" s="47">
        <f t="shared" ca="1" si="1195"/>
        <v>9.9921521161762268</v>
      </c>
      <c r="AV303" s="47">
        <f t="shared" ca="1" si="1195"/>
        <v>10.271358881008123</v>
      </c>
      <c r="AW303" s="47">
        <f t="shared" ca="1" si="1195"/>
        <v>10.558806977573957</v>
      </c>
      <c r="AX303" s="47">
        <f t="shared" ca="1" si="1195"/>
        <v>10.854445601873497</v>
      </c>
    </row>
    <row r="305" spans="1:50" x14ac:dyDescent="0.25">
      <c r="A305" s="9" t="s">
        <v>918</v>
      </c>
    </row>
    <row r="306" spans="1:50" x14ac:dyDescent="0.25">
      <c r="A306" s="9" t="s">
        <v>916</v>
      </c>
      <c r="B306" s="10" t="str">
        <f>$B$38</f>
        <v>From Fiscal Forecasts</v>
      </c>
      <c r="C306" s="63" cm="1">
        <f t="array" aca="1" ref="C306" ca="1">SUMPRODUCT(OFFSET($N$306,0,0,1,-OFFSET(Assumptions!$B$39,0,$C$1))/OFFSET($N$13,0,0,1,-OFFSET(Assumptions!$B$39,0,$C$1)))/OFFSET(Assumptions!$B$39,0,$C$1)</f>
        <v>2.4710708152814857E-3</v>
      </c>
      <c r="D306" s="42">
        <f>'Fiscal Forecasts'!D$66</f>
        <v>0.96</v>
      </c>
      <c r="E306" s="42">
        <f>'Fiscal Forecasts'!E$66</f>
        <v>0.96099999999999997</v>
      </c>
      <c r="F306" s="42">
        <f>'Fiscal Forecasts'!F$66</f>
        <v>1.0149999999999999</v>
      </c>
      <c r="G306" s="42">
        <f>'Fiscal Forecasts'!G$66</f>
        <v>0.94899999999999995</v>
      </c>
      <c r="H306" s="42">
        <f>'Fiscal Forecasts'!H$66</f>
        <v>1.1559999999999999</v>
      </c>
      <c r="I306" s="42">
        <f>'Fiscal Forecasts'!I$66</f>
        <v>1.0620000000000001</v>
      </c>
      <c r="J306" s="43">
        <f>'Fiscal Forecasts'!J$66+Allocation!C$20</f>
        <v>1.0545</v>
      </c>
      <c r="K306" s="43">
        <f>'Fiscal Forecasts'!K$66+Allocation!D$20</f>
        <v>1.0032999999999999</v>
      </c>
      <c r="L306" s="43">
        <f>'Fiscal Forecasts'!L$66+Allocation!E$20</f>
        <v>0.99433499999999997</v>
      </c>
      <c r="M306" s="43">
        <f>'Fiscal Forecasts'!M$66+Allocation!F$20</f>
        <v>1.015085</v>
      </c>
      <c r="N306" s="43">
        <f>'Fiscal Forecasts'!N$66+Allocation!G$20</f>
        <v>1.0490949999999999</v>
      </c>
      <c r="O306" s="47">
        <f ca="1">(N$306/N$13+MIN(ABS($C$306-N$306/N$13),OFFSET(Assumptions!$B$40,0,$C$1))*SIGN($C$306-N$306/N$13))*O$13</f>
        <v>1.3532462048937781</v>
      </c>
      <c r="P306" s="47">
        <f ca="1">(O$306/O$13+MIN(ABS($C$306-O$306/O$13),OFFSET(Assumptions!$B$40,0,$C$1))*SIGN($C$306-O$306/O$13))*P$13</f>
        <v>1.4130533701637102</v>
      </c>
      <c r="Q306" s="47">
        <f ca="1">(P$306/P$13+MIN(ABS($C$306-P$306/P$13),OFFSET(Assumptions!$B$40,0,$C$1))*SIGN($C$306-P$306/P$13))*Q$13</f>
        <v>1.4730596991087377</v>
      </c>
      <c r="R306" s="47">
        <f ca="1">(Q$306/Q$13+MIN(ABS($C$306-Q$306/Q$13),OFFSET(Assumptions!$B$40,0,$C$1))*SIGN($C$306-Q$306/Q$13))*R$13</f>
        <v>1.5330621532787954</v>
      </c>
      <c r="S306" s="47">
        <f ca="1">(R$306/R$13+MIN(ABS($C$306-R$306/R$13),OFFSET(Assumptions!$B$40,0,$C$1))*SIGN($C$306-R$306/R$13))*S$13</f>
        <v>1.5949832644808393</v>
      </c>
      <c r="T306" s="47">
        <f ca="1">(S$306/S$13+MIN(ABS($C$306-S$306/S$13),OFFSET(Assumptions!$B$40,0,$C$1))*SIGN($C$306-S$306/S$13))*T$13</f>
        <v>1.6587928565781047</v>
      </c>
      <c r="U306" s="47">
        <f ca="1">(T$306/T$13+MIN(ABS($C$306-T$306/T$13),OFFSET(Assumptions!$B$40,0,$C$1))*SIGN($C$306-T$306/T$13))*U$13</f>
        <v>1.724747859350777</v>
      </c>
      <c r="V306" s="47">
        <f ca="1">(U$306/U$13+MIN(ABS($C$306-U$306/U$13),OFFSET(Assumptions!$B$40,0,$C$1))*SIGN($C$306-U$306/U$13))*V$13</f>
        <v>1.7928666819896868</v>
      </c>
      <c r="W306" s="47">
        <f ca="1">(V$306/V$13+MIN(ABS($C$306-V$306/V$13),OFFSET(Assumptions!$B$40,0,$C$1))*SIGN($C$306-V$306/V$13))*W$13</f>
        <v>1.8627942708713465</v>
      </c>
      <c r="X306" s="47">
        <f ca="1">(W$306/W$13+MIN(ABS($C$306-W$306/W$13),OFFSET(Assumptions!$B$40,0,$C$1))*SIGN($C$306-W$306/W$13))*X$13</f>
        <v>1.9346439102835111</v>
      </c>
      <c r="Y306" s="47">
        <f ca="1">(X$306/X$13+MIN(ABS($C$306-X$306/X$13),OFFSET(Assumptions!$B$40,0,$C$1))*SIGN($C$306-X$306/X$13))*Y$13</f>
        <v>2.0087919249726767</v>
      </c>
      <c r="Z306" s="47">
        <f ca="1">(Y$306/Y$13+MIN(ABS($C$306-Y$306/Y$13),OFFSET(Assumptions!$B$40,0,$C$1))*SIGN($C$306-Y$306/Y$13))*Z$13</f>
        <v>2.0852510958955595</v>
      </c>
      <c r="AA306" s="47">
        <f ca="1">(Z$306/Z$13+MIN(ABS($C$306-Z$306/Z$13),OFFSET(Assumptions!$B$40,0,$C$1))*SIGN($C$306-Z$306/Z$13))*AA$13</f>
        <v>2.164334142903563</v>
      </c>
      <c r="AB306" s="47">
        <f ca="1">(AA$306/AA$13+MIN(ABS($C$306-AA$306/AA$13),OFFSET(Assumptions!$B$40,0,$C$1))*SIGN($C$306-AA$306/AA$13))*AB$13</f>
        <v>2.2459571443742767</v>
      </c>
      <c r="AC306" s="47">
        <f ca="1">(AB$306/AB$13+MIN(ABS($C$306-AB$306/AB$13),OFFSET(Assumptions!$B$40,0,$C$1))*SIGN($C$306-AB$306/AB$13))*AC$13</f>
        <v>2.3301180011605318</v>
      </c>
      <c r="AD306" s="47">
        <f ca="1">(AC$306/AC$13+MIN(ABS($C$306-AC$306/AC$13),OFFSET(Assumptions!$B$40,0,$C$1))*SIGN($C$306-AC$306/AC$13))*AD$13</f>
        <v>2.4168770294571029</v>
      </c>
      <c r="AE306" s="47">
        <f ca="1">(AD$306/AD$13+MIN(ABS($C$306-AD$306/AD$13),OFFSET(Assumptions!$B$40,0,$C$1))*SIGN($C$306-AD$306/AD$13))*AE$13</f>
        <v>2.5062105616263906</v>
      </c>
      <c r="AF306" s="47">
        <f ca="1">(AE$306/AE$13+MIN(ABS($C$306-AE$306/AE$13),OFFSET(Assumptions!$B$40,0,$C$1))*SIGN($C$306-AE$306/AE$13))*AF$13</f>
        <v>2.5981395488689385</v>
      </c>
      <c r="AG306" s="47">
        <f ca="1">(AF$306/AF$13+MIN(ABS($C$306-AF$306/AF$13),OFFSET(Assumptions!$B$40,0,$C$1))*SIGN($C$306-AF$306/AF$13))*AG$13</f>
        <v>2.6926738964669985</v>
      </c>
      <c r="AH306" s="47">
        <f ca="1">(AG$306/AG$13+MIN(ABS($C$306-AG$306/AG$13),OFFSET(Assumptions!$B$40,0,$C$1))*SIGN($C$306-AG$306/AG$13))*AH$13</f>
        <v>2.7897690292836419</v>
      </c>
      <c r="AI306" s="47">
        <f ca="1">(AH$306/AH$13+MIN(ABS($C$306-AH$306/AH$13),OFFSET(Assumptions!$B$40,0,$C$1))*SIGN($C$306-AH$306/AH$13))*AI$13</f>
        <v>2.8895170042651759</v>
      </c>
      <c r="AJ306" s="47">
        <f ca="1">(AI$306/AI$13+MIN(ABS($C$306-AI$306/AI$13),OFFSET(Assumptions!$B$40,0,$C$1))*SIGN($C$306-AI$306/AI$13))*AJ$13</f>
        <v>2.9920355106448038</v>
      </c>
      <c r="AK306" s="47">
        <f ca="1">(AJ$306/AJ$13+MIN(ABS($C$306-AJ$306/AJ$13),OFFSET(Assumptions!$B$40,0,$C$1))*SIGN($C$306-AJ$306/AJ$13))*AK$13</f>
        <v>3.0971884572298283</v>
      </c>
      <c r="AL306" s="47">
        <f ca="1">(AK$306/AK$13+MIN(ABS($C$306-AK$306/AK$13),OFFSET(Assumptions!$B$40,0,$C$1))*SIGN($C$306-AK$306/AK$13))*AL$13</f>
        <v>3.2051200908299529</v>
      </c>
      <c r="AM306" s="47">
        <f ca="1">(AL$306/AL$13+MIN(ABS($C$306-AL$306/AL$13),OFFSET(Assumptions!$B$40,0,$C$1))*SIGN($C$306-AL$306/AL$13))*AM$13</f>
        <v>3.3159865555283203</v>
      </c>
      <c r="AN306" s="47">
        <f ca="1">(AM$306/AM$13+MIN(ABS($C$306-AM$306/AM$13),OFFSET(Assumptions!$B$40,0,$C$1))*SIGN($C$306-AM$306/AM$13))*AN$13</f>
        <v>3.4299139173052802</v>
      </c>
      <c r="AO306" s="47">
        <f ca="1">(AN$306/AN$13+MIN(ABS($C$306-AN$306/AN$13),OFFSET(Assumptions!$B$40,0,$C$1))*SIGN($C$306-AN$306/AN$13))*AO$13</f>
        <v>3.5469495386646113</v>
      </c>
      <c r="AP306" s="47">
        <f ca="1">(AO$306/AO$13+MIN(ABS($C$306-AO$306/AO$13),OFFSET(Assumptions!$B$40,0,$C$1))*SIGN($C$306-AO$306/AO$13))*AP$13</f>
        <v>3.6674534789171771</v>
      </c>
      <c r="AQ306" s="47">
        <f ca="1">(AP$306/AP$13+MIN(ABS($C$306-AP$306/AP$13),OFFSET(Assumptions!$B$40,0,$C$1))*SIGN($C$306-AP$306/AP$13))*AQ$13</f>
        <v>3.7915434762328095</v>
      </c>
      <c r="AR306" s="47">
        <f ca="1">(AQ$306/AQ$13+MIN(ABS($C$306-AQ$306/AQ$13),OFFSET(Assumptions!$B$40,0,$C$1))*SIGN($C$306-AQ$306/AQ$13))*AR$13</f>
        <v>3.9195433683829273</v>
      </c>
      <c r="AS306" s="47">
        <f ca="1">(AR$306/AR$13+MIN(ABS($C$306-AR$306/AR$13),OFFSET(Assumptions!$B$40,0,$C$1))*SIGN($C$306-AR$306/AR$13))*AS$13</f>
        <v>4.0515488778471651</v>
      </c>
      <c r="AT306" s="47">
        <f ca="1">(AS$306/AS$13+MIN(ABS($C$306-AS$306/AS$13),OFFSET(Assumptions!$B$40,0,$C$1))*SIGN($C$306-AS$306/AS$13))*AT$13</f>
        <v>4.1879707760045131</v>
      </c>
      <c r="AU306" s="47">
        <f ca="1">(AT$306/AT$13+MIN(ABS($C$306-AT$306/AT$13),OFFSET(Assumptions!$B$40,0,$C$1))*SIGN($C$306-AT$306/AT$13))*AU$13</f>
        <v>4.3287500829949268</v>
      </c>
      <c r="AV306" s="47">
        <f ca="1">(AU$306/AU$13+MIN(ABS($C$306-AU$306/AU$13),OFFSET(Assumptions!$B$40,0,$C$1))*SIGN($C$306-AU$306/AU$13))*AV$13</f>
        <v>4.4742859194866993</v>
      </c>
      <c r="AW306" s="47">
        <f ca="1">(AV$306/AV$13+MIN(ABS($C$306-AV$306/AV$13),OFFSET(Assumptions!$B$40,0,$C$1))*SIGN($C$306-AV$306/AV$13))*AW$13</f>
        <v>4.6247065550132174</v>
      </c>
      <c r="AX306" s="47">
        <f ca="1">(AW$306/AW$13+MIN(ABS($C$306-AW$306/AW$13),OFFSET(Assumptions!$B$40,0,$C$1))*SIGN($C$306-AW$306/AW$13))*AX$13</f>
        <v>4.7799494894120516</v>
      </c>
    </row>
    <row r="307" spans="1:50" x14ac:dyDescent="0.25">
      <c r="A307" s="9" t="s">
        <v>917</v>
      </c>
      <c r="B307" s="10" t="str">
        <f>$B$38</f>
        <v>From Fiscal Forecasts</v>
      </c>
      <c r="D307" s="42">
        <f>'Fiscal Forecasts'!D$49</f>
        <v>2.395</v>
      </c>
      <c r="E307" s="42">
        <f>'Fiscal Forecasts'!E$49</f>
        <v>2.4300000000000002</v>
      </c>
      <c r="F307" s="42">
        <f>'Fiscal Forecasts'!F$49</f>
        <v>2.3980000000000001</v>
      </c>
      <c r="G307" s="42">
        <f>'Fiscal Forecasts'!G$49</f>
        <v>2.302</v>
      </c>
      <c r="H307" s="42">
        <f>'Fiscal Forecasts'!H$49</f>
        <v>2.74</v>
      </c>
      <c r="I307" s="42">
        <f>'Fiscal Forecasts'!I$49</f>
        <v>2.6360000000000001</v>
      </c>
      <c r="J307" s="43">
        <f>'Fiscal Forecasts'!J$49+Allocation!C$20</f>
        <v>2.6705000000000001</v>
      </c>
      <c r="K307" s="43">
        <f>'Fiscal Forecasts'!K$49+Allocation!D$20</f>
        <v>2.4752999999999998</v>
      </c>
      <c r="L307" s="43">
        <f>'Fiscal Forecasts'!L$49+Allocation!E$20</f>
        <v>2.4743350000000004</v>
      </c>
      <c r="M307" s="43">
        <f>'Fiscal Forecasts'!M$49+Allocation!F$20</f>
        <v>2.4650849999999997</v>
      </c>
      <c r="N307" s="43">
        <f>'Fiscal Forecasts'!N$49+Allocation!G$20</f>
        <v>2.455095</v>
      </c>
      <c r="O307" s="47">
        <f t="shared" ref="O307:AX307" ca="1" si="1196">O$306+(N$307-N$306)*(1+O$29)</f>
        <v>2.787366204893778</v>
      </c>
      <c r="P307" s="47">
        <f t="shared" ca="1" si="1196"/>
        <v>2.8758557701637102</v>
      </c>
      <c r="Q307" s="47">
        <f t="shared" ca="1" si="1196"/>
        <v>2.9651181471087376</v>
      </c>
      <c r="R307" s="47">
        <f t="shared" ca="1" si="1196"/>
        <v>3.054961770238795</v>
      </c>
      <c r="S307" s="47">
        <f t="shared" ca="1" si="1196"/>
        <v>3.1473208737800391</v>
      </c>
      <c r="T307" s="47">
        <f t="shared" ca="1" si="1196"/>
        <v>3.2421772180632886</v>
      </c>
      <c r="U307" s="47">
        <f t="shared" ca="1" si="1196"/>
        <v>3.3397999080656646</v>
      </c>
      <c r="V307" s="47">
        <f t="shared" ca="1" si="1196"/>
        <v>3.4402197716788723</v>
      </c>
      <c r="W307" s="47">
        <f t="shared" ca="1" si="1196"/>
        <v>3.5430944223543159</v>
      </c>
      <c r="X307" s="47">
        <f t="shared" ca="1" si="1196"/>
        <v>3.6485500647961402</v>
      </c>
      <c r="Y307" s="47">
        <f t="shared" ca="1" si="1196"/>
        <v>3.7569762025755584</v>
      </c>
      <c r="Z307" s="47">
        <f t="shared" ca="1" si="1196"/>
        <v>3.8683990590504989</v>
      </c>
      <c r="AA307" s="47">
        <f t="shared" ca="1" si="1196"/>
        <v>3.983145065321601</v>
      </c>
      <c r="AB307" s="47">
        <f t="shared" ca="1" si="1196"/>
        <v>4.1011442852406752</v>
      </c>
      <c r="AC307" s="47">
        <f t="shared" ca="1" si="1196"/>
        <v>4.222408884844258</v>
      </c>
      <c r="AD307" s="47">
        <f t="shared" ca="1" si="1196"/>
        <v>4.3470137308145036</v>
      </c>
      <c r="AE307" s="47">
        <f t="shared" ca="1" si="1196"/>
        <v>4.4749499970109392</v>
      </c>
      <c r="AF307" s="47">
        <f t="shared" ca="1" si="1196"/>
        <v>4.6062537729611783</v>
      </c>
      <c r="AG307" s="47">
        <f t="shared" ca="1" si="1196"/>
        <v>4.7409504050410831</v>
      </c>
      <c r="AH307" s="47">
        <f t="shared" ca="1" si="1196"/>
        <v>4.8790110680292083</v>
      </c>
      <c r="AI307" s="47">
        <f t="shared" ca="1" si="1196"/>
        <v>5.0205438837856535</v>
      </c>
      <c r="AJ307" s="47">
        <f t="shared" ca="1" si="1196"/>
        <v>5.1656829277556913</v>
      </c>
      <c r="AK307" s="47">
        <f t="shared" ca="1" si="1196"/>
        <v>5.3143088226829338</v>
      </c>
      <c r="AL307" s="47">
        <f t="shared" ca="1" si="1196"/>
        <v>5.4665828635921212</v>
      </c>
      <c r="AM307" s="47">
        <f t="shared" ca="1" si="1196"/>
        <v>5.6226785837457323</v>
      </c>
      <c r="AN307" s="47">
        <f t="shared" ca="1" si="1196"/>
        <v>5.7827397860870402</v>
      </c>
      <c r="AO307" s="47">
        <f t="shared" ca="1" si="1196"/>
        <v>5.946831924822007</v>
      </c>
      <c r="AP307" s="47">
        <f t="shared" ca="1" si="1196"/>
        <v>6.1153335127977204</v>
      </c>
      <c r="AQ307" s="47">
        <f t="shared" ca="1" si="1196"/>
        <v>6.2883811107909633</v>
      </c>
      <c r="AR307" s="47">
        <f t="shared" ca="1" si="1196"/>
        <v>6.466317755632244</v>
      </c>
      <c r="AS307" s="47">
        <f t="shared" ca="1" si="1196"/>
        <v>6.6492587528414688</v>
      </c>
      <c r="AT307" s="47">
        <f t="shared" ca="1" si="1196"/>
        <v>6.8376348484987028</v>
      </c>
      <c r="AU307" s="47">
        <f t="shared" ca="1" si="1196"/>
        <v>7.0314074369390003</v>
      </c>
      <c r="AV307" s="47">
        <f t="shared" ca="1" si="1196"/>
        <v>7.2309964205096549</v>
      </c>
      <c r="AW307" s="47">
        <f t="shared" ca="1" si="1196"/>
        <v>7.4365512660566324</v>
      </c>
      <c r="AX307" s="47">
        <f t="shared" ca="1" si="1196"/>
        <v>7.6480310946763348</v>
      </c>
    </row>
    <row r="309" spans="1:50" x14ac:dyDescent="0.25">
      <c r="A309" s="9" t="s">
        <v>921</v>
      </c>
    </row>
    <row r="310" spans="1:50" x14ac:dyDescent="0.25">
      <c r="A310" s="9" t="s">
        <v>919</v>
      </c>
      <c r="B310" s="10" t="str">
        <f>$B$38</f>
        <v>From Fiscal Forecasts</v>
      </c>
      <c r="C310" s="63" cm="1">
        <f t="array" aca="1" ref="C310" ca="1">SUMPRODUCT(OFFSET($N$310,0,0,1,-OFFSET(Assumptions!$B$39,0,$C$1))/OFFSET($N$13,0,0,1,-OFFSET(Assumptions!$B$39,0,$C$1)))/OFFSET(Assumptions!$B$39,0,$C$1)</f>
        <v>4.877745631240089E-3</v>
      </c>
      <c r="D310" s="42">
        <f>'Fiscal Forecasts'!D$67</f>
        <v>0.72699999999999998</v>
      </c>
      <c r="E310" s="42">
        <f>'Fiscal Forecasts'!E$67</f>
        <v>1.0149999999999999</v>
      </c>
      <c r="F310" s="42">
        <f>'Fiscal Forecasts'!F$67</f>
        <v>1.8129999999999999</v>
      </c>
      <c r="G310" s="42">
        <f>'Fiscal Forecasts'!G$67</f>
        <v>2.0329999999999999</v>
      </c>
      <c r="H310" s="42">
        <f>'Fiscal Forecasts'!H$67</f>
        <v>2.3119999999999998</v>
      </c>
      <c r="I310" s="42">
        <f>'Fiscal Forecasts'!I$67</f>
        <v>2.512</v>
      </c>
      <c r="J310" s="43">
        <f>'Fiscal Forecasts'!J$67+Allocation!C$21</f>
        <v>2.2084999999999999</v>
      </c>
      <c r="K310" s="43">
        <f>'Fiscal Forecasts'!K$67+Allocation!D$21</f>
        <v>2.3542999999999998</v>
      </c>
      <c r="L310" s="43">
        <f>'Fiscal Forecasts'!L$67+Allocation!E$21</f>
        <v>2.2773350000000003</v>
      </c>
      <c r="M310" s="43">
        <f>'Fiscal Forecasts'!M$67+Allocation!F$21</f>
        <v>1.983085</v>
      </c>
      <c r="N310" s="43">
        <f>'Fiscal Forecasts'!N$67+Allocation!G$21</f>
        <v>2.125095</v>
      </c>
      <c r="O310" s="47">
        <f ca="1">(N$310/N$13+MIN(ABS($C$310-N$310/N$13),OFFSET(Assumptions!$B$40,0,$C$1))*SIGN($C$310-N$310/N$13))*O$13</f>
        <v>2.4942503263691824</v>
      </c>
      <c r="P310" s="47">
        <f ca="1">(O$310/O$13+MIN(ABS($C$310-O$310/O$13),OFFSET(Assumptions!$B$40,0,$C$1))*SIGN($C$310-O$310/O$13))*P$13</f>
        <v>2.7892826301863711</v>
      </c>
      <c r="Q310" s="47">
        <f ca="1">(P$310/P$13+MIN(ABS($C$310-P$310/P$13),OFFSET(Assumptions!$B$40,0,$C$1))*SIGN($C$310-P$310/P$13))*Q$13</f>
        <v>2.907731525721168</v>
      </c>
      <c r="R310" s="47">
        <f ca="1">(Q$310/Q$13+MIN(ABS($C$310-Q$310/Q$13),OFFSET(Assumptions!$B$40,0,$C$1))*SIGN($C$310-Q$310/Q$13))*R$13</f>
        <v>3.0261727726824952</v>
      </c>
      <c r="S310" s="47">
        <f ca="1">(R$310/R$13+MIN(ABS($C$310-R$310/R$13),OFFSET(Assumptions!$B$40,0,$C$1))*SIGN($C$310-R$310/R$13))*S$13</f>
        <v>3.1484013335879406</v>
      </c>
      <c r="T310" s="47">
        <f ca="1">(S$310/S$13+MIN(ABS($C$310-S$310/S$13),OFFSET(Assumptions!$B$40,0,$C$1))*SIGN($C$310-S$310/S$13))*T$13</f>
        <v>3.2743576425528027</v>
      </c>
      <c r="U310" s="47">
        <f ca="1">(T$310/T$13+MIN(ABS($C$310-T$310/T$13),OFFSET(Assumptions!$B$40,0,$C$1))*SIGN($C$310-T$310/T$13))*U$13</f>
        <v>3.4045488635584151</v>
      </c>
      <c r="V310" s="47">
        <f ca="1">(U$310/U$13+MIN(ABS($C$310-U$310/U$13),OFFSET(Assumptions!$B$40,0,$C$1))*SIGN($C$310-U$310/U$13))*V$13</f>
        <v>3.5390113352437162</v>
      </c>
      <c r="W310" s="47">
        <f ca="1">(V$310/V$13+MIN(ABS($C$310-V$310/V$13),OFFSET(Assumptions!$B$40,0,$C$1))*SIGN($C$310-V$310/V$13))*W$13</f>
        <v>3.677044203043911</v>
      </c>
      <c r="X310" s="47">
        <f ca="1">(W$310/W$13+MIN(ABS($C$310-W$310/W$13),OFFSET(Assumptions!$B$40,0,$C$1))*SIGN($C$310-W$310/W$13))*X$13</f>
        <v>3.8188710833508352</v>
      </c>
      <c r="Y310" s="47">
        <f ca="1">(X$310/X$13+MIN(ABS($C$310-X$310/X$13),OFFSET(Assumptions!$B$40,0,$C$1))*SIGN($C$310-X$310/X$13))*Y$13</f>
        <v>3.96523481865075</v>
      </c>
      <c r="Z310" s="47">
        <f ca="1">(Y$310/Y$13+MIN(ABS($C$310-Y$310/Y$13),OFFSET(Assumptions!$B$40,0,$C$1))*SIGN($C$310-Y$310/Y$13))*Z$13</f>
        <v>4.1161606377859039</v>
      </c>
      <c r="AA310" s="47">
        <f ca="1">(Z$310/Z$13+MIN(ABS($C$310-Z$310/Z$13),OFFSET(Assumptions!$B$40,0,$C$1))*SIGN($C$310-Z$310/Z$13))*AA$13</f>
        <v>4.2722658309932067</v>
      </c>
      <c r="AB310" s="47">
        <f ca="1">(AA$310/AA$13+MIN(ABS($C$310-AA$310/AA$13),OFFSET(Assumptions!$B$40,0,$C$1))*SIGN($C$310-AA$310/AA$13))*AB$13</f>
        <v>4.4333847420217136</v>
      </c>
      <c r="AC310" s="47">
        <f ca="1">(AB$310/AB$13+MIN(ABS($C$310-AB$310/AB$13),OFFSET(Assumptions!$B$40,0,$C$1))*SIGN($C$310-AB$310/AB$13))*AC$13</f>
        <v>4.5995132272807711</v>
      </c>
      <c r="AD310" s="47">
        <f ca="1">(AC$310/AC$13+MIN(ABS($C$310-AC$310/AC$13),OFFSET(Assumptions!$B$40,0,$C$1))*SIGN($C$310-AC$310/AC$13))*AD$13</f>
        <v>4.7707703473224843</v>
      </c>
      <c r="AE310" s="47">
        <f ca="1">(AD$310/AD$13+MIN(ABS($C$310-AD$310/AD$13),OFFSET(Assumptions!$B$40,0,$C$1))*SIGN($C$310-AD$310/AD$13))*AE$13</f>
        <v>4.9471093836492726</v>
      </c>
      <c r="AF310" s="47">
        <f ca="1">(AE$310/AE$13+MIN(ABS($C$310-AE$310/AE$13),OFFSET(Assumptions!$B$40,0,$C$1))*SIGN($C$310-AE$310/AE$13))*AF$13</f>
        <v>5.1285716926748375</v>
      </c>
      <c r="AG310" s="47">
        <f ca="1">(AF$310/AF$13+MIN(ABS($C$310-AF$310/AF$13),OFFSET(Assumptions!$B$40,0,$C$1))*SIGN($C$310-AF$310/AF$13))*AG$13</f>
        <v>5.3151768268324533</v>
      </c>
      <c r="AH310" s="47">
        <f ca="1">(AG$310/AG$13+MIN(ABS($C$310-AG$310/AG$13),OFFSET(Assumptions!$B$40,0,$C$1))*SIGN($C$310-AG$310/AG$13))*AH$13</f>
        <v>5.5068367974744143</v>
      </c>
      <c r="AI310" s="47">
        <f ca="1">(AH$310/AH$13+MIN(ABS($C$310-AH$310/AH$13),OFFSET(Assumptions!$B$40,0,$C$1))*SIGN($C$310-AH$310/AH$13))*AI$13</f>
        <v>5.7037333194932707</v>
      </c>
      <c r="AJ310" s="47">
        <f ca="1">(AI$310/AI$13+MIN(ABS($C$310-AI$310/AI$13),OFFSET(Assumptions!$B$40,0,$C$1))*SIGN($C$310-AI$310/AI$13))*AJ$13</f>
        <v>5.9060987043790645</v>
      </c>
      <c r="AK310" s="47">
        <f ca="1">(AJ$310/AJ$13+MIN(ABS($C$310-AJ$310/AJ$13),OFFSET(Assumptions!$B$40,0,$C$1))*SIGN($C$310-AJ$310/AJ$13))*AK$13</f>
        <v>6.1136643162770374</v>
      </c>
      <c r="AL310" s="47">
        <f ca="1">(AK$310/AK$13+MIN(ABS($C$310-AK$310/AK$13),OFFSET(Assumptions!$B$40,0,$C$1))*SIGN($C$310-AK$310/AK$13))*AL$13</f>
        <v>6.3267148897409324</v>
      </c>
      <c r="AM310" s="47">
        <f ca="1">(AL$310/AL$13+MIN(ABS($C$310-AL$310/AL$13),OFFSET(Assumptions!$B$40,0,$C$1))*SIGN($C$310-AL$310/AL$13))*AM$13</f>
        <v>6.5455586438289322</v>
      </c>
      <c r="AN310" s="47">
        <f ca="1">(AM$310/AM$13+MIN(ABS($C$310-AM$310/AM$13),OFFSET(Assumptions!$B$40,0,$C$1))*SIGN($C$310-AM$310/AM$13))*AN$13</f>
        <v>6.7704444252277032</v>
      </c>
      <c r="AO310" s="47">
        <f ca="1">(AN$310/AN$13+MIN(ABS($C$310-AN$310/AN$13),OFFSET(Assumptions!$B$40,0,$C$1))*SIGN($C$310-AN$310/AN$13))*AO$13</f>
        <v>7.0014657246799885</v>
      </c>
      <c r="AP310" s="47">
        <f ca="1">(AO$310/AO$13+MIN(ABS($C$310-AO$310/AO$13),OFFSET(Assumptions!$B$40,0,$C$1))*SIGN($C$310-AO$310/AO$13))*AP$13</f>
        <v>7.2393332776773365</v>
      </c>
      <c r="AQ310" s="47">
        <f ca="1">(AP$310/AP$13+MIN(ABS($C$310-AP$310/AP$13),OFFSET(Assumptions!$B$40,0,$C$1))*SIGN($C$310-AP$310/AP$13))*AQ$13</f>
        <v>7.4842794923077625</v>
      </c>
      <c r="AR310" s="47">
        <f ca="1">(AQ$310/AQ$13+MIN(ABS($C$310-AQ$310/AQ$13),OFFSET(Assumptions!$B$40,0,$C$1))*SIGN($C$310-AQ$310/AQ$13))*AR$13</f>
        <v>7.7369436049156874</v>
      </c>
      <c r="AS310" s="47">
        <f ca="1">(AR$310/AR$13+MIN(ABS($C$310-AR$310/AR$13),OFFSET(Assumptions!$B$40,0,$C$1))*SIGN($C$310-AR$310/AR$13))*AS$13</f>
        <v>7.9975145659366751</v>
      </c>
      <c r="AT310" s="47">
        <f ca="1">(AS$310/AS$13+MIN(ABS($C$310-AS$310/AS$13),OFFSET(Assumptions!$B$40,0,$C$1))*SIGN($C$310-AS$310/AS$13))*AT$13</f>
        <v>8.2668032134442058</v>
      </c>
      <c r="AU310" s="47">
        <f ca="1">(AT$310/AT$13+MIN(ABS($C$310-AT$310/AT$13),OFFSET(Assumptions!$B$40,0,$C$1))*SIGN($C$310-AT$310/AT$13))*AU$13</f>
        <v>8.5446931247308147</v>
      </c>
      <c r="AV310" s="47">
        <f ca="1">(AU$310/AU$13+MIN(ABS($C$310-AU$310/AU$13),OFFSET(Assumptions!$B$40,0,$C$1))*SIGN($C$310-AU$310/AU$13))*AV$13</f>
        <v>8.8319721400656093</v>
      </c>
      <c r="AW310" s="47">
        <f ca="1">(AV$310/AV$13+MIN(ABS($C$310-AV$310/AV$13),OFFSET(Assumptions!$B$40,0,$C$1))*SIGN($C$310-AV$310/AV$13))*AW$13</f>
        <v>9.1288934558168346</v>
      </c>
      <c r="AX310" s="47">
        <f ca="1">(AW$310/AW$13+MIN(ABS($C$310-AW$310/AW$13),OFFSET(Assumptions!$B$40,0,$C$1))*SIGN($C$310-AW$310/AW$13))*AX$13</f>
        <v>9.4353337004111779</v>
      </c>
    </row>
    <row r="311" spans="1:50" x14ac:dyDescent="0.25">
      <c r="A311" s="9" t="s">
        <v>920</v>
      </c>
      <c r="B311" s="10" t="str">
        <f>$B$38</f>
        <v>From Fiscal Forecasts</v>
      </c>
      <c r="D311" s="42">
        <f>'Fiscal Forecasts'!D$50</f>
        <v>2.02</v>
      </c>
      <c r="E311" s="42">
        <f>'Fiscal Forecasts'!E$50</f>
        <v>2.3929999999999998</v>
      </c>
      <c r="F311" s="42">
        <f>'Fiscal Forecasts'!F$50</f>
        <v>3.351</v>
      </c>
      <c r="G311" s="42">
        <f>'Fiscal Forecasts'!G$50</f>
        <v>3.9350000000000001</v>
      </c>
      <c r="H311" s="42">
        <f>'Fiscal Forecasts'!H$50</f>
        <v>4.3959999999999999</v>
      </c>
      <c r="I311" s="42">
        <f>'Fiscal Forecasts'!I$50</f>
        <v>4.7889999999999997</v>
      </c>
      <c r="J311" s="43">
        <f>'Fiscal Forecasts'!J$50+Allocation!C$21</f>
        <v>4.6055000000000001</v>
      </c>
      <c r="K311" s="43">
        <f>'Fiscal Forecasts'!K$50+Allocation!D$21</f>
        <v>4.6863000000000001</v>
      </c>
      <c r="L311" s="43">
        <f>'Fiscal Forecasts'!L$50+Allocation!E$21</f>
        <v>4.7953349999999997</v>
      </c>
      <c r="M311" s="43">
        <f>'Fiscal Forecasts'!M$50+Allocation!F$21</f>
        <v>4.5220850000000006</v>
      </c>
      <c r="N311" s="43">
        <f>'Fiscal Forecasts'!N$50+Allocation!G$21</f>
        <v>4.5600950000000005</v>
      </c>
      <c r="O311" s="47">
        <f t="shared" ref="O311:AX311" ca="1" si="1197">O$310+(N$311-N$310)*(1+O$29)</f>
        <v>4.9779503263691831</v>
      </c>
      <c r="P311" s="47">
        <f t="shared" ca="1" si="1197"/>
        <v>5.3226566301863718</v>
      </c>
      <c r="Q311" s="47">
        <f t="shared" ca="1" si="1197"/>
        <v>5.4917730057211687</v>
      </c>
      <c r="R311" s="47">
        <f t="shared" ca="1" si="1197"/>
        <v>5.6618950822824958</v>
      </c>
      <c r="S311" s="47">
        <f t="shared" ca="1" si="1197"/>
        <v>5.8368380893799419</v>
      </c>
      <c r="T311" s="47">
        <f t="shared" ca="1" si="1197"/>
        <v>6.016563133460644</v>
      </c>
      <c r="U311" s="47">
        <f t="shared" ca="1" si="1197"/>
        <v>6.2015984642844133</v>
      </c>
      <c r="V311" s="47">
        <f t="shared" ca="1" si="1197"/>
        <v>6.3920019279842339</v>
      </c>
      <c r="W311" s="47">
        <f t="shared" ca="1" si="1197"/>
        <v>6.5870946076392389</v>
      </c>
      <c r="X311" s="47">
        <f t="shared" ca="1" si="1197"/>
        <v>6.7871224960380694</v>
      </c>
      <c r="Y311" s="47">
        <f t="shared" ca="1" si="1197"/>
        <v>6.9928512595917294</v>
      </c>
      <c r="Z311" s="47">
        <f t="shared" ca="1" si="1197"/>
        <v>7.2043294075457034</v>
      </c>
      <c r="AA311" s="47">
        <f t="shared" ca="1" si="1197"/>
        <v>7.422197976148202</v>
      </c>
      <c r="AB311" s="47">
        <f t="shared" ca="1" si="1197"/>
        <v>7.6463155300798089</v>
      </c>
      <c r="AC311" s="47">
        <f t="shared" ca="1" si="1197"/>
        <v>7.8767026311000281</v>
      </c>
      <c r="AD311" s="47">
        <f t="shared" ca="1" si="1197"/>
        <v>8.1135035392181258</v>
      </c>
      <c r="AE311" s="47">
        <f t="shared" ca="1" si="1197"/>
        <v>8.3566972393828269</v>
      </c>
      <c r="AF311" s="47">
        <f t="shared" ca="1" si="1197"/>
        <v>8.6063513055230629</v>
      </c>
      <c r="AG311" s="47">
        <f t="shared" ca="1" si="1197"/>
        <v>8.8625120319376443</v>
      </c>
      <c r="AH311" s="47">
        <f t="shared" ca="1" si="1197"/>
        <v>9.1251187066817092</v>
      </c>
      <c r="AI311" s="47">
        <f t="shared" ca="1" si="1197"/>
        <v>9.3943808668847115</v>
      </c>
      <c r="AJ311" s="47">
        <f t="shared" ca="1" si="1197"/>
        <v>9.6705592027183336</v>
      </c>
      <c r="AK311" s="47">
        <f t="shared" ca="1" si="1197"/>
        <v>9.9534140245830915</v>
      </c>
      <c r="AL311" s="47">
        <f t="shared" ca="1" si="1197"/>
        <v>10.243259592213107</v>
      </c>
      <c r="AM311" s="47">
        <f t="shared" ca="1" si="1197"/>
        <v>10.54043424035055</v>
      </c>
      <c r="AN311" s="47">
        <f t="shared" ca="1" si="1197"/>
        <v>10.845217533679753</v>
      </c>
      <c r="AO311" s="47">
        <f t="shared" ca="1" si="1197"/>
        <v>11.157734295301079</v>
      </c>
      <c r="AP311" s="47">
        <f t="shared" ca="1" si="1197"/>
        <v>11.478727219710848</v>
      </c>
      <c r="AQ311" s="47">
        <f t="shared" ca="1" si="1197"/>
        <v>11.808461313181944</v>
      </c>
      <c r="AR311" s="47">
        <f t="shared" ca="1" si="1197"/>
        <v>12.147609062207351</v>
      </c>
      <c r="AS311" s="47">
        <f t="shared" ca="1" si="1197"/>
        <v>12.496393332374172</v>
      </c>
      <c r="AT311" s="47">
        <f t="shared" ca="1" si="1197"/>
        <v>12.855659555210453</v>
      </c>
      <c r="AU311" s="47">
        <f t="shared" ca="1" si="1197"/>
        <v>13.225326593332387</v>
      </c>
      <c r="AV311" s="47">
        <f t="shared" ca="1" si="1197"/>
        <v>13.606218278039213</v>
      </c>
      <c r="AW311" s="47">
        <f t="shared" ca="1" si="1197"/>
        <v>13.99862451654991</v>
      </c>
      <c r="AX311" s="47">
        <f t="shared" ca="1" si="1197"/>
        <v>14.402459382358915</v>
      </c>
    </row>
    <row r="313" spans="1:50" x14ac:dyDescent="0.25">
      <c r="A313" s="9" t="s">
        <v>923</v>
      </c>
    </row>
    <row r="314" spans="1:50" x14ac:dyDescent="0.25">
      <c r="A314" s="11" t="s">
        <v>922</v>
      </c>
      <c r="B314" s="10" t="str">
        <f>$B$38</f>
        <v>From Fiscal Forecasts</v>
      </c>
      <c r="D314" s="35">
        <f>'Fiscal Forecasts'!D$376</f>
        <v>0.54300000000000004</v>
      </c>
      <c r="E314" s="35">
        <f>'Fiscal Forecasts'!E$376</f>
        <v>0.65</v>
      </c>
      <c r="F314" s="35">
        <f>'Fiscal Forecasts'!F$376</f>
        <v>1.853</v>
      </c>
      <c r="G314" s="35">
        <f>'Fiscal Forecasts'!G$376</f>
        <v>1.4890000000000001</v>
      </c>
      <c r="H314" s="35">
        <f>'Fiscal Forecasts'!H$376</f>
        <v>1.103</v>
      </c>
      <c r="I314" s="35">
        <f>'Fiscal Forecasts'!I$376</f>
        <v>0.83399999999999996</v>
      </c>
      <c r="J314" s="17">
        <f>'Fiscal Forecasts'!J$376</f>
        <v>1.194</v>
      </c>
      <c r="K314" s="17">
        <f>'Fiscal Forecasts'!K$376</f>
        <v>1.1739999999999999</v>
      </c>
      <c r="L314" s="17">
        <f>'Fiscal Forecasts'!L$376</f>
        <v>1.3680000000000001</v>
      </c>
      <c r="M314" s="17">
        <f>'Fiscal Forecasts'!M$376</f>
        <v>1.4219999999999999</v>
      </c>
      <c r="N314" s="17">
        <f>'Fiscal Forecasts'!N$376</f>
        <v>1.448</v>
      </c>
      <c r="O314" s="16">
        <f t="shared" ref="O314:AX314" ca="1" si="1198">N$314*(1+O$29)</f>
        <v>1.4769600000000001</v>
      </c>
      <c r="P314" s="16">
        <f t="shared" ca="1" si="1198"/>
        <v>1.5064992000000001</v>
      </c>
      <c r="Q314" s="16">
        <f t="shared" ca="1" si="1198"/>
        <v>1.5366291840000001</v>
      </c>
      <c r="R314" s="16">
        <f t="shared" ca="1" si="1198"/>
        <v>1.5673617676800002</v>
      </c>
      <c r="S314" s="16">
        <f t="shared" ca="1" si="1198"/>
        <v>1.5987090030336002</v>
      </c>
      <c r="T314" s="16">
        <f t="shared" ca="1" si="1198"/>
        <v>1.6306831830942723</v>
      </c>
      <c r="U314" s="16">
        <f t="shared" ca="1" si="1198"/>
        <v>1.6632968467561577</v>
      </c>
      <c r="V314" s="16">
        <f t="shared" ca="1" si="1198"/>
        <v>1.6965627836912809</v>
      </c>
      <c r="W314" s="16">
        <f t="shared" ca="1" si="1198"/>
        <v>1.7304940393651065</v>
      </c>
      <c r="X314" s="16">
        <f t="shared" ca="1" si="1198"/>
        <v>1.7651039201524086</v>
      </c>
      <c r="Y314" s="16">
        <f t="shared" ca="1" si="1198"/>
        <v>1.8004059985554568</v>
      </c>
      <c r="Z314" s="16">
        <f t="shared" ca="1" si="1198"/>
        <v>1.8364141185265659</v>
      </c>
      <c r="AA314" s="16">
        <f t="shared" ca="1" si="1198"/>
        <v>1.8731424008970972</v>
      </c>
      <c r="AB314" s="16">
        <f t="shared" ca="1" si="1198"/>
        <v>1.9106052489150391</v>
      </c>
      <c r="AC314" s="16">
        <f t="shared" ca="1" si="1198"/>
        <v>1.94881735389334</v>
      </c>
      <c r="AD314" s="16">
        <f t="shared" ca="1" si="1198"/>
        <v>1.9877937009712068</v>
      </c>
      <c r="AE314" s="16">
        <f t="shared" ca="1" si="1198"/>
        <v>2.0275495749906312</v>
      </c>
      <c r="AF314" s="16">
        <f t="shared" ca="1" si="1198"/>
        <v>2.0681005664904437</v>
      </c>
      <c r="AG314" s="16">
        <f t="shared" ca="1" si="1198"/>
        <v>2.1094625778202527</v>
      </c>
      <c r="AH314" s="16">
        <f t="shared" ca="1" si="1198"/>
        <v>2.1516518293766578</v>
      </c>
      <c r="AI314" s="16">
        <f t="shared" ca="1" si="1198"/>
        <v>2.1946848659641911</v>
      </c>
      <c r="AJ314" s="16">
        <f t="shared" ca="1" si="1198"/>
        <v>2.2385785632834749</v>
      </c>
      <c r="AK314" s="16">
        <f t="shared" ca="1" si="1198"/>
        <v>2.2833501345491443</v>
      </c>
      <c r="AL314" s="16">
        <f t="shared" ca="1" si="1198"/>
        <v>2.3290171372401272</v>
      </c>
      <c r="AM314" s="16">
        <f t="shared" ca="1" si="1198"/>
        <v>2.3755974799849295</v>
      </c>
      <c r="AN314" s="16">
        <f t="shared" ca="1" si="1198"/>
        <v>2.423109429584628</v>
      </c>
      <c r="AO314" s="16">
        <f t="shared" ca="1" si="1198"/>
        <v>2.4715716181763208</v>
      </c>
      <c r="AP314" s="16">
        <f t="shared" ca="1" si="1198"/>
        <v>2.5210030505398473</v>
      </c>
      <c r="AQ314" s="16">
        <f t="shared" ca="1" si="1198"/>
        <v>2.5714231115506445</v>
      </c>
      <c r="AR314" s="16">
        <f t="shared" ca="1" si="1198"/>
        <v>2.6228515737816576</v>
      </c>
      <c r="AS314" s="16">
        <f t="shared" ca="1" si="1198"/>
        <v>2.6753086052572908</v>
      </c>
      <c r="AT314" s="16">
        <f t="shared" ca="1" si="1198"/>
        <v>2.7288147773624365</v>
      </c>
      <c r="AU314" s="16">
        <f t="shared" ca="1" si="1198"/>
        <v>2.7833910729096853</v>
      </c>
      <c r="AV314" s="16">
        <f t="shared" ca="1" si="1198"/>
        <v>2.8390588943678789</v>
      </c>
      <c r="AW314" s="16">
        <f t="shared" ca="1" si="1198"/>
        <v>2.8958400722552367</v>
      </c>
      <c r="AX314" s="16">
        <f t="shared" ca="1" si="1198"/>
        <v>2.9537568737003412</v>
      </c>
    </row>
    <row r="315" spans="1:50" x14ac:dyDescent="0.25">
      <c r="A315" s="11" t="s">
        <v>924</v>
      </c>
      <c r="B315" s="10" t="str">
        <f>$B$38</f>
        <v>From Fiscal Forecasts</v>
      </c>
      <c r="C315" s="63" cm="1">
        <f t="array" aca="1" ref="C315" ca="1">SUMPRODUCT(OFFSET($N$315,0,0,1,-OFFSET(Assumptions!$B$39,0,$C$1))/OFFSET($N$13,0,0,1,-OFFSET(Assumptions!$B$39,0,$C$1)))/OFFSET(Assumptions!$B$39,0,$C$1)</f>
        <v>2.5898597508267314E-3</v>
      </c>
      <c r="D315" s="35">
        <f>'Fiscal Forecasts'!D$68-D$314</f>
        <v>0.57599999999999996</v>
      </c>
      <c r="E315" s="35">
        <f>'Fiscal Forecasts'!E$68-E$314</f>
        <v>0.83500000000000008</v>
      </c>
      <c r="F315" s="35">
        <f>'Fiscal Forecasts'!F$68-F$314</f>
        <v>5.2999999999999936E-2</v>
      </c>
      <c r="G315" s="35">
        <f>'Fiscal Forecasts'!G$68-G$314</f>
        <v>1.0599999999999998</v>
      </c>
      <c r="H315" s="35">
        <f>'Fiscal Forecasts'!H$68-H$314</f>
        <v>1.2779999999999998</v>
      </c>
      <c r="I315" s="35">
        <f>'Fiscal Forecasts'!I$68-I$314</f>
        <v>1.4630000000000001</v>
      </c>
      <c r="J315" s="17">
        <f>'Fiscal Forecasts'!J$68-J$314+Allocation!C$22</f>
        <v>1.3145</v>
      </c>
      <c r="K315" s="17">
        <f>'Fiscal Forecasts'!K$68-K$314+Allocation!D$22</f>
        <v>1.3993000000000002</v>
      </c>
      <c r="L315" s="17">
        <f>'Fiscal Forecasts'!L$68-L$314+Allocation!E$22</f>
        <v>1.2693349999999999</v>
      </c>
      <c r="M315" s="17">
        <f>'Fiscal Forecasts'!M$68-M$314+Allocation!F$22</f>
        <v>1.215085</v>
      </c>
      <c r="N315" s="17">
        <f>'Fiscal Forecasts'!N$68-N$314+Allocation!G$22</f>
        <v>1.2510950000000001</v>
      </c>
      <c r="O315" s="16">
        <f ca="1">(N$315/N$13+MIN(ABS($C$315-N$315/N$13),OFFSET(Assumptions!$B$40,0,$C$1))*SIGN($C$315-N$315/N$13))*O$13</f>
        <v>1.418299247977719</v>
      </c>
      <c r="P315" s="16">
        <f ca="1">(O$315/O$13+MIN(ABS($C$315-O$315/O$13),OFFSET(Assumptions!$B$40,0,$C$1))*SIGN($C$315-O$315/O$13))*P$13</f>
        <v>1.4809814540827657</v>
      </c>
      <c r="Q315" s="16">
        <f ca="1">(P$315/P$13+MIN(ABS($C$315-P$315/P$13),OFFSET(Assumptions!$B$40,0,$C$1))*SIGN($C$315-P$315/P$13))*Q$13</f>
        <v>1.5438723980284139</v>
      </c>
      <c r="R315" s="16">
        <f ca="1">(Q$315/Q$13+MIN(ABS($C$315-Q$315/Q$13),OFFSET(Assumptions!$B$40,0,$C$1))*SIGN($C$315-Q$315/Q$13))*R$13</f>
        <v>1.6067592809315072</v>
      </c>
      <c r="S315" s="16">
        <f ca="1">(R$315/R$13+MIN(ABS($C$315-R$315/R$13),OFFSET(Assumptions!$B$40,0,$C$1))*SIGN($C$315-R$315/R$13))*S$13</f>
        <v>1.6716570542518447</v>
      </c>
      <c r="T315" s="16">
        <f ca="1">(S$315/S$13+MIN(ABS($C$315-S$315/S$13),OFFSET(Assumptions!$B$40,0,$C$1))*SIGN($C$315-S$315/S$13))*T$13</f>
        <v>1.7385340912300644</v>
      </c>
      <c r="U315" s="16">
        <f ca="1">(T$315/T$13+MIN(ABS($C$315-T$315/T$13),OFFSET(Assumptions!$B$40,0,$C$1))*SIGN($C$315-T$315/T$13))*U$13</f>
        <v>1.8076596727351626</v>
      </c>
      <c r="V315" s="16">
        <f ca="1">(U$315/U$13+MIN(ABS($C$315-U$315/U$13),OFFSET(Assumptions!$B$40,0,$C$1))*SIGN($C$315-U$315/U$13))*V$13</f>
        <v>1.8790530929217553</v>
      </c>
      <c r="W315" s="16">
        <f ca="1">(V$315/V$13+MIN(ABS($C$315-V$315/V$13),OFFSET(Assumptions!$B$40,0,$C$1))*SIGN($C$315-V$315/V$13))*W$13</f>
        <v>1.9523422300832654</v>
      </c>
      <c r="X315" s="16">
        <f ca="1">(W$315/W$13+MIN(ABS($C$315-W$315/W$13),OFFSET(Assumptions!$B$40,0,$C$1))*SIGN($C$315-W$315/W$13))*X$13</f>
        <v>2.0276458142922764</v>
      </c>
      <c r="Y315" s="16">
        <f ca="1">(X$315/X$13+MIN(ABS($C$315-X$315/X$13),OFFSET(Assumptions!$B$40,0,$C$1))*SIGN($C$315-X$315/X$13))*Y$13</f>
        <v>2.1053582609205228</v>
      </c>
      <c r="Z315" s="16">
        <f ca="1">(Y$315/Y$13+MIN(ABS($C$315-Y$315/Y$13),OFFSET(Assumptions!$B$40,0,$C$1))*SIGN($C$315-Y$315/Y$13))*Z$13</f>
        <v>2.1854929653289026</v>
      </c>
      <c r="AA315" s="16">
        <f ca="1">(Z$315/Z$13+MIN(ABS($C$315-Z$315/Z$13),OFFSET(Assumptions!$B$40,0,$C$1))*SIGN($C$315-Z$315/Z$13))*AA$13</f>
        <v>2.2683776803893387</v>
      </c>
      <c r="AB315" s="16">
        <f ca="1">(AA$315/AA$13+MIN(ABS($C$315-AA$315/AA$13),OFFSET(Assumptions!$B$40,0,$C$1))*SIGN($C$315-AA$315/AA$13))*AB$13</f>
        <v>2.3539244502121184</v>
      </c>
      <c r="AC315" s="16">
        <f ca="1">(AB$315/AB$13+MIN(ABS($C$315-AB$315/AB$13),OFFSET(Assumptions!$B$40,0,$C$1))*SIGN($C$315-AB$315/AB$13))*AC$13</f>
        <v>2.4421310747401916</v>
      </c>
      <c r="AD315" s="16">
        <f ca="1">(AC$315/AC$13+MIN(ABS($C$315-AC$315/AC$13),OFFSET(Assumptions!$B$40,0,$C$1))*SIGN($C$315-AC$315/AC$13))*AD$13</f>
        <v>2.5330607696791576</v>
      </c>
      <c r="AE315" s="16">
        <f ca="1">(AD$315/AD$13+MIN(ABS($C$315-AD$315/AD$13),OFFSET(Assumptions!$B$40,0,$C$1))*SIGN($C$315-AD$315/AD$13))*AE$13</f>
        <v>2.6266887296443873</v>
      </c>
      <c r="AF315" s="16">
        <f ca="1">(AE$315/AE$13+MIN(ABS($C$315-AE$315/AE$13),OFFSET(Assumptions!$B$40,0,$C$1))*SIGN($C$315-AE$315/AE$13))*AF$13</f>
        <v>2.7230369129993099</v>
      </c>
      <c r="AG315" s="16">
        <f ca="1">(AF$315/AF$13+MIN(ABS($C$315-AF$315/AF$13),OFFSET(Assumptions!$B$40,0,$C$1))*SIGN($C$315-AF$315/AF$13))*AG$13</f>
        <v>2.8221157011913802</v>
      </c>
      <c r="AH315" s="16">
        <f ca="1">(AG$315/AG$13+MIN(ABS($C$315-AG$315/AG$13),OFFSET(Assumptions!$B$40,0,$C$1))*SIGN($C$315-AG$315/AG$13))*AH$13</f>
        <v>2.9238783762745526</v>
      </c>
      <c r="AI315" s="16">
        <f ca="1">(AH$315/AH$13+MIN(ABS($C$315-AH$315/AH$13),OFFSET(Assumptions!$B$40,0,$C$1))*SIGN($C$315-AH$315/AH$13))*AI$13</f>
        <v>3.0284214205424762</v>
      </c>
      <c r="AJ315" s="16">
        <f ca="1">(AI$315/AI$13+MIN(ABS($C$315-AI$315/AI$13),OFFSET(Assumptions!$B$40,0,$C$1))*SIGN($C$315-AI$315/AI$13))*AJ$13</f>
        <v>3.1358681807670421</v>
      </c>
      <c r="AK315" s="16">
        <f ca="1">(AJ$315/AJ$13+MIN(ABS($C$315-AJ$315/AJ$13),OFFSET(Assumptions!$B$40,0,$C$1))*SIGN($C$315-AJ$315/AJ$13))*AK$13</f>
        <v>3.2460760236007027</v>
      </c>
      <c r="AL315" s="16">
        <f ca="1">(AK$315/AK$13+MIN(ABS($C$315-AK$315/AK$13),OFFSET(Assumptions!$B$40,0,$C$1))*SIGN($C$315-AK$315/AK$13))*AL$13</f>
        <v>3.3591961300635762</v>
      </c>
      <c r="AM315" s="16">
        <f ca="1">(AL$315/AL$13+MIN(ABS($C$315-AL$315/AL$13),OFFSET(Assumptions!$B$40,0,$C$1))*SIGN($C$315-AL$315/AL$13))*AM$13</f>
        <v>3.4753921503731142</v>
      </c>
      <c r="AN315" s="16">
        <f ca="1">(AM$315/AM$13+MIN(ABS($C$315-AM$315/AM$13),OFFSET(Assumptions!$B$40,0,$C$1))*SIGN($C$315-AM$315/AM$13))*AN$13</f>
        <v>3.594796210734053</v>
      </c>
      <c r="AO315" s="16">
        <f ca="1">(AN$315/AN$13+MIN(ABS($C$315-AN$315/AN$13),OFFSET(Assumptions!$B$40,0,$C$1))*SIGN($C$315-AN$315/AN$13))*AO$13</f>
        <v>3.7174579504531557</v>
      </c>
      <c r="AP315" s="16">
        <f ca="1">(AO$315/AO$13+MIN(ABS($C$315-AO$315/AO$13),OFFSET(Assumptions!$B$40,0,$C$1))*SIGN($C$315-AO$315/AO$13))*AP$13</f>
        <v>3.843754737557008</v>
      </c>
      <c r="AQ315" s="16">
        <f ca="1">(AP$315/AP$13+MIN(ABS($C$315-AP$315/AP$13),OFFSET(Assumptions!$B$40,0,$C$1))*SIGN($C$315-AP$315/AP$13))*AQ$13</f>
        <v>3.9738099701066045</v>
      </c>
      <c r="AR315" s="16">
        <f ca="1">(AQ$315/AQ$13+MIN(ABS($C$315-AQ$315/AQ$13),OFFSET(Assumptions!$B$40,0,$C$1))*SIGN($C$315-AQ$315/AQ$13))*AR$13</f>
        <v>4.1079630533528206</v>
      </c>
      <c r="AS315" s="16">
        <f ca="1">(AR$315/AR$13+MIN(ABS($C$315-AR$315/AR$13),OFFSET(Assumptions!$B$40,0,$C$1))*SIGN($C$315-AR$315/AR$13))*AS$13</f>
        <v>4.2463143113315862</v>
      </c>
      <c r="AT315" s="16">
        <f ca="1">(AS$315/AS$13+MIN(ABS($C$315-AS$315/AS$13),OFFSET(Assumptions!$B$40,0,$C$1))*SIGN($C$315-AS$315/AS$13))*AT$13</f>
        <v>4.3892942619603392</v>
      </c>
      <c r="AU315" s="16">
        <f ca="1">(AT$315/AT$13+MIN(ABS($C$315-AT$315/AT$13),OFFSET(Assumptions!$B$40,0,$C$1))*SIGN($C$315-AT$315/AT$13))*AU$13</f>
        <v>4.5368410901082896</v>
      </c>
      <c r="AV315" s="16">
        <f ca="1">(AU$315/AU$13+MIN(ABS($C$315-AU$315/AU$13),OFFSET(Assumptions!$B$40,0,$C$1))*SIGN($C$315-AU$315/AU$13))*AV$13</f>
        <v>4.6893731029110093</v>
      </c>
      <c r="AW315" s="16">
        <f ca="1">(AV$315/AV$13+MIN(ABS($C$315-AV$315/AV$13),OFFSET(Assumptions!$B$40,0,$C$1))*SIGN($C$315-AV$315/AV$13))*AW$13</f>
        <v>4.8470247360551317</v>
      </c>
      <c r="AX315" s="16">
        <f ca="1">(AW$315/AW$13+MIN(ABS($C$315-AW$315/AW$13),OFFSET(Assumptions!$B$40,0,$C$1))*SIGN($C$315-AW$315/AW$13))*AX$13</f>
        <v>5.0097304848800501</v>
      </c>
    </row>
    <row r="316" spans="1:50" x14ac:dyDescent="0.25">
      <c r="A316" s="9" t="s">
        <v>925</v>
      </c>
      <c r="D316" s="64">
        <f t="shared" ref="D316:J316" si="1199">SUM(D$314:D$315)</f>
        <v>1.119</v>
      </c>
      <c r="E316" s="64">
        <f t="shared" si="1199"/>
        <v>1.4850000000000001</v>
      </c>
      <c r="F316" s="64">
        <f t="shared" si="1199"/>
        <v>1.9059999999999999</v>
      </c>
      <c r="G316" s="64">
        <f t="shared" si="1199"/>
        <v>2.5489999999999999</v>
      </c>
      <c r="H316" s="64">
        <f t="shared" si="1199"/>
        <v>2.3809999999999998</v>
      </c>
      <c r="I316" s="64">
        <f t="shared" si="1199"/>
        <v>2.2970000000000002</v>
      </c>
      <c r="J316" s="65">
        <f t="shared" si="1199"/>
        <v>2.5084999999999997</v>
      </c>
      <c r="K316" s="65">
        <f t="shared" ref="K316:N316" si="1200">SUM(K$314:K$315)</f>
        <v>2.5733000000000001</v>
      </c>
      <c r="L316" s="65">
        <f t="shared" si="1200"/>
        <v>2.6373350000000002</v>
      </c>
      <c r="M316" s="65">
        <f t="shared" si="1200"/>
        <v>2.6370849999999999</v>
      </c>
      <c r="N316" s="65">
        <f t="shared" si="1200"/>
        <v>2.6990949999999998</v>
      </c>
      <c r="O316" s="66">
        <f t="shared" ref="O316:AX316" ca="1" si="1201">SUM(O$314:O$315)</f>
        <v>2.8952592479777191</v>
      </c>
      <c r="P316" s="66">
        <f t="shared" ca="1" si="1201"/>
        <v>2.9874806540827659</v>
      </c>
      <c r="Q316" s="66">
        <f t="shared" ca="1" si="1201"/>
        <v>3.0805015820284138</v>
      </c>
      <c r="R316" s="66">
        <f t="shared" ca="1" si="1201"/>
        <v>3.1741210486115072</v>
      </c>
      <c r="S316" s="66">
        <f t="shared" ca="1" si="1201"/>
        <v>3.2703660572854449</v>
      </c>
      <c r="T316" s="66">
        <f t="shared" ca="1" si="1201"/>
        <v>3.3692172743243365</v>
      </c>
      <c r="U316" s="66">
        <f t="shared" ca="1" si="1201"/>
        <v>3.4709565194913203</v>
      </c>
      <c r="V316" s="66">
        <f t="shared" ca="1" si="1201"/>
        <v>3.5756158766130364</v>
      </c>
      <c r="W316" s="66">
        <f t="shared" ca="1" si="1201"/>
        <v>3.6828362694483721</v>
      </c>
      <c r="X316" s="66">
        <f t="shared" ca="1" si="1201"/>
        <v>3.7927497344446852</v>
      </c>
      <c r="Y316" s="66">
        <f t="shared" ca="1" si="1201"/>
        <v>3.9057642594759798</v>
      </c>
      <c r="Z316" s="66">
        <f t="shared" ca="1" si="1201"/>
        <v>4.0219070838554689</v>
      </c>
      <c r="AA316" s="66">
        <f t="shared" ca="1" si="1201"/>
        <v>4.1415200812864361</v>
      </c>
      <c r="AB316" s="66">
        <f t="shared" ca="1" si="1201"/>
        <v>4.2645296991271575</v>
      </c>
      <c r="AC316" s="66">
        <f t="shared" ca="1" si="1201"/>
        <v>4.3909484286335321</v>
      </c>
      <c r="AD316" s="66">
        <f t="shared" ca="1" si="1201"/>
        <v>4.5208544706503648</v>
      </c>
      <c r="AE316" s="66">
        <f t="shared" ca="1" si="1201"/>
        <v>4.6542383046350189</v>
      </c>
      <c r="AF316" s="66">
        <f t="shared" ca="1" si="1201"/>
        <v>4.7911374794897537</v>
      </c>
      <c r="AG316" s="66">
        <f t="shared" ca="1" si="1201"/>
        <v>4.9315782790116334</v>
      </c>
      <c r="AH316" s="66">
        <f t="shared" ca="1" si="1201"/>
        <v>5.0755302056512104</v>
      </c>
      <c r="AI316" s="66">
        <f t="shared" ca="1" si="1201"/>
        <v>5.2231062865066669</v>
      </c>
      <c r="AJ316" s="66">
        <f t="shared" ca="1" si="1201"/>
        <v>5.374446744050517</v>
      </c>
      <c r="AK316" s="66">
        <f t="shared" ca="1" si="1201"/>
        <v>5.5294261581498469</v>
      </c>
      <c r="AL316" s="66">
        <f t="shared" ca="1" si="1201"/>
        <v>5.6882132673037038</v>
      </c>
      <c r="AM316" s="66">
        <f t="shared" ca="1" si="1201"/>
        <v>5.8509896303580433</v>
      </c>
      <c r="AN316" s="66">
        <f t="shared" ca="1" si="1201"/>
        <v>6.0179056403186806</v>
      </c>
      <c r="AO316" s="66">
        <f t="shared" ca="1" si="1201"/>
        <v>6.1890295686294765</v>
      </c>
      <c r="AP316" s="66">
        <f t="shared" ca="1" si="1201"/>
        <v>6.3647577880968553</v>
      </c>
      <c r="AQ316" s="66">
        <f t="shared" ca="1" si="1201"/>
        <v>6.5452330816572495</v>
      </c>
      <c r="AR316" s="66">
        <f t="shared" ca="1" si="1201"/>
        <v>6.7308146271344782</v>
      </c>
      <c r="AS316" s="66">
        <f t="shared" ca="1" si="1201"/>
        <v>6.921622916588877</v>
      </c>
      <c r="AT316" s="66">
        <f t="shared" ca="1" si="1201"/>
        <v>7.1181090393227757</v>
      </c>
      <c r="AU316" s="66">
        <f t="shared" ca="1" si="1201"/>
        <v>7.320232163017975</v>
      </c>
      <c r="AV316" s="66">
        <f t="shared" ca="1" si="1201"/>
        <v>7.5284319972788882</v>
      </c>
      <c r="AW316" s="66">
        <f t="shared" ca="1" si="1201"/>
        <v>7.7428648083103688</v>
      </c>
      <c r="AX316" s="66">
        <f t="shared" ca="1" si="1201"/>
        <v>7.9634873585803909</v>
      </c>
    </row>
    <row r="317" spans="1:50" x14ac:dyDescent="0.25">
      <c r="A317" s="9" t="s">
        <v>926</v>
      </c>
      <c r="B317" s="10" t="str">
        <f>$B$38</f>
        <v>From Fiscal Forecasts</v>
      </c>
      <c r="D317" s="42">
        <f>'Fiscal Forecasts'!D$51</f>
        <v>1.1080000000000001</v>
      </c>
      <c r="E317" s="42">
        <f>'Fiscal Forecasts'!E$51</f>
        <v>1.472</v>
      </c>
      <c r="F317" s="42">
        <f>'Fiscal Forecasts'!F$51</f>
        <v>1.889</v>
      </c>
      <c r="G317" s="42">
        <f>'Fiscal Forecasts'!G$51</f>
        <v>2.5350000000000001</v>
      </c>
      <c r="H317" s="42">
        <f>'Fiscal Forecasts'!H$51</f>
        <v>2.3530000000000002</v>
      </c>
      <c r="I317" s="42">
        <f>'Fiscal Forecasts'!I$51</f>
        <v>2.2770000000000001</v>
      </c>
      <c r="J317" s="43">
        <f>'Fiscal Forecasts'!J$51+Allocation!C$22</f>
        <v>2.5074999999999998</v>
      </c>
      <c r="K317" s="43">
        <f>'Fiscal Forecasts'!K$51+Allocation!D$22</f>
        <v>2.5693000000000001</v>
      </c>
      <c r="L317" s="43">
        <f>'Fiscal Forecasts'!L$51+Allocation!E$22</f>
        <v>2.6333350000000002</v>
      </c>
      <c r="M317" s="43">
        <f>'Fiscal Forecasts'!M$51+Allocation!F$22</f>
        <v>2.6330849999999999</v>
      </c>
      <c r="N317" s="43">
        <f>'Fiscal Forecasts'!N$51+Allocation!G$22</f>
        <v>2.6950949999999998</v>
      </c>
      <c r="O317" s="47">
        <f t="shared" ref="O317:AX317" ca="1" si="1202">O$316</f>
        <v>2.8952592479777191</v>
      </c>
      <c r="P317" s="47">
        <f t="shared" ca="1" si="1202"/>
        <v>2.9874806540827659</v>
      </c>
      <c r="Q317" s="47">
        <f t="shared" ca="1" si="1202"/>
        <v>3.0805015820284138</v>
      </c>
      <c r="R317" s="47">
        <f t="shared" ca="1" si="1202"/>
        <v>3.1741210486115072</v>
      </c>
      <c r="S317" s="47">
        <f t="shared" ca="1" si="1202"/>
        <v>3.2703660572854449</v>
      </c>
      <c r="T317" s="47">
        <f t="shared" ca="1" si="1202"/>
        <v>3.3692172743243365</v>
      </c>
      <c r="U317" s="47">
        <f t="shared" ca="1" si="1202"/>
        <v>3.4709565194913203</v>
      </c>
      <c r="V317" s="47">
        <f t="shared" ca="1" si="1202"/>
        <v>3.5756158766130364</v>
      </c>
      <c r="W317" s="47">
        <f t="shared" ca="1" si="1202"/>
        <v>3.6828362694483721</v>
      </c>
      <c r="X317" s="47">
        <f t="shared" ca="1" si="1202"/>
        <v>3.7927497344446852</v>
      </c>
      <c r="Y317" s="47">
        <f t="shared" ca="1" si="1202"/>
        <v>3.9057642594759798</v>
      </c>
      <c r="Z317" s="47">
        <f t="shared" ca="1" si="1202"/>
        <v>4.0219070838554689</v>
      </c>
      <c r="AA317" s="47">
        <f t="shared" ca="1" si="1202"/>
        <v>4.1415200812864361</v>
      </c>
      <c r="AB317" s="47">
        <f t="shared" ca="1" si="1202"/>
        <v>4.2645296991271575</v>
      </c>
      <c r="AC317" s="47">
        <f t="shared" ca="1" si="1202"/>
        <v>4.3909484286335321</v>
      </c>
      <c r="AD317" s="47">
        <f t="shared" ca="1" si="1202"/>
        <v>4.5208544706503648</v>
      </c>
      <c r="AE317" s="47">
        <f t="shared" ca="1" si="1202"/>
        <v>4.6542383046350189</v>
      </c>
      <c r="AF317" s="47">
        <f t="shared" ca="1" si="1202"/>
        <v>4.7911374794897537</v>
      </c>
      <c r="AG317" s="47">
        <f t="shared" ca="1" si="1202"/>
        <v>4.9315782790116334</v>
      </c>
      <c r="AH317" s="47">
        <f t="shared" ca="1" si="1202"/>
        <v>5.0755302056512104</v>
      </c>
      <c r="AI317" s="47">
        <f t="shared" ca="1" si="1202"/>
        <v>5.2231062865066669</v>
      </c>
      <c r="AJ317" s="47">
        <f t="shared" ca="1" si="1202"/>
        <v>5.374446744050517</v>
      </c>
      <c r="AK317" s="47">
        <f t="shared" ca="1" si="1202"/>
        <v>5.5294261581498469</v>
      </c>
      <c r="AL317" s="47">
        <f t="shared" ca="1" si="1202"/>
        <v>5.6882132673037038</v>
      </c>
      <c r="AM317" s="47">
        <f t="shared" ca="1" si="1202"/>
        <v>5.8509896303580433</v>
      </c>
      <c r="AN317" s="47">
        <f t="shared" ca="1" si="1202"/>
        <v>6.0179056403186806</v>
      </c>
      <c r="AO317" s="47">
        <f t="shared" ca="1" si="1202"/>
        <v>6.1890295686294765</v>
      </c>
      <c r="AP317" s="47">
        <f t="shared" ca="1" si="1202"/>
        <v>6.3647577880968553</v>
      </c>
      <c r="AQ317" s="47">
        <f t="shared" ca="1" si="1202"/>
        <v>6.5452330816572495</v>
      </c>
      <c r="AR317" s="47">
        <f t="shared" ca="1" si="1202"/>
        <v>6.7308146271344782</v>
      </c>
      <c r="AS317" s="47">
        <f t="shared" ca="1" si="1202"/>
        <v>6.921622916588877</v>
      </c>
      <c r="AT317" s="47">
        <f t="shared" ca="1" si="1202"/>
        <v>7.1181090393227757</v>
      </c>
      <c r="AU317" s="47">
        <f t="shared" ca="1" si="1202"/>
        <v>7.320232163017975</v>
      </c>
      <c r="AV317" s="47">
        <f t="shared" ca="1" si="1202"/>
        <v>7.5284319972788882</v>
      </c>
      <c r="AW317" s="47">
        <f t="shared" ca="1" si="1202"/>
        <v>7.7428648083103688</v>
      </c>
      <c r="AX317" s="47">
        <f t="shared" ca="1" si="1202"/>
        <v>7.9634873585803909</v>
      </c>
    </row>
    <row r="319" spans="1:50" x14ac:dyDescent="0.25">
      <c r="A319" s="9" t="s">
        <v>927</v>
      </c>
    </row>
    <row r="320" spans="1:50" x14ac:dyDescent="0.25">
      <c r="A320" s="9" t="s">
        <v>928</v>
      </c>
      <c r="B320" s="10" t="str">
        <f>$B$38</f>
        <v>From Fiscal Forecasts</v>
      </c>
      <c r="D320" s="42">
        <f>'Fiscal Forecasts'!D$70</f>
        <v>9.6000000000000002E-2</v>
      </c>
      <c r="E320" s="42">
        <f>'Fiscal Forecasts'!E$70</f>
        <v>6.3E-2</v>
      </c>
      <c r="F320" s="42">
        <f>'Fiscal Forecasts'!F$70</f>
        <v>0.254</v>
      </c>
      <c r="G320" s="42">
        <f>'Fiscal Forecasts'!G$70</f>
        <v>0.26900000000000002</v>
      </c>
      <c r="H320" s="42">
        <f>'Fiscal Forecasts'!H$70</f>
        <v>0.13300000000000001</v>
      </c>
      <c r="I320" s="42">
        <f>'Fiscal Forecasts'!I$70</f>
        <v>0.14499999999999999</v>
      </c>
      <c r="J320" s="43">
        <f>'Fiscal Forecasts'!J$70+0.001</f>
        <v>0.25600000000000001</v>
      </c>
      <c r="K320" s="43">
        <f>'Fiscal Forecasts'!K$70</f>
        <v>9.2999999999999999E-2</v>
      </c>
      <c r="L320" s="43">
        <f>'Fiscal Forecasts'!L$70</f>
        <v>0.316</v>
      </c>
      <c r="M320" s="43">
        <f>'Fiscal Forecasts'!M$70</f>
        <v>0.316</v>
      </c>
      <c r="N320" s="43">
        <f>'Fiscal Forecasts'!N$70</f>
        <v>0.316</v>
      </c>
      <c r="O320" s="47">
        <f ca="1">IF(O$6=OFFSET(Assumptions!$B$8,0,$C$1),OFFSET(Assumptions!$B$9,0,$C$1),N$320)</f>
        <v>0</v>
      </c>
      <c r="P320" s="47">
        <f ca="1">IF(P$6=OFFSET(Assumptions!$B$8,0,$C$1),OFFSET(Assumptions!$B$9,0,$C$1),O$320)</f>
        <v>0</v>
      </c>
      <c r="Q320" s="47">
        <f ca="1">IF(Q$6=OFFSET(Assumptions!$B$8,0,$C$1),OFFSET(Assumptions!$B$9,0,$C$1),P$320)</f>
        <v>0</v>
      </c>
      <c r="R320" s="47">
        <f ca="1">IF(R$6=OFFSET(Assumptions!$B$8,0,$C$1),OFFSET(Assumptions!$B$9,0,$C$1),Q$320)</f>
        <v>0</v>
      </c>
      <c r="S320" s="47">
        <f ca="1">IF(S$6=OFFSET(Assumptions!$B$8,0,$C$1),OFFSET(Assumptions!$B$9,0,$C$1),R$320)</f>
        <v>0</v>
      </c>
      <c r="T320" s="47">
        <f ca="1">IF(T$6=OFFSET(Assumptions!$B$8,0,$C$1),OFFSET(Assumptions!$B$9,0,$C$1),S$320)</f>
        <v>0</v>
      </c>
      <c r="U320" s="47">
        <f ca="1">IF(U$6=OFFSET(Assumptions!$B$8,0,$C$1),OFFSET(Assumptions!$B$9,0,$C$1),T$320)</f>
        <v>0</v>
      </c>
      <c r="V320" s="47">
        <f ca="1">IF(V$6=OFFSET(Assumptions!$B$8,0,$C$1),OFFSET(Assumptions!$B$9,0,$C$1),U$320)</f>
        <v>0</v>
      </c>
      <c r="W320" s="47">
        <f ca="1">IF(W$6=OFFSET(Assumptions!$B$8,0,$C$1),OFFSET(Assumptions!$B$9,0,$C$1),V$320)</f>
        <v>0</v>
      </c>
      <c r="X320" s="47">
        <f ca="1">IF(X$6=OFFSET(Assumptions!$B$8,0,$C$1),OFFSET(Assumptions!$B$9,0,$C$1),W$320)</f>
        <v>0</v>
      </c>
      <c r="Y320" s="47">
        <f ca="1">IF(Y$6=OFFSET(Assumptions!$B$8,0,$C$1),OFFSET(Assumptions!$B$9,0,$C$1),X$320)</f>
        <v>0</v>
      </c>
      <c r="Z320" s="47">
        <f ca="1">IF(Z$6=OFFSET(Assumptions!$B$8,0,$C$1),OFFSET(Assumptions!$B$9,0,$C$1),Y$320)</f>
        <v>0</v>
      </c>
      <c r="AA320" s="47">
        <f ca="1">IF(AA$6=OFFSET(Assumptions!$B$8,0,$C$1),OFFSET(Assumptions!$B$9,0,$C$1),Z$320)</f>
        <v>0</v>
      </c>
      <c r="AB320" s="47">
        <f ca="1">IF(AB$6=OFFSET(Assumptions!$B$8,0,$C$1),OFFSET(Assumptions!$B$9,0,$C$1),AA$320)</f>
        <v>0</v>
      </c>
      <c r="AC320" s="47">
        <f ca="1">IF(AC$6=OFFSET(Assumptions!$B$8,0,$C$1),OFFSET(Assumptions!$B$9,0,$C$1),AB$320)</f>
        <v>0</v>
      </c>
      <c r="AD320" s="47">
        <f ca="1">IF(AD$6=OFFSET(Assumptions!$B$8,0,$C$1),OFFSET(Assumptions!$B$9,0,$C$1),AC$320)</f>
        <v>0</v>
      </c>
      <c r="AE320" s="47">
        <f ca="1">IF(AE$6=OFFSET(Assumptions!$B$8,0,$C$1),OFFSET(Assumptions!$B$9,0,$C$1),AD$320)</f>
        <v>0</v>
      </c>
      <c r="AF320" s="47">
        <f ca="1">IF(AF$6=OFFSET(Assumptions!$B$8,0,$C$1),OFFSET(Assumptions!$B$9,0,$C$1),AE$320)</f>
        <v>0</v>
      </c>
      <c r="AG320" s="47">
        <f ca="1">IF(AG$6=OFFSET(Assumptions!$B$8,0,$C$1),OFFSET(Assumptions!$B$9,0,$C$1),AF$320)</f>
        <v>0</v>
      </c>
      <c r="AH320" s="47">
        <f ca="1">IF(AH$6=OFFSET(Assumptions!$B$8,0,$C$1),OFFSET(Assumptions!$B$9,0,$C$1),AG$320)</f>
        <v>0</v>
      </c>
      <c r="AI320" s="47">
        <f ca="1">IF(AI$6=OFFSET(Assumptions!$B$8,0,$C$1),OFFSET(Assumptions!$B$9,0,$C$1),AH$320)</f>
        <v>0</v>
      </c>
      <c r="AJ320" s="47">
        <f ca="1">IF(AJ$6=OFFSET(Assumptions!$B$8,0,$C$1),OFFSET(Assumptions!$B$9,0,$C$1),AI$320)</f>
        <v>0</v>
      </c>
      <c r="AK320" s="47">
        <f ca="1">IF(AK$6=OFFSET(Assumptions!$B$8,0,$C$1),OFFSET(Assumptions!$B$9,0,$C$1),AJ$320)</f>
        <v>0</v>
      </c>
      <c r="AL320" s="47">
        <f ca="1">IF(AL$6=OFFSET(Assumptions!$B$8,0,$C$1),OFFSET(Assumptions!$B$9,0,$C$1),AK$320)</f>
        <v>0</v>
      </c>
      <c r="AM320" s="47">
        <f ca="1">IF(AM$6=OFFSET(Assumptions!$B$8,0,$C$1),OFFSET(Assumptions!$B$9,0,$C$1),AL$320)</f>
        <v>0</v>
      </c>
      <c r="AN320" s="47">
        <f ca="1">IF(AN$6=OFFSET(Assumptions!$B$8,0,$C$1),OFFSET(Assumptions!$B$9,0,$C$1),AM$320)</f>
        <v>0</v>
      </c>
      <c r="AO320" s="47">
        <f ca="1">IF(AO$6=OFFSET(Assumptions!$B$8,0,$C$1),OFFSET(Assumptions!$B$9,0,$C$1),AN$320)</f>
        <v>0</v>
      </c>
      <c r="AP320" s="47">
        <f ca="1">IF(AP$6=OFFSET(Assumptions!$B$8,0,$C$1),OFFSET(Assumptions!$B$9,0,$C$1),AO$320)</f>
        <v>0</v>
      </c>
      <c r="AQ320" s="47">
        <f ca="1">IF(AQ$6=OFFSET(Assumptions!$B$8,0,$C$1),OFFSET(Assumptions!$B$9,0,$C$1),AP$320)</f>
        <v>0</v>
      </c>
      <c r="AR320" s="47">
        <f ca="1">IF(AR$6=OFFSET(Assumptions!$B$8,0,$C$1),OFFSET(Assumptions!$B$9,0,$C$1),AQ$320)</f>
        <v>0</v>
      </c>
      <c r="AS320" s="47">
        <f ca="1">IF(AS$6=OFFSET(Assumptions!$B$8,0,$C$1),OFFSET(Assumptions!$B$9,0,$C$1),AR$320)</f>
        <v>0</v>
      </c>
      <c r="AT320" s="47">
        <f ca="1">IF(AT$6=OFFSET(Assumptions!$B$8,0,$C$1),OFFSET(Assumptions!$B$9,0,$C$1),AS$320)</f>
        <v>0</v>
      </c>
      <c r="AU320" s="47">
        <f ca="1">IF(AU$6=OFFSET(Assumptions!$B$8,0,$C$1),OFFSET(Assumptions!$B$9,0,$C$1),AT$320)</f>
        <v>0</v>
      </c>
      <c r="AV320" s="47">
        <f ca="1">IF(AV$6=OFFSET(Assumptions!$B$8,0,$C$1),OFFSET(Assumptions!$B$9,0,$C$1),AU$320)</f>
        <v>0</v>
      </c>
      <c r="AW320" s="47">
        <f ca="1">IF(AW$6=OFFSET(Assumptions!$B$8,0,$C$1),OFFSET(Assumptions!$B$9,0,$C$1),AV$320)</f>
        <v>0</v>
      </c>
      <c r="AX320" s="47">
        <f ca="1">IF(AX$6=OFFSET(Assumptions!$B$8,0,$C$1),OFFSET(Assumptions!$B$9,0,$C$1),AW$320)</f>
        <v>0</v>
      </c>
    </row>
    <row r="321" spans="1:50" x14ac:dyDescent="0.25">
      <c r="A321" s="9" t="s">
        <v>929</v>
      </c>
      <c r="B321" s="10" t="str">
        <f>$B$38</f>
        <v>From Fiscal Forecasts</v>
      </c>
      <c r="D321" s="42">
        <f>'Fiscal Forecasts'!D$53</f>
        <v>9.6000000000000002E-2</v>
      </c>
      <c r="E321" s="42">
        <f>'Fiscal Forecasts'!E$53</f>
        <v>6.3E-2</v>
      </c>
      <c r="F321" s="42">
        <f>'Fiscal Forecasts'!F$53</f>
        <v>0.254</v>
      </c>
      <c r="G321" s="42">
        <f>'Fiscal Forecasts'!G$53</f>
        <v>0.24199999999999999</v>
      </c>
      <c r="H321" s="42">
        <f>'Fiscal Forecasts'!H$53</f>
        <v>0.13300000000000001</v>
      </c>
      <c r="I321" s="42">
        <f>'Fiscal Forecasts'!I$53</f>
        <v>0.14499999999999999</v>
      </c>
      <c r="J321" s="43">
        <f>'Fiscal Forecasts'!J$53</f>
        <v>0.255</v>
      </c>
      <c r="K321" s="43">
        <f>'Fiscal Forecasts'!K$53</f>
        <v>9.2999999999999999E-2</v>
      </c>
      <c r="L321" s="43">
        <f>'Fiscal Forecasts'!L$53</f>
        <v>0.316</v>
      </c>
      <c r="M321" s="43">
        <f>'Fiscal Forecasts'!M$53</f>
        <v>0.316</v>
      </c>
      <c r="N321" s="43">
        <f>'Fiscal Forecasts'!N$53</f>
        <v>0.316</v>
      </c>
      <c r="O321" s="47">
        <f ca="1">IF(O$6=OFFSET(Assumptions!$B$8,0,$C$1),OFFSET(Assumptions!$B$9,0,$C$1),N$321)</f>
        <v>0</v>
      </c>
      <c r="P321" s="47">
        <f ca="1">IF(P$6=OFFSET(Assumptions!$B$8,0,$C$1),OFFSET(Assumptions!$B$9,0,$C$1),O$321)</f>
        <v>0</v>
      </c>
      <c r="Q321" s="47">
        <f ca="1">IF(Q$6=OFFSET(Assumptions!$B$8,0,$C$1),OFFSET(Assumptions!$B$9,0,$C$1),P$321)</f>
        <v>0</v>
      </c>
      <c r="R321" s="47">
        <f ca="1">IF(R$6=OFFSET(Assumptions!$B$8,0,$C$1),OFFSET(Assumptions!$B$9,0,$C$1),Q$321)</f>
        <v>0</v>
      </c>
      <c r="S321" s="47">
        <f ca="1">IF(S$6=OFFSET(Assumptions!$B$8,0,$C$1),OFFSET(Assumptions!$B$9,0,$C$1),R$321)</f>
        <v>0</v>
      </c>
      <c r="T321" s="47">
        <f ca="1">IF(T$6=OFFSET(Assumptions!$B$8,0,$C$1),OFFSET(Assumptions!$B$9,0,$C$1),S$321)</f>
        <v>0</v>
      </c>
      <c r="U321" s="47">
        <f ca="1">IF(U$6=OFFSET(Assumptions!$B$8,0,$C$1),OFFSET(Assumptions!$B$9,0,$C$1),T$321)</f>
        <v>0</v>
      </c>
      <c r="V321" s="47">
        <f ca="1">IF(V$6=OFFSET(Assumptions!$B$8,0,$C$1),OFFSET(Assumptions!$B$9,0,$C$1),U$321)</f>
        <v>0</v>
      </c>
      <c r="W321" s="47">
        <f ca="1">IF(W$6=OFFSET(Assumptions!$B$8,0,$C$1),OFFSET(Assumptions!$B$9,0,$C$1),V$321)</f>
        <v>0</v>
      </c>
      <c r="X321" s="47">
        <f ca="1">IF(X$6=OFFSET(Assumptions!$B$8,0,$C$1),OFFSET(Assumptions!$B$9,0,$C$1),W$321)</f>
        <v>0</v>
      </c>
      <c r="Y321" s="47">
        <f ca="1">IF(Y$6=OFFSET(Assumptions!$B$8,0,$C$1),OFFSET(Assumptions!$B$9,0,$C$1),X$321)</f>
        <v>0</v>
      </c>
      <c r="Z321" s="47">
        <f ca="1">IF(Z$6=OFFSET(Assumptions!$B$8,0,$C$1),OFFSET(Assumptions!$B$9,0,$C$1),Y$321)</f>
        <v>0</v>
      </c>
      <c r="AA321" s="47">
        <f ca="1">IF(AA$6=OFFSET(Assumptions!$B$8,0,$C$1),OFFSET(Assumptions!$B$9,0,$C$1),Z$321)</f>
        <v>0</v>
      </c>
      <c r="AB321" s="47">
        <f ca="1">IF(AB$6=OFFSET(Assumptions!$B$8,0,$C$1),OFFSET(Assumptions!$B$9,0,$C$1),AA$321)</f>
        <v>0</v>
      </c>
      <c r="AC321" s="47">
        <f ca="1">IF(AC$6=OFFSET(Assumptions!$B$8,0,$C$1),OFFSET(Assumptions!$B$9,0,$C$1),AB$321)</f>
        <v>0</v>
      </c>
      <c r="AD321" s="47">
        <f ca="1">IF(AD$6=OFFSET(Assumptions!$B$8,0,$C$1),OFFSET(Assumptions!$B$9,0,$C$1),AC$321)</f>
        <v>0</v>
      </c>
      <c r="AE321" s="47">
        <f ca="1">IF(AE$6=OFFSET(Assumptions!$B$8,0,$C$1),OFFSET(Assumptions!$B$9,0,$C$1),AD$321)</f>
        <v>0</v>
      </c>
      <c r="AF321" s="47">
        <f ca="1">IF(AF$6=OFFSET(Assumptions!$B$8,0,$C$1),OFFSET(Assumptions!$B$9,0,$C$1),AE$321)</f>
        <v>0</v>
      </c>
      <c r="AG321" s="47">
        <f ca="1">IF(AG$6=OFFSET(Assumptions!$B$8,0,$C$1),OFFSET(Assumptions!$B$9,0,$C$1),AF$321)</f>
        <v>0</v>
      </c>
      <c r="AH321" s="47">
        <f ca="1">IF(AH$6=OFFSET(Assumptions!$B$8,0,$C$1),OFFSET(Assumptions!$B$9,0,$C$1),AG$321)</f>
        <v>0</v>
      </c>
      <c r="AI321" s="47">
        <f ca="1">IF(AI$6=OFFSET(Assumptions!$B$8,0,$C$1),OFFSET(Assumptions!$B$9,0,$C$1),AH$321)</f>
        <v>0</v>
      </c>
      <c r="AJ321" s="47">
        <f ca="1">IF(AJ$6=OFFSET(Assumptions!$B$8,0,$C$1),OFFSET(Assumptions!$B$9,0,$C$1),AI$321)</f>
        <v>0</v>
      </c>
      <c r="AK321" s="47">
        <f ca="1">IF(AK$6=OFFSET(Assumptions!$B$8,0,$C$1),OFFSET(Assumptions!$B$9,0,$C$1),AJ$321)</f>
        <v>0</v>
      </c>
      <c r="AL321" s="47">
        <f ca="1">IF(AL$6=OFFSET(Assumptions!$B$8,0,$C$1),OFFSET(Assumptions!$B$9,0,$C$1),AK$321)</f>
        <v>0</v>
      </c>
      <c r="AM321" s="47">
        <f ca="1">IF(AM$6=OFFSET(Assumptions!$B$8,0,$C$1),OFFSET(Assumptions!$B$9,0,$C$1),AL$321)</f>
        <v>0</v>
      </c>
      <c r="AN321" s="47">
        <f ca="1">IF(AN$6=OFFSET(Assumptions!$B$8,0,$C$1),OFFSET(Assumptions!$B$9,0,$C$1),AM$321)</f>
        <v>0</v>
      </c>
      <c r="AO321" s="47">
        <f ca="1">IF(AO$6=OFFSET(Assumptions!$B$8,0,$C$1),OFFSET(Assumptions!$B$9,0,$C$1),AN$321)</f>
        <v>0</v>
      </c>
      <c r="AP321" s="47">
        <f ca="1">IF(AP$6=OFFSET(Assumptions!$B$8,0,$C$1),OFFSET(Assumptions!$B$9,0,$C$1),AO$321)</f>
        <v>0</v>
      </c>
      <c r="AQ321" s="47">
        <f ca="1">IF(AQ$6=OFFSET(Assumptions!$B$8,0,$C$1),OFFSET(Assumptions!$B$9,0,$C$1),AP$321)</f>
        <v>0</v>
      </c>
      <c r="AR321" s="47">
        <f ca="1">IF(AR$6=OFFSET(Assumptions!$B$8,0,$C$1),OFFSET(Assumptions!$B$9,0,$C$1),AQ$321)</f>
        <v>0</v>
      </c>
      <c r="AS321" s="47">
        <f ca="1">IF(AS$6=OFFSET(Assumptions!$B$8,0,$C$1),OFFSET(Assumptions!$B$9,0,$C$1),AR$321)</f>
        <v>0</v>
      </c>
      <c r="AT321" s="47">
        <f ca="1">IF(AT$6=OFFSET(Assumptions!$B$8,0,$C$1),OFFSET(Assumptions!$B$9,0,$C$1),AS$321)</f>
        <v>0</v>
      </c>
      <c r="AU321" s="47">
        <f ca="1">IF(AU$6=OFFSET(Assumptions!$B$8,0,$C$1),OFFSET(Assumptions!$B$9,0,$C$1),AT$321)</f>
        <v>0</v>
      </c>
      <c r="AV321" s="47">
        <f ca="1">IF(AV$6=OFFSET(Assumptions!$B$8,0,$C$1),OFFSET(Assumptions!$B$9,0,$C$1),AU$321)</f>
        <v>0</v>
      </c>
      <c r="AW321" s="47">
        <f ca="1">IF(AW$6=OFFSET(Assumptions!$B$8,0,$C$1),OFFSET(Assumptions!$B$9,0,$C$1),AV$321)</f>
        <v>0</v>
      </c>
      <c r="AX321" s="47">
        <f ca="1">IF(AX$6=OFFSET(Assumptions!$B$8,0,$C$1),OFFSET(Assumptions!$B$9,0,$C$1),AW$321)</f>
        <v>0</v>
      </c>
    </row>
    <row r="323" spans="1:50" x14ac:dyDescent="0.25">
      <c r="A323" s="12" t="s">
        <v>930</v>
      </c>
    </row>
    <row r="324" spans="1:50" x14ac:dyDescent="0.25">
      <c r="A324" s="9" t="s">
        <v>931</v>
      </c>
      <c r="D324" s="42">
        <f t="shared" ref="D324:AX324" si="1203">SUM(D$194,D$253,D$259:D$262,D$265,D$275,D$280,D$293,D$298,D$302,D$306,D$310,D$316)</f>
        <v>50.609000000000002</v>
      </c>
      <c r="E324" s="42">
        <f t="shared" si="1203"/>
        <v>57.67</v>
      </c>
      <c r="F324" s="42">
        <f t="shared" si="1203"/>
        <v>62.933000000000007</v>
      </c>
      <c r="G324" s="42">
        <f t="shared" si="1203"/>
        <v>73.015000000000001</v>
      </c>
      <c r="H324" s="42">
        <f t="shared" si="1203"/>
        <v>73.475000000000009</v>
      </c>
      <c r="I324" s="42">
        <f t="shared" si="1203"/>
        <v>79.288999999999987</v>
      </c>
      <c r="J324" s="43">
        <f t="shared" si="1203"/>
        <v>79.472999999999985</v>
      </c>
      <c r="K324" s="43">
        <f t="shared" si="1203"/>
        <v>84.472000000000008</v>
      </c>
      <c r="L324" s="43">
        <f t="shared" si="1203"/>
        <v>86.844999999999999</v>
      </c>
      <c r="M324" s="43">
        <f t="shared" si="1203"/>
        <v>88.118999999999986</v>
      </c>
      <c r="N324" s="43">
        <f t="shared" si="1203"/>
        <v>90.846000000000018</v>
      </c>
      <c r="O324" s="47">
        <f t="shared" ca="1" si="1203"/>
        <v>97.741583241846385</v>
      </c>
      <c r="P324" s="47">
        <f t="shared" ca="1" si="1203"/>
        <v>104.16019316554575</v>
      </c>
      <c r="Q324" s="47">
        <f t="shared" ca="1" si="1203"/>
        <v>110.61777730978504</v>
      </c>
      <c r="R324" s="47">
        <f t="shared" ca="1" si="1203"/>
        <v>117.26367996355218</v>
      </c>
      <c r="S324" s="47">
        <f t="shared" ca="1" si="1203"/>
        <v>123.94174319437093</v>
      </c>
      <c r="T324" s="47">
        <f t="shared" ca="1" si="1203"/>
        <v>130.51428184716349</v>
      </c>
      <c r="U324" s="47">
        <f t="shared" ca="1" si="1203"/>
        <v>136.24042918586599</v>
      </c>
      <c r="V324" s="47">
        <f t="shared" ca="1" si="1203"/>
        <v>141.99557451335113</v>
      </c>
      <c r="W324" s="47">
        <f t="shared" ca="1" si="1203"/>
        <v>147.95014915265199</v>
      </c>
      <c r="X324" s="47">
        <f t="shared" ca="1" si="1203"/>
        <v>154.14280213237859</v>
      </c>
      <c r="Y324" s="47">
        <f t="shared" ca="1" si="1203"/>
        <v>160.57966251397889</v>
      </c>
      <c r="Z324" s="47">
        <f t="shared" ca="1" si="1203"/>
        <v>167.29924914981254</v>
      </c>
      <c r="AA324" s="47">
        <f t="shared" ca="1" si="1203"/>
        <v>174.28546553864783</v>
      </c>
      <c r="AB324" s="47">
        <f t="shared" ca="1" si="1203"/>
        <v>181.5276796592905</v>
      </c>
      <c r="AC324" s="47">
        <f t="shared" ca="1" si="1203"/>
        <v>189.02319730938828</v>
      </c>
      <c r="AD324" s="47">
        <f t="shared" ca="1" si="1203"/>
        <v>196.77902386537079</v>
      </c>
      <c r="AE324" s="47">
        <f t="shared" ca="1" si="1203"/>
        <v>204.80935141209571</v>
      </c>
      <c r="AF324" s="47">
        <f t="shared" ca="1" si="1203"/>
        <v>213.11815715507751</v>
      </c>
      <c r="AG324" s="47">
        <f t="shared" ca="1" si="1203"/>
        <v>221.73465872931976</v>
      </c>
      <c r="AH324" s="47">
        <f t="shared" ca="1" si="1203"/>
        <v>230.63503143123086</v>
      </c>
      <c r="AI324" s="47">
        <f t="shared" ca="1" si="1203"/>
        <v>239.82815150540694</v>
      </c>
      <c r="AJ324" s="47">
        <f t="shared" ca="1" si="1203"/>
        <v>249.33680735206346</v>
      </c>
      <c r="AK324" s="47">
        <f t="shared" ca="1" si="1203"/>
        <v>259.17423181753998</v>
      </c>
      <c r="AL324" s="47">
        <f t="shared" ca="1" si="1203"/>
        <v>269.34812189896098</v>
      </c>
      <c r="AM324" s="47">
        <f t="shared" ca="1" si="1203"/>
        <v>279.87896604684101</v>
      </c>
      <c r="AN324" s="47">
        <f t="shared" ca="1" si="1203"/>
        <v>290.78982047020497</v>
      </c>
      <c r="AO324" s="47">
        <f t="shared" ca="1" si="1203"/>
        <v>302.08986394424431</v>
      </c>
      <c r="AP324" s="47">
        <f t="shared" ca="1" si="1203"/>
        <v>313.81085410064594</v>
      </c>
      <c r="AQ324" s="47">
        <f t="shared" ca="1" si="1203"/>
        <v>325.97150011949662</v>
      </c>
      <c r="AR324" s="47">
        <f t="shared" ca="1" si="1203"/>
        <v>338.57319419482877</v>
      </c>
      <c r="AS324" s="47">
        <f t="shared" ca="1" si="1203"/>
        <v>351.6605980488971</v>
      </c>
      <c r="AT324" s="47">
        <f t="shared" ca="1" si="1203"/>
        <v>365.22617369483248</v>
      </c>
      <c r="AU324" s="47">
        <f t="shared" ca="1" si="1203"/>
        <v>379.32526667043709</v>
      </c>
      <c r="AV324" s="47">
        <f t="shared" ca="1" si="1203"/>
        <v>394.00033008936401</v>
      </c>
      <c r="AW324" s="47">
        <f t="shared" ca="1" si="1203"/>
        <v>409.23765053037738</v>
      </c>
      <c r="AX324" s="47">
        <f t="shared" ca="1" si="1203"/>
        <v>425.06899751045529</v>
      </c>
    </row>
    <row r="325" spans="1:50" x14ac:dyDescent="0.25">
      <c r="A325" s="9" t="s">
        <v>932</v>
      </c>
      <c r="D325" s="42">
        <f>SUM(D$253,D$264,D$259:D$262,D$265,D$272,D$274,D$284,D$320)</f>
        <v>35.922000000000004</v>
      </c>
      <c r="E325" s="42">
        <f t="shared" ref="E325:N325" si="1204">SUM(E$253,E$264,E$259:E$262,E$265,E$272,E$274,E$284,E$320)</f>
        <v>40.394000000000005</v>
      </c>
      <c r="F325" s="42">
        <f t="shared" si="1204"/>
        <v>45.15</v>
      </c>
      <c r="G325" s="42">
        <f t="shared" si="1204"/>
        <v>50.318999999999996</v>
      </c>
      <c r="H325" s="42">
        <f t="shared" si="1204"/>
        <v>54.479000000000021</v>
      </c>
      <c r="I325" s="42">
        <f t="shared" si="1204"/>
        <v>57.910000000000011</v>
      </c>
      <c r="J325" s="43">
        <f t="shared" si="1204"/>
        <v>59.697999999999993</v>
      </c>
      <c r="K325" s="43">
        <f t="shared" si="1204"/>
        <v>63.738800000000012</v>
      </c>
      <c r="L325" s="43">
        <f t="shared" si="1204"/>
        <v>63.036734999999993</v>
      </c>
      <c r="M325" s="43">
        <f t="shared" si="1204"/>
        <v>64.152484999999999</v>
      </c>
      <c r="N325" s="43">
        <f t="shared" si="1204"/>
        <v>66.288895000000011</v>
      </c>
      <c r="O325" s="47">
        <f ca="1">SUM(O$253,O$264,O$259:O$262,O$265,O$272,O$274,O$284,O$320)</f>
        <v>68.912666326351186</v>
      </c>
      <c r="P325" s="47">
        <f t="shared" ref="P325:AX325" ca="1" si="1205">SUM(P$253,P$264,P$259:P$262,P$265,P$272,P$274,P$284,P$320)</f>
        <v>71.850434735366179</v>
      </c>
      <c r="Q325" s="47">
        <f t="shared" ca="1" si="1205"/>
        <v>75.17449039384671</v>
      </c>
      <c r="R325" s="47">
        <f t="shared" ca="1" si="1205"/>
        <v>78.618248586493351</v>
      </c>
      <c r="S325" s="47">
        <f t="shared" ca="1" si="1205"/>
        <v>82.191719156076942</v>
      </c>
      <c r="T325" s="47">
        <f t="shared" ca="1" si="1205"/>
        <v>85.888111092741383</v>
      </c>
      <c r="U325" s="47">
        <f t="shared" ca="1" si="1205"/>
        <v>89.72384688259865</v>
      </c>
      <c r="V325" s="47">
        <f t="shared" ca="1" si="1205"/>
        <v>93.709258705284</v>
      </c>
      <c r="W325" s="47">
        <f t="shared" ca="1" si="1205"/>
        <v>97.847606342494899</v>
      </c>
      <c r="X325" s="47">
        <f t="shared" ca="1" si="1205"/>
        <v>102.17563605671776</v>
      </c>
      <c r="Y325" s="47">
        <f t="shared" ca="1" si="1205"/>
        <v>106.68969342880013</v>
      </c>
      <c r="Z325" s="47">
        <f t="shared" ca="1" si="1205"/>
        <v>111.42838672062616</v>
      </c>
      <c r="AA325" s="47">
        <f t="shared" ca="1" si="1205"/>
        <v>116.36798516143625</v>
      </c>
      <c r="AB325" s="47">
        <f t="shared" ca="1" si="1205"/>
        <v>121.50073165395919</v>
      </c>
      <c r="AC325" s="47">
        <f t="shared" ca="1" si="1205"/>
        <v>126.82374139177432</v>
      </c>
      <c r="AD325" s="47">
        <f t="shared" ca="1" si="1205"/>
        <v>132.339369376869</v>
      </c>
      <c r="AE325" s="47">
        <f t="shared" ca="1" si="1205"/>
        <v>138.0648945723344</v>
      </c>
      <c r="AF325" s="47">
        <f t="shared" ca="1" si="1205"/>
        <v>144.00320283603563</v>
      </c>
      <c r="AG325" s="47">
        <f t="shared" ca="1" si="1205"/>
        <v>150.18281211877581</v>
      </c>
      <c r="AH325" s="47">
        <f t="shared" ca="1" si="1205"/>
        <v>156.58097062523464</v>
      </c>
      <c r="AI325" s="47">
        <f t="shared" ca="1" si="1205"/>
        <v>163.20369812190876</v>
      </c>
      <c r="AJ325" s="47">
        <f t="shared" ca="1" si="1205"/>
        <v>170.07024912169189</v>
      </c>
      <c r="AK325" s="47">
        <f t="shared" ca="1" si="1205"/>
        <v>177.19701388166388</v>
      </c>
      <c r="AL325" s="47">
        <f t="shared" ca="1" si="1205"/>
        <v>184.58725564554635</v>
      </c>
      <c r="AM325" s="47">
        <f t="shared" ca="1" si="1205"/>
        <v>192.25674422931266</v>
      </c>
      <c r="AN325" s="47">
        <f t="shared" ca="1" si="1205"/>
        <v>200.33654900589156</v>
      </c>
      <c r="AO325" s="47">
        <f t="shared" ca="1" si="1205"/>
        <v>208.66032401780217</v>
      </c>
      <c r="AP325" s="47">
        <f t="shared" ca="1" si="1205"/>
        <v>217.27112038259327</v>
      </c>
      <c r="AQ325" s="47">
        <f t="shared" ca="1" si="1205"/>
        <v>226.2286943496461</v>
      </c>
      <c r="AR325" s="47">
        <f t="shared" ca="1" si="1205"/>
        <v>235.52628886887791</v>
      </c>
      <c r="AS325" s="47">
        <f t="shared" ca="1" si="1205"/>
        <v>245.20646605233651</v>
      </c>
      <c r="AT325" s="47">
        <f t="shared" ca="1" si="1205"/>
        <v>255.25173331313607</v>
      </c>
      <c r="AU325" s="47">
        <f t="shared" ca="1" si="1205"/>
        <v>265.71940831073329</v>
      </c>
      <c r="AV325" s="47">
        <f t="shared" ca="1" si="1205"/>
        <v>276.64205165238434</v>
      </c>
      <c r="AW325" s="47">
        <f t="shared" ca="1" si="1205"/>
        <v>288.00308541034798</v>
      </c>
      <c r="AX325" s="47">
        <f t="shared" ca="1" si="1205"/>
        <v>299.83510233143477</v>
      </c>
    </row>
    <row r="326" spans="1:50" x14ac:dyDescent="0.25">
      <c r="A326" s="12" t="s">
        <v>933</v>
      </c>
    </row>
    <row r="327" spans="1:50" x14ac:dyDescent="0.25">
      <c r="A327" s="9" t="s">
        <v>934</v>
      </c>
      <c r="B327" s="10" t="str">
        <f>$B$38</f>
        <v>From Fiscal Forecasts</v>
      </c>
      <c r="D327" s="42">
        <f>'Fiscal Forecasts'!D$211</f>
        <v>6.7160000000000002</v>
      </c>
      <c r="E327" s="42">
        <f>'Fiscal Forecasts'!E$211</f>
        <v>7.5140000000000002</v>
      </c>
      <c r="F327" s="42">
        <f>'Fiscal Forecasts'!F$211</f>
        <v>8.0459999999999994</v>
      </c>
      <c r="G327" s="42">
        <f>'Fiscal Forecasts'!G$211</f>
        <v>8.5389999999999997</v>
      </c>
      <c r="H327" s="42">
        <f>'Fiscal Forecasts'!H$211</f>
        <v>10.163</v>
      </c>
      <c r="I327" s="42">
        <f>'Fiscal Forecasts'!I$211</f>
        <v>10.747999999999999</v>
      </c>
      <c r="J327" s="43">
        <f>'Fiscal Forecasts'!J$211</f>
        <v>10.715999999999999</v>
      </c>
      <c r="K327" s="43">
        <f>'Fiscal Forecasts'!K$211</f>
        <v>10.582000000000001</v>
      </c>
      <c r="L327" s="43">
        <f>'Fiscal Forecasts'!L$211</f>
        <v>10.785</v>
      </c>
      <c r="M327" s="43">
        <f>'Fiscal Forecasts'!M$211</f>
        <v>10.513999999999999</v>
      </c>
      <c r="N327" s="43">
        <f>'Fiscal Forecasts'!N$211</f>
        <v>10.589</v>
      </c>
      <c r="O327" s="47">
        <f ca="1">IF(O$6=OFFSET(Assumptions!$B$8,0,$C$1),AVERAGE(L$327/SUM(L$245-L$244,L$277-L$276,L$281-L$280,,L$299-L$298,L$303-L$302,L$307-L$306,L$311-L$310,L$317-L$316),M$327/SUM(M$245-M$244,M$277-M$276,M$281-M$280,,M$299-M$298,M$303-M$302,M$307-M$306,M$311-M$310,M$317-M$316),N$327/SUM(N$245-N$244,N$277-N$276,N$281-N$280,,N$299-N$298,N$303-N$302,N$307-N$306,N$311-N$310,N$317-N$316)),N$327/SUM(N$245-N$244,N$277-N$276,N$281-N$280,,N$299-N$298,N$303-N$302,N$307-N$306,N$311-N$310,N$317-N$316))*SUM(O$245-O$244,O$277-O$276,O$281-O$280,,O$299-O$298,O$303-O$302,O$307-O$306,O$311-O$310,O$317-O$316)</f>
        <v>10.933351291983378</v>
      </c>
      <c r="P327" s="47">
        <f ca="1">IF(P$6=OFFSET(Assumptions!$B$8,0,$C$1),AVERAGE(M$327/SUM(M$245-M$244,M$277-M$276,M$281-M$280,,M$299-M$298,M$303-M$302,M$307-M$306,M$311-M$310,M$317-M$316),N$327/SUM(N$245-N$244,N$277-N$276,N$281-N$280,,N$299-N$298,N$303-N$302,N$307-N$306,N$311-N$310,N$317-N$316),O$327/SUM(O$245-O$244,O$277-O$276,O$281-O$280,,O$299-O$298,O$303-O$302,O$307-O$306,O$311-O$310,O$317-O$316)),O$327/SUM(O$245-O$244,O$277-O$276,O$281-O$280,,O$299-O$298,O$303-O$302,O$307-O$306,O$311-O$310,O$317-O$316))*SUM(P$245-P$244,P$277-P$276,P$281-P$280,,P$299-P$298,P$303-P$302,P$307-P$306,P$311-P$310,P$317-P$316)</f>
        <v>11.151276459309569</v>
      </c>
      <c r="Q327" s="47">
        <f ca="1">IF(Q$6=OFFSET(Assumptions!$B$8,0,$C$1),AVERAGE(N$327/SUM(N$245-N$244,N$277-N$276,N$281-N$280,,N$299-N$298,N$303-N$302,N$307-N$306,N$311-N$310,N$317-N$316),O$327/SUM(O$245-O$244,O$277-O$276,O$281-O$280,,O$299-O$298,O$303-O$302,O$307-O$306,O$311-O$310,O$317-O$316),P$327/SUM(P$245-P$244,P$277-P$276,P$281-P$280,,P$299-P$298,P$303-P$302,P$307-P$306,P$311-P$310,P$317-P$316)),P$327/SUM(P$245-P$244,P$277-P$276,P$281-P$280,,P$299-P$298,P$303-P$302,P$307-P$306,P$311-P$310,P$317-P$316))*SUM(Q$245-Q$244,Q$277-Q$276,Q$281-Q$280,,Q$299-Q$298,Q$303-Q$302,Q$307-Q$306,Q$311-Q$310,Q$317-Q$316)</f>
        <v>11.37361376030902</v>
      </c>
      <c r="R327" s="47">
        <f ca="1">IF(R$6=OFFSET(Assumptions!$B$8,0,$C$1),AVERAGE(O$327/SUM(O$245-O$244,O$277-O$276,O$281-O$280,,O$299-O$298,O$303-O$302,O$307-O$306,O$311-O$310,O$317-O$316),P$327/SUM(P$245-P$244,P$277-P$276,P$281-P$280,,P$299-P$298,P$303-P$302,P$307-P$306,P$311-P$310,P$317-P$316),Q$327/SUM(Q$245-Q$244,Q$277-Q$276,Q$281-Q$280,,Q$299-Q$298,Q$303-Q$302,Q$307-Q$306,Q$311-Q$310,Q$317-Q$316)),Q$327/SUM(Q$245-Q$244,Q$277-Q$276,Q$281-Q$280,,Q$299-Q$298,Q$303-Q$302,Q$307-Q$306,Q$311-Q$310,Q$317-Q$316))*SUM(R$245-R$244,R$277-R$276,R$281-R$280,,R$299-R$298,R$303-R$302,R$307-R$306,R$311-R$310,R$317-R$316)</f>
        <v>11.600451437655188</v>
      </c>
      <c r="S327" s="47">
        <f ca="1">IF(S$6=OFFSET(Assumptions!$B$8,0,$C$1),AVERAGE(P$327/SUM(P$245-P$244,P$277-P$276,P$281-P$280,,P$299-P$298,P$303-P$302,P$307-P$306,P$311-P$310,P$317-P$316),Q$327/SUM(Q$245-Q$244,Q$277-Q$276,Q$281-Q$280,,Q$299-Q$298,Q$303-Q$302,Q$307-Q$306,Q$311-Q$310,Q$317-Q$316),R$327/SUM(R$245-R$244,R$277-R$276,R$281-R$280,,R$299-R$298,R$303-R$302,R$307-R$306,R$311-R$310,R$317-R$316)),R$327/SUM(R$245-R$244,R$277-R$276,R$281-R$280,,R$299-R$298,R$303-R$302,R$307-R$306,R$311-R$310,R$317-R$316))*SUM(S$245-S$244,S$277-S$276,S$281-S$280,,S$299-S$298,S$303-S$302,S$307-S$306,S$311-S$310,S$317-S$316)</f>
        <v>11.831879498875024</v>
      </c>
      <c r="T327" s="47">
        <f ca="1">IF(T$6=OFFSET(Assumptions!$B$8,0,$C$1),AVERAGE(Q$327/SUM(Q$245-Q$244,Q$277-Q$276,Q$281-Q$280,,Q$299-Q$298,Q$303-Q$302,Q$307-Q$306,Q$311-Q$310,Q$317-Q$316),R$327/SUM(R$245-R$244,R$277-R$276,R$281-R$280,,R$299-R$298,R$303-R$302,R$307-R$306,R$311-R$310,R$317-R$316),S$327/SUM(S$245-S$244,S$277-S$276,S$281-S$280,,S$299-S$298,S$303-S$302,S$307-S$306,S$311-S$310,S$317-S$316)),S$327/SUM(S$245-S$244,S$277-S$276,S$281-S$280,,S$299-S$298,S$303-S$302,S$307-S$306,S$311-S$310,S$317-S$316))*SUM(T$245-T$244,T$277-T$276,T$281-T$280,,T$299-T$298,T$303-T$302,T$307-T$306,T$311-T$310,T$317-T$316)</f>
        <v>12.067832015390881</v>
      </c>
      <c r="U327" s="47">
        <f ca="1">IF(U$6=OFFSET(Assumptions!$B$8,0,$C$1),AVERAGE(R$327/SUM(R$245-R$244,R$277-R$276,R$281-R$280,,R$299-R$298,R$303-R$302,R$307-R$306,R$311-R$310,R$317-R$316),S$327/SUM(S$245-S$244,S$277-S$276,S$281-S$280,,S$299-S$298,S$303-S$302,S$307-S$306,S$311-S$310,S$317-S$316),T$327/SUM(T$245-T$244,T$277-T$276,T$281-T$280,,T$299-T$298,T$303-T$302,T$307-T$306,T$311-T$310,T$317-T$316)),T$327/SUM(T$245-T$244,T$277-T$276,T$281-T$280,,T$299-T$298,T$303-T$302,T$307-T$306,T$311-T$310,T$317-T$316))*SUM(U$245-U$244,U$277-U$276,U$281-U$280,,U$299-U$298,U$303-U$302,U$307-U$306,U$311-U$310,U$317-U$316)</f>
        <v>12.308875839799102</v>
      </c>
      <c r="V327" s="47">
        <f ca="1">IF(V$6=OFFSET(Assumptions!$B$8,0,$C$1),AVERAGE(S$327/SUM(S$245-S$244,S$277-S$276,S$281-S$280,,S$299-S$298,S$303-S$302,S$307-S$306,S$311-S$310,S$317-S$316),T$327/SUM(T$245-T$244,T$277-T$276,T$281-T$280,,T$299-T$298,T$303-T$302,T$307-T$306,T$311-T$310,T$317-T$316),U$327/SUM(U$245-U$244,U$277-U$276,U$281-U$280,,U$299-U$298,U$303-U$302,U$307-U$306,U$311-U$310,U$317-U$316)),U$327/SUM(U$245-U$244,U$277-U$276,U$281-U$280,,U$299-U$298,U$303-U$302,U$307-U$306,U$311-U$310,U$317-U$316))*SUM(V$245-V$244,V$277-V$276,V$281-V$280,,V$299-V$298,V$303-V$302,V$307-V$306,V$311-V$310,V$317-V$316)</f>
        <v>12.55479101629712</v>
      </c>
      <c r="W327" s="47">
        <f ca="1">IF(W$6=OFFSET(Assumptions!$B$8,0,$C$1),AVERAGE(T$327/SUM(T$245-T$244,T$277-T$276,T$281-T$280,,T$299-T$298,T$303-T$302,T$307-T$306,T$311-T$310,T$317-T$316),U$327/SUM(U$245-U$244,U$277-U$276,U$281-U$280,,U$299-U$298,U$303-U$302,U$307-U$306,U$311-U$310,U$317-U$316),V$327/SUM(V$245-V$244,V$277-V$276,V$281-V$280,,V$299-V$298,V$303-V$302,V$307-V$306,V$311-V$310,V$317-V$316)),V$327/SUM(V$245-V$244,V$277-V$276,V$281-V$280,,V$299-V$298,V$303-V$302,V$307-V$306,V$311-V$310,V$317-V$316))*SUM(W$245-W$244,W$277-W$276,W$281-W$280,,W$299-W$298,W$303-W$302,W$307-W$306,W$311-W$310,W$317-W$316)</f>
        <v>12.80551723567163</v>
      </c>
      <c r="X327" s="47">
        <f ca="1">IF(X$6=OFFSET(Assumptions!$B$8,0,$C$1),AVERAGE(U$327/SUM(U$245-U$244,U$277-U$276,U$281-U$280,,U$299-U$298,U$303-U$302,U$307-U$306,U$311-U$310,U$317-U$316),V$327/SUM(V$245-V$244,V$277-V$276,V$281-V$280,,V$299-V$298,V$303-V$302,V$307-V$306,V$311-V$310,V$317-V$316),W$327/SUM(W$245-W$244,W$277-W$276,W$281-W$280,,W$299-W$298,W$303-W$302,W$307-W$306,W$311-W$310,W$317-W$316)),W$327/SUM(W$245-W$244,W$277-W$276,W$281-W$280,,W$299-W$298,W$303-W$302,W$307-W$306,W$311-W$310,W$317-W$316))*SUM(X$245-X$244,X$277-X$276,X$281-X$280,,X$299-X$298,X$303-X$302,X$307-X$306,X$311-X$310,X$317-X$316)</f>
        <v>13.061311609760367</v>
      </c>
      <c r="Y327" s="47">
        <f ca="1">IF(Y$6=OFFSET(Assumptions!$B$8,0,$C$1),AVERAGE(V$327/SUM(V$245-V$244,V$277-V$276,V$281-V$280,,V$299-V$298,V$303-V$302,V$307-V$306,V$311-V$310,V$317-V$316),W$327/SUM(W$245-W$244,W$277-W$276,W$281-W$280,,W$299-W$298,W$303-W$302,W$307-W$306,W$311-W$310,W$317-W$316),X$327/SUM(X$245-X$244,X$277-X$276,X$281-X$280,,X$299-X$298,X$303-X$302,X$307-X$306,X$311-X$310,X$317-X$316)),X$327/SUM(X$245-X$244,X$277-X$276,X$281-X$280,,X$299-X$298,X$303-X$302,X$307-X$306,X$311-X$310,X$317-X$316))*SUM(Y$245-Y$244,Y$277-Y$276,Y$281-Y$280,,Y$299-Y$298,Y$303-Y$302,Y$307-Y$306,Y$311-Y$310,Y$317-Y$316)</f>
        <v>13.322590974167822</v>
      </c>
      <c r="Z327" s="47">
        <f ca="1">IF(Z$6=OFFSET(Assumptions!$B$8,0,$C$1),AVERAGE(W$327/SUM(W$245-W$244,W$277-W$276,W$281-W$280,,W$299-W$298,W$303-W$302,W$307-W$306,W$311-W$310,W$317-W$316),X$327/SUM(X$245-X$244,X$277-X$276,X$281-X$280,,X$299-X$298,X$303-X$302,X$307-X$306,X$311-X$310,X$317-X$316),Y$327/SUM(Y$245-Y$244,Y$277-Y$276,Y$281-Y$280,,Y$299-Y$298,Y$303-Y$302,Y$307-Y$306,Y$311-Y$310,Y$317-Y$316)),Y$327/SUM(Y$245-Y$244,Y$277-Y$276,Y$281-Y$280,,Y$299-Y$298,Y$303-Y$302,Y$307-Y$306,Y$311-Y$310,Y$317-Y$316))*SUM(Z$245-Z$244,Z$277-Z$276,Z$281-Z$280,,Z$299-Z$298,Z$303-Z$302,Z$307-Z$306,Z$311-Z$310,Z$317-Z$316)</f>
        <v>13.589143246739956</v>
      </c>
      <c r="AA327" s="47">
        <f ca="1">IF(AA$6=OFFSET(Assumptions!$B$8,0,$C$1),AVERAGE(X$327/SUM(X$245-X$244,X$277-X$276,X$281-X$280,,X$299-X$298,X$303-X$302,X$307-X$306,X$311-X$310,X$317-X$316),Y$327/SUM(Y$245-Y$244,Y$277-Y$276,Y$281-Y$280,,Y$299-Y$298,Y$303-Y$302,Y$307-Y$306,Y$311-Y$310,Y$317-Y$316),Z$327/SUM(Z$245-Z$244,Z$277-Z$276,Z$281-Z$280,,Z$299-Z$298,Z$303-Z$302,Z$307-Z$306,Z$311-Z$310,Z$317-Z$316)),Z$327/SUM(Z$245-Z$244,Z$277-Z$276,Z$281-Z$280,,Z$299-Z$298,Z$303-Z$302,Z$307-Z$306,Z$311-Z$310,Z$317-Z$316))*SUM(AA$245-AA$244,AA$277-AA$276,AA$281-AA$280,,AA$299-AA$298,AA$303-AA$302,AA$307-AA$306,AA$311-AA$310,AA$317-AA$316)</f>
        <v>13.861073885640058</v>
      </c>
      <c r="AB327" s="47">
        <f ca="1">IF(AB$6=OFFSET(Assumptions!$B$8,0,$C$1),AVERAGE(Y$327/SUM(Y$245-Y$244,Y$277-Y$276,Y$281-Y$280,,Y$299-Y$298,Y$303-Y$302,Y$307-Y$306,Y$311-Y$310,Y$317-Y$316),Z$327/SUM(Z$245-Z$244,Z$277-Z$276,Z$281-Z$280,,Z$299-Z$298,Z$303-Z$302,Z$307-Z$306,Z$311-Z$310,Z$317-Z$316),AA$327/SUM(AA$245-AA$244,AA$277-AA$276,AA$281-AA$280,,AA$299-AA$298,AA$303-AA$302,AA$307-AA$306,AA$311-AA$310,AA$317-AA$316)),AA$327/SUM(AA$245-AA$244,AA$277-AA$276,AA$281-AA$280,,AA$299-AA$298,AA$303-AA$302,AA$307-AA$306,AA$311-AA$310,AA$317-AA$316))*SUM(AB$245-AB$244,AB$277-AB$276,AB$281-AB$280,,AB$299-AB$298,AB$303-AB$302,AB$307-AB$306,AB$311-AB$310,AB$317-AB$316)</f>
        <v>14.138648194449802</v>
      </c>
      <c r="AC327" s="47">
        <f ca="1">IF(AC$6=OFFSET(Assumptions!$B$8,0,$C$1),AVERAGE(Z$327/SUM(Z$245-Z$244,Z$277-Z$276,Z$281-Z$280,,Z$299-Z$298,Z$303-Z$302,Z$307-Z$306,Z$311-Z$310,Z$317-Z$316),AA$327/SUM(AA$245-AA$244,AA$277-AA$276,AA$281-AA$280,,AA$299-AA$298,AA$303-AA$302,AA$307-AA$306,AA$311-AA$310,AA$317-AA$316),AB$327/SUM(AB$245-AB$244,AB$277-AB$276,AB$281-AB$280,,AB$299-AB$298,AB$303-AB$302,AB$307-AB$306,AB$311-AB$310,AB$317-AB$316)),AB$327/SUM(AB$245-AB$244,AB$277-AB$276,AB$281-AB$280,,AB$299-AB$298,AB$303-AB$302,AB$307-AB$306,AB$311-AB$310,AB$317-AB$316))*SUM(AC$245-AC$244,AC$277-AC$276,AC$281-AC$280,,AC$299-AC$298,AC$303-AC$302,AC$307-AC$306,AC$311-AC$310,AC$317-AC$316)</f>
        <v>14.421660419332072</v>
      </c>
      <c r="AD327" s="47">
        <f ca="1">IF(AD$6=OFFSET(Assumptions!$B$8,0,$C$1),AVERAGE(AA$327/SUM(AA$245-AA$244,AA$277-AA$276,AA$281-AA$280,,AA$299-AA$298,AA$303-AA$302,AA$307-AA$306,AA$311-AA$310,AA$317-AA$316),AB$327/SUM(AB$245-AB$244,AB$277-AB$276,AB$281-AB$280,,AB$299-AB$298,AB$303-AB$302,AB$307-AB$306,AB$311-AB$310,AB$317-AB$316),AC$327/SUM(AC$245-AC$244,AC$277-AC$276,AC$281-AC$280,,AC$299-AC$298,AC$303-AC$302,AC$307-AC$306,AC$311-AC$310,AC$317-AC$316)),AC$327/SUM(AC$245-AC$244,AC$277-AC$276,AC$281-AC$280,,AC$299-AC$298,AC$303-AC$302,AC$307-AC$306,AC$311-AC$310,AC$317-AC$316))*SUM(AD$245-AD$244,AD$277-AD$276,AD$281-AD$280,,AD$299-AD$298,AD$303-AD$302,AD$307-AD$306,AD$311-AD$310,AD$317-AD$316)</f>
        <v>14.710853418353826</v>
      </c>
      <c r="AE327" s="47">
        <f ca="1">IF(AE$6=OFFSET(Assumptions!$B$8,0,$C$1),AVERAGE(AB$327/SUM(AB$245-AB$244,AB$277-AB$276,AB$281-AB$280,,AB$299-AB$298,AB$303-AB$302,AB$307-AB$306,AB$311-AB$310,AB$317-AB$316),AC$327/SUM(AC$245-AC$244,AC$277-AC$276,AC$281-AC$280,,AC$299-AC$298,AC$303-AC$302,AC$307-AC$306,AC$311-AC$310,AC$317-AC$316),AD$327/SUM(AD$245-AD$244,AD$277-AD$276,AD$281-AD$280,,AD$299-AD$298,AD$303-AD$302,AD$307-AD$306,AD$311-AD$310,AD$317-AD$316)),AD$327/SUM(AD$245-AD$244,AD$277-AD$276,AD$281-AD$280,,AD$299-AD$298,AD$303-AD$302,AD$307-AD$306,AD$311-AD$310,AD$317-AD$316))*SUM(AE$245-AE$244,AE$277-AE$276,AE$281-AE$280,,AE$299-AE$298,AE$303-AE$302,AE$307-AE$306,AE$311-AE$310,AE$317-AE$316)</f>
        <v>15.005710397802131</v>
      </c>
      <c r="AF327" s="47">
        <f ca="1">IF(AF$6=OFFSET(Assumptions!$B$8,0,$C$1),AVERAGE(AC$327/SUM(AC$245-AC$244,AC$277-AC$276,AC$281-AC$280,,AC$299-AC$298,AC$303-AC$302,AC$307-AC$306,AC$311-AC$310,AC$317-AC$316),AD$327/SUM(AD$245-AD$244,AD$277-AD$276,AD$281-AD$280,,AD$299-AD$298,AD$303-AD$302,AD$307-AD$306,AD$311-AD$310,AD$317-AD$316),AE$327/SUM(AE$245-AE$244,AE$277-AE$276,AE$281-AE$280,,AE$299-AE$298,AE$303-AE$302,AE$307-AE$306,AE$311-AE$310,AE$317-AE$316)),AE$327/SUM(AE$245-AE$244,AE$277-AE$276,AE$281-AE$280,,AE$299-AE$298,AE$303-AE$302,AE$307-AE$306,AE$311-AE$310,AE$317-AE$316))*SUM(AF$245-AF$244,AF$277-AF$276,AF$281-AF$280,,AF$299-AF$298,AF$303-AF$302,AF$307-AF$306,AF$311-AF$310,AF$317-AF$316)</f>
        <v>15.306663264520839</v>
      </c>
      <c r="AG327" s="47">
        <f ca="1">IF(AG$6=OFFSET(Assumptions!$B$8,0,$C$1),AVERAGE(AD$327/SUM(AD$245-AD$244,AD$277-AD$276,AD$281-AD$280,,AD$299-AD$298,AD$303-AD$302,AD$307-AD$306,AD$311-AD$310,AD$317-AD$316),AE$327/SUM(AE$245-AE$244,AE$277-AE$276,AE$281-AE$280,,AE$299-AE$298,AE$303-AE$302,AE$307-AE$306,AE$311-AE$310,AE$317-AE$316),AF$327/SUM(AF$245-AF$244,AF$277-AF$276,AF$281-AF$280,,AF$299-AF$298,AF$303-AF$302,AF$307-AF$306,AF$311-AF$310,AF$317-AF$316)),AF$327/SUM(AF$245-AF$244,AF$277-AF$276,AF$281-AF$280,,AF$299-AF$298,AF$303-AF$302,AF$307-AF$306,AF$311-AF$310,AF$317-AF$316))*SUM(AG$245-AG$244,AG$277-AG$276,AG$281-AG$280,,AG$299-AG$298,AG$303-AG$302,AG$307-AG$306,AG$311-AG$310,AG$317-AG$316)</f>
        <v>15.613830781530249</v>
      </c>
      <c r="AH327" s="47">
        <f ca="1">IF(AH$6=OFFSET(Assumptions!$B$8,0,$C$1),AVERAGE(AE$327/SUM(AE$245-AE$244,AE$277-AE$276,AE$281-AE$280,,AE$299-AE$298,AE$303-AE$302,AE$307-AE$306,AE$311-AE$310,AE$317-AE$316),AF$327/SUM(AF$245-AF$244,AF$277-AF$276,AF$281-AF$280,,AF$299-AF$298,AF$303-AF$302,AF$307-AF$306,AF$311-AF$310,AF$317-AF$316),AG$327/SUM(AG$245-AG$244,AG$277-AG$276,AG$281-AG$280,,AG$299-AG$298,AG$303-AG$302,AG$307-AG$306,AG$311-AG$310,AG$317-AG$316)),AG$327/SUM(AG$245-AG$244,AG$277-AG$276,AG$281-AG$280,,AG$299-AG$298,AG$303-AG$302,AG$307-AG$306,AG$311-AG$310,AG$317-AG$316))*SUM(AH$245-AH$244,AH$277-AH$276,AH$281-AH$280,,AH$299-AH$298,AH$303-AH$302,AH$307-AH$306,AH$311-AH$310,AH$317-AH$316)</f>
        <v>15.927334087111074</v>
      </c>
      <c r="AI327" s="47">
        <f ca="1">IF(AI$6=OFFSET(Assumptions!$B$8,0,$C$1),AVERAGE(AF$327/SUM(AF$245-AF$244,AF$277-AF$276,AF$281-AF$280,,AF$299-AF$298,AF$303-AF$302,AF$307-AF$306,AF$311-AF$310,AF$317-AF$316),AG$327/SUM(AG$245-AG$244,AG$277-AG$276,AG$281-AG$280,,AG$299-AG$298,AG$303-AG$302,AG$307-AG$306,AG$311-AG$310,AG$317-AG$316),AH$327/SUM(AH$245-AH$244,AH$277-AH$276,AH$281-AH$280,,AH$299-AH$298,AH$303-AH$302,AH$307-AH$306,AH$311-AH$310,AH$317-AH$316)),AH$327/SUM(AH$245-AH$244,AH$277-AH$276,AH$281-AH$280,,AH$299-AH$298,AH$303-AH$302,AH$307-AH$306,AH$311-AH$310,AH$317-AH$316))*SUM(AI$245-AI$244,AI$277-AI$276,AI$281-AI$280,,AI$299-AI$298,AI$303-AI$302,AI$307-AI$306,AI$311-AI$310,AI$317-AI$316)</f>
        <v>16.247139006054525</v>
      </c>
      <c r="AJ327" s="47">
        <f ca="1">IF(AJ$6=OFFSET(Assumptions!$B$8,0,$C$1),AVERAGE(AG$327/SUM(AG$245-AG$244,AG$277-AG$276,AG$281-AG$280,,AG$299-AG$298,AG$303-AG$302,AG$307-AG$306,AG$311-AG$310,AG$317-AG$316),AH$327/SUM(AH$245-AH$244,AH$277-AH$276,AH$281-AH$280,,AH$299-AH$298,AH$303-AH$302,AH$307-AH$306,AH$311-AH$310,AH$317-AH$316),AI$327/SUM(AI$245-AI$244,AI$277-AI$276,AI$281-AI$280,,AI$299-AI$298,AI$303-AI$302,AI$307-AI$306,AI$311-AI$310,AI$317-AI$316)),AI$327/SUM(AI$245-AI$244,AI$277-AI$276,AI$281-AI$280,,AI$299-AI$298,AI$303-AI$302,AI$307-AI$306,AI$311-AI$310,AI$317-AI$316))*SUM(AJ$245-AJ$244,AJ$277-AJ$276,AJ$281-AJ$280,,AJ$299-AJ$298,AJ$303-AJ$302,AJ$307-AJ$306,AJ$311-AJ$310,AJ$317-AJ$316)</f>
        <v>16.573529306882971</v>
      </c>
      <c r="AK327" s="47">
        <f ca="1">IF(AK$6=OFFSET(Assumptions!$B$8,0,$C$1),AVERAGE(AH$327/SUM(AH$245-AH$244,AH$277-AH$276,AH$281-AH$280,,AH$299-AH$298,AH$303-AH$302,AH$307-AH$306,AH$311-AH$310,AH$317-AH$316),AI$327/SUM(AI$245-AI$244,AI$277-AI$276,AI$281-AI$280,,AI$299-AI$298,AI$303-AI$302,AI$307-AI$306,AI$311-AI$310,AI$317-AI$316),AJ$327/SUM(AJ$245-AJ$244,AJ$277-AJ$276,AJ$281-AJ$280,,AJ$299-AJ$298,AJ$303-AJ$302,AJ$307-AJ$306,AJ$311-AJ$310,AJ$317-AJ$316)),AJ$327/SUM(AJ$245-AJ$244,AJ$277-AJ$276,AJ$281-AJ$280,,AJ$299-AJ$298,AJ$303-AJ$302,AJ$307-AJ$306,AJ$311-AJ$310,AJ$317-AJ$316))*SUM(AK$245-AK$244,AK$277-AK$276,AK$281-AK$280,,AK$299-AK$298,AK$303-AK$302,AK$307-AK$306,AK$311-AK$310,AK$317-AK$316)</f>
        <v>16.90663354250902</v>
      </c>
      <c r="AL327" s="47">
        <f ca="1">IF(AL$6=OFFSET(Assumptions!$B$8,0,$C$1),AVERAGE(AI$327/SUM(AI$245-AI$244,AI$277-AI$276,AI$281-AI$280,,AI$299-AI$298,AI$303-AI$302,AI$307-AI$306,AI$311-AI$310,AI$317-AI$316),AJ$327/SUM(AJ$245-AJ$244,AJ$277-AJ$276,AJ$281-AJ$280,,AJ$299-AJ$298,AJ$303-AJ$302,AJ$307-AJ$306,AJ$311-AJ$310,AJ$317-AJ$316),AK$327/SUM(AK$245-AK$244,AK$277-AK$276,AK$281-AK$280,,AK$299-AK$298,AK$303-AK$302,AK$307-AK$306,AK$311-AK$310,AK$317-AK$316)),AK$327/SUM(AK$245-AK$244,AK$277-AK$276,AK$281-AK$280,,AK$299-AK$298,AK$303-AK$302,AK$307-AK$306,AK$311-AK$310,AK$317-AK$316))*SUM(AL$245-AL$244,AL$277-AL$276,AL$281-AL$280,,AL$299-AL$298,AL$303-AL$302,AL$307-AL$306,AL$311-AL$310,AL$317-AL$316)</f>
        <v>17.24658283690351</v>
      </c>
      <c r="AM327" s="47">
        <f ca="1">IF(AM$6=OFFSET(Assumptions!$B$8,0,$C$1),AVERAGE(AJ$327/SUM(AJ$245-AJ$244,AJ$277-AJ$276,AJ$281-AJ$280,,AJ$299-AJ$298,AJ$303-AJ$302,AJ$307-AJ$306,AJ$311-AJ$310,AJ$317-AJ$316),AK$327/SUM(AK$245-AK$244,AK$277-AK$276,AK$281-AK$280,,AK$299-AK$298,AK$303-AK$302,AK$307-AK$306,AK$311-AK$310,AK$317-AK$316),AL$327/SUM(AL$245-AL$244,AL$277-AL$276,AL$281-AL$280,,AL$299-AL$298,AL$303-AL$302,AL$307-AL$306,AL$311-AL$310,AL$317-AL$316)),AL$327/SUM(AL$245-AL$244,AL$277-AL$276,AL$281-AL$280,,AL$299-AL$298,AL$303-AL$302,AL$307-AL$306,AL$311-AL$310,AL$317-AL$316))*SUM(AM$245-AM$244,AM$277-AM$276,AM$281-AM$280,,AM$299-AM$298,AM$303-AM$302,AM$307-AM$306,AM$311-AM$310,AM$317-AM$316)</f>
        <v>17.593353200261596</v>
      </c>
      <c r="AN327" s="47">
        <f ca="1">IF(AN$6=OFFSET(Assumptions!$B$8,0,$C$1),AVERAGE(AK$327/SUM(AK$245-AK$244,AK$277-AK$276,AK$281-AK$280,,AK$299-AK$298,AK$303-AK$302,AK$307-AK$306,AK$311-AK$310,AK$317-AK$316),AL$327/SUM(AL$245-AL$244,AL$277-AL$276,AL$281-AL$280,,AL$299-AL$298,AL$303-AL$302,AL$307-AL$306,AL$311-AL$310,AL$317-AL$316),AM$327/SUM(AM$245-AM$244,AM$277-AM$276,AM$281-AM$280,,AM$299-AM$298,AM$303-AM$302,AM$307-AM$306,AM$311-AM$310,AM$317-AM$316)),AM$327/SUM(AM$245-AM$244,AM$277-AM$276,AM$281-AM$280,,AM$299-AM$298,AM$303-AM$302,AM$307-AM$306,AM$311-AM$310,AM$317-AM$316))*SUM(AN$245-AN$244,AN$277-AN$276,AN$281-AN$280,,AN$299-AN$298,AN$303-AN$302,AN$307-AN$306,AN$311-AN$310,AN$317-AN$316)</f>
        <v>17.94708105396257</v>
      </c>
      <c r="AO327" s="47">
        <f ca="1">IF(AO$6=OFFSET(Assumptions!$B$8,0,$C$1),AVERAGE(AL$327/SUM(AL$245-AL$244,AL$277-AL$276,AL$281-AL$280,,AL$299-AL$298,AL$303-AL$302,AL$307-AL$306,AL$311-AL$310,AL$317-AL$316),AM$327/SUM(AM$245-AM$244,AM$277-AM$276,AM$281-AM$280,,AM$299-AM$298,AM$303-AM$302,AM$307-AM$306,AM$311-AM$310,AM$317-AM$316),AN$327/SUM(AN$245-AN$244,AN$277-AN$276,AN$281-AN$280,,AN$299-AN$298,AN$303-AN$302,AN$307-AN$306,AN$311-AN$310,AN$317-AN$316)),AN$327/SUM(AN$245-AN$244,AN$277-AN$276,AN$281-AN$280,,AN$299-AN$298,AN$303-AN$302,AN$307-AN$306,AN$311-AN$310,AN$317-AN$316))*SUM(AO$245-AO$244,AO$277-AO$276,AO$281-AO$280,,AO$299-AO$298,AO$303-AO$302,AO$307-AO$306,AO$311-AO$310,AO$317-AO$316)</f>
        <v>18.308063284068378</v>
      </c>
      <c r="AP327" s="47">
        <f ca="1">IF(AP$6=OFFSET(Assumptions!$B$8,0,$C$1),AVERAGE(AM$327/SUM(AM$245-AM$244,AM$277-AM$276,AM$281-AM$280,,AM$299-AM$298,AM$303-AM$302,AM$307-AM$306,AM$311-AM$310,AM$317-AM$316),AN$327/SUM(AN$245-AN$244,AN$277-AN$276,AN$281-AN$280,,AN$299-AN$298,AN$303-AN$302,AN$307-AN$306,AN$311-AN$310,AN$317-AN$316),AO$327/SUM(AO$245-AO$244,AO$277-AO$276,AO$281-AO$280,,AO$299-AO$298,AO$303-AO$302,AO$307-AO$306,AO$311-AO$310,AO$317-AO$316)),AO$327/SUM(AO$245-AO$244,AO$277-AO$276,AO$281-AO$280,,AO$299-AO$298,AO$303-AO$302,AO$307-AO$306,AO$311-AO$310,AO$317-AO$316))*SUM(AP$245-AP$244,AP$277-AP$276,AP$281-AP$280,,AP$299-AP$298,AP$303-AP$302,AP$307-AP$306,AP$311-AP$310,AP$317-AP$316)</f>
        <v>18.676441823382021</v>
      </c>
      <c r="AQ327" s="47">
        <f ca="1">IF(AQ$6=OFFSET(Assumptions!$B$8,0,$C$1),AVERAGE(AN$327/SUM(AN$245-AN$244,AN$277-AN$276,AN$281-AN$280,,AN$299-AN$298,AN$303-AN$302,AN$307-AN$306,AN$311-AN$310,AN$317-AN$316),AO$327/SUM(AO$245-AO$244,AO$277-AO$276,AO$281-AO$280,,AO$299-AO$298,AO$303-AO$302,AO$307-AO$306,AO$311-AO$310,AO$317-AO$316),AP$327/SUM(AP$245-AP$244,AP$277-AP$276,AP$281-AP$280,,AP$299-AP$298,AP$303-AP$302,AP$307-AP$306,AP$311-AP$310,AP$317-AP$316)),AP$327/SUM(AP$245-AP$244,AP$277-AP$276,AP$281-AP$280,,AP$299-AP$298,AP$303-AP$302,AP$307-AP$306,AP$311-AP$310,AP$317-AP$316))*SUM(AQ$245-AQ$244,AQ$277-AQ$276,AQ$281-AQ$280,,AQ$299-AQ$298,AQ$303-AQ$302,AQ$307-AQ$306,AQ$311-AQ$310,AQ$317-AQ$316)</f>
        <v>19.052361443362543</v>
      </c>
      <c r="AR327" s="47">
        <f ca="1">IF(AR$6=OFFSET(Assumptions!$B$8,0,$C$1),AVERAGE(AO$327/SUM(AO$245-AO$244,AO$277-AO$276,AO$281-AO$280,,AO$299-AO$298,AO$303-AO$302,AO$307-AO$306,AO$311-AO$310,AO$317-AO$316),AP$327/SUM(AP$245-AP$244,AP$277-AP$276,AP$281-AP$280,,AP$299-AP$298,AP$303-AP$302,AP$307-AP$306,AP$311-AP$310,AP$317-AP$316),AQ$327/SUM(AQ$245-AQ$244,AQ$277-AQ$276,AQ$281-AQ$280,,AQ$299-AQ$298,AQ$303-AQ$302,AQ$307-AQ$306,AQ$311-AQ$310,AQ$317-AQ$316)),AQ$327/SUM(AQ$245-AQ$244,AQ$277-AQ$276,AQ$281-AQ$280,,AQ$299-AQ$298,AQ$303-AQ$302,AQ$307-AQ$306,AQ$311-AQ$310,AQ$317-AQ$316))*SUM(AR$245-AR$244,AR$277-AR$276,AR$281-AR$280,,AR$299-AR$298,AR$303-AR$302,AR$307-AR$306,AR$311-AR$310,AR$317-AR$316)</f>
        <v>19.435654338387977</v>
      </c>
      <c r="AS327" s="47">
        <f ca="1">IF(AS$6=OFFSET(Assumptions!$B$8,0,$C$1),AVERAGE(AP$327/SUM(AP$245-AP$244,AP$277-AP$276,AP$281-AP$280,,AP$299-AP$298,AP$303-AP$302,AP$307-AP$306,AP$311-AP$310,AP$317-AP$316),AQ$327/SUM(AQ$245-AQ$244,AQ$277-AQ$276,AQ$281-AQ$280,,AQ$299-AQ$298,AQ$303-AQ$302,AQ$307-AQ$306,AQ$311-AQ$310,AQ$317-AQ$316),AR$327/SUM(AR$245-AR$244,AR$277-AR$276,AR$281-AR$280,,AR$299-AR$298,AR$303-AR$302,AR$307-AR$306,AR$311-AR$310,AR$317-AR$316)),AR$327/SUM(AR$245-AR$244,AR$277-AR$276,AR$281-AR$280,,AR$299-AR$298,AR$303-AR$302,AR$307-AR$306,AR$311-AR$310,AR$317-AR$316))*SUM(AS$245-AS$244,AS$277-AS$276,AS$281-AS$280,,AS$299-AS$298,AS$303-AS$302,AS$307-AS$306,AS$311-AS$310,AS$317-AS$316)</f>
        <v>19.826944337449653</v>
      </c>
      <c r="AT327" s="47">
        <f ca="1">IF(AT$6=OFFSET(Assumptions!$B$8,0,$C$1),AVERAGE(AQ$327/SUM(AQ$245-AQ$244,AQ$277-AQ$276,AQ$281-AQ$280,,AQ$299-AQ$298,AQ$303-AQ$302,AQ$307-AQ$306,AQ$311-AQ$310,AQ$317-AQ$316),AR$327/SUM(AR$245-AR$244,AR$277-AR$276,AR$281-AR$280,,AR$299-AR$298,AR$303-AR$302,AR$307-AR$306,AR$311-AR$310,AR$317-AR$316),AS$327/SUM(AS$245-AS$244,AS$277-AS$276,AS$281-AS$280,,AS$299-AS$298,AS$303-AS$302,AS$307-AS$306,AS$311-AS$310,AS$317-AS$316)),AS$327/SUM(AS$245-AS$244,AS$277-AS$276,AS$281-AS$280,,AS$299-AS$298,AS$303-AS$302,AS$307-AS$306,AS$311-AS$310,AS$317-AS$316))*SUM(AT$245-AT$244,AT$277-AT$276,AT$281-AT$280,,AT$299-AT$298,AT$303-AT$302,AT$307-AT$306,AT$311-AT$310,AT$317-AT$316)</f>
        <v>20.226069600667856</v>
      </c>
      <c r="AU327" s="47">
        <f ca="1">IF(AU$6=OFFSET(Assumptions!$B$8,0,$C$1),AVERAGE(AR$327/SUM(AR$245-AR$244,AR$277-AR$276,AR$281-AR$280,,AR$299-AR$298,AR$303-AR$302,AR$307-AR$306,AR$311-AR$310,AR$317-AR$316),AS$327/SUM(AS$245-AS$244,AS$277-AS$276,AS$281-AS$280,,AS$299-AS$298,AS$303-AS$302,AS$307-AS$306,AS$311-AS$310,AS$317-AS$316),AT$327/SUM(AT$245-AT$244,AT$277-AT$276,AT$281-AT$280,,AT$299-AT$298,AT$303-AT$302,AT$307-AT$306,AT$311-AT$310,AT$317-AT$316)),AT$327/SUM(AT$245-AT$244,AT$277-AT$276,AT$281-AT$280,,AT$299-AT$298,AT$303-AT$302,AT$307-AT$306,AT$311-AT$310,AT$317-AT$316))*SUM(AU$245-AU$244,AU$277-AU$276,AU$281-AU$280,,AU$299-AU$298,AU$303-AU$302,AU$307-AU$306,AU$311-AU$310,AU$317-AU$316)</f>
        <v>20.633186833325738</v>
      </c>
      <c r="AV327" s="47">
        <f ca="1">IF(AV$6=OFFSET(Assumptions!$B$8,0,$C$1),AVERAGE(AS$327/SUM(AS$245-AS$244,AS$277-AS$276,AS$281-AS$280,,AS$299-AS$298,AS$303-AS$302,AS$307-AS$306,AS$311-AS$310,AS$317-AS$316),AT$327/SUM(AT$245-AT$244,AT$277-AT$276,AT$281-AT$280,,AT$299-AT$298,AT$303-AT$302,AT$307-AT$306,AT$311-AT$310,AT$317-AT$316),AU$327/SUM(AU$245-AU$244,AU$277-AU$276,AU$281-AU$280,,AU$299-AU$298,AU$303-AU$302,AU$307-AU$306,AU$311-AU$310,AU$317-AU$316)),AU$327/SUM(AU$245-AU$244,AU$277-AU$276,AU$281-AU$280,,AU$299-AU$298,AU$303-AU$302,AU$307-AU$306,AU$311-AU$310,AU$317-AU$316))*SUM(AV$245-AV$244,AV$277-AV$276,AV$281-AV$280,,AV$299-AV$298,AV$303-AV$302,AV$307-AV$306,AV$311-AV$310,AV$317-AV$316)</f>
        <v>21.048455874812081</v>
      </c>
      <c r="AW327" s="47">
        <f ca="1">IF(AW$6=OFFSET(Assumptions!$B$8,0,$C$1),AVERAGE(AT$327/SUM(AT$245-AT$244,AT$277-AT$276,AT$281-AT$280,,AT$299-AT$298,AT$303-AT$302,AT$307-AT$306,AT$311-AT$310,AT$317-AT$316),AU$327/SUM(AU$245-AU$244,AU$277-AU$276,AU$281-AU$280,,AU$299-AU$298,AU$303-AU$302,AU$307-AU$306,AU$311-AU$310,AU$317-AU$316),AV$327/SUM(AV$245-AV$244,AV$277-AV$276,AV$281-AV$280,,AV$299-AV$298,AV$303-AV$302,AV$307-AV$306,AV$311-AV$310,AV$317-AV$316)),AV$327/SUM(AV$245-AV$244,AV$277-AV$276,AV$281-AV$280,,AV$299-AV$298,AV$303-AV$302,AV$307-AV$306,AV$311-AV$310,AV$317-AV$316))*SUM(AW$245-AW$244,AW$277-AW$276,AW$281-AW$280,,AW$299-AW$298,AW$303-AW$302,AW$307-AW$306,AW$311-AW$310,AW$317-AW$316)</f>
        <v>21.472039761303449</v>
      </c>
      <c r="AX327" s="47">
        <f ca="1">IF(AX$6=OFFSET(Assumptions!$B$8,0,$C$1),AVERAGE(AU$327/SUM(AU$245-AU$244,AU$277-AU$276,AU$281-AU$280,,AU$299-AU$298,AU$303-AU$302,AU$307-AU$306,AU$311-AU$310,AU$317-AU$316),AV$327/SUM(AV$245-AV$244,AV$277-AV$276,AV$281-AV$280,,AV$299-AV$298,AV$303-AV$302,AV$307-AV$306,AV$311-AV$310,AV$317-AV$316),AW$327/SUM(AW$245-AW$244,AW$277-AW$276,AW$281-AW$280,,AW$299-AW$298,AW$303-AW$302,AW$307-AW$306,AW$311-AW$310,AW$317-AW$316)),AW$327/SUM(AW$245-AW$244,AW$277-AW$276,AW$281-AW$280,,AW$299-AW$298,AW$303-AW$302,AW$307-AW$306,AW$311-AW$310,AW$317-AW$316))*SUM(AX$245-AX$244,AX$277-AX$276,AX$281-AX$280,,AX$299-AX$298,AX$303-AX$302,AX$307-AX$306,AX$311-AX$310,AX$317-AX$316)</f>
        <v>21.904262525955073</v>
      </c>
    </row>
    <row r="328" spans="1:50" x14ac:dyDescent="0.25">
      <c r="A328" s="9" t="s">
        <v>935</v>
      </c>
      <c r="B328" s="10" t="str">
        <f>$B$38</f>
        <v>From Fiscal Forecasts</v>
      </c>
      <c r="D328" s="42">
        <f>'Fiscal Forecasts'!D$212</f>
        <v>8.64</v>
      </c>
      <c r="E328" s="42">
        <f>'Fiscal Forecasts'!E$212</f>
        <v>8.3070000000000004</v>
      </c>
      <c r="F328" s="42">
        <f>'Fiscal Forecasts'!F$212</f>
        <v>10.321999999999999</v>
      </c>
      <c r="G328" s="42">
        <f>'Fiscal Forecasts'!G$212</f>
        <v>9.5259999999999998</v>
      </c>
      <c r="H328" s="42">
        <f>'Fiscal Forecasts'!H$212</f>
        <v>8.5609999999999999</v>
      </c>
      <c r="I328" s="42">
        <f>'Fiscal Forecasts'!I$212</f>
        <v>12.183</v>
      </c>
      <c r="J328" s="43">
        <f>'Fiscal Forecasts'!J$212</f>
        <v>12.733000000000001</v>
      </c>
      <c r="K328" s="43">
        <f>'Fiscal Forecasts'!K$212</f>
        <v>12.682</v>
      </c>
      <c r="L328" s="43">
        <f>'Fiscal Forecasts'!L$212</f>
        <v>12.77</v>
      </c>
      <c r="M328" s="43">
        <f>'Fiscal Forecasts'!M$212</f>
        <v>13.486000000000001</v>
      </c>
      <c r="N328" s="43">
        <f>'Fiscal Forecasts'!N$212</f>
        <v>13.352</v>
      </c>
      <c r="O328" s="47">
        <f ca="1">IF(O$6=OFFSET(Assumptions!$B$8,0,$C$1),AVERAGE(L$328/(L$295-L$294),M$328/(M$295-M$294),N$328/(N$295-N$294)),N$328/(N$295-N$294))*(O$295-O$294)</f>
        <v>13.826458094046647</v>
      </c>
      <c r="P328" s="47">
        <f ca="1">IF(P$6=OFFSET(Assumptions!$B$8,0,$C$1),AVERAGE(M$328/(M$295-M$294),N$328/(N$295-N$294),O$328/(O$295-O$294)),O$328/(O$295-O$294))*(P$295-P$294)</f>
        <v>14.284423703965995</v>
      </c>
      <c r="Q328" s="47">
        <f ca="1">IF(Q$6=OFFSET(Assumptions!$B$8,0,$C$1),AVERAGE(N$328/(N$295-N$294),O$328/(O$295-O$294),P$328/(P$295-P$294)),P$328/(P$295-P$294))*(Q$295-Q$294)</f>
        <v>14.751942647807743</v>
      </c>
      <c r="R328" s="47">
        <f ca="1">IF(R$6=OFFSET(Assumptions!$B$8,0,$C$1),AVERAGE(O$328/(O$295-O$294),P$328/(P$295-P$294),Q$328/(Q$295-Q$294)),Q$328/(Q$295-Q$294))*(R$295-R$294)</f>
        <v>15.22616037638352</v>
      </c>
      <c r="S328" s="47">
        <f ca="1">IF(S$6=OFFSET(Assumptions!$B$8,0,$C$1),AVERAGE(P$328/(P$295-P$294),Q$328/(Q$295-Q$294),R$328/(R$295-R$294)),R$328/(R$295-R$294))*(S$295-S$294)</f>
        <v>15.712378574927563</v>
      </c>
      <c r="T328" s="47">
        <f ca="1">IF(T$6=OFFSET(Assumptions!$B$8,0,$C$1),AVERAGE(Q$328/(Q$295-Q$294),R$328/(R$295-R$294),S$328/(S$295-S$294)),S$328/(S$295-S$294))*(T$295-T$294)</f>
        <v>16.205620134816549</v>
      </c>
      <c r="U328" s="47">
        <f ca="1">IF(U$6=OFFSET(Assumptions!$B$8,0,$C$1),AVERAGE(R$328/(R$295-R$294),S$328/(S$295-S$294),T$328/(T$295-T$294)),T$328/(T$295-T$294))*(U$295-U$294)</f>
        <v>16.7130131432253</v>
      </c>
      <c r="V328" s="47">
        <f ca="1">IF(V$6=OFFSET(Assumptions!$B$8,0,$C$1),AVERAGE(S$328/(S$295-S$294),T$328/(T$295-T$294),U$328/(U$295-U$294)),U$328/(U$295-U$294))*(V$295-V$294)</f>
        <v>17.230271989863944</v>
      </c>
      <c r="W328" s="47">
        <f ca="1">IF(W$6=OFFSET(Assumptions!$B$8,0,$C$1),AVERAGE(T$328/(T$295-T$294),U$328/(U$295-U$294),V$328/(V$295-V$294)),V$328/(V$295-V$294))*(W$295-W$294)</f>
        <v>17.74448426563908</v>
      </c>
      <c r="X328" s="47">
        <f ca="1">IF(X$6=OFFSET(Assumptions!$B$8,0,$C$1),AVERAGE(U$328/(U$295-U$294),V$328/(V$295-V$294),W$328/(W$295-W$294)),W$328/(W$295-W$294))*(X$295-X$294)</f>
        <v>18.26951579775832</v>
      </c>
      <c r="Y328" s="47">
        <f ca="1">IF(Y$6=OFFSET(Assumptions!$B$8,0,$C$1),AVERAGE(V$328/(V$295-V$294),W$328/(W$295-W$294),X$328/(X$295-X$294)),X$328/(X$295-X$294))*(Y$295-Y$294)</f>
        <v>18.810417928631999</v>
      </c>
      <c r="Z328" s="47">
        <f ca="1">IF(Z$6=OFFSET(Assumptions!$B$8,0,$C$1),AVERAGE(W$328/(W$295-W$294),X$328/(X$295-X$294),Y$328/(Y$295-Y$294)),Y$328/(Y$295-Y$294))*(Z$295-Z$294)</f>
        <v>19.363158824633324</v>
      </c>
      <c r="AA328" s="47">
        <f ca="1">IF(AA$6=OFFSET(Assumptions!$B$8,0,$C$1),AVERAGE(X$328/(X$295-X$294),Y$328/(Y$295-Y$294),Z$328/(Z$295-Z$294)),Z$328/(Z$295-Z$294))*(AA$295-AA$294)</f>
        <v>19.92855228620979</v>
      </c>
      <c r="AB328" s="47">
        <f ca="1">IF(AB$6=OFFSET(Assumptions!$B$8,0,$C$1),AVERAGE(Y$328/(Y$295-Y$294),Z$328/(Z$295-Z$294),AA$328/(AA$295-AA$294)),AA$328/(AA$295-AA$294))*(AB$295-AB$294)</f>
        <v>20.50607150032674</v>
      </c>
      <c r="AC328" s="47">
        <f ca="1">IF(AC$6=OFFSET(Assumptions!$B$8,0,$C$1),AVERAGE(Z$328/(Z$295-Z$294),AA$328/(AA$295-AA$294),AB$328/(AB$295-AB$294)),AB$328/(AB$295-AB$294))*(AC$295-AC$294)</f>
        <v>21.096314757484379</v>
      </c>
      <c r="AD328" s="47">
        <f ca="1">IF(AD$6=OFFSET(Assumptions!$B$8,0,$C$1),AVERAGE(AA$328/(AA$295-AA$294),AB$328/(AB$295-AB$294),AC$328/(AC$295-AC$294)),AC$328/(AC$295-AC$294))*(AD$295-AD$294)</f>
        <v>21.699511905626487</v>
      </c>
      <c r="AE328" s="47">
        <f ca="1">IF(AE$6=OFFSET(Assumptions!$B$8,0,$C$1),AVERAGE(AB$328/(AB$295-AB$294),AC$328/(AC$295-AC$294),AD$328/(AD$295-AD$294)),AD$328/(AD$295-AD$294))*(AE$295-AE$294)</f>
        <v>22.316224128831728</v>
      </c>
      <c r="AF328" s="47">
        <f ca="1">IF(AF$6=OFFSET(Assumptions!$B$8,0,$C$1),AVERAGE(AC$328/(AC$295-AC$294),AD$328/(AD$295-AD$294),AE$328/(AE$295-AE$294)),AE$328/(AE$295-AE$294))*(AF$295-AF$294)</f>
        <v>22.946539886626525</v>
      </c>
      <c r="AG328" s="47">
        <f ca="1">IF(AG$6=OFFSET(Assumptions!$B$8,0,$C$1),AVERAGE(AD$328/(AD$295-AD$294),AE$328/(AE$295-AE$294),AF$328/(AF$295-AF$294)),AF$328/(AF$295-AF$294))*(AG$295-AG$294)</f>
        <v>23.591519883369646</v>
      </c>
      <c r="AH328" s="47">
        <f ca="1">IF(AH$6=OFFSET(Assumptions!$B$8,0,$C$1),AVERAGE(AE$328/(AE$295-AE$294),AF$328/(AF$295-AF$294),AG$328/(AG$295-AG$294)),AG$328/(AG$295-AG$294))*(AH$295-AH$294)</f>
        <v>24.250943701203891</v>
      </c>
      <c r="AI328" s="47">
        <f ca="1">IF(AI$6=OFFSET(Assumptions!$B$8,0,$C$1),AVERAGE(AF$328/(AF$295-AF$294),AG$328/(AG$295-AG$294),AH$328/(AH$295-AH$294)),AH$328/(AH$295-AH$294))*(AI$295-AI$294)</f>
        <v>24.92673058629725</v>
      </c>
      <c r="AJ328" s="47">
        <f ca="1">IF(AJ$6=OFFSET(Assumptions!$B$8,0,$C$1),AVERAGE(AG$328/(AG$295-AG$294),AH$328/(AH$295-AH$294),AI$328/(AI$295-AI$294)),AI$328/(AI$295-AI$294))*(AJ$295-AJ$294)</f>
        <v>25.618761511373691</v>
      </c>
      <c r="AK328" s="47">
        <f ca="1">IF(AK$6=OFFSET(Assumptions!$B$8,0,$C$1),AVERAGE(AH$328/(AH$295-AH$294),AI$328/(AI$295-AI$294),AJ$328/(AJ$295-AJ$294)),AJ$328/(AJ$295-AJ$294))*(AK$295-AK$294)</f>
        <v>26.328549181181128</v>
      </c>
      <c r="AL328" s="47">
        <f ca="1">IF(AL$6=OFFSET(Assumptions!$B$8,0,$C$1),AVERAGE(AI$328/(AI$295-AI$294),AJ$328/(AJ$295-AJ$294),AK$328/(AK$295-AK$294)),AK$328/(AK$295-AK$294))*(AL$295-AL$294)</f>
        <v>27.056622225061428</v>
      </c>
      <c r="AM328" s="47">
        <f ca="1">IF(AM$6=OFFSET(Assumptions!$B$8,0,$C$1),AVERAGE(AJ$328/(AJ$295-AJ$294),AK$328/(AK$295-AK$294),AL$328/(AL$295-AL$294)),AL$328/(AL$295-AL$294))*(AM$295-AM$294)</f>
        <v>27.803575169670111</v>
      </c>
      <c r="AN328" s="47">
        <f ca="1">IF(AN$6=OFFSET(Assumptions!$B$8,0,$C$1),AVERAGE(AK$328/(AK$295-AK$294),AL$328/(AL$295-AL$294),AM$328/(AM$295-AM$294)),AM$328/(AM$295-AM$294))*(AN$295-AN$294)</f>
        <v>28.570613166338067</v>
      </c>
      <c r="AO328" s="47">
        <f ca="1">IF(AO$6=OFFSET(Assumptions!$B$8,0,$C$1),AVERAGE(AL$328/(AL$295-AL$294),AM$328/(AM$295-AM$294),AN$328/(AN$295-AN$294)),AN$328/(AN$295-AN$294))*(AO$295-AO$294)</f>
        <v>29.357561311080953</v>
      </c>
      <c r="AP328" s="47">
        <f ca="1">IF(AP$6=OFFSET(Assumptions!$B$8,0,$C$1),AVERAGE(AM$328/(AM$295-AM$294),AN$328/(AN$295-AN$294),AO$328/(AO$295-AO$294)),AO$328/(AO$295-AO$294))*(AP$295-AP$294)</f>
        <v>30.1661403995884</v>
      </c>
      <c r="AQ328" s="47">
        <f ca="1">IF(AQ$6=OFFSET(Assumptions!$B$8,0,$C$1),AVERAGE(AN$328/(AN$295-AN$294),AO$328/(AO$295-AO$294),AP$328/(AP$295-AP$294)),AP$328/(AP$295-AP$294))*(AQ$295-AQ$294)</f>
        <v>30.995319627111723</v>
      </c>
      <c r="AR328" s="47">
        <f ca="1">IF(AR$6=OFFSET(Assumptions!$B$8,0,$C$1),AVERAGE(AO$328/(AO$295-AO$294),AP$328/(AP$295-AP$294),AQ$328/(AQ$295-AQ$294)),AQ$328/(AQ$295-AQ$294))*(AR$295-AR$294)</f>
        <v>31.8472977830872</v>
      </c>
      <c r="AS328" s="47">
        <f ca="1">IF(AS$6=OFFSET(Assumptions!$B$8,0,$C$1),AVERAGE(AP$328/(AP$295-AP$294),AQ$328/(AQ$295-AQ$294),AR$328/(AR$295-AR$294)),AR$328/(AR$295-AR$294))*(AS$295-AS$294)</f>
        <v>32.72046976187611</v>
      </c>
      <c r="AT328" s="47">
        <f ca="1">IF(AT$6=OFFSET(Assumptions!$B$8,0,$C$1),AVERAGE(AQ$328/(AQ$295-AQ$294),AR$328/(AR$295-AR$294),AS$328/(AS$295-AS$294)),AS$328/(AS$295-AS$294))*(AT$295-AT$294)</f>
        <v>33.615332781617113</v>
      </c>
      <c r="AU328" s="47">
        <f ca="1">IF(AU$6=OFFSET(Assumptions!$B$8,0,$C$1),AVERAGE(AR$328/(AR$295-AR$294),AS$328/(AS$295-AS$294),AT$328/(AT$295-AT$294)),AT$328/(AT$295-AT$294))*(AU$295-AU$294)</f>
        <v>34.533465309207401</v>
      </c>
      <c r="AV328" s="47">
        <f ca="1">IF(AV$6=OFFSET(Assumptions!$B$8,0,$C$1),AVERAGE(AS$328/(AS$295-AS$294),AT$328/(AT$295-AT$294),AU$328/(AU$295-AU$294)),AU$328/(AU$295-AU$294))*(AV$295-AV$294)</f>
        <v>35.473440908629449</v>
      </c>
      <c r="AW328" s="47">
        <f ca="1">IF(AW$6=OFFSET(Assumptions!$B$8,0,$C$1),AVERAGE(AT$328/(AT$295-AT$294),AU$328/(AU$295-AU$294),AV$328/(AV$295-AV$294)),AV$328/(AV$295-AV$294))*(AW$295-AW$294)</f>
        <v>36.436616218671745</v>
      </c>
      <c r="AX328" s="47">
        <f ca="1">IF(AX$6=OFFSET(Assumptions!$B$8,0,$C$1),AVERAGE(AU$328/(AU$295-AU$294),AV$328/(AV$295-AV$294),AW$328/(AW$295-AW$294)),AW$328/(AW$295-AW$294))*(AX$295-AX$294)</f>
        <v>37.422037404530634</v>
      </c>
    </row>
    <row r="329" spans="1:50" x14ac:dyDescent="0.25">
      <c r="A329" s="9" t="s">
        <v>936</v>
      </c>
      <c r="B329" s="10" t="str">
        <f>$B$38</f>
        <v>From Fiscal Forecasts</v>
      </c>
      <c r="D329" s="42">
        <f>'Fiscal Forecasts'!D$213</f>
        <v>-3.629</v>
      </c>
      <c r="E329" s="42">
        <f>'Fiscal Forecasts'!E$213</f>
        <v>-3.7549999999999999</v>
      </c>
      <c r="F329" s="42">
        <f>'Fiscal Forecasts'!F$213</f>
        <v>-4.7350000000000003</v>
      </c>
      <c r="G329" s="42">
        <f>'Fiscal Forecasts'!G$213</f>
        <v>-4.2939999999999996</v>
      </c>
      <c r="H329" s="42">
        <f>'Fiscal Forecasts'!H$213</f>
        <v>-4.1829999999999998</v>
      </c>
      <c r="I329" s="42">
        <f>'Fiscal Forecasts'!I$213</f>
        <v>-4.7560000000000002</v>
      </c>
      <c r="J329" s="43">
        <f>'Fiscal Forecasts'!J$213</f>
        <v>-4.673</v>
      </c>
      <c r="K329" s="43">
        <f>'Fiscal Forecasts'!K$213</f>
        <v>-4.4359999999999999</v>
      </c>
      <c r="L329" s="43">
        <f>'Fiscal Forecasts'!L$213</f>
        <v>-4.37</v>
      </c>
      <c r="M329" s="43">
        <f>'Fiscal Forecasts'!M$213</f>
        <v>-4.0789999999999997</v>
      </c>
      <c r="N329" s="43">
        <f>'Fiscal Forecasts'!N$213</f>
        <v>-4.1230000000000002</v>
      </c>
      <c r="O329" s="47">
        <f t="shared" ref="O329:AX329" ca="1" si="1206">SUM(O$245-O$244,O$277-O$276,O$281-O$280,O$295-O$294,O$299-O$298,O$303-O$302,O$307-O$306,O$311-O$310,O$317-O$316,-O$327,-O$328)</f>
        <v>-4.3122723590846697</v>
      </c>
      <c r="P329" s="47">
        <f t="shared" ca="1" si="1206"/>
        <v>-4.3992942863245137</v>
      </c>
      <c r="Q329" s="47">
        <f t="shared" ca="1" si="1206"/>
        <v>-4.488079716872841</v>
      </c>
      <c r="R329" s="47">
        <f t="shared" ca="1" si="1206"/>
        <v>-4.5786460673982123</v>
      </c>
      <c r="S329" s="47">
        <f t="shared" ca="1" si="1206"/>
        <v>-4.6710592494090566</v>
      </c>
      <c r="T329" s="47">
        <f t="shared" ca="1" si="1206"/>
        <v>-4.7652645726505689</v>
      </c>
      <c r="U329" s="47">
        <f t="shared" ca="1" si="1206"/>
        <v>-4.8615231946817783</v>
      </c>
      <c r="V329" s="47">
        <f t="shared" ca="1" si="1206"/>
        <v>-4.9597248700670633</v>
      </c>
      <c r="W329" s="47">
        <f t="shared" ca="1" si="1206"/>
        <v>-5.0597705665286838</v>
      </c>
      <c r="X329" s="47">
        <f t="shared" ca="1" si="1206"/>
        <v>-5.1618410681612268</v>
      </c>
      <c r="Y329" s="47">
        <f t="shared" ca="1" si="1206"/>
        <v>-5.2661273018698136</v>
      </c>
      <c r="Z329" s="47">
        <f t="shared" ca="1" si="1206"/>
        <v>-5.3725235569699894</v>
      </c>
      <c r="AA329" s="47">
        <f t="shared" ca="1" si="1206"/>
        <v>-5.4810754164104889</v>
      </c>
      <c r="AB329" s="47">
        <f t="shared" ca="1" si="1206"/>
        <v>-5.5918824648571377</v>
      </c>
      <c r="AC329" s="47">
        <f t="shared" ca="1" si="1206"/>
        <v>-5.7048685824762888</v>
      </c>
      <c r="AD329" s="47">
        <f t="shared" ca="1" si="1206"/>
        <v>-5.8203226037086875</v>
      </c>
      <c r="AE329" s="47">
        <f t="shared" ca="1" si="1206"/>
        <v>-5.9380478183520609</v>
      </c>
      <c r="AF329" s="47">
        <f t="shared" ca="1" si="1206"/>
        <v>-6.0582118934862912</v>
      </c>
      <c r="AG329" s="47">
        <f t="shared" ca="1" si="1206"/>
        <v>-6.180867008408196</v>
      </c>
      <c r="AH329" s="47">
        <f t="shared" ca="1" si="1206"/>
        <v>-6.3060587517062672</v>
      </c>
      <c r="AI329" s="47">
        <f t="shared" ca="1" si="1206"/>
        <v>-6.4337851481480577</v>
      </c>
      <c r="AJ329" s="47">
        <f t="shared" ca="1" si="1206"/>
        <v>-6.5641553187960717</v>
      </c>
      <c r="AK329" s="47">
        <f t="shared" ca="1" si="1206"/>
        <v>-6.6972278812745394</v>
      </c>
      <c r="AL329" s="47">
        <f t="shared" ca="1" si="1206"/>
        <v>-6.8330566795615084</v>
      </c>
      <c r="AM329" s="47">
        <f t="shared" ca="1" si="1206"/>
        <v>-6.9716359146849314</v>
      </c>
      <c r="AN329" s="47">
        <f t="shared" ca="1" si="1206"/>
        <v>-7.11302544649838</v>
      </c>
      <c r="AO329" s="47">
        <f t="shared" ca="1" si="1206"/>
        <v>-7.2573391450206159</v>
      </c>
      <c r="AP329" s="47">
        <f t="shared" ca="1" si="1206"/>
        <v>-7.4046420257404009</v>
      </c>
      <c r="AQ329" s="47">
        <f t="shared" ca="1" si="1206"/>
        <v>-7.5549840728307949</v>
      </c>
      <c r="AR329" s="47">
        <f t="shared" ca="1" si="1206"/>
        <v>-7.7083132345918912</v>
      </c>
      <c r="AS329" s="47">
        <f t="shared" ca="1" si="1206"/>
        <v>-7.8648615245555646</v>
      </c>
      <c r="AT329" s="47">
        <f t="shared" ca="1" si="1206"/>
        <v>-8.0245692251627148</v>
      </c>
      <c r="AU329" s="47">
        <f t="shared" ca="1" si="1206"/>
        <v>-8.1875062345405354</v>
      </c>
      <c r="AV329" s="47">
        <f t="shared" ca="1" si="1206"/>
        <v>-8.3537260489810485</v>
      </c>
      <c r="AW329" s="47">
        <f t="shared" ca="1" si="1206"/>
        <v>-8.5232997163195492</v>
      </c>
      <c r="AX329" s="47">
        <f t="shared" ca="1" si="1206"/>
        <v>-8.696347046444675</v>
      </c>
    </row>
    <row r="331" spans="1:50" x14ac:dyDescent="0.25">
      <c r="A331" s="9" t="s">
        <v>937</v>
      </c>
    </row>
    <row r="332" spans="1:50" x14ac:dyDescent="0.25">
      <c r="A332" s="11" t="s">
        <v>938</v>
      </c>
      <c r="D332" s="35">
        <f t="shared" ref="D332:AX332" si="1207">D$379</f>
        <v>1.9550000000000001</v>
      </c>
      <c r="E332" s="35">
        <f t="shared" si="1207"/>
        <v>1.7000000000000001E-2</v>
      </c>
      <c r="F332" s="35">
        <f t="shared" si="1207"/>
        <v>12.786</v>
      </c>
      <c r="G332" s="35">
        <f t="shared" si="1207"/>
        <v>-5.133</v>
      </c>
      <c r="H332" s="35">
        <f t="shared" si="1207"/>
        <v>5.766</v>
      </c>
      <c r="I332" s="35">
        <f t="shared" si="1207"/>
        <v>8.3520000000000003</v>
      </c>
      <c r="J332" s="17">
        <f t="shared" si="1207"/>
        <v>6.6360000000000001</v>
      </c>
      <c r="K332" s="17">
        <f t="shared" si="1207"/>
        <v>4.9329999999999998</v>
      </c>
      <c r="L332" s="17">
        <f t="shared" si="1207"/>
        <v>5.2549999999999999</v>
      </c>
      <c r="M332" s="17">
        <f t="shared" si="1207"/>
        <v>5.57</v>
      </c>
      <c r="N332" s="17">
        <f t="shared" si="1207"/>
        <v>5.9210000000000003</v>
      </c>
      <c r="O332" s="16">
        <f t="shared" si="1207"/>
        <v>6.2747206131775579</v>
      </c>
      <c r="P332" s="16">
        <f t="shared" si="1207"/>
        <v>6.6804286844308516</v>
      </c>
      <c r="Q332" s="16">
        <f t="shared" si="1207"/>
        <v>7.1069153114494039</v>
      </c>
      <c r="R332" s="16">
        <f t="shared" si="1207"/>
        <v>7.5530328816566827</v>
      </c>
      <c r="S332" s="16">
        <f t="shared" si="1207"/>
        <v>8.0179265192596567</v>
      </c>
      <c r="T332" s="16">
        <f t="shared" si="1207"/>
        <v>8.5025942016439426</v>
      </c>
      <c r="U332" s="16">
        <f t="shared" si="1207"/>
        <v>9.0075061144982609</v>
      </c>
      <c r="V332" s="16">
        <f t="shared" si="1207"/>
        <v>9.5332831320141214</v>
      </c>
      <c r="W332" s="16">
        <f t="shared" si="1207"/>
        <v>10.084259047437225</v>
      </c>
      <c r="X332" s="16">
        <f t="shared" si="1207"/>
        <v>10.666034339768158</v>
      </c>
      <c r="Y332" s="16">
        <f t="shared" si="1207"/>
        <v>11.285277600616476</v>
      </c>
      <c r="Z332" s="16">
        <f t="shared" si="1207"/>
        <v>11.949387210402172</v>
      </c>
      <c r="AA332" s="16">
        <f t="shared" si="1207"/>
        <v>12.663911637159977</v>
      </c>
      <c r="AB332" s="16">
        <f t="shared" si="1207"/>
        <v>13.433691643353534</v>
      </c>
      <c r="AC332" s="16">
        <f t="shared" si="1207"/>
        <v>14.262344098143148</v>
      </c>
      <c r="AD332" s="16">
        <f t="shared" si="1207"/>
        <v>15.102495365444604</v>
      </c>
      <c r="AE332" s="16">
        <f t="shared" si="1207"/>
        <v>15.995495595423193</v>
      </c>
      <c r="AF332" s="16">
        <f t="shared" si="1207"/>
        <v>16.941387524111612</v>
      </c>
      <c r="AG332" s="16">
        <f t="shared" si="1207"/>
        <v>17.938966290051287</v>
      </c>
      <c r="AH332" s="16">
        <f t="shared" si="1207"/>
        <v>18.986756767485325</v>
      </c>
      <c r="AI332" s="16">
        <f t="shared" si="1207"/>
        <v>20.083641769570953</v>
      </c>
      <c r="AJ332" s="16">
        <f t="shared" si="1207"/>
        <v>21.227924975857515</v>
      </c>
      <c r="AK332" s="16">
        <f t="shared" si="1207"/>
        <v>22.415172363326747</v>
      </c>
      <c r="AL332" s="16">
        <f t="shared" si="1207"/>
        <v>23.637588013042929</v>
      </c>
      <c r="AM332" s="16">
        <f t="shared" si="1207"/>
        <v>24.888883142198491</v>
      </c>
      <c r="AN332" s="16">
        <f t="shared" si="1207"/>
        <v>26.162129601177217</v>
      </c>
      <c r="AO332" s="16">
        <f t="shared" si="1207"/>
        <v>27.4493323689479</v>
      </c>
      <c r="AP332" s="16">
        <f t="shared" si="1207"/>
        <v>28.747033624506294</v>
      </c>
      <c r="AQ332" s="16">
        <f t="shared" si="1207"/>
        <v>30.055707001733989</v>
      </c>
      <c r="AR332" s="16">
        <f t="shared" si="1207"/>
        <v>31.379118802160004</v>
      </c>
      <c r="AS332" s="16">
        <f t="shared" si="1207"/>
        <v>32.720805920021647</v>
      </c>
      <c r="AT332" s="16">
        <f t="shared" si="1207"/>
        <v>34.083452807201212</v>
      </c>
      <c r="AU332" s="16">
        <f t="shared" si="1207"/>
        <v>35.471746241234619</v>
      </c>
      <c r="AV332" s="16">
        <f t="shared" si="1207"/>
        <v>36.889354068582641</v>
      </c>
      <c r="AW332" s="16">
        <f t="shared" si="1207"/>
        <v>38.340634218204428</v>
      </c>
      <c r="AX332" s="16">
        <f t="shared" si="1207"/>
        <v>39.825590327690833</v>
      </c>
    </row>
    <row r="333" spans="1:50" x14ac:dyDescent="0.25">
      <c r="A333" s="11" t="s">
        <v>939</v>
      </c>
      <c r="B333" s="10" t="str">
        <f>$B$38</f>
        <v>From Fiscal Forecasts</v>
      </c>
      <c r="D333" s="35">
        <f>SUM('Fiscal Forecasts'!D$300,'Fiscal Forecasts'!D$306)-D$332</f>
        <v>1.2330000000000001</v>
      </c>
      <c r="E333" s="35">
        <f>SUM('Fiscal Forecasts'!E$300,'Fiscal Forecasts'!E$306)-E$332</f>
        <v>-3.9489999999999994</v>
      </c>
      <c r="F333" s="35">
        <f>SUM('Fiscal Forecasts'!F$300,'Fiscal Forecasts'!F$306)-F$332</f>
        <v>-5.2540000000000004</v>
      </c>
      <c r="G333" s="35">
        <f>SUM('Fiscal Forecasts'!G$300,'Fiscal Forecasts'!G$306)-G$332</f>
        <v>-6.0860000000000012</v>
      </c>
      <c r="H333" s="35">
        <f>SUM('Fiscal Forecasts'!H$300,'Fiscal Forecasts'!H$306)-H$332</f>
        <v>6.798</v>
      </c>
      <c r="I333" s="35">
        <f>SUM('Fiscal Forecasts'!I$300,'Fiscal Forecasts'!I$306)-I$332</f>
        <v>-0.45800000000000018</v>
      </c>
      <c r="J333" s="17">
        <f>SUM('Fiscal Forecasts'!J$300,'Fiscal Forecasts'!J$306)-J$332</f>
        <v>0.60099999999999998</v>
      </c>
      <c r="K333" s="17">
        <f>SUM('Fiscal Forecasts'!K$300,'Fiscal Forecasts'!K$306)-K$332</f>
        <v>0.22799999999999976</v>
      </c>
      <c r="L333" s="17">
        <f>SUM('Fiscal Forecasts'!L$300,'Fiscal Forecasts'!L$306)-L$332</f>
        <v>0.18200000000000038</v>
      </c>
      <c r="M333" s="17">
        <f>SUM('Fiscal Forecasts'!M$300,'Fiscal Forecasts'!M$306)-M$332</f>
        <v>0.17799999999999994</v>
      </c>
      <c r="N333" s="17">
        <f>SUM('Fiscal Forecasts'!N$300,'Fiscal Forecasts'!N$306)-N$332</f>
        <v>0.16199999999999992</v>
      </c>
      <c r="O333" s="16">
        <f t="shared" ref="O333:AX333" ca="1" si="1208">N$333*(1+O$29)</f>
        <v>0.16523999999999991</v>
      </c>
      <c r="P333" s="16">
        <f t="shared" ca="1" si="1208"/>
        <v>0.16854479999999991</v>
      </c>
      <c r="Q333" s="16">
        <f t="shared" ca="1" si="1208"/>
        <v>0.17191569599999992</v>
      </c>
      <c r="R333" s="16">
        <f t="shared" ca="1" si="1208"/>
        <v>0.17535400991999991</v>
      </c>
      <c r="S333" s="16">
        <f t="shared" ca="1" si="1208"/>
        <v>0.17886109011839993</v>
      </c>
      <c r="T333" s="16">
        <f t="shared" ca="1" si="1208"/>
        <v>0.18243831192076793</v>
      </c>
      <c r="U333" s="16">
        <f t="shared" ca="1" si="1208"/>
        <v>0.18608707815918329</v>
      </c>
      <c r="V333" s="16">
        <f t="shared" ca="1" si="1208"/>
        <v>0.18980881972236696</v>
      </c>
      <c r="W333" s="16">
        <f t="shared" ca="1" si="1208"/>
        <v>0.19360499611681431</v>
      </c>
      <c r="X333" s="16">
        <f t="shared" ca="1" si="1208"/>
        <v>0.19747709603915059</v>
      </c>
      <c r="Y333" s="16">
        <f t="shared" ca="1" si="1208"/>
        <v>0.2014266379599336</v>
      </c>
      <c r="Z333" s="16">
        <f t="shared" ca="1" si="1208"/>
        <v>0.20545517071913227</v>
      </c>
      <c r="AA333" s="16">
        <f t="shared" ca="1" si="1208"/>
        <v>0.20956427413351492</v>
      </c>
      <c r="AB333" s="16">
        <f t="shared" ca="1" si="1208"/>
        <v>0.21375555961618523</v>
      </c>
      <c r="AC333" s="16">
        <f t="shared" ca="1" si="1208"/>
        <v>0.21803067080850894</v>
      </c>
      <c r="AD333" s="16">
        <f t="shared" ca="1" si="1208"/>
        <v>0.22239128422467913</v>
      </c>
      <c r="AE333" s="16">
        <f t="shared" ca="1" si="1208"/>
        <v>0.22683910990917272</v>
      </c>
      <c r="AF333" s="16">
        <f t="shared" ca="1" si="1208"/>
        <v>0.23137589210735618</v>
      </c>
      <c r="AG333" s="16">
        <f t="shared" ca="1" si="1208"/>
        <v>0.23600340994950331</v>
      </c>
      <c r="AH333" s="16">
        <f t="shared" ca="1" si="1208"/>
        <v>0.24072347814849337</v>
      </c>
      <c r="AI333" s="16">
        <f t="shared" ca="1" si="1208"/>
        <v>0.24553794771146326</v>
      </c>
      <c r="AJ333" s="16">
        <f t="shared" ca="1" si="1208"/>
        <v>0.25044870666569252</v>
      </c>
      <c r="AK333" s="16">
        <f t="shared" ca="1" si="1208"/>
        <v>0.25545768079900638</v>
      </c>
      <c r="AL333" s="16">
        <f t="shared" ca="1" si="1208"/>
        <v>0.26056683441498651</v>
      </c>
      <c r="AM333" s="16">
        <f t="shared" ca="1" si="1208"/>
        <v>0.26577817110328628</v>
      </c>
      <c r="AN333" s="16">
        <f t="shared" ca="1" si="1208"/>
        <v>0.27109373452535201</v>
      </c>
      <c r="AO333" s="16">
        <f t="shared" ca="1" si="1208"/>
        <v>0.27651560921585905</v>
      </c>
      <c r="AP333" s="16">
        <f t="shared" ca="1" si="1208"/>
        <v>0.28204592140017626</v>
      </c>
      <c r="AQ333" s="16">
        <f t="shared" ca="1" si="1208"/>
        <v>0.28768683982817977</v>
      </c>
      <c r="AR333" s="16">
        <f t="shared" ca="1" si="1208"/>
        <v>0.29344057662474338</v>
      </c>
      <c r="AS333" s="16">
        <f t="shared" ca="1" si="1208"/>
        <v>0.29930938815723823</v>
      </c>
      <c r="AT333" s="16">
        <f t="shared" ca="1" si="1208"/>
        <v>0.30529557592038298</v>
      </c>
      <c r="AU333" s="16">
        <f t="shared" ca="1" si="1208"/>
        <v>0.31140148743879065</v>
      </c>
      <c r="AV333" s="16">
        <f t="shared" ca="1" si="1208"/>
        <v>0.31762951718756649</v>
      </c>
      <c r="AW333" s="16">
        <f t="shared" ca="1" si="1208"/>
        <v>0.32398210753131784</v>
      </c>
      <c r="AX333" s="16">
        <f t="shared" ca="1" si="1208"/>
        <v>0.33046174968194419</v>
      </c>
    </row>
    <row r="334" spans="1:50" x14ac:dyDescent="0.25">
      <c r="A334" s="9" t="s">
        <v>940</v>
      </c>
      <c r="D334" s="64">
        <f t="shared" ref="D334:AX334" si="1209">SUM(D$332:D$333)</f>
        <v>3.1880000000000002</v>
      </c>
      <c r="E334" s="64">
        <f t="shared" si="1209"/>
        <v>-3.9319999999999995</v>
      </c>
      <c r="F334" s="64">
        <f t="shared" si="1209"/>
        <v>7.5319999999999991</v>
      </c>
      <c r="G334" s="64">
        <f t="shared" si="1209"/>
        <v>-11.219000000000001</v>
      </c>
      <c r="H334" s="64">
        <f t="shared" si="1209"/>
        <v>12.564</v>
      </c>
      <c r="I334" s="64">
        <f t="shared" si="1209"/>
        <v>7.8940000000000001</v>
      </c>
      <c r="J334" s="65">
        <f t="shared" si="1209"/>
        <v>7.2370000000000001</v>
      </c>
      <c r="K334" s="65">
        <f t="shared" si="1209"/>
        <v>5.1609999999999996</v>
      </c>
      <c r="L334" s="65">
        <f t="shared" si="1209"/>
        <v>5.4370000000000003</v>
      </c>
      <c r="M334" s="65">
        <f t="shared" si="1209"/>
        <v>5.7480000000000002</v>
      </c>
      <c r="N334" s="65">
        <f t="shared" si="1209"/>
        <v>6.0830000000000002</v>
      </c>
      <c r="O334" s="66">
        <f t="shared" ca="1" si="1209"/>
        <v>6.4399606131775577</v>
      </c>
      <c r="P334" s="66">
        <f t="shared" ca="1" si="1209"/>
        <v>6.8489734844308519</v>
      </c>
      <c r="Q334" s="66">
        <f t="shared" ca="1" si="1209"/>
        <v>7.278831007449404</v>
      </c>
      <c r="R334" s="66">
        <f t="shared" ca="1" si="1209"/>
        <v>7.7283868915766822</v>
      </c>
      <c r="S334" s="66">
        <f t="shared" ca="1" si="1209"/>
        <v>8.1967876093780561</v>
      </c>
      <c r="T334" s="66">
        <f t="shared" ca="1" si="1209"/>
        <v>8.6850325135647104</v>
      </c>
      <c r="U334" s="66">
        <f t="shared" ca="1" si="1209"/>
        <v>9.1935931926574437</v>
      </c>
      <c r="V334" s="66">
        <f t="shared" ca="1" si="1209"/>
        <v>9.7230919517364889</v>
      </c>
      <c r="W334" s="66">
        <f t="shared" ca="1" si="1209"/>
        <v>10.27786404355404</v>
      </c>
      <c r="X334" s="66">
        <f t="shared" ca="1" si="1209"/>
        <v>10.863511435807309</v>
      </c>
      <c r="Y334" s="66">
        <f t="shared" ca="1" si="1209"/>
        <v>11.48670423857641</v>
      </c>
      <c r="Z334" s="66">
        <f t="shared" ca="1" si="1209"/>
        <v>12.154842381121304</v>
      </c>
      <c r="AA334" s="66">
        <f t="shared" ca="1" si="1209"/>
        <v>12.873475911293491</v>
      </c>
      <c r="AB334" s="66">
        <f t="shared" ca="1" si="1209"/>
        <v>13.647447202969719</v>
      </c>
      <c r="AC334" s="66">
        <f t="shared" ca="1" si="1209"/>
        <v>14.480374768951657</v>
      </c>
      <c r="AD334" s="66">
        <f t="shared" ca="1" si="1209"/>
        <v>15.324886649669283</v>
      </c>
      <c r="AE334" s="66">
        <f t="shared" ca="1" si="1209"/>
        <v>16.222334705332365</v>
      </c>
      <c r="AF334" s="66">
        <f t="shared" ca="1" si="1209"/>
        <v>17.172763416218967</v>
      </c>
      <c r="AG334" s="66">
        <f t="shared" ca="1" si="1209"/>
        <v>18.174969700000791</v>
      </c>
      <c r="AH334" s="66">
        <f t="shared" ca="1" si="1209"/>
        <v>19.227480245633817</v>
      </c>
      <c r="AI334" s="66">
        <f t="shared" ca="1" si="1209"/>
        <v>20.329179717282415</v>
      </c>
      <c r="AJ334" s="66">
        <f t="shared" ca="1" si="1209"/>
        <v>21.478373682523209</v>
      </c>
      <c r="AK334" s="66">
        <f t="shared" ca="1" si="1209"/>
        <v>22.670630044125755</v>
      </c>
      <c r="AL334" s="66">
        <f t="shared" ca="1" si="1209"/>
        <v>23.898154847457917</v>
      </c>
      <c r="AM334" s="66">
        <f t="shared" ca="1" si="1209"/>
        <v>25.154661313301776</v>
      </c>
      <c r="AN334" s="66">
        <f t="shared" ca="1" si="1209"/>
        <v>26.433223335702568</v>
      </c>
      <c r="AO334" s="66">
        <f t="shared" ca="1" si="1209"/>
        <v>27.72584797816376</v>
      </c>
      <c r="AP334" s="66">
        <f t="shared" ca="1" si="1209"/>
        <v>29.02907954590647</v>
      </c>
      <c r="AQ334" s="66">
        <f t="shared" ca="1" si="1209"/>
        <v>30.343393841562168</v>
      </c>
      <c r="AR334" s="66">
        <f t="shared" ca="1" si="1209"/>
        <v>31.672559378784747</v>
      </c>
      <c r="AS334" s="66">
        <f t="shared" ca="1" si="1209"/>
        <v>33.020115308178887</v>
      </c>
      <c r="AT334" s="66">
        <f t="shared" ca="1" si="1209"/>
        <v>34.388748383121595</v>
      </c>
      <c r="AU334" s="66">
        <f t="shared" ca="1" si="1209"/>
        <v>35.783147728673413</v>
      </c>
      <c r="AV334" s="66">
        <f t="shared" ca="1" si="1209"/>
        <v>37.20698358577021</v>
      </c>
      <c r="AW334" s="66">
        <f t="shared" ca="1" si="1209"/>
        <v>38.664616325735743</v>
      </c>
      <c r="AX334" s="66">
        <f t="shared" ca="1" si="1209"/>
        <v>40.156052077372777</v>
      </c>
    </row>
    <row r="335" spans="1:50" x14ac:dyDescent="0.25">
      <c r="A335" s="11" t="s">
        <v>630</v>
      </c>
      <c r="B335" s="10" t="str">
        <f>$B$38</f>
        <v>From Fiscal Forecasts</v>
      </c>
      <c r="D335" s="35">
        <f>SUM('Fiscal Forecasts'!D$301,'Fiscal Forecasts'!D$307)</f>
        <v>-7.8920000000000003</v>
      </c>
      <c r="E335" s="35">
        <f>SUM('Fiscal Forecasts'!E$301,'Fiscal Forecasts'!E$307)</f>
        <v>-4.32</v>
      </c>
      <c r="F335" s="35">
        <f>SUM('Fiscal Forecasts'!F$301,'Fiscal Forecasts'!F$307)</f>
        <v>12.293999999999999</v>
      </c>
      <c r="G335" s="35">
        <f>SUM('Fiscal Forecasts'!G$301,'Fiscal Forecasts'!G$307)</f>
        <v>1.3290000000000006</v>
      </c>
      <c r="H335" s="35">
        <f>SUM('Fiscal Forecasts'!H$301,'Fiscal Forecasts'!H$307)</f>
        <v>3</v>
      </c>
      <c r="I335" s="35">
        <f>SUM('Fiscal Forecasts'!I$301,'Fiscal Forecasts'!I$307)</f>
        <v>-3.415</v>
      </c>
      <c r="J335" s="17">
        <f>SUM('Fiscal Forecasts'!J$301,'Fiscal Forecasts'!J$307)</f>
        <v>2.4390000000000001</v>
      </c>
      <c r="K335" s="17">
        <f>SUM('Fiscal Forecasts'!K$301,'Fiscal Forecasts'!K$307)</f>
        <v>0.495</v>
      </c>
      <c r="L335" s="17">
        <f>SUM('Fiscal Forecasts'!L$301,'Fiscal Forecasts'!L$307)</f>
        <v>0.55799999999999994</v>
      </c>
      <c r="M335" s="17">
        <f>SUM('Fiscal Forecasts'!M$301,'Fiscal Forecasts'!M$307)</f>
        <v>0.71799999999999997</v>
      </c>
      <c r="N335" s="17">
        <f>SUM('Fiscal Forecasts'!N$301,'Fiscal Forecasts'!N$307)</f>
        <v>0.84599999999999997</v>
      </c>
      <c r="O335" s="16">
        <f>N$335*Exogenous!Z$30/Exogenous!Y$30</f>
        <v>0.87030895247456774</v>
      </c>
      <c r="P335" s="16">
        <f>O$335*Exogenous!AA$30/Exogenous!Z$30</f>
        <v>0.90021458989623016</v>
      </c>
      <c r="Q335" s="16">
        <f>P$335*Exogenous!AB$30/Exogenous!AA$30</f>
        <v>0.93718600357118453</v>
      </c>
      <c r="R335" s="16">
        <f>Q$335*Exogenous!AC$30/Exogenous!AB$30</f>
        <v>0.98201162734610326</v>
      </c>
      <c r="S335" s="16">
        <f>R$335*Exogenous!AD$30/Exogenous!AC$30</f>
        <v>1.0357638501687936</v>
      </c>
      <c r="T335" s="16">
        <f>S$335*Exogenous!AE$30/Exogenous!AD$30</f>
        <v>1.0999479685204643</v>
      </c>
      <c r="U335" s="16">
        <f>T$335*Exogenous!AF$30/Exogenous!AE$30</f>
        <v>1.1760406188486949</v>
      </c>
      <c r="V335" s="16">
        <f>U$335*Exogenous!AG$30/Exogenous!AF$30</f>
        <v>1.2601233386649373</v>
      </c>
      <c r="W335" s="16">
        <f>V$335*Exogenous!AH$30/Exogenous!AG$30</f>
        <v>1.3477984052712371</v>
      </c>
      <c r="X335" s="16">
        <f>W$335*Exogenous!AI$30/Exogenous!AH$30</f>
        <v>1.4380528436061066</v>
      </c>
      <c r="Y335" s="16">
        <f>X$335*Exogenous!AJ$30/Exogenous!AI$30</f>
        <v>1.5314359823019115</v>
      </c>
      <c r="Z335" s="16">
        <f>Y$335*Exogenous!AK$30/Exogenous!AJ$30</f>
        <v>1.6284955339969296</v>
      </c>
      <c r="AA335" s="16">
        <f>Z$335*Exogenous!AL$30/Exogenous!AK$30</f>
        <v>1.7296578625851975</v>
      </c>
      <c r="AB335" s="16">
        <f>AA$335*Exogenous!AM$30/Exogenous!AL$30</f>
        <v>1.8354061247004034</v>
      </c>
      <c r="AC335" s="16">
        <f>AB$335*Exogenous!AN$30/Exogenous!AM$30</f>
        <v>1.9463352350571412</v>
      </c>
      <c r="AD335" s="16">
        <f>AC$335*Exogenous!AO$30/Exogenous!AN$30</f>
        <v>2.0635696217514905</v>
      </c>
      <c r="AE335" s="16">
        <f>AD$335*Exogenous!AP$30/Exogenous!AO$30</f>
        <v>2.1868080792571352</v>
      </c>
      <c r="AF335" s="16">
        <f>AE$335*Exogenous!AQ$30/Exogenous!AP$30</f>
        <v>2.3173353079654651</v>
      </c>
      <c r="AG335" s="16">
        <f>AF$335*Exogenous!AR$30/Exogenous!AQ$30</f>
        <v>2.4545751782133682</v>
      </c>
      <c r="AH335" s="16">
        <f>AG$335*Exogenous!AS$30/Exogenous!AR$30</f>
        <v>2.5978714957576448</v>
      </c>
      <c r="AI335" s="16">
        <f>AH$335*Exogenous!AT$30/Exogenous!AS$30</f>
        <v>2.7484338952717295</v>
      </c>
      <c r="AJ335" s="16">
        <f>AI$335*Exogenous!AU$30/Exogenous!AT$30</f>
        <v>2.9066813947366579</v>
      </c>
      <c r="AK335" s="16">
        <f>AJ$335*Exogenous!AV$30/Exogenous!AU$30</f>
        <v>3.0718879282106863</v>
      </c>
      <c r="AL335" s="16">
        <f>AK$335*Exogenous!AW$30/Exogenous!AV$30</f>
        <v>3.2466501352066759</v>
      </c>
      <c r="AM335" s="16">
        <f>AL$335*Exogenous!AX$30/Exogenous!AW$30</f>
        <v>3.4307863653481401</v>
      </c>
      <c r="AN335" s="16">
        <f>AM$335*Exogenous!AY$30/Exogenous!AX$30</f>
        <v>3.6254542404744505</v>
      </c>
      <c r="AO335" s="16">
        <f>AN$335*Exogenous!AZ$30/Exogenous!AY$30</f>
        <v>3.8319974526889906</v>
      </c>
      <c r="AP335" s="16">
        <f>AO$335*Exogenous!BA$30/Exogenous!AZ$30</f>
        <v>4.0508121941053856</v>
      </c>
      <c r="AQ335" s="16">
        <f>AP$335*Exogenous!BB$30/Exogenous!BA$30</f>
        <v>4.2834880049687287</v>
      </c>
      <c r="AR335" s="16">
        <f>AQ$335*Exogenous!BC$30/Exogenous!BB$30</f>
        <v>4.5295285511905004</v>
      </c>
      <c r="AS335" s="16">
        <f>AR$335*Exogenous!BD$30/Exogenous!BC$30</f>
        <v>4.7897014937945865</v>
      </c>
      <c r="AT335" s="16">
        <f>AS$335*Exogenous!BE$30/Exogenous!BD$30</f>
        <v>5.0648185877155862</v>
      </c>
      <c r="AU335" s="16">
        <f>AT$335*Exogenous!BF$30/Exogenous!BE$30</f>
        <v>5.3557382145221109</v>
      </c>
      <c r="AV335" s="16">
        <f>AU$335*Exogenous!BG$30/Exogenous!BF$30</f>
        <v>5.6633680606179349</v>
      </c>
      <c r="AW335" s="16">
        <f>AV$335*Exogenous!BH$30/Exogenous!BG$30</f>
        <v>5.9886679492771417</v>
      </c>
      <c r="AX335" s="16">
        <f>AW$335*Exogenous!BI$30/Exogenous!BH$30</f>
        <v>6.3326528353493794</v>
      </c>
    </row>
    <row r="336" spans="1:50" x14ac:dyDescent="0.25">
      <c r="A336" s="11" t="s">
        <v>825</v>
      </c>
      <c r="B336" s="10" t="str">
        <f>$B$38</f>
        <v>From Fiscal Forecasts</v>
      </c>
      <c r="D336" s="35">
        <f>SUM('Fiscal Forecasts'!D$302,'Fiscal Forecasts'!D$308)</f>
        <v>0.254</v>
      </c>
      <c r="E336" s="35">
        <f>SUM('Fiscal Forecasts'!E$302,'Fiscal Forecasts'!E$308)</f>
        <v>-6.9000000000000006E-2</v>
      </c>
      <c r="F336" s="35">
        <f>SUM('Fiscal Forecasts'!F$302,'Fiscal Forecasts'!F$308)</f>
        <v>0.23199999999999998</v>
      </c>
      <c r="G336" s="35">
        <f>SUM('Fiscal Forecasts'!G$302,'Fiscal Forecasts'!G$308)</f>
        <v>0.85899999999999999</v>
      </c>
      <c r="H336" s="35">
        <f>SUM('Fiscal Forecasts'!H$302,'Fiscal Forecasts'!H$308)</f>
        <v>-0.13799999999999998</v>
      </c>
      <c r="I336" s="35">
        <f>SUM('Fiscal Forecasts'!I$302,'Fiscal Forecasts'!I$308)</f>
        <v>0.46499999999999997</v>
      </c>
      <c r="J336" s="17">
        <f>SUM('Fiscal Forecasts'!J$302,'Fiscal Forecasts'!J$308)</f>
        <v>7.5999999999999998E-2</v>
      </c>
      <c r="K336" s="17">
        <f>SUM('Fiscal Forecasts'!K$302,'Fiscal Forecasts'!K$308)</f>
        <v>0.1</v>
      </c>
      <c r="L336" s="17">
        <f>SUM('Fiscal Forecasts'!L$302,'Fiscal Forecasts'!L$308)</f>
        <v>6.4000000000000001E-2</v>
      </c>
      <c r="M336" s="17">
        <f>SUM('Fiscal Forecasts'!M$302,'Fiscal Forecasts'!M$308)</f>
        <v>5.7000000000000002E-2</v>
      </c>
      <c r="N336" s="17">
        <f>SUM('Fiscal Forecasts'!N$302,'Fiscal Forecasts'!N$308)</f>
        <v>3.7999999999999999E-2</v>
      </c>
      <c r="O336" s="16">
        <f t="shared" ref="O336:AX336" ca="1" si="1210">N$336*(1+O$14)</f>
        <v>3.9704783601083864E-2</v>
      </c>
      <c r="P336" s="16">
        <f t="shared" ca="1" si="1210"/>
        <v>4.1459549693351097E-2</v>
      </c>
      <c r="Q336" s="16">
        <f t="shared" ca="1" si="1210"/>
        <v>4.3220159327312553E-2</v>
      </c>
      <c r="R336" s="16">
        <f t="shared" ca="1" si="1210"/>
        <v>4.4980655273830349E-2</v>
      </c>
      <c r="S336" s="16">
        <f t="shared" ca="1" si="1210"/>
        <v>4.6797445383216819E-2</v>
      </c>
      <c r="T336" s="16">
        <f t="shared" ca="1" si="1210"/>
        <v>4.8669644275578926E-2</v>
      </c>
      <c r="U336" s="16">
        <f t="shared" ca="1" si="1210"/>
        <v>5.0604790373183092E-2</v>
      </c>
      <c r="V336" s="16">
        <f t="shared" ca="1" si="1210"/>
        <v>5.26034238090336E-2</v>
      </c>
      <c r="W336" s="16">
        <f t="shared" ca="1" si="1210"/>
        <v>5.4655127168149825E-2</v>
      </c>
      <c r="X336" s="16">
        <f t="shared" ca="1" si="1210"/>
        <v>5.6763224256735287E-2</v>
      </c>
      <c r="Y336" s="16">
        <f t="shared" ca="1" si="1210"/>
        <v>5.8938756593006944E-2</v>
      </c>
      <c r="Z336" s="16">
        <f t="shared" ca="1" si="1210"/>
        <v>6.118209917533448E-2</v>
      </c>
      <c r="AA336" s="16">
        <f t="shared" ca="1" si="1210"/>
        <v>6.3502427328934269E-2</v>
      </c>
      <c r="AB336" s="16">
        <f t="shared" ca="1" si="1210"/>
        <v>6.5897278759919825E-2</v>
      </c>
      <c r="AC336" s="16">
        <f t="shared" ca="1" si="1210"/>
        <v>6.836659187847563E-2</v>
      </c>
      <c r="AD336" s="16">
        <f t="shared" ca="1" si="1210"/>
        <v>7.0912136385822722E-2</v>
      </c>
      <c r="AE336" s="16">
        <f t="shared" ca="1" si="1210"/>
        <v>7.3533217864030484E-2</v>
      </c>
      <c r="AF336" s="16">
        <f t="shared" ca="1" si="1210"/>
        <v>7.6230451029682456E-2</v>
      </c>
      <c r="AG336" s="16">
        <f t="shared" ca="1" si="1210"/>
        <v>7.9004126507712158E-2</v>
      </c>
      <c r="AH336" s="16">
        <f t="shared" ca="1" si="1210"/>
        <v>8.1852936445816454E-2</v>
      </c>
      <c r="AI336" s="16">
        <f t="shared" ca="1" si="1210"/>
        <v>8.4779581831531031E-2</v>
      </c>
      <c r="AJ336" s="16">
        <f t="shared" ca="1" si="1210"/>
        <v>8.778751571391645E-2</v>
      </c>
      <c r="AK336" s="16">
        <f t="shared" ca="1" si="1210"/>
        <v>9.0872745123078122E-2</v>
      </c>
      <c r="AL336" s="16">
        <f t="shared" ca="1" si="1210"/>
        <v>9.4039502317967719E-2</v>
      </c>
      <c r="AM336" s="16">
        <f t="shared" ca="1" si="1210"/>
        <v>9.7292368628286621E-2</v>
      </c>
      <c r="AN336" s="16">
        <f t="shared" ca="1" si="1210"/>
        <v>0.10063504288019899</v>
      </c>
      <c r="AO336" s="16">
        <f t="shared" ca="1" si="1210"/>
        <v>0.10406891470846351</v>
      </c>
      <c r="AP336" s="16">
        <f t="shared" ca="1" si="1210"/>
        <v>0.10760454839692571</v>
      </c>
      <c r="AQ336" s="16">
        <f t="shared" ca="1" si="1210"/>
        <v>0.11124539843046635</v>
      </c>
      <c r="AR336" s="16">
        <f t="shared" ca="1" si="1210"/>
        <v>0.11500096633851115</v>
      </c>
      <c r="AS336" s="16">
        <f t="shared" ca="1" si="1210"/>
        <v>0.11887406065680618</v>
      </c>
      <c r="AT336" s="16">
        <f t="shared" ca="1" si="1210"/>
        <v>0.12287673358151005</v>
      </c>
      <c r="AU336" s="16">
        <f t="shared" ca="1" si="1210"/>
        <v>0.12700725461999593</v>
      </c>
      <c r="AV336" s="16">
        <f t="shared" ca="1" si="1210"/>
        <v>0.13127733413192194</v>
      </c>
      <c r="AW336" s="16">
        <f t="shared" ca="1" si="1210"/>
        <v>0.13569073559657757</v>
      </c>
      <c r="AX336" s="16">
        <f t="shared" ca="1" si="1210"/>
        <v>0.14024562523425943</v>
      </c>
    </row>
    <row r="337" spans="1:50" x14ac:dyDescent="0.25">
      <c r="A337" s="11" t="s">
        <v>787</v>
      </c>
      <c r="B337" s="10" t="str">
        <f>$B$38</f>
        <v>From Fiscal Forecasts</v>
      </c>
      <c r="D337" s="35">
        <f>SUM('Fiscal Forecasts'!D$24,'Fiscal Forecasts'!D$25)-SUM(D$334:D$336)</f>
        <v>-2.6809999999999983</v>
      </c>
      <c r="E337" s="35">
        <f>SUM('Fiscal Forecasts'!E$24,'Fiscal Forecasts'!E$25)-SUM(E$334:E$336)</f>
        <v>-0.4009999999999998</v>
      </c>
      <c r="F337" s="35">
        <f>SUM('Fiscal Forecasts'!F$24,'Fiscal Forecasts'!F$25)-SUM(F$334:F$336)</f>
        <v>0.96500000000000341</v>
      </c>
      <c r="G337" s="35">
        <f>SUM('Fiscal Forecasts'!G$24,'Fiscal Forecasts'!G$25)-SUM(G$334:G$336)</f>
        <v>2.3090000000000011</v>
      </c>
      <c r="H337" s="35">
        <f>SUM('Fiscal Forecasts'!H$24,'Fiscal Forecasts'!H$25)-SUM(H$334:H$336)</f>
        <v>-0.76799999999999891</v>
      </c>
      <c r="I337" s="35">
        <f>SUM('Fiscal Forecasts'!I$24,'Fiscal Forecasts'!I$25)-SUM(I$334:I$336)</f>
        <v>-0.27700000000000014</v>
      </c>
      <c r="J337" s="17">
        <f>SUM('Fiscal Forecasts'!J$24,'Fiscal Forecasts'!J$25)-SUM(J$334:J$336)</f>
        <v>-0.67099999999999937</v>
      </c>
      <c r="K337" s="17">
        <f>SUM('Fiscal Forecasts'!K$24,'Fiscal Forecasts'!K$25)-SUM(K$334:K$336)</f>
        <v>-6.3999999999999169E-2</v>
      </c>
      <c r="L337" s="17">
        <f>SUM('Fiscal Forecasts'!L$24,'Fiscal Forecasts'!L$25)-SUM(L$334:L$336)</f>
        <v>-4.1999999999999815E-2</v>
      </c>
      <c r="M337" s="17">
        <f>SUM('Fiscal Forecasts'!M$24,'Fiscal Forecasts'!M$25)-SUM(M$334:M$336)</f>
        <v>-4.9000000000000377E-2</v>
      </c>
      <c r="N337" s="17">
        <f>SUM('Fiscal Forecasts'!N$24,'Fiscal Forecasts'!N$25)-SUM(N$334:N$336)</f>
        <v>-5.3000000000000824E-2</v>
      </c>
      <c r="O337" s="16">
        <f t="shared" ref="O337:AX337" ca="1" si="1211">N$337*(1+O$14)</f>
        <v>-5.5377724496249406E-2</v>
      </c>
      <c r="P337" s="16">
        <f t="shared" ca="1" si="1211"/>
        <v>-5.7825161414411644E-2</v>
      </c>
      <c r="Q337" s="16">
        <f t="shared" ca="1" si="1211"/>
        <v>-6.028074853546319E-2</v>
      </c>
      <c r="R337" s="16">
        <f t="shared" ca="1" si="1211"/>
        <v>-6.2736177092448581E-2</v>
      </c>
      <c r="S337" s="16">
        <f t="shared" ca="1" si="1211"/>
        <v>-6.5270121192382388E-2</v>
      </c>
      <c r="T337" s="16">
        <f t="shared" ca="1" si="1211"/>
        <v>-6.7881345963308526E-2</v>
      </c>
      <c r="U337" s="16">
        <f t="shared" ca="1" si="1211"/>
        <v>-7.0580365520493335E-2</v>
      </c>
      <c r="V337" s="16">
        <f t="shared" ca="1" si="1211"/>
        <v>-7.3367933207337518E-2</v>
      </c>
      <c r="W337" s="16">
        <f t="shared" ca="1" si="1211"/>
        <v>-7.6229519471368093E-2</v>
      </c>
      <c r="X337" s="16">
        <f t="shared" ca="1" si="1211"/>
        <v>-7.9169760147553128E-2</v>
      </c>
      <c r="Y337" s="16">
        <f t="shared" ca="1" si="1211"/>
        <v>-8.2204055248142588E-2</v>
      </c>
      <c r="Z337" s="16">
        <f t="shared" ca="1" si="1211"/>
        <v>-8.5332927797178409E-2</v>
      </c>
      <c r="AA337" s="16">
        <f t="shared" ca="1" si="1211"/>
        <v>-8.8569174958778168E-2</v>
      </c>
      <c r="AB337" s="16">
        <f t="shared" ca="1" si="1211"/>
        <v>-9.1909362480942294E-2</v>
      </c>
      <c r="AC337" s="16">
        <f t="shared" ca="1" si="1211"/>
        <v>-9.5353404462085969E-2</v>
      </c>
      <c r="AD337" s="16">
        <f t="shared" ca="1" si="1211"/>
        <v>-9.8903769169701714E-2</v>
      </c>
      <c r="AE337" s="16">
        <f t="shared" ca="1" si="1211"/>
        <v>-0.10255948807351786</v>
      </c>
      <c r="AF337" s="16">
        <f t="shared" ca="1" si="1211"/>
        <v>-0.10632141854140094</v>
      </c>
      <c r="AG337" s="16">
        <f t="shared" ca="1" si="1211"/>
        <v>-0.11018996591865295</v>
      </c>
      <c r="AH337" s="16">
        <f t="shared" ca="1" si="1211"/>
        <v>-0.11416330609548268</v>
      </c>
      <c r="AI337" s="16">
        <f t="shared" ca="1" si="1211"/>
        <v>-0.11824520623871625</v>
      </c>
      <c r="AJ337" s="16">
        <f t="shared" ca="1" si="1211"/>
        <v>-0.12244048244309597</v>
      </c>
      <c r="AK337" s="16">
        <f t="shared" ca="1" si="1211"/>
        <v>-0.12674356556640048</v>
      </c>
      <c r="AL337" s="16">
        <f t="shared" ca="1" si="1211"/>
        <v>-0.13116035849611499</v>
      </c>
      <c r="AM337" s="16">
        <f t="shared" ca="1" si="1211"/>
        <v>-0.13569725098155985</v>
      </c>
      <c r="AN337" s="16">
        <f t="shared" ca="1" si="1211"/>
        <v>-0.14035940191185878</v>
      </c>
      <c r="AO337" s="16">
        <f t="shared" ca="1" si="1211"/>
        <v>-0.14514874946180673</v>
      </c>
      <c r="AP337" s="16">
        <f t="shared" ca="1" si="1211"/>
        <v>-0.15008002802729356</v>
      </c>
      <c r="AQ337" s="16">
        <f t="shared" ca="1" si="1211"/>
        <v>-0.15515805570565297</v>
      </c>
      <c r="AR337" s="16">
        <f t="shared" ca="1" si="1211"/>
        <v>-0.16039608463003133</v>
      </c>
      <c r="AS337" s="16">
        <f t="shared" ca="1" si="1211"/>
        <v>-0.16579803196870607</v>
      </c>
      <c r="AT337" s="16">
        <f t="shared" ca="1" si="1211"/>
        <v>-0.17138070736368785</v>
      </c>
      <c r="AU337" s="16">
        <f t="shared" ca="1" si="1211"/>
        <v>-0.17714169723315507</v>
      </c>
      <c r="AV337" s="16">
        <f t="shared" ca="1" si="1211"/>
        <v>-0.18309733444715723</v>
      </c>
      <c r="AW337" s="16">
        <f t="shared" ca="1" si="1211"/>
        <v>-0.18925286806891389</v>
      </c>
      <c r="AX337" s="16">
        <f t="shared" ca="1" si="1211"/>
        <v>-0.19560574045831239</v>
      </c>
    </row>
    <row r="338" spans="1:50" x14ac:dyDescent="0.25">
      <c r="A338" s="9" t="s">
        <v>941</v>
      </c>
      <c r="D338" s="64">
        <f t="shared" ref="D338:AX338" si="1212">SUM(D$334:D$337)</f>
        <v>-7.1309999999999993</v>
      </c>
      <c r="E338" s="64">
        <f t="shared" si="1212"/>
        <v>-8.7219999999999995</v>
      </c>
      <c r="F338" s="64">
        <f t="shared" si="1212"/>
        <v>21.023</v>
      </c>
      <c r="G338" s="64">
        <f t="shared" si="1212"/>
        <v>-6.7219999999999995</v>
      </c>
      <c r="H338" s="64">
        <f t="shared" si="1212"/>
        <v>14.658000000000001</v>
      </c>
      <c r="I338" s="64">
        <f t="shared" si="1212"/>
        <v>4.6669999999999998</v>
      </c>
      <c r="J338" s="65">
        <f t="shared" si="1212"/>
        <v>9.0810000000000013</v>
      </c>
      <c r="K338" s="65">
        <f t="shared" si="1212"/>
        <v>5.6920000000000002</v>
      </c>
      <c r="L338" s="65">
        <f t="shared" si="1212"/>
        <v>6.0170000000000003</v>
      </c>
      <c r="M338" s="65">
        <f t="shared" si="1212"/>
        <v>6.4740000000000002</v>
      </c>
      <c r="N338" s="65">
        <f t="shared" si="1212"/>
        <v>6.9139999999999997</v>
      </c>
      <c r="O338" s="66">
        <f t="shared" ca="1" si="1212"/>
        <v>7.2945966247569602</v>
      </c>
      <c r="P338" s="66">
        <f t="shared" ca="1" si="1212"/>
        <v>7.7328224626060207</v>
      </c>
      <c r="Q338" s="66">
        <f t="shared" ca="1" si="1212"/>
        <v>8.1989564218124364</v>
      </c>
      <c r="R338" s="66">
        <f t="shared" ca="1" si="1212"/>
        <v>8.6926429971041674</v>
      </c>
      <c r="S338" s="66">
        <f t="shared" ca="1" si="1212"/>
        <v>9.2140787837376834</v>
      </c>
      <c r="T338" s="66">
        <f t="shared" ca="1" si="1212"/>
        <v>9.765768780397444</v>
      </c>
      <c r="U338" s="66">
        <f t="shared" ca="1" si="1212"/>
        <v>10.349658236358829</v>
      </c>
      <c r="V338" s="66">
        <f t="shared" ca="1" si="1212"/>
        <v>10.962450781003122</v>
      </c>
      <c r="W338" s="66">
        <f t="shared" ca="1" si="1212"/>
        <v>11.604088056522059</v>
      </c>
      <c r="X338" s="66">
        <f t="shared" ca="1" si="1212"/>
        <v>12.2791577435226</v>
      </c>
      <c r="Y338" s="66">
        <f t="shared" ca="1" si="1212"/>
        <v>12.994874922223184</v>
      </c>
      <c r="Z338" s="66">
        <f t="shared" ca="1" si="1212"/>
        <v>13.759187086496389</v>
      </c>
      <c r="AA338" s="66">
        <f t="shared" ca="1" si="1212"/>
        <v>14.578067026248846</v>
      </c>
      <c r="AB338" s="66">
        <f t="shared" ca="1" si="1212"/>
        <v>15.4568412439491</v>
      </c>
      <c r="AC338" s="66">
        <f t="shared" ca="1" si="1212"/>
        <v>16.399723191425188</v>
      </c>
      <c r="AD338" s="66">
        <f t="shared" ca="1" si="1212"/>
        <v>17.360464638636891</v>
      </c>
      <c r="AE338" s="66">
        <f t="shared" ca="1" si="1212"/>
        <v>18.380116514380013</v>
      </c>
      <c r="AF338" s="66">
        <f t="shared" ca="1" si="1212"/>
        <v>19.460007756672713</v>
      </c>
      <c r="AG338" s="66">
        <f t="shared" ca="1" si="1212"/>
        <v>20.598359038803217</v>
      </c>
      <c r="AH338" s="66">
        <f t="shared" ca="1" si="1212"/>
        <v>21.793041371741797</v>
      </c>
      <c r="AI338" s="66">
        <f t="shared" ca="1" si="1212"/>
        <v>23.04414798814696</v>
      </c>
      <c r="AJ338" s="66">
        <f t="shared" ca="1" si="1212"/>
        <v>24.350402110530688</v>
      </c>
      <c r="AK338" s="66">
        <f t="shared" ca="1" si="1212"/>
        <v>25.706647151893119</v>
      </c>
      <c r="AL338" s="66">
        <f t="shared" ca="1" si="1212"/>
        <v>27.107684126486447</v>
      </c>
      <c r="AM338" s="66">
        <f t="shared" ca="1" si="1212"/>
        <v>28.547042796296644</v>
      </c>
      <c r="AN338" s="66">
        <f t="shared" ca="1" si="1212"/>
        <v>30.018953217145359</v>
      </c>
      <c r="AO338" s="66">
        <f t="shared" ca="1" si="1212"/>
        <v>31.516765596099408</v>
      </c>
      <c r="AP338" s="66">
        <f t="shared" ca="1" si="1212"/>
        <v>33.037416260381484</v>
      </c>
      <c r="AQ338" s="66">
        <f t="shared" ca="1" si="1212"/>
        <v>34.582969189255714</v>
      </c>
      <c r="AR338" s="66">
        <f t="shared" ca="1" si="1212"/>
        <v>36.156692811683733</v>
      </c>
      <c r="AS338" s="66">
        <f t="shared" ca="1" si="1212"/>
        <v>37.762892830661578</v>
      </c>
      <c r="AT338" s="66">
        <f t="shared" ca="1" si="1212"/>
        <v>39.405062997055005</v>
      </c>
      <c r="AU338" s="66">
        <f t="shared" ca="1" si="1212"/>
        <v>41.088751500582369</v>
      </c>
      <c r="AV338" s="66">
        <f t="shared" ca="1" si="1212"/>
        <v>42.818531646072913</v>
      </c>
      <c r="AW338" s="66">
        <f t="shared" ca="1" si="1212"/>
        <v>44.59972214254055</v>
      </c>
      <c r="AX338" s="66">
        <f t="shared" ca="1" si="1212"/>
        <v>46.433344797498101</v>
      </c>
    </row>
    <row r="340" spans="1:50" x14ac:dyDescent="0.25">
      <c r="A340" s="9" t="s">
        <v>469</v>
      </c>
    </row>
    <row r="341" spans="1:50" x14ac:dyDescent="0.25">
      <c r="A341" s="9" t="s">
        <v>942</v>
      </c>
      <c r="B341" s="10" t="str">
        <f>$B$38</f>
        <v>From Fiscal Forecasts</v>
      </c>
      <c r="D341" s="42">
        <f>'Fiscal Forecasts'!D$177-SUM('Fiscal Forecasts'!D$300,'Fiscal Forecasts'!D$306)</f>
        <v>4.0000000000000036E-3</v>
      </c>
      <c r="E341" s="42">
        <f>'Fiscal Forecasts'!E$177-SUM('Fiscal Forecasts'!E$300,'Fiscal Forecasts'!E$306)</f>
        <v>-4.2000000000000703E-2</v>
      </c>
      <c r="F341" s="42">
        <f>'Fiscal Forecasts'!F$177-SUM('Fiscal Forecasts'!F$300,'Fiscal Forecasts'!F$306)</f>
        <v>-3.199999999999914E-2</v>
      </c>
      <c r="G341" s="42">
        <f>'Fiscal Forecasts'!G$177-SUM('Fiscal Forecasts'!G$300,'Fiscal Forecasts'!G$306)</f>
        <v>-0.18699999999999939</v>
      </c>
      <c r="H341" s="42">
        <f>'Fiscal Forecasts'!H$177-SUM('Fiscal Forecasts'!H$300,'Fiscal Forecasts'!H$306)</f>
        <v>-9.5000000000000639E-2</v>
      </c>
      <c r="I341" s="42">
        <f>'Fiscal Forecasts'!I$177-SUM('Fiscal Forecasts'!I$300,'Fiscal Forecasts'!I$306)</f>
        <v>-9.9999999999997868E-3</v>
      </c>
      <c r="J341" s="43">
        <f>'Fiscal Forecasts'!J$177-SUM('Fiscal Forecasts'!J$300,'Fiscal Forecasts'!J$306)</f>
        <v>9.0000000000003411E-3</v>
      </c>
      <c r="K341" s="43">
        <f>'Fiscal Forecasts'!K$177-SUM('Fiscal Forecasts'!K$300,'Fiscal Forecasts'!K$306)</f>
        <v>1.4000000000000234E-2</v>
      </c>
      <c r="L341" s="43">
        <f>'Fiscal Forecasts'!L$177-SUM('Fiscal Forecasts'!L$300,'Fiscal Forecasts'!L$306)</f>
        <v>1.2999999999999901E-2</v>
      </c>
      <c r="M341" s="43">
        <f>'Fiscal Forecasts'!M$177-SUM('Fiscal Forecasts'!M$300,'Fiscal Forecasts'!M$306)</f>
        <v>9.9999999999997868E-3</v>
      </c>
      <c r="N341" s="43">
        <f>'Fiscal Forecasts'!N$177-SUM('Fiscal Forecasts'!N$300,'Fiscal Forecasts'!N$306)</f>
        <v>1.4000000000000234E-2</v>
      </c>
      <c r="O341" s="47">
        <f t="shared" ref="O341:AX341" ca="1" si="1213">N$341*(1+O$14)</f>
        <v>1.4628078168820616E-2</v>
      </c>
      <c r="P341" s="47">
        <f t="shared" ca="1" si="1213"/>
        <v>1.5274570939655925E-2</v>
      </c>
      <c r="Q341" s="47">
        <f t="shared" ca="1" si="1213"/>
        <v>1.5923216594273315E-2</v>
      </c>
      <c r="R341" s="47">
        <f t="shared" ca="1" si="1213"/>
        <v>1.657182036404304E-2</v>
      </c>
      <c r="S341" s="47">
        <f t="shared" ca="1" si="1213"/>
        <v>1.7241164088553858E-2</v>
      </c>
      <c r="T341" s="47">
        <f t="shared" ca="1" si="1213"/>
        <v>1.7930921575213594E-2</v>
      </c>
      <c r="U341" s="47">
        <f t="shared" ca="1" si="1213"/>
        <v>1.8643870137488826E-2</v>
      </c>
      <c r="V341" s="47">
        <f t="shared" ca="1" si="1213"/>
        <v>1.9380208771749553E-2</v>
      </c>
      <c r="W341" s="47">
        <f t="shared" ca="1" si="1213"/>
        <v>2.0136099483002913E-2</v>
      </c>
      <c r="X341" s="47">
        <f t="shared" ca="1" si="1213"/>
        <v>2.0912766831429151E-2</v>
      </c>
      <c r="Y341" s="47">
        <f t="shared" ca="1" si="1213"/>
        <v>2.1714278744792405E-2</v>
      </c>
      <c r="Z341" s="47">
        <f t="shared" ca="1" si="1213"/>
        <v>2.2540773380386774E-2</v>
      </c>
      <c r="AA341" s="47">
        <f t="shared" ca="1" si="1213"/>
        <v>2.339563112118671E-2</v>
      </c>
      <c r="AB341" s="47">
        <f t="shared" ca="1" si="1213"/>
        <v>2.4277944806286669E-2</v>
      </c>
      <c r="AC341" s="47">
        <f t="shared" ca="1" si="1213"/>
        <v>2.5187691744701979E-2</v>
      </c>
      <c r="AD341" s="47">
        <f t="shared" ca="1" si="1213"/>
        <v>2.6125523931619345E-2</v>
      </c>
      <c r="AE341" s="47">
        <f t="shared" ca="1" si="1213"/>
        <v>2.7091185528853801E-2</v>
      </c>
      <c r="AF341" s="47">
        <f t="shared" ca="1" si="1213"/>
        <v>2.8084903010936125E-2</v>
      </c>
      <c r="AG341" s="47">
        <f t="shared" ca="1" si="1213"/>
        <v>2.9106783450210241E-2</v>
      </c>
      <c r="AH341" s="47">
        <f t="shared" ca="1" si="1213"/>
        <v>3.0156345006353946E-2</v>
      </c>
      <c r="AI341" s="47">
        <f t="shared" ca="1" si="1213"/>
        <v>3.1234582780038284E-2</v>
      </c>
      <c r="AJ341" s="47">
        <f t="shared" ca="1" si="1213"/>
        <v>3.2342768947232932E-2</v>
      </c>
      <c r="AK341" s="47">
        <f t="shared" ca="1" si="1213"/>
        <v>3.3479432413766198E-2</v>
      </c>
      <c r="AL341" s="47">
        <f t="shared" ca="1" si="1213"/>
        <v>3.4646132432936072E-2</v>
      </c>
      <c r="AM341" s="47">
        <f t="shared" ca="1" si="1213"/>
        <v>3.584455686305358E-2</v>
      </c>
      <c r="AN341" s="47">
        <f t="shared" ca="1" si="1213"/>
        <v>3.7076068429547637E-2</v>
      </c>
      <c r="AO341" s="47">
        <f t="shared" ca="1" si="1213"/>
        <v>3.8341179103118794E-2</v>
      </c>
      <c r="AP341" s="47">
        <f t="shared" ca="1" si="1213"/>
        <v>3.9643780988341731E-2</v>
      </c>
      <c r="AQ341" s="47">
        <f t="shared" ca="1" si="1213"/>
        <v>4.0985146790172518E-2</v>
      </c>
      <c r="AR341" s="47">
        <f t="shared" ca="1" si="1213"/>
        <v>4.236877707208378E-2</v>
      </c>
      <c r="AS341" s="47">
        <f t="shared" ca="1" si="1213"/>
        <v>4.3795706557771451E-2</v>
      </c>
      <c r="AT341" s="47">
        <f t="shared" ca="1" si="1213"/>
        <v>4.5270375530030792E-2</v>
      </c>
      <c r="AU341" s="47">
        <f t="shared" ca="1" si="1213"/>
        <v>4.6792146438946663E-2</v>
      </c>
      <c r="AV341" s="47">
        <f t="shared" ca="1" si="1213"/>
        <v>4.8365333627551008E-2</v>
      </c>
      <c r="AW341" s="47">
        <f t="shared" ca="1" si="1213"/>
        <v>4.9991323640845221E-2</v>
      </c>
      <c r="AX341" s="47">
        <f t="shared" ca="1" si="1213"/>
        <v>5.1669440875780674E-2</v>
      </c>
    </row>
    <row r="342" spans="1:50" x14ac:dyDescent="0.25">
      <c r="A342" s="9" t="s">
        <v>943</v>
      </c>
      <c r="B342" s="10" t="str">
        <f>$B$38</f>
        <v>From Fiscal Forecasts</v>
      </c>
      <c r="D342" s="42">
        <f>'Fiscal Forecasts'!D$27</f>
        <v>0.20599999999999999</v>
      </c>
      <c r="E342" s="42">
        <f>'Fiscal Forecasts'!E$27</f>
        <v>1.1930000000000001</v>
      </c>
      <c r="F342" s="42">
        <f>'Fiscal Forecasts'!F$27</f>
        <v>-0.36</v>
      </c>
      <c r="G342" s="42">
        <f>'Fiscal Forecasts'!G$27</f>
        <v>-0.126</v>
      </c>
      <c r="H342" s="42">
        <f>'Fiscal Forecasts'!H$27</f>
        <v>2.9000000000000001E-2</v>
      </c>
      <c r="I342" s="42">
        <f>'Fiscal Forecasts'!I$27</f>
        <v>0.12</v>
      </c>
      <c r="J342" s="43">
        <f>'Fiscal Forecasts'!J$27</f>
        <v>0.192</v>
      </c>
      <c r="K342" s="43">
        <f>'Fiscal Forecasts'!K$27</f>
        <v>7.0999999999999994E-2</v>
      </c>
      <c r="L342" s="43">
        <f>'Fiscal Forecasts'!L$27</f>
        <v>0.114</v>
      </c>
      <c r="M342" s="43">
        <f>'Fiscal Forecasts'!M$27</f>
        <v>0.14799999999999999</v>
      </c>
      <c r="N342" s="43">
        <f>'Fiscal Forecasts'!N$27</f>
        <v>0.21099999999999999</v>
      </c>
      <c r="O342" s="47">
        <f t="shared" ref="O342:AX342" ca="1" si="1214">O$341+(N$342-N$341)*(1+O$14)</f>
        <v>0.22046603525864986</v>
      </c>
      <c r="P342" s="47">
        <f t="shared" ca="1" si="1214"/>
        <v>0.23020960487623898</v>
      </c>
      <c r="Q342" s="47">
        <f t="shared" ca="1" si="1214"/>
        <v>0.23998562152797234</v>
      </c>
      <c r="R342" s="47">
        <f t="shared" ca="1" si="1214"/>
        <v>0.24976100691521591</v>
      </c>
      <c r="S342" s="47">
        <f t="shared" ca="1" si="1214"/>
        <v>0.25984897304891447</v>
      </c>
      <c r="T342" s="47">
        <f t="shared" ca="1" si="1214"/>
        <v>0.27024460374071457</v>
      </c>
      <c r="U342" s="47">
        <f t="shared" ca="1" si="1214"/>
        <v>0.28098975707214824</v>
      </c>
      <c r="V342" s="47">
        <f t="shared" ca="1" si="1214"/>
        <v>0.29208743220279187</v>
      </c>
      <c r="W342" s="47">
        <f t="shared" ca="1" si="1214"/>
        <v>0.30347978506525303</v>
      </c>
      <c r="X342" s="47">
        <f t="shared" ca="1" si="1214"/>
        <v>0.31518527153081971</v>
      </c>
      <c r="Y342" s="47">
        <f t="shared" ca="1" si="1214"/>
        <v>0.32726520108222285</v>
      </c>
      <c r="Z342" s="47">
        <f t="shared" ca="1" si="1214"/>
        <v>0.33972165594725207</v>
      </c>
      <c r="AA342" s="47">
        <f t="shared" ca="1" si="1214"/>
        <v>0.35260558332645087</v>
      </c>
      <c r="AB342" s="47">
        <f t="shared" ca="1" si="1214"/>
        <v>0.36590331100902856</v>
      </c>
      <c r="AC342" s="47">
        <f t="shared" ca="1" si="1214"/>
        <v>0.37961449700943051</v>
      </c>
      <c r="AD342" s="47">
        <f t="shared" ca="1" si="1214"/>
        <v>0.39374896782654201</v>
      </c>
      <c r="AE342" s="47">
        <f t="shared" ca="1" si="1214"/>
        <v>0.40830286761343254</v>
      </c>
      <c r="AF342" s="47">
        <f t="shared" ca="1" si="1214"/>
        <v>0.42327960966481587</v>
      </c>
      <c r="AG342" s="47">
        <f t="shared" ca="1" si="1214"/>
        <v>0.43868080771387552</v>
      </c>
      <c r="AH342" s="47">
        <f t="shared" ca="1" si="1214"/>
        <v>0.45449919973861252</v>
      </c>
      <c r="AI342" s="47">
        <f t="shared" ca="1" si="1214"/>
        <v>0.47074978332771189</v>
      </c>
      <c r="AJ342" s="47">
        <f t="shared" ca="1" si="1214"/>
        <v>0.4874517319904309</v>
      </c>
      <c r="AK342" s="47">
        <f t="shared" ca="1" si="1214"/>
        <v>0.5045828742360392</v>
      </c>
      <c r="AL342" s="47">
        <f t="shared" ca="1" si="1214"/>
        <v>0.52216671023924199</v>
      </c>
      <c r="AM342" s="47">
        <f t="shared" ca="1" si="1214"/>
        <v>0.54022867843601274</v>
      </c>
      <c r="AN342" s="47">
        <f t="shared" ca="1" si="1214"/>
        <v>0.55878931704531576</v>
      </c>
      <c r="AO342" s="47">
        <f t="shared" ca="1" si="1214"/>
        <v>0.57785634219699489</v>
      </c>
      <c r="AP342" s="47">
        <f t="shared" ca="1" si="1214"/>
        <v>0.59748841346714032</v>
      </c>
      <c r="AQ342" s="47">
        <f t="shared" ca="1" si="1214"/>
        <v>0.61770471233758961</v>
      </c>
      <c r="AR342" s="47">
        <f t="shared" ca="1" si="1214"/>
        <v>0.63855799730068041</v>
      </c>
      <c r="AS342" s="47">
        <f t="shared" ca="1" si="1214"/>
        <v>0.6600638631206871</v>
      </c>
      <c r="AT342" s="47">
        <f t="shared" ca="1" si="1214"/>
        <v>0.68228923120259544</v>
      </c>
      <c r="AU342" s="47">
        <f t="shared" ca="1" si="1214"/>
        <v>0.7052244927583986</v>
      </c>
      <c r="AV342" s="47">
        <f t="shared" ca="1" si="1214"/>
        <v>0.72893467110093513</v>
      </c>
      <c r="AW342" s="47">
        <f t="shared" ca="1" si="1214"/>
        <v>0.75344066344415461</v>
      </c>
      <c r="AX342" s="47">
        <f t="shared" ca="1" si="1214"/>
        <v>0.77873228748496692</v>
      </c>
    </row>
    <row r="344" spans="1:50" x14ac:dyDescent="0.25">
      <c r="A344" s="9" t="s">
        <v>541</v>
      </c>
    </row>
    <row r="345" spans="1:50" x14ac:dyDescent="0.25">
      <c r="A345" s="11" t="s">
        <v>944</v>
      </c>
      <c r="D345" s="35">
        <f ca="1">OFFSET(Assumptions!$B$51,0,$C$1)*(D$385-D$351-D$392)</f>
        <v>2.1936</v>
      </c>
      <c r="E345" s="35">
        <f ca="1">OFFSET(Assumptions!$B$51,0,$C$1)*(E$385-E$351-E$392)</f>
        <v>2.1622500000000002</v>
      </c>
      <c r="F345" s="35">
        <f ca="1">OFFSET(Assumptions!$B$51,0,$C$1)*(F$385-F$351-F$392)</f>
        <v>2.7988999999999997</v>
      </c>
      <c r="G345" s="35">
        <f ca="1">OFFSET(Assumptions!$B$51,0,$C$1)*(G$385-G$351-G$392)</f>
        <v>3.0148999999999999</v>
      </c>
      <c r="H345" s="35">
        <f ca="1">OFFSET(Assumptions!$B$51,0,$C$1)*(H$385-H$351-H$392)</f>
        <v>2.9520000000000008</v>
      </c>
      <c r="I345" s="35">
        <f ca="1">OFFSET(Assumptions!$B$51,0,$C$1)*(I$385-I$351-I$392)</f>
        <v>3.3731499999999999</v>
      </c>
      <c r="J345" s="17">
        <f ca="1">OFFSET(Assumptions!$B$51,0,$C$1)*(J$385-J$351-J$392)</f>
        <v>4.0500500000000006</v>
      </c>
      <c r="K345" s="17">
        <f ca="1">OFFSET(Assumptions!$B$51,0,$C$1)*(K$385-K$351-K$392)</f>
        <v>4.2547000000000006</v>
      </c>
      <c r="L345" s="17">
        <f ca="1">OFFSET(Assumptions!$B$51,0,$C$1)*(L$385-L$351-L$392)</f>
        <v>4.6192500000000001</v>
      </c>
      <c r="M345" s="17">
        <f ca="1">OFFSET(Assumptions!$B$51,0,$C$1)*(M$385-M$351-M$392)</f>
        <v>4.8220500000000008</v>
      </c>
      <c r="N345" s="17">
        <f ca="1">OFFSET(Assumptions!$B$51,0,$C$1)*(N$385-N$351-N$392)</f>
        <v>5.0848000000000004</v>
      </c>
      <c r="O345" s="16">
        <f ca="1">OFFSET(Assumptions!$B$51,0,$C$1)*(O$385-O$351-O$392)</f>
        <v>5.2933155940674315</v>
      </c>
      <c r="P345" s="16">
        <f ca="1">OFFSET(Assumptions!$B$51,0,$C$1)*(P$385-P$351-P$392)</f>
        <v>5.6291767259485068</v>
      </c>
      <c r="Q345" s="16">
        <f ca="1">OFFSET(Assumptions!$B$51,0,$C$1)*(Q$385-Q$351-Q$392)</f>
        <v>5.9813889218070315</v>
      </c>
      <c r="R345" s="16">
        <f ca="1">OFFSET(Assumptions!$B$51,0,$C$1)*(R$385-R$351-R$392)</f>
        <v>6.3487391475772199</v>
      </c>
      <c r="S345" s="16">
        <f ca="1">OFFSET(Assumptions!$B$51,0,$C$1)*(S$385-S$351-S$392)</f>
        <v>6.7311717437154206</v>
      </c>
      <c r="T345" s="16">
        <f ca="1">OFFSET(Assumptions!$B$51,0,$C$1)*(T$385-T$351-T$392)</f>
        <v>7.1305247646855356</v>
      </c>
      <c r="U345" s="16">
        <f ca="1">OFFSET(Assumptions!$B$51,0,$C$1)*(U$385-U$351-U$392)</f>
        <v>7.5454182151073184</v>
      </c>
      <c r="V345" s="16">
        <f ca="1">OFFSET(Assumptions!$B$51,0,$C$1)*(V$385-V$351-V$392)</f>
        <v>7.9786164295236048</v>
      </c>
      <c r="W345" s="16">
        <f ca="1">OFFSET(Assumptions!$B$51,0,$C$1)*(W$385-W$351-W$392)</f>
        <v>8.4344797971040286</v>
      </c>
      <c r="X345" s="16">
        <f ca="1">OFFSET(Assumptions!$B$51,0,$C$1)*(X$385-X$351-X$392)</f>
        <v>8.9176937187725311</v>
      </c>
      <c r="Y345" s="16">
        <f ca="1">OFFSET(Assumptions!$B$51,0,$C$1)*(Y$385-Y$351-Y$392)</f>
        <v>9.434447500362463</v>
      </c>
      <c r="Z345" s="16">
        <f ca="1">OFFSET(Assumptions!$B$51,0,$C$1)*(Z$385-Z$351-Z$392)</f>
        <v>9.9904137050183763</v>
      </c>
      <c r="AA345" s="16">
        <f ca="1">OFFSET(Assumptions!$B$51,0,$C$1)*(AA$385-AA$351-AA$392)</f>
        <v>10.588604604488603</v>
      </c>
      <c r="AB345" s="16">
        <f ca="1">OFFSET(Assumptions!$B$51,0,$C$1)*(AB$385-AB$351-AB$392)</f>
        <v>11.233981549257704</v>
      </c>
      <c r="AC345" s="16">
        <f ca="1">OFFSET(Assumptions!$B$51,0,$C$1)*(AC$385-AC$351-AC$392)</f>
        <v>11.926985845928421</v>
      </c>
      <c r="AD345" s="16">
        <f ca="1">OFFSET(Assumptions!$B$51,0,$C$1)*(AD$385-AD$351-AD$392)</f>
        <v>12.666935418096294</v>
      </c>
      <c r="AE345" s="16">
        <f ca="1">OFFSET(Assumptions!$B$51,0,$C$1)*(AE$385-AE$351-AE$392)</f>
        <v>13.454610431314803</v>
      </c>
      <c r="AF345" s="16">
        <f ca="1">OFFSET(Assumptions!$B$51,0,$C$1)*(AF$385-AF$351-AF$392)</f>
        <v>14.290136385448186</v>
      </c>
      <c r="AG345" s="16">
        <f ca="1">OFFSET(Assumptions!$B$51,0,$C$1)*(AG$385-AG$351-AG$392)</f>
        <v>15.172199500352699</v>
      </c>
      <c r="AH345" s="16">
        <f ca="1">OFFSET(Assumptions!$B$51,0,$C$1)*(AH$385-AH$351-AH$392)</f>
        <v>16.100718060805367</v>
      </c>
      <c r="AI345" s="16">
        <f ca="1">OFFSET(Assumptions!$B$51,0,$C$1)*(AI$385-AI$351-AI$392)</f>
        <v>17.07475273365732</v>
      </c>
      <c r="AJ345" s="16">
        <f ca="1">OFFSET(Assumptions!$B$51,0,$C$1)*(AJ$385-AJ$351-AJ$392)</f>
        <v>18.093333676142251</v>
      </c>
      <c r="AK345" s="16">
        <f ca="1">OFFSET(Assumptions!$B$51,0,$C$1)*(AK$385-AK$351-AK$392)</f>
        <v>19.15051964077588</v>
      </c>
      <c r="AL345" s="16">
        <f ca="1">OFFSET(Assumptions!$B$51,0,$C$1)*(AL$385-AL$351-AL$392)</f>
        <v>20.240128118324382</v>
      </c>
      <c r="AM345" s="16">
        <f ca="1">OFFSET(Assumptions!$B$51,0,$C$1)*(AM$385-AM$351-AM$392)</f>
        <v>21.358855128748925</v>
      </c>
      <c r="AN345" s="16">
        <f ca="1">OFFSET(Assumptions!$B$51,0,$C$1)*(AN$385-AN$351-AN$392)</f>
        <v>22.498617147245284</v>
      </c>
      <c r="AO345" s="16">
        <f ca="1">OFFSET(Assumptions!$B$51,0,$C$1)*(AO$385-AO$351-AO$392)</f>
        <v>23.654962433215545</v>
      </c>
      <c r="AP345" s="16">
        <f ca="1">OFFSET(Assumptions!$B$51,0,$C$1)*(AP$385-AP$351-AP$392)</f>
        <v>24.82727107340413</v>
      </c>
      <c r="AQ345" s="16">
        <f ca="1">OFFSET(Assumptions!$B$51,0,$C$1)*(AQ$385-AQ$351-AQ$392)</f>
        <v>26.017524675284541</v>
      </c>
      <c r="AR345" s="16">
        <f ca="1">OFFSET(Assumptions!$B$51,0,$C$1)*(AR$385-AR$351-AR$392)</f>
        <v>27.230717078234502</v>
      </c>
      <c r="AS345" s="16">
        <f ca="1">OFFSET(Assumptions!$B$51,0,$C$1)*(AS$385-AS$351-AS$392)</f>
        <v>28.467885303504904</v>
      </c>
      <c r="AT345" s="16">
        <f ca="1">OFFSET(Assumptions!$B$51,0,$C$1)*(AT$385-AT$351-AT$392)</f>
        <v>29.733325575991632</v>
      </c>
      <c r="AU345" s="16">
        <f ca="1">OFFSET(Assumptions!$B$51,0,$C$1)*(AU$385-AU$351-AU$392)</f>
        <v>31.031248171469048</v>
      </c>
      <c r="AV345" s="16">
        <f ca="1">OFFSET(Assumptions!$B$51,0,$C$1)*(AV$385-AV$351-AV$392)</f>
        <v>32.364170722934212</v>
      </c>
      <c r="AW345" s="16">
        <f ca="1">OFFSET(Assumptions!$B$51,0,$C$1)*(AW$385-AW$351-AW$392)</f>
        <v>33.738054878244256</v>
      </c>
      <c r="AX345" s="16">
        <f ca="1">OFFSET(Assumptions!$B$51,0,$C$1)*(AX$385-AX$351-AX$392)</f>
        <v>35.146574189467643</v>
      </c>
    </row>
    <row r="346" spans="1:50" x14ac:dyDescent="0.25">
      <c r="A346" s="11" t="s">
        <v>946</v>
      </c>
      <c r="B346" s="10" t="str">
        <f>$B$38</f>
        <v>From Fiscal Forecasts</v>
      </c>
      <c r="D346" s="35">
        <f ca="1">'Fiscal Forecasts'!D$180-D$345</f>
        <v>15.1844</v>
      </c>
      <c r="E346" s="35">
        <f ca="1">'Fiscal Forecasts'!E$180-E$345</f>
        <v>16.018750000000001</v>
      </c>
      <c r="F346" s="35">
        <f ca="1">'Fiscal Forecasts'!F$180-F$345</f>
        <v>10.3301</v>
      </c>
      <c r="G346" s="35">
        <f ca="1">'Fiscal Forecasts'!G$180-G$345</f>
        <v>8.3931000000000004</v>
      </c>
      <c r="H346" s="35">
        <f ca="1">'Fiscal Forecasts'!H$180-H$345</f>
        <v>8.0210000000000008</v>
      </c>
      <c r="I346" s="35">
        <f ca="1">'Fiscal Forecasts'!I$180-I$345</f>
        <v>5.7378500000000008</v>
      </c>
      <c r="J346" s="17">
        <f ca="1">'Fiscal Forecasts'!J$180-J$345</f>
        <v>12.328950000000001</v>
      </c>
      <c r="K346" s="17">
        <f ca="1">'Fiscal Forecasts'!K$180-K$345</f>
        <v>12.519300000000001</v>
      </c>
      <c r="L346" s="17">
        <f ca="1">'Fiscal Forecasts'!L$180-L$345</f>
        <v>13.011749999999999</v>
      </c>
      <c r="M346" s="17">
        <f ca="1">'Fiscal Forecasts'!M$180-M$345</f>
        <v>11.965949999999999</v>
      </c>
      <c r="N346" s="17">
        <f ca="1">'Fiscal Forecasts'!N$180-N$345</f>
        <v>11.277199999999997</v>
      </c>
      <c r="O346" s="16">
        <f t="shared" ref="O346:AX346" ca="1" si="1215">N$346*(1+O$14)</f>
        <v>11.783125937530075</v>
      </c>
      <c r="P346" s="16">
        <f t="shared" ca="1" si="1215"/>
        <v>12.30388510004892</v>
      </c>
      <c r="Q346" s="16">
        <f t="shared" ca="1" si="1215"/>
        <v>12.826378441209712</v>
      </c>
      <c r="R346" s="16">
        <f t="shared" ca="1" si="1215"/>
        <v>13.348838043527358</v>
      </c>
      <c r="S346" s="16">
        <f t="shared" ca="1" si="1215"/>
        <v>13.888003975674019</v>
      </c>
      <c r="T346" s="16">
        <f t="shared" ca="1" si="1215"/>
        <v>14.443613484856806</v>
      </c>
      <c r="U346" s="16">
        <f t="shared" ca="1" si="1215"/>
        <v>15.017903736748957</v>
      </c>
      <c r="V346" s="16">
        <f t="shared" ca="1" si="1215"/>
        <v>15.61103502576931</v>
      </c>
      <c r="W346" s="16">
        <f t="shared" ca="1" si="1215"/>
        <v>16.219915792122613</v>
      </c>
      <c r="X346" s="16">
        <f t="shared" ca="1" si="1215"/>
        <v>16.845532436527773</v>
      </c>
      <c r="Y346" s="16">
        <f t="shared" ca="1" si="1215"/>
        <v>17.491161732912055</v>
      </c>
      <c r="Z346" s="16">
        <f t="shared" ca="1" si="1215"/>
        <v>18.156914968949533</v>
      </c>
      <c r="AA346" s="16">
        <f t="shared" ca="1" si="1215"/>
        <v>18.845515091417312</v>
      </c>
      <c r="AB346" s="16">
        <f t="shared" ca="1" si="1215"/>
        <v>19.556231369246532</v>
      </c>
      <c r="AC346" s="16">
        <f t="shared" ca="1" si="1215"/>
        <v>20.289045524524887</v>
      </c>
      <c r="AD346" s="16">
        <f t="shared" ca="1" si="1215"/>
        <v>21.044482748689482</v>
      </c>
      <c r="AE346" s="16">
        <f t="shared" ca="1" si="1215"/>
        <v>21.822336960427499</v>
      </c>
      <c r="AF346" s="16">
        <f t="shared" ca="1" si="1215"/>
        <v>22.622790588208826</v>
      </c>
      <c r="AG346" s="16">
        <f t="shared" ca="1" si="1215"/>
        <v>23.445929880336102</v>
      </c>
      <c r="AH346" s="16">
        <f t="shared" ca="1" si="1215"/>
        <v>24.291366707546359</v>
      </c>
      <c r="AI346" s="16">
        <f t="shared" ca="1" si="1215"/>
        <v>25.159902637645846</v>
      </c>
      <c r="AJ346" s="16">
        <f t="shared" ca="1" si="1215"/>
        <v>26.052562426552079</v>
      </c>
      <c r="AK346" s="16">
        <f t="shared" ca="1" si="1215"/>
        <v>26.968161086894135</v>
      </c>
      <c r="AL346" s="16">
        <f t="shared" ca="1" si="1215"/>
        <v>27.907954619478581</v>
      </c>
      <c r="AM346" s="16">
        <f t="shared" ca="1" si="1215"/>
        <v>28.873302618287219</v>
      </c>
      <c r="AN346" s="16">
        <f t="shared" ca="1" si="1215"/>
        <v>29.865302778120544</v>
      </c>
      <c r="AO346" s="16">
        <f t="shared" ca="1" si="1215"/>
        <v>30.884367498691716</v>
      </c>
      <c r="AP346" s="16">
        <f t="shared" ca="1" si="1215"/>
        <v>31.933631925837137</v>
      </c>
      <c r="AQ346" s="16">
        <f t="shared" ca="1" si="1215"/>
        <v>33.014121241580412</v>
      </c>
      <c r="AR346" s="16">
        <f t="shared" ca="1" si="1215"/>
        <v>34.128655199806801</v>
      </c>
      <c r="AS346" s="16">
        <f t="shared" ca="1" si="1215"/>
        <v>35.278067285235139</v>
      </c>
      <c r="AT346" s="16">
        <f t="shared" ca="1" si="1215"/>
        <v>36.465934209089625</v>
      </c>
      <c r="AU346" s="16">
        <f t="shared" ca="1" si="1215"/>
        <v>37.691742415805756</v>
      </c>
      <c r="AV346" s="16">
        <f t="shared" ca="1" si="1215"/>
        <v>38.958967170329231</v>
      </c>
      <c r="AW346" s="16">
        <f t="shared" ca="1" si="1215"/>
        <v>40.268725354466461</v>
      </c>
      <c r="AX346" s="16">
        <f t="shared" ca="1" si="1215"/>
        <v>41.6204727603103</v>
      </c>
    </row>
    <row r="347" spans="1:50" x14ac:dyDescent="0.25">
      <c r="A347" s="9" t="s">
        <v>947</v>
      </c>
      <c r="D347" s="64">
        <f t="shared" ref="D347:N347" ca="1" si="1216">SUM(D$345:D$346)</f>
        <v>17.378</v>
      </c>
      <c r="E347" s="64">
        <f t="shared" ca="1" si="1216"/>
        <v>18.181000000000001</v>
      </c>
      <c r="F347" s="64">
        <f t="shared" ca="1" si="1216"/>
        <v>13.129</v>
      </c>
      <c r="G347" s="64">
        <f t="shared" ca="1" si="1216"/>
        <v>11.408000000000001</v>
      </c>
      <c r="H347" s="64">
        <f t="shared" ca="1" si="1216"/>
        <v>10.973000000000003</v>
      </c>
      <c r="I347" s="64">
        <f t="shared" ca="1" si="1216"/>
        <v>9.1110000000000007</v>
      </c>
      <c r="J347" s="65">
        <f t="shared" ca="1" si="1216"/>
        <v>16.379000000000001</v>
      </c>
      <c r="K347" s="65">
        <f t="shared" ca="1" si="1216"/>
        <v>16.774000000000001</v>
      </c>
      <c r="L347" s="65">
        <f t="shared" ca="1" si="1216"/>
        <v>17.631</v>
      </c>
      <c r="M347" s="65">
        <f t="shared" ca="1" si="1216"/>
        <v>16.788</v>
      </c>
      <c r="N347" s="65">
        <f t="shared" ca="1" si="1216"/>
        <v>16.361999999999998</v>
      </c>
      <c r="O347" s="66">
        <f t="shared" ref="O347:AW347" ca="1" si="1217">SUM(O$345:O$346)</f>
        <v>17.076441531597506</v>
      </c>
      <c r="P347" s="66">
        <f t="shared" ca="1" si="1217"/>
        <v>17.933061825997427</v>
      </c>
      <c r="Q347" s="66">
        <f t="shared" ca="1" si="1217"/>
        <v>18.807767363016744</v>
      </c>
      <c r="R347" s="66">
        <f t="shared" ca="1" si="1217"/>
        <v>19.697577191104578</v>
      </c>
      <c r="S347" s="66">
        <f t="shared" ca="1" si="1217"/>
        <v>20.619175719389439</v>
      </c>
      <c r="T347" s="66">
        <f t="shared" ca="1" si="1217"/>
        <v>21.574138249542344</v>
      </c>
      <c r="U347" s="66">
        <f t="shared" ca="1" si="1217"/>
        <v>22.563321951856274</v>
      </c>
      <c r="V347" s="66">
        <f t="shared" ca="1" si="1217"/>
        <v>23.589651455292916</v>
      </c>
      <c r="W347" s="66">
        <f t="shared" ca="1" si="1217"/>
        <v>24.654395589226642</v>
      </c>
      <c r="X347" s="66">
        <f t="shared" ca="1" si="1217"/>
        <v>25.763226155300302</v>
      </c>
      <c r="Y347" s="66">
        <f t="shared" ca="1" si="1217"/>
        <v>26.925609233274518</v>
      </c>
      <c r="Z347" s="66">
        <f t="shared" ca="1" si="1217"/>
        <v>28.147328673967909</v>
      </c>
      <c r="AA347" s="66">
        <f t="shared" ca="1" si="1217"/>
        <v>29.434119695905913</v>
      </c>
      <c r="AB347" s="66">
        <f t="shared" ca="1" si="1217"/>
        <v>30.790212918504238</v>
      </c>
      <c r="AC347" s="66">
        <f t="shared" ca="1" si="1217"/>
        <v>32.216031370453308</v>
      </c>
      <c r="AD347" s="66">
        <f t="shared" ca="1" si="1217"/>
        <v>33.711418166785776</v>
      </c>
      <c r="AE347" s="66">
        <f t="shared" ca="1" si="1217"/>
        <v>35.276947391742304</v>
      </c>
      <c r="AF347" s="66">
        <f t="shared" ca="1" si="1217"/>
        <v>36.912926973657008</v>
      </c>
      <c r="AG347" s="66">
        <f t="shared" ca="1" si="1217"/>
        <v>38.618129380688799</v>
      </c>
      <c r="AH347" s="66">
        <f t="shared" ca="1" si="1217"/>
        <v>40.392084768351722</v>
      </c>
      <c r="AI347" s="66">
        <f t="shared" ca="1" si="1217"/>
        <v>42.234655371303162</v>
      </c>
      <c r="AJ347" s="66">
        <f t="shared" ca="1" si="1217"/>
        <v>44.14589610269433</v>
      </c>
      <c r="AK347" s="66">
        <f t="shared" ca="1" si="1217"/>
        <v>46.118680727670011</v>
      </c>
      <c r="AL347" s="66">
        <f t="shared" ca="1" si="1217"/>
        <v>48.148082737802966</v>
      </c>
      <c r="AM347" s="66">
        <f t="shared" ca="1" si="1217"/>
        <v>50.23215774703614</v>
      </c>
      <c r="AN347" s="66">
        <f t="shared" ca="1" si="1217"/>
        <v>52.363919925365828</v>
      </c>
      <c r="AO347" s="66">
        <f t="shared" ca="1" si="1217"/>
        <v>54.539329931907261</v>
      </c>
      <c r="AP347" s="66">
        <f t="shared" ca="1" si="1217"/>
        <v>56.760902999241267</v>
      </c>
      <c r="AQ347" s="66">
        <f t="shared" ca="1" si="1217"/>
        <v>59.031645916864953</v>
      </c>
      <c r="AR347" s="66">
        <f t="shared" ca="1" si="1217"/>
        <v>61.359372278041306</v>
      </c>
      <c r="AS347" s="66">
        <f t="shared" ca="1" si="1217"/>
        <v>63.745952588740039</v>
      </c>
      <c r="AT347" s="66">
        <f t="shared" ca="1" si="1217"/>
        <v>66.199259785081253</v>
      </c>
      <c r="AU347" s="66">
        <f t="shared" ca="1" si="1217"/>
        <v>68.722990587274808</v>
      </c>
      <c r="AV347" s="66">
        <f t="shared" ca="1" si="1217"/>
        <v>71.323137893263436</v>
      </c>
      <c r="AW347" s="66">
        <f t="shared" ca="1" si="1217"/>
        <v>74.006780232710724</v>
      </c>
      <c r="AX347" s="66">
        <f ca="1">SUM(AX$345:AX$346)</f>
        <v>76.767046949777949</v>
      </c>
    </row>
    <row r="348" spans="1:50" x14ac:dyDescent="0.25">
      <c r="A348" s="9" t="s">
        <v>948</v>
      </c>
      <c r="B348" s="10" t="str">
        <f>$B$38</f>
        <v>From Fiscal Forecasts</v>
      </c>
      <c r="D348" s="42">
        <f>'Fiscal Forecasts'!D$120</f>
        <v>20.248000000000001</v>
      </c>
      <c r="E348" s="42">
        <f>'Fiscal Forecasts'!E$120</f>
        <v>21.927</v>
      </c>
      <c r="F348" s="42">
        <f>'Fiscal Forecasts'!F$120</f>
        <v>18.754999999999999</v>
      </c>
      <c r="G348" s="42">
        <f>'Fiscal Forecasts'!G$120</f>
        <v>17.835000000000001</v>
      </c>
      <c r="H348" s="42">
        <f>'Fiscal Forecasts'!H$120</f>
        <v>18.791</v>
      </c>
      <c r="I348" s="42">
        <f>'Fiscal Forecasts'!I$120</f>
        <v>16.212</v>
      </c>
      <c r="J348" s="43">
        <f>'Fiscal Forecasts'!J$120</f>
        <v>22.709</v>
      </c>
      <c r="K348" s="43">
        <f>'Fiscal Forecasts'!K$120</f>
        <v>22.849</v>
      </c>
      <c r="L348" s="43">
        <f>'Fiscal Forecasts'!L$120</f>
        <v>23.614999999999998</v>
      </c>
      <c r="M348" s="43">
        <f>'Fiscal Forecasts'!M$120</f>
        <v>22.956</v>
      </c>
      <c r="N348" s="43">
        <f>'Fiscal Forecasts'!N$120</f>
        <v>22.818000000000001</v>
      </c>
      <c r="O348" s="47">
        <f t="shared" ref="O348:AX348" ca="1" si="1218">O$347+(N$348-N$347)*(1+O$14)</f>
        <v>23.822075292876391</v>
      </c>
      <c r="P348" s="47">
        <f t="shared" ca="1" si="1218"/>
        <v>24.976821110741504</v>
      </c>
      <c r="Q348" s="47">
        <f t="shared" ca="1" si="1218"/>
        <v>26.150644958204378</v>
      </c>
      <c r="R348" s="47">
        <f t="shared" ca="1" si="1218"/>
        <v>27.339553781837445</v>
      </c>
      <c r="S348" s="47">
        <f t="shared" ca="1" si="1218"/>
        <v>28.569815387653861</v>
      </c>
      <c r="T348" s="47">
        <f t="shared" ca="1" si="1218"/>
        <v>29.842854655940705</v>
      </c>
      <c r="U348" s="47">
        <f t="shared" ca="1" si="1218"/>
        <v>31.160809495258121</v>
      </c>
      <c r="V348" s="47">
        <f t="shared" ca="1" si="1218"/>
        <v>32.526696300322421</v>
      </c>
      <c r="W348" s="47">
        <f t="shared" ca="1" si="1218"/>
        <v>33.940014036531259</v>
      </c>
      <c r="X348" s="47">
        <f t="shared" ca="1" si="1218"/>
        <v>35.406999202707752</v>
      </c>
      <c r="Y348" s="47">
        <f t="shared" ca="1" si="1218"/>
        <v>36.938993774444327</v>
      </c>
      <c r="Z348" s="47">
        <f t="shared" ca="1" si="1218"/>
        <v>38.541845312808945</v>
      </c>
      <c r="AA348" s="47">
        <f t="shared" ca="1" si="1218"/>
        <v>40.222847875790116</v>
      </c>
      <c r="AB348" s="47">
        <f t="shared" ca="1" si="1218"/>
        <v>41.985813752031675</v>
      </c>
      <c r="AC348" s="47">
        <f t="shared" ca="1" si="1218"/>
        <v>43.831155506438542</v>
      </c>
      <c r="AD348" s="47">
        <f t="shared" ca="1" si="1218"/>
        <v>45.759016916966615</v>
      </c>
      <c r="AE348" s="47">
        <f t="shared" ca="1" si="1218"/>
        <v>47.769854089904968</v>
      </c>
      <c r="AF348" s="47">
        <f t="shared" ca="1" si="1218"/>
        <v>49.864079390699914</v>
      </c>
      <c r="AG348" s="47">
        <f t="shared" ca="1" si="1218"/>
        <v>52.040514663156962</v>
      </c>
      <c r="AH348" s="47">
        <f t="shared" ca="1" si="1218"/>
        <v>54.298467865567289</v>
      </c>
      <c r="AI348" s="47">
        <f t="shared" ca="1" si="1218"/>
        <v>56.638260116154868</v>
      </c>
      <c r="AJ348" s="47">
        <f t="shared" ca="1" si="1218"/>
        <v>59.060532982932358</v>
      </c>
      <c r="AK348" s="47">
        <f t="shared" ca="1" si="1218"/>
        <v>61.557481846475085</v>
      </c>
      <c r="AL348" s="47">
        <f t="shared" ca="1" si="1218"/>
        <v>64.124899236876644</v>
      </c>
      <c r="AM348" s="47">
        <f t="shared" ca="1" si="1218"/>
        <v>66.761619111884002</v>
      </c>
      <c r="AN348" s="47">
        <f t="shared" ca="1" si="1218"/>
        <v>69.461284052591225</v>
      </c>
      <c r="AO348" s="47">
        <f t="shared" ca="1" si="1218"/>
        <v>72.220090809745173</v>
      </c>
      <c r="AP348" s="47">
        <f t="shared" ca="1" si="1218"/>
        <v>75.042349432150544</v>
      </c>
      <c r="AQ348" s="47">
        <f t="shared" ca="1" si="1218"/>
        <v>77.931653608104185</v>
      </c>
      <c r="AR348" s="47">
        <f t="shared" ca="1" si="1218"/>
        <v>80.897431190710464</v>
      </c>
      <c r="AS348" s="47">
        <f t="shared" ca="1" si="1218"/>
        <v>83.942029841380588</v>
      </c>
      <c r="AT348" s="47">
        <f t="shared" ca="1" si="1218"/>
        <v>87.075370100929376</v>
      </c>
      <c r="AU348" s="47">
        <f t="shared" ca="1" si="1218"/>
        <v>90.300854687977264</v>
      </c>
      <c r="AV348" s="47">
        <f t="shared" ca="1" si="1218"/>
        <v>93.626466028939433</v>
      </c>
      <c r="AW348" s="47">
        <f t="shared" ca="1" si="1218"/>
        <v>97.059922048802946</v>
      </c>
      <c r="AX348" s="47">
        <f t="shared" ca="1" si="1218"/>
        <v>100.59404054220896</v>
      </c>
    </row>
    <row r="350" spans="1:50" x14ac:dyDescent="0.25">
      <c r="A350" s="9" t="s">
        <v>542</v>
      </c>
    </row>
    <row r="351" spans="1:50" x14ac:dyDescent="0.25">
      <c r="A351" s="11" t="s">
        <v>949</v>
      </c>
      <c r="D351" s="35">
        <f t="shared" ref="D351:N351" si="1219">D$385-D$76+D$75-D$72</f>
        <v>-1.567999999999997</v>
      </c>
      <c r="E351" s="35">
        <f t="shared" si="1219"/>
        <v>1.2899999999999934</v>
      </c>
      <c r="F351" s="35">
        <f t="shared" si="1219"/>
        <v>0.86300000000000299</v>
      </c>
      <c r="G351" s="35">
        <f t="shared" si="1219"/>
        <v>0.49900000000000599</v>
      </c>
      <c r="H351" s="35">
        <f t="shared" si="1219"/>
        <v>1.8429999999999807</v>
      </c>
      <c r="I351" s="35">
        <f t="shared" si="1219"/>
        <v>2.6770000000000094</v>
      </c>
      <c r="J351" s="17">
        <f t="shared" si="1219"/>
        <v>-0.41299999999999581</v>
      </c>
      <c r="K351" s="17">
        <f t="shared" si="1219"/>
        <v>-0.78700000000000259</v>
      </c>
      <c r="L351" s="17">
        <f t="shared" si="1219"/>
        <v>-1.8110000000000026</v>
      </c>
      <c r="M351" s="17">
        <f t="shared" si="1219"/>
        <v>-1.0680000000000067</v>
      </c>
      <c r="N351" s="17">
        <f t="shared" si="1219"/>
        <v>-0.71799999999999375</v>
      </c>
      <c r="O351" s="16">
        <f t="shared" ref="O351:AX351" ca="1" si="1220">SUM(N$351,O$437-N$437,O$463-N$463)</f>
        <v>1.9823930119338713</v>
      </c>
      <c r="P351" s="16">
        <f t="shared" ca="1" si="1220"/>
        <v>2.1980239325989746</v>
      </c>
      <c r="Q351" s="16">
        <f t="shared" ca="1" si="1220"/>
        <v>2.424152629412109</v>
      </c>
      <c r="R351" s="16">
        <f t="shared" ca="1" si="1220"/>
        <v>2.6600003053420749</v>
      </c>
      <c r="S351" s="16">
        <f t="shared" ca="1" si="1220"/>
        <v>2.9055312256238124</v>
      </c>
      <c r="T351" s="16">
        <f t="shared" ca="1" si="1220"/>
        <v>3.1619254654093969</v>
      </c>
      <c r="U351" s="16">
        <f t="shared" ca="1" si="1220"/>
        <v>3.4282970344900581</v>
      </c>
      <c r="V351" s="16">
        <f t="shared" ca="1" si="1220"/>
        <v>3.7064207020960427</v>
      </c>
      <c r="W351" s="16">
        <f t="shared" ca="1" si="1220"/>
        <v>3.9990959428966648</v>
      </c>
      <c r="X351" s="16">
        <f t="shared" ca="1" si="1220"/>
        <v>4.3093308969206614</v>
      </c>
      <c r="Y351" s="16">
        <f t="shared" ca="1" si="1220"/>
        <v>4.6410992473020514</v>
      </c>
      <c r="Z351" s="16">
        <f t="shared" ca="1" si="1220"/>
        <v>4.9980429159462894</v>
      </c>
      <c r="AA351" s="16">
        <f t="shared" ca="1" si="1220"/>
        <v>5.3820958537298882</v>
      </c>
      <c r="AB351" s="16">
        <f t="shared" ca="1" si="1220"/>
        <v>5.7964433669332571</v>
      </c>
      <c r="AC351" s="16">
        <f t="shared" ca="1" si="1220"/>
        <v>6.241368785004223</v>
      </c>
      <c r="AD351" s="16">
        <f t="shared" ca="1" si="1220"/>
        <v>6.7164341984942517</v>
      </c>
      <c r="AE351" s="16">
        <f t="shared" ca="1" si="1220"/>
        <v>7.2221404924435628</v>
      </c>
      <c r="AF351" s="16">
        <f t="shared" ca="1" si="1220"/>
        <v>7.7585682407820151</v>
      </c>
      <c r="AG351" s="16">
        <f t="shared" ca="1" si="1220"/>
        <v>8.3248739650744579</v>
      </c>
      <c r="AH351" s="16">
        <f t="shared" ca="1" si="1220"/>
        <v>8.9210052021833093</v>
      </c>
      <c r="AI351" s="16">
        <f t="shared" ca="1" si="1220"/>
        <v>9.5463588776457176</v>
      </c>
      <c r="AJ351" s="16">
        <f t="shared" ca="1" si="1220"/>
        <v>10.200312329091011</v>
      </c>
      <c r="AK351" s="16">
        <f t="shared" ca="1" si="1220"/>
        <v>10.879051132808543</v>
      </c>
      <c r="AL351" s="16">
        <f t="shared" ca="1" si="1220"/>
        <v>11.578605969244572</v>
      </c>
      <c r="AM351" s="16">
        <f t="shared" ca="1" si="1220"/>
        <v>12.296855603787511</v>
      </c>
      <c r="AN351" s="16">
        <f t="shared" ca="1" si="1220"/>
        <v>13.028610219187643</v>
      </c>
      <c r="AO351" s="16">
        <f t="shared" ca="1" si="1220"/>
        <v>13.771011690962597</v>
      </c>
      <c r="AP351" s="16">
        <f t="shared" ca="1" si="1220"/>
        <v>14.523662019899833</v>
      </c>
      <c r="AQ351" s="16">
        <f t="shared" ca="1" si="1220"/>
        <v>15.28783344563452</v>
      </c>
      <c r="AR351" s="16">
        <f t="shared" ca="1" si="1220"/>
        <v>16.066732133097531</v>
      </c>
      <c r="AS351" s="16">
        <f t="shared" ca="1" si="1220"/>
        <v>16.861023874861559</v>
      </c>
      <c r="AT351" s="16">
        <f t="shared" ca="1" si="1220"/>
        <v>17.673466950589756</v>
      </c>
      <c r="AU351" s="16">
        <f t="shared" ca="1" si="1220"/>
        <v>18.50676445854295</v>
      </c>
      <c r="AV351" s="16">
        <f t="shared" ca="1" si="1220"/>
        <v>19.362532779628356</v>
      </c>
      <c r="AW351" s="16">
        <f t="shared" ca="1" si="1220"/>
        <v>20.244599435086396</v>
      </c>
      <c r="AX351" s="16">
        <f t="shared" ca="1" si="1220"/>
        <v>21.14890269325927</v>
      </c>
    </row>
    <row r="352" spans="1:50" x14ac:dyDescent="0.25">
      <c r="A352" s="11" t="s">
        <v>675</v>
      </c>
      <c r="B352" s="10" t="str">
        <f>$B$38</f>
        <v>From Fiscal Forecasts</v>
      </c>
      <c r="D352" s="35">
        <f>'Fiscal Forecasts'!D$318</f>
        <v>13.763999999999999</v>
      </c>
      <c r="E352" s="35">
        <f>'Fiscal Forecasts'!E$318</f>
        <v>14.29</v>
      </c>
      <c r="F352" s="35">
        <f>'Fiscal Forecasts'!F$318</f>
        <v>15.641999999999999</v>
      </c>
      <c r="G352" s="35">
        <f>'Fiscal Forecasts'!G$318</f>
        <v>20.076000000000001</v>
      </c>
      <c r="H352" s="35">
        <f>'Fiscal Forecasts'!H$318</f>
        <v>20.298999999999999</v>
      </c>
      <c r="I352" s="35">
        <f>'Fiscal Forecasts'!I$318</f>
        <v>22.413</v>
      </c>
      <c r="J352" s="17">
        <f>'Fiscal Forecasts'!J$318</f>
        <v>19.824999999999999</v>
      </c>
      <c r="K352" s="17">
        <f>'Fiscal Forecasts'!K$318</f>
        <v>20.443000000000001</v>
      </c>
      <c r="L352" s="17">
        <f>'Fiscal Forecasts'!L$318</f>
        <v>19.733000000000001</v>
      </c>
      <c r="M352" s="17">
        <f>'Fiscal Forecasts'!M$318</f>
        <v>20.024999999999999</v>
      </c>
      <c r="N352" s="17">
        <f>'Fiscal Forecasts'!N$318</f>
        <v>20.614999999999998</v>
      </c>
      <c r="O352" s="16">
        <f t="shared" ref="O352:AX352" ca="1" si="1221">N$352*O$140/N$140</f>
        <v>21.440215107875158</v>
      </c>
      <c r="P352" s="16">
        <f t="shared" ca="1" si="1221"/>
        <v>22.353311672058766</v>
      </c>
      <c r="Q352" s="16">
        <f t="shared" ca="1" si="1221"/>
        <v>23.29483766775693</v>
      </c>
      <c r="R352" s="16">
        <f t="shared" ca="1" si="1221"/>
        <v>24.239213583424217</v>
      </c>
      <c r="S352" s="16">
        <f t="shared" ca="1" si="1221"/>
        <v>25.213674843246636</v>
      </c>
      <c r="T352" s="16">
        <f t="shared" ca="1" si="1221"/>
        <v>26.217578260930591</v>
      </c>
      <c r="U352" s="16">
        <f t="shared" ca="1" si="1221"/>
        <v>27.255148630047934</v>
      </c>
      <c r="V352" s="16">
        <f t="shared" ca="1" si="1221"/>
        <v>28.326518364907113</v>
      </c>
      <c r="W352" s="16">
        <f t="shared" ca="1" si="1221"/>
        <v>29.425740466196373</v>
      </c>
      <c r="X352" s="16">
        <f t="shared" ca="1" si="1221"/>
        <v>30.555058430320457</v>
      </c>
      <c r="Y352" s="16">
        <f t="shared" ca="1" si="1221"/>
        <v>31.720468964433831</v>
      </c>
      <c r="Z352" s="16">
        <f t="shared" ca="1" si="1221"/>
        <v>32.922026490036259</v>
      </c>
      <c r="AA352" s="16">
        <f t="shared" ca="1" si="1221"/>
        <v>34.164594033100421</v>
      </c>
      <c r="AB352" s="16">
        <f t="shared" ca="1" si="1221"/>
        <v>35.44685559951256</v>
      </c>
      <c r="AC352" s="16">
        <f t="shared" ca="1" si="1221"/>
        <v>36.768799982337136</v>
      </c>
      <c r="AD352" s="16">
        <f t="shared" ca="1" si="1221"/>
        <v>38.131367731008865</v>
      </c>
      <c r="AE352" s="16">
        <f t="shared" ca="1" si="1221"/>
        <v>39.53421290792194</v>
      </c>
      <c r="AF352" s="16">
        <f t="shared" ca="1" si="1221"/>
        <v>40.977662524766636</v>
      </c>
      <c r="AG352" s="16">
        <f t="shared" ca="1" si="1221"/>
        <v>42.461907361322922</v>
      </c>
      <c r="AH352" s="16">
        <f t="shared" ca="1" si="1221"/>
        <v>43.986250533700677</v>
      </c>
      <c r="AI352" s="16">
        <f t="shared" ca="1" si="1221"/>
        <v>45.552183233252229</v>
      </c>
      <c r="AJ352" s="16">
        <f t="shared" ca="1" si="1221"/>
        <v>47.161520514848846</v>
      </c>
      <c r="AK352" s="16">
        <f t="shared" ca="1" si="1221"/>
        <v>48.812212342514293</v>
      </c>
      <c r="AL352" s="16">
        <f t="shared" ca="1" si="1221"/>
        <v>50.506507302503287</v>
      </c>
      <c r="AM352" s="16">
        <f t="shared" ca="1" si="1221"/>
        <v>52.246840232942411</v>
      </c>
      <c r="AN352" s="16">
        <f t="shared" ca="1" si="1221"/>
        <v>54.035202694556823</v>
      </c>
      <c r="AO352" s="16">
        <f t="shared" ca="1" si="1221"/>
        <v>55.872320623348216</v>
      </c>
      <c r="AP352" s="16">
        <f t="shared" ca="1" si="1221"/>
        <v>57.763821038085389</v>
      </c>
      <c r="AQ352" s="16">
        <f t="shared" ca="1" si="1221"/>
        <v>59.711487377300166</v>
      </c>
      <c r="AR352" s="16">
        <f t="shared" ca="1" si="1221"/>
        <v>61.720403705902605</v>
      </c>
      <c r="AS352" s="16">
        <f t="shared" ca="1" si="1221"/>
        <v>63.791992745601682</v>
      </c>
      <c r="AT352" s="16">
        <f t="shared" ca="1" si="1221"/>
        <v>65.932621996555824</v>
      </c>
      <c r="AU352" s="16">
        <f t="shared" ca="1" si="1221"/>
        <v>68.141435771390803</v>
      </c>
      <c r="AV352" s="16">
        <f t="shared" ca="1" si="1221"/>
        <v>70.424553169863685</v>
      </c>
      <c r="AW352" s="16">
        <f t="shared" ca="1" si="1221"/>
        <v>72.784005194574846</v>
      </c>
      <c r="AX352" s="16">
        <f t="shared" ca="1" si="1221"/>
        <v>75.218791830280466</v>
      </c>
    </row>
    <row r="353" spans="1:50" x14ac:dyDescent="0.25">
      <c r="A353" s="11" t="s">
        <v>950</v>
      </c>
      <c r="B353" s="10" t="str">
        <f>$B$38</f>
        <v>From Fiscal Forecasts</v>
      </c>
      <c r="D353" s="35">
        <f>'Fiscal Forecasts'!D$181-SUM(D$351:D$352)</f>
        <v>4.3769999999999989</v>
      </c>
      <c r="E353" s="35">
        <f>'Fiscal Forecasts'!E$181-SUM(E$351:E$352)</f>
        <v>2.5200000000000085</v>
      </c>
      <c r="F353" s="35">
        <f>'Fiscal Forecasts'!F$181-SUM(F$351:F$352)</f>
        <v>3.7319999999999958</v>
      </c>
      <c r="G353" s="35">
        <f>'Fiscal Forecasts'!G$181-SUM(G$351:G$352)</f>
        <v>7.7129999999999939</v>
      </c>
      <c r="H353" s="35">
        <f>'Fiscal Forecasts'!H$181-SUM(H$351:H$352)</f>
        <v>3.5320000000000178</v>
      </c>
      <c r="I353" s="35">
        <f>'Fiscal Forecasts'!I$181-SUM(I$351:I$352)</f>
        <v>3.5489999999999888</v>
      </c>
      <c r="J353" s="17">
        <f>'Fiscal Forecasts'!J$181-SUM(J$351:J$352)</f>
        <v>8.519999999999996</v>
      </c>
      <c r="K353" s="17">
        <f>'Fiscal Forecasts'!K$181-SUM(K$351:K$352)</f>
        <v>8.5370000000000026</v>
      </c>
      <c r="L353" s="17">
        <f>'Fiscal Forecasts'!L$181-SUM(L$351:L$352)</f>
        <v>9.8010000000000019</v>
      </c>
      <c r="M353" s="17">
        <f>'Fiscal Forecasts'!M$181-SUM(M$351:M$352)</f>
        <v>9.3910000000000053</v>
      </c>
      <c r="N353" s="17">
        <f>'Fiscal Forecasts'!N$181-SUM(N$351:N$352)</f>
        <v>9.3809999999999931</v>
      </c>
      <c r="O353" s="16">
        <f t="shared" ref="O353:AX353" ca="1" si="1222">SUM(N$353,O$439-N$439,O$464-N$464)</f>
        <v>9.7844199999999919</v>
      </c>
      <c r="P353" s="16">
        <f t="shared" ca="1" si="1222"/>
        <v>10.195908399999992</v>
      </c>
      <c r="Q353" s="16">
        <f t="shared" ca="1" si="1222"/>
        <v>10.615626567999991</v>
      </c>
      <c r="R353" s="16">
        <f t="shared" ca="1" si="1222"/>
        <v>11.043739099359991</v>
      </c>
      <c r="S353" s="16">
        <f t="shared" ca="1" si="1222"/>
        <v>11.480413881347191</v>
      </c>
      <c r="T353" s="16">
        <f t="shared" ca="1" si="1222"/>
        <v>11.925822158974135</v>
      </c>
      <c r="U353" s="16">
        <f t="shared" ca="1" si="1222"/>
        <v>12.380138602153618</v>
      </c>
      <c r="V353" s="16">
        <f t="shared" ca="1" si="1222"/>
        <v>12.843541374196692</v>
      </c>
      <c r="W353" s="16">
        <f t="shared" ca="1" si="1222"/>
        <v>13.316212201680626</v>
      </c>
      <c r="X353" s="16">
        <f t="shared" ca="1" si="1222"/>
        <v>13.79833644571424</v>
      </c>
      <c r="Y353" s="16">
        <f t="shared" ca="1" si="1222"/>
        <v>14.290103174628525</v>
      </c>
      <c r="Z353" s="16">
        <f t="shared" ca="1" si="1222"/>
        <v>14.791705238121096</v>
      </c>
      <c r="AA353" s="16">
        <f t="shared" ca="1" si="1222"/>
        <v>15.303339342883518</v>
      </c>
      <c r="AB353" s="16">
        <f t="shared" ca="1" si="1222"/>
        <v>15.825206129741188</v>
      </c>
      <c r="AC353" s="16">
        <f t="shared" ca="1" si="1222"/>
        <v>16.357510252336013</v>
      </c>
      <c r="AD353" s="16">
        <f t="shared" ca="1" si="1222"/>
        <v>16.900460457382735</v>
      </c>
      <c r="AE353" s="16">
        <f t="shared" ca="1" si="1222"/>
        <v>17.454269666530386</v>
      </c>
      <c r="AF353" s="16">
        <f t="shared" ca="1" si="1222"/>
        <v>18.019155059860992</v>
      </c>
      <c r="AG353" s="16">
        <f t="shared" ca="1" si="1222"/>
        <v>18.595338161058216</v>
      </c>
      <c r="AH353" s="16">
        <f t="shared" ca="1" si="1222"/>
        <v>19.183044924279379</v>
      </c>
      <c r="AI353" s="16">
        <f t="shared" ca="1" si="1222"/>
        <v>19.782505822764968</v>
      </c>
      <c r="AJ353" s="16">
        <f t="shared" ca="1" si="1222"/>
        <v>20.39395593922027</v>
      </c>
      <c r="AK353" s="16">
        <f t="shared" ca="1" si="1222"/>
        <v>21.017635058004675</v>
      </c>
      <c r="AL353" s="16">
        <f t="shared" ca="1" si="1222"/>
        <v>21.653787759164768</v>
      </c>
      <c r="AM353" s="16">
        <f t="shared" ca="1" si="1222"/>
        <v>22.302663514348065</v>
      </c>
      <c r="AN353" s="16">
        <f t="shared" ca="1" si="1222"/>
        <v>22.964516784635027</v>
      </c>
      <c r="AO353" s="16">
        <f t="shared" ca="1" si="1222"/>
        <v>23.639607120327728</v>
      </c>
      <c r="AP353" s="16">
        <f t="shared" ca="1" si="1222"/>
        <v>24.328199262734284</v>
      </c>
      <c r="AQ353" s="16">
        <f t="shared" ca="1" si="1222"/>
        <v>25.030563247988969</v>
      </c>
      <c r="AR353" s="16">
        <f t="shared" ca="1" si="1222"/>
        <v>25.74697451294875</v>
      </c>
      <c r="AS353" s="16">
        <f t="shared" ca="1" si="1222"/>
        <v>26.477714003207726</v>
      </c>
      <c r="AT353" s="16">
        <f t="shared" ca="1" si="1222"/>
        <v>27.223068283271882</v>
      </c>
      <c r="AU353" s="16">
        <f t="shared" ca="1" si="1222"/>
        <v>27.983329648937321</v>
      </c>
      <c r="AV353" s="16">
        <f t="shared" ca="1" si="1222"/>
        <v>28.75879624191607</v>
      </c>
      <c r="AW353" s="16">
        <f t="shared" ca="1" si="1222"/>
        <v>29.549772166754391</v>
      </c>
      <c r="AX353" s="16">
        <f t="shared" ca="1" si="1222"/>
        <v>30.356567610089478</v>
      </c>
    </row>
    <row r="354" spans="1:50" x14ac:dyDescent="0.25">
      <c r="A354" s="9" t="s">
        <v>951</v>
      </c>
      <c r="D354" s="64">
        <f t="shared" ref="D354:AX354" si="1223">SUM(D$351:D$353)</f>
        <v>16.573</v>
      </c>
      <c r="E354" s="64">
        <f t="shared" si="1223"/>
        <v>18.100000000000001</v>
      </c>
      <c r="F354" s="64">
        <f t="shared" si="1223"/>
        <v>20.236999999999998</v>
      </c>
      <c r="G354" s="64">
        <f t="shared" si="1223"/>
        <v>28.288</v>
      </c>
      <c r="H354" s="64">
        <f t="shared" si="1223"/>
        <v>25.673999999999999</v>
      </c>
      <c r="I354" s="64">
        <f t="shared" si="1223"/>
        <v>28.638999999999999</v>
      </c>
      <c r="J354" s="65">
        <f t="shared" si="1223"/>
        <v>27.931999999999999</v>
      </c>
      <c r="K354" s="65">
        <f t="shared" si="1223"/>
        <v>28.193000000000001</v>
      </c>
      <c r="L354" s="65">
        <f t="shared" si="1223"/>
        <v>27.722999999999999</v>
      </c>
      <c r="M354" s="65">
        <f t="shared" si="1223"/>
        <v>28.347999999999999</v>
      </c>
      <c r="N354" s="65">
        <f t="shared" si="1223"/>
        <v>29.277999999999999</v>
      </c>
      <c r="O354" s="66">
        <f t="shared" ca="1" si="1223"/>
        <v>33.207028119809024</v>
      </c>
      <c r="P354" s="66">
        <f t="shared" ca="1" si="1223"/>
        <v>34.74724400465773</v>
      </c>
      <c r="Q354" s="66">
        <f t="shared" ca="1" si="1223"/>
        <v>36.334616865169032</v>
      </c>
      <c r="R354" s="66">
        <f t="shared" ca="1" si="1223"/>
        <v>37.942952988126279</v>
      </c>
      <c r="S354" s="66">
        <f t="shared" ca="1" si="1223"/>
        <v>39.599619950217637</v>
      </c>
      <c r="T354" s="66">
        <f t="shared" ca="1" si="1223"/>
        <v>41.305325885314119</v>
      </c>
      <c r="U354" s="66">
        <f t="shared" ca="1" si="1223"/>
        <v>43.063584266691606</v>
      </c>
      <c r="V354" s="66">
        <f t="shared" ca="1" si="1223"/>
        <v>44.876480441199845</v>
      </c>
      <c r="W354" s="66">
        <f t="shared" ca="1" si="1223"/>
        <v>46.741048610773667</v>
      </c>
      <c r="X354" s="66">
        <f t="shared" ca="1" si="1223"/>
        <v>48.662725772955362</v>
      </c>
      <c r="Y354" s="66">
        <f t="shared" ca="1" si="1223"/>
        <v>50.651671386364413</v>
      </c>
      <c r="Z354" s="66">
        <f t="shared" ca="1" si="1223"/>
        <v>52.711774644103642</v>
      </c>
      <c r="AA354" s="66">
        <f t="shared" ca="1" si="1223"/>
        <v>54.850029229713826</v>
      </c>
      <c r="AB354" s="66">
        <f t="shared" ca="1" si="1223"/>
        <v>57.06850509618701</v>
      </c>
      <c r="AC354" s="66">
        <f t="shared" ca="1" si="1223"/>
        <v>59.367679019677368</v>
      </c>
      <c r="AD354" s="66">
        <f t="shared" ca="1" si="1223"/>
        <v>61.748262386885855</v>
      </c>
      <c r="AE354" s="66">
        <f t="shared" ca="1" si="1223"/>
        <v>64.210623066895891</v>
      </c>
      <c r="AF354" s="66">
        <f t="shared" ca="1" si="1223"/>
        <v>66.755385825409647</v>
      </c>
      <c r="AG354" s="66">
        <f t="shared" ca="1" si="1223"/>
        <v>69.382119487455597</v>
      </c>
      <c r="AH354" s="66">
        <f t="shared" ca="1" si="1223"/>
        <v>72.090300660163365</v>
      </c>
      <c r="AI354" s="66">
        <f t="shared" ca="1" si="1223"/>
        <v>74.881047933662913</v>
      </c>
      <c r="AJ354" s="66">
        <f t="shared" ca="1" si="1223"/>
        <v>77.755788783160128</v>
      </c>
      <c r="AK354" s="66">
        <f t="shared" ca="1" si="1223"/>
        <v>80.708898533327513</v>
      </c>
      <c r="AL354" s="66">
        <f t="shared" ca="1" si="1223"/>
        <v>83.738901030912629</v>
      </c>
      <c r="AM354" s="66">
        <f t="shared" ca="1" si="1223"/>
        <v>86.846359351077993</v>
      </c>
      <c r="AN354" s="66">
        <f t="shared" ca="1" si="1223"/>
        <v>90.028329698379494</v>
      </c>
      <c r="AO354" s="66">
        <f t="shared" ca="1" si="1223"/>
        <v>93.282939434638536</v>
      </c>
      <c r="AP354" s="66">
        <f t="shared" ca="1" si="1223"/>
        <v>96.615682320719515</v>
      </c>
      <c r="AQ354" s="66">
        <f t="shared" ca="1" si="1223"/>
        <v>100.02988407092366</v>
      </c>
      <c r="AR354" s="66">
        <f t="shared" ca="1" si="1223"/>
        <v>103.5341103519489</v>
      </c>
      <c r="AS354" s="66">
        <f t="shared" ca="1" si="1223"/>
        <v>107.13073062367096</v>
      </c>
      <c r="AT354" s="66">
        <f t="shared" ca="1" si="1223"/>
        <v>110.82915723041747</v>
      </c>
      <c r="AU354" s="66">
        <f t="shared" ca="1" si="1223"/>
        <v>114.63152987887108</v>
      </c>
      <c r="AV354" s="66">
        <f t="shared" ca="1" si="1223"/>
        <v>118.54588219140811</v>
      </c>
      <c r="AW354" s="66">
        <f t="shared" ca="1" si="1223"/>
        <v>122.57837679641564</v>
      </c>
      <c r="AX354" s="66">
        <f t="shared" ca="1" si="1223"/>
        <v>126.72426213362922</v>
      </c>
    </row>
    <row r="355" spans="1:50" x14ac:dyDescent="0.25">
      <c r="A355" s="9" t="s">
        <v>952</v>
      </c>
      <c r="B355" s="10" t="str">
        <f>$B$38</f>
        <v>From Fiscal Forecasts</v>
      </c>
      <c r="D355" s="42">
        <f>'Fiscal Forecasts'!D$121</f>
        <v>23.327000000000002</v>
      </c>
      <c r="E355" s="42">
        <f>'Fiscal Forecasts'!E$121</f>
        <v>24.742999999999999</v>
      </c>
      <c r="F355" s="42">
        <f>'Fiscal Forecasts'!F$121</f>
        <v>26.829000000000001</v>
      </c>
      <c r="G355" s="42">
        <f>'Fiscal Forecasts'!G$121</f>
        <v>35.134999999999998</v>
      </c>
      <c r="H355" s="42">
        <f>'Fiscal Forecasts'!H$121</f>
        <v>33.548000000000002</v>
      </c>
      <c r="I355" s="42">
        <f>'Fiscal Forecasts'!I$121</f>
        <v>37.231999999999999</v>
      </c>
      <c r="J355" s="43">
        <f>'Fiscal Forecasts'!J$121</f>
        <v>36.374000000000002</v>
      </c>
      <c r="K355" s="43">
        <f>'Fiscal Forecasts'!K$121</f>
        <v>37.006999999999998</v>
      </c>
      <c r="L355" s="43">
        <f>'Fiscal Forecasts'!L$121</f>
        <v>37.020000000000003</v>
      </c>
      <c r="M355" s="43">
        <f>'Fiscal Forecasts'!M$121</f>
        <v>38.235999999999997</v>
      </c>
      <c r="N355" s="43">
        <f>'Fiscal Forecasts'!N$121</f>
        <v>39.780999999999999</v>
      </c>
      <c r="O355" s="47">
        <f t="shared" ref="O355:AX355" ca="1" si="1224">SUM(N$355,O$354-N$354,,O$441-N$441,O$449-N$449,O$466-N$466)-SUM(O$440-N$440,O$448-N$448,O$465-N$465)</f>
        <v>44.031668119809034</v>
      </c>
      <c r="P355" s="47">
        <f t="shared" ca="1" si="1224"/>
        <v>45.899956804657741</v>
      </c>
      <c r="Q355" s="47">
        <f t="shared" ca="1" si="1224"/>
        <v>47.821963921169051</v>
      </c>
      <c r="R355" s="47">
        <f t="shared" ca="1" si="1224"/>
        <v>49.7716269852463</v>
      </c>
      <c r="S355" s="47">
        <f t="shared" ca="1" si="1224"/>
        <v>51.776447427280061</v>
      </c>
      <c r="T355" s="47">
        <f t="shared" ca="1" si="1224"/>
        <v>53.837269911917801</v>
      </c>
      <c r="U355" s="47">
        <f t="shared" ca="1" si="1224"/>
        <v>55.957747173827364</v>
      </c>
      <c r="V355" s="47">
        <f t="shared" ca="1" si="1224"/>
        <v>58.140106606478319</v>
      </c>
      <c r="W355" s="47">
        <f t="shared" ca="1" si="1224"/>
        <v>60.381527299357714</v>
      </c>
      <c r="X355" s="47">
        <f t="shared" ca="1" si="1224"/>
        <v>62.687594035311093</v>
      </c>
      <c r="Y355" s="47">
        <f t="shared" ca="1" si="1224"/>
        <v>65.068617013967241</v>
      </c>
      <c r="Z355" s="47">
        <f t="shared" ca="1" si="1224"/>
        <v>67.528639184258523</v>
      </c>
      <c r="AA355" s="47">
        <f t="shared" ca="1" si="1224"/>
        <v>70.07481106067182</v>
      </c>
      <c r="AB355" s="47">
        <f t="shared" ca="1" si="1224"/>
        <v>72.709362563764174</v>
      </c>
      <c r="AC355" s="47">
        <f t="shared" ca="1" si="1224"/>
        <v>75.432933636606066</v>
      </c>
      <c r="AD355" s="47">
        <f t="shared" ca="1" si="1224"/>
        <v>78.246402096153119</v>
      </c>
      <c r="AE355" s="47">
        <f t="shared" ca="1" si="1224"/>
        <v>81.150305570348507</v>
      </c>
      <c r="AF355" s="47">
        <f t="shared" ca="1" si="1224"/>
        <v>84.145441978931331</v>
      </c>
      <c r="AG355" s="47">
        <f t="shared" ca="1" si="1224"/>
        <v>87.231556764047724</v>
      </c>
      <c r="AH355" s="47">
        <f t="shared" ca="1" si="1224"/>
        <v>90.408306682287332</v>
      </c>
      <c r="AI355" s="47">
        <f t="shared" ca="1" si="1224"/>
        <v>93.676994076229363</v>
      </c>
      <c r="AJ355" s="47">
        <f t="shared" ca="1" si="1224"/>
        <v>97.039233848577922</v>
      </c>
      <c r="AK355" s="47">
        <f t="shared" ca="1" si="1224"/>
        <v>100.48959250005365</v>
      </c>
      <c r="AL355" s="47">
        <f t="shared" ca="1" si="1224"/>
        <v>104.02678887697328</v>
      </c>
      <c r="AM355" s="47">
        <f t="shared" ca="1" si="1224"/>
        <v>107.65158495405986</v>
      </c>
      <c r="AN355" s="47">
        <f t="shared" ca="1" si="1224"/>
        <v>111.36123981342101</v>
      </c>
      <c r="AO355" s="47">
        <f t="shared" ca="1" si="1224"/>
        <v>115.15408775198087</v>
      </c>
      <c r="AP355" s="47">
        <f t="shared" ca="1" si="1224"/>
        <v>119.03583360440869</v>
      </c>
      <c r="AQ355" s="47">
        <f t="shared" ca="1" si="1224"/>
        <v>123.01001838028662</v>
      </c>
      <c r="AR355" s="47">
        <f t="shared" ca="1" si="1224"/>
        <v>127.08542734749909</v>
      </c>
      <c r="AS355" s="47">
        <f t="shared" ca="1" si="1224"/>
        <v>131.26465395913212</v>
      </c>
      <c r="AT355" s="47">
        <f t="shared" ca="1" si="1224"/>
        <v>135.55733903258786</v>
      </c>
      <c r="AU355" s="47">
        <f t="shared" ca="1" si="1224"/>
        <v>139.96585531708484</v>
      </c>
      <c r="AV355" s="47">
        <f t="shared" ca="1" si="1224"/>
        <v>144.49847413838614</v>
      </c>
      <c r="AW355" s="47">
        <f t="shared" ca="1" si="1224"/>
        <v>149.16160058233322</v>
      </c>
      <c r="AX355" s="47">
        <f t="shared" ca="1" si="1224"/>
        <v>153.95073039526517</v>
      </c>
    </row>
    <row r="357" spans="1:50" x14ac:dyDescent="0.25">
      <c r="A357" s="9" t="s">
        <v>543</v>
      </c>
    </row>
    <row r="358" spans="1:50" x14ac:dyDescent="0.25">
      <c r="A358" s="11" t="s">
        <v>958</v>
      </c>
      <c r="D358" s="35">
        <f ca="1">OFFSET(Assumptions!$B$52,0,$C$1)*(D$385-D$351-D$392)</f>
        <v>14.03904</v>
      </c>
      <c r="E358" s="35">
        <f ca="1">OFFSET(Assumptions!$B$52,0,$C$1)*(E$385-E$351-E$392)</f>
        <v>13.838400000000002</v>
      </c>
      <c r="F358" s="35">
        <f ca="1">OFFSET(Assumptions!$B$52,0,$C$1)*(F$385-F$351-F$392)</f>
        <v>17.912959999999998</v>
      </c>
      <c r="G358" s="35">
        <f ca="1">OFFSET(Assumptions!$B$52,0,$C$1)*(G$385-G$351-G$392)</f>
        <v>19.295359999999999</v>
      </c>
      <c r="H358" s="35">
        <f ca="1">OFFSET(Assumptions!$B$52,0,$C$1)*(H$385-H$351-H$392)</f>
        <v>18.892800000000005</v>
      </c>
      <c r="I358" s="35">
        <f ca="1">OFFSET(Assumptions!$B$52,0,$C$1)*(I$385-I$351-I$392)</f>
        <v>21.588159999999998</v>
      </c>
      <c r="J358" s="17">
        <f ca="1">OFFSET(Assumptions!$B$52,0,$C$1)*(J$385-J$351-J$392)</f>
        <v>25.920320000000004</v>
      </c>
      <c r="K358" s="17">
        <f ca="1">OFFSET(Assumptions!$B$52,0,$C$1)*(K$385-K$351-K$392)</f>
        <v>27.230080000000005</v>
      </c>
      <c r="L358" s="17">
        <f ca="1">OFFSET(Assumptions!$B$52,0,$C$1)*(L$385-L$351-L$392)</f>
        <v>29.563200000000002</v>
      </c>
      <c r="M358" s="17">
        <f ca="1">OFFSET(Assumptions!$B$52,0,$C$1)*(M$385-M$351-M$392)</f>
        <v>30.861120000000003</v>
      </c>
      <c r="N358" s="17">
        <f ca="1">OFFSET(Assumptions!$B$52,0,$C$1)*(N$385-N$351-N$392)</f>
        <v>32.542720000000003</v>
      </c>
      <c r="O358" s="16">
        <f ca="1">OFFSET(Assumptions!$B$52,0,$C$1)*(O$385-O$351-O$392)</f>
        <v>33.877219802031561</v>
      </c>
      <c r="P358" s="16">
        <f ca="1">OFFSET(Assumptions!$B$52,0,$C$1)*(P$385-P$351-P$392)</f>
        <v>36.026731046070438</v>
      </c>
      <c r="Q358" s="16">
        <f ca="1">OFFSET(Assumptions!$B$52,0,$C$1)*(Q$385-Q$351-Q$392)</f>
        <v>38.280889099565002</v>
      </c>
      <c r="R358" s="16">
        <f ca="1">OFFSET(Assumptions!$B$52,0,$C$1)*(R$385-R$351-R$392)</f>
        <v>40.63193054449421</v>
      </c>
      <c r="S358" s="16">
        <f ca="1">OFFSET(Assumptions!$B$52,0,$C$1)*(S$385-S$351-S$392)</f>
        <v>43.079499159778692</v>
      </c>
      <c r="T358" s="16">
        <f ca="1">OFFSET(Assumptions!$B$52,0,$C$1)*(T$385-T$351-T$392)</f>
        <v>45.635358493987425</v>
      </c>
      <c r="U358" s="16">
        <f ca="1">OFFSET(Assumptions!$B$52,0,$C$1)*(U$385-U$351-U$392)</f>
        <v>48.290676576686842</v>
      </c>
      <c r="V358" s="16">
        <f ca="1">OFFSET(Assumptions!$B$52,0,$C$1)*(V$385-V$351-V$392)</f>
        <v>51.063145148951072</v>
      </c>
      <c r="W358" s="16">
        <f ca="1">OFFSET(Assumptions!$B$52,0,$C$1)*(W$385-W$351-W$392)</f>
        <v>53.980670701465783</v>
      </c>
      <c r="X358" s="16">
        <f ca="1">OFFSET(Assumptions!$B$52,0,$C$1)*(X$385-X$351-X$392)</f>
        <v>57.073239800144201</v>
      </c>
      <c r="Y358" s="16">
        <f ca="1">OFFSET(Assumptions!$B$52,0,$C$1)*(Y$385-Y$351-Y$392)</f>
        <v>60.380464002319762</v>
      </c>
      <c r="Z358" s="16">
        <f ca="1">OFFSET(Assumptions!$B$52,0,$C$1)*(Z$385-Z$351-Z$392)</f>
        <v>63.938647712117607</v>
      </c>
      <c r="AA358" s="16">
        <f ca="1">OFFSET(Assumptions!$B$52,0,$C$1)*(AA$385-AA$351-AA$392)</f>
        <v>67.767069468727058</v>
      </c>
      <c r="AB358" s="16">
        <f ca="1">OFFSET(Assumptions!$B$52,0,$C$1)*(AB$385-AB$351-AB$392)</f>
        <v>71.897481915249301</v>
      </c>
      <c r="AC358" s="16">
        <f ca="1">OFFSET(Assumptions!$B$52,0,$C$1)*(AC$385-AC$351-AC$392)</f>
        <v>76.332709413941885</v>
      </c>
      <c r="AD358" s="16">
        <f ca="1">OFFSET(Assumptions!$B$52,0,$C$1)*(AD$385-AD$351-AD$392)</f>
        <v>81.068386675816285</v>
      </c>
      <c r="AE358" s="16">
        <f ca="1">OFFSET(Assumptions!$B$52,0,$C$1)*(AE$385-AE$351-AE$392)</f>
        <v>86.109506760414732</v>
      </c>
      <c r="AF358" s="16">
        <f ca="1">OFFSET(Assumptions!$B$52,0,$C$1)*(AF$385-AF$351-AF$392)</f>
        <v>91.45687286686838</v>
      </c>
      <c r="AG358" s="16">
        <f ca="1">OFFSET(Assumptions!$B$52,0,$C$1)*(AG$385-AG$351-AG$392)</f>
        <v>97.102076802257272</v>
      </c>
      <c r="AH358" s="16">
        <f ca="1">OFFSET(Assumptions!$B$52,0,$C$1)*(AH$385-AH$351-AH$392)</f>
        <v>103.04459558915434</v>
      </c>
      <c r="AI358" s="16">
        <f ca="1">OFFSET(Assumptions!$B$52,0,$C$1)*(AI$385-AI$351-AI$392)</f>
        <v>109.27841749540686</v>
      </c>
      <c r="AJ358" s="16">
        <f ca="1">OFFSET(Assumptions!$B$52,0,$C$1)*(AJ$385-AJ$351-AJ$392)</f>
        <v>115.79733552731041</v>
      </c>
      <c r="AK358" s="16">
        <f ca="1">OFFSET(Assumptions!$B$52,0,$C$1)*(AK$385-AK$351-AK$392)</f>
        <v>122.56332570096562</v>
      </c>
      <c r="AL358" s="16">
        <f ca="1">OFFSET(Assumptions!$B$52,0,$C$1)*(AL$385-AL$351-AL$392)</f>
        <v>129.53681995727604</v>
      </c>
      <c r="AM358" s="16">
        <f ca="1">OFFSET(Assumptions!$B$52,0,$C$1)*(AM$385-AM$351-AM$392)</f>
        <v>136.69667282399311</v>
      </c>
      <c r="AN358" s="16">
        <f ca="1">OFFSET(Assumptions!$B$52,0,$C$1)*(AN$385-AN$351-AN$392)</f>
        <v>143.99114974236983</v>
      </c>
      <c r="AO358" s="16">
        <f ca="1">OFFSET(Assumptions!$B$52,0,$C$1)*(AO$385-AO$351-AO$392)</f>
        <v>151.3917595725795</v>
      </c>
      <c r="AP358" s="16">
        <f ca="1">OFFSET(Assumptions!$B$52,0,$C$1)*(AP$385-AP$351-AP$392)</f>
        <v>158.89453486978641</v>
      </c>
      <c r="AQ358" s="16">
        <f ca="1">OFFSET(Assumptions!$B$52,0,$C$1)*(AQ$385-AQ$351-AQ$392)</f>
        <v>166.51215792182106</v>
      </c>
      <c r="AR358" s="16">
        <f ca="1">OFFSET(Assumptions!$B$52,0,$C$1)*(AR$385-AR$351-AR$392)</f>
        <v>174.27658930070081</v>
      </c>
      <c r="AS358" s="16">
        <f ca="1">OFFSET(Assumptions!$B$52,0,$C$1)*(AS$385-AS$351-AS$392)</f>
        <v>182.19446594243138</v>
      </c>
      <c r="AT358" s="16">
        <f ca="1">OFFSET(Assumptions!$B$52,0,$C$1)*(AT$385-AT$351-AT$392)</f>
        <v>190.29328368634646</v>
      </c>
      <c r="AU358" s="16">
        <f ca="1">OFFSET(Assumptions!$B$52,0,$C$1)*(AU$385-AU$351-AU$392)</f>
        <v>198.59998829740192</v>
      </c>
      <c r="AV358" s="16">
        <f ca="1">OFFSET(Assumptions!$B$52,0,$C$1)*(AV$385-AV$351-AV$392)</f>
        <v>207.13069262677894</v>
      </c>
      <c r="AW358" s="16">
        <f ca="1">OFFSET(Assumptions!$B$52,0,$C$1)*(AW$385-AW$351-AW$392)</f>
        <v>215.92355122076322</v>
      </c>
      <c r="AX358" s="16">
        <f ca="1">OFFSET(Assumptions!$B$52,0,$C$1)*(AX$385-AX$351-AX$392)</f>
        <v>224.9380748125929</v>
      </c>
    </row>
    <row r="359" spans="1:50" x14ac:dyDescent="0.25">
      <c r="A359" s="11" t="s">
        <v>959</v>
      </c>
      <c r="B359" s="10" t="str">
        <f>$B$38</f>
        <v>From Fiscal Forecasts</v>
      </c>
      <c r="D359" s="35">
        <f ca="1">'Fiscal Forecasts'!D$182-D$358</f>
        <v>13.366959999999999</v>
      </c>
      <c r="E359" s="35">
        <f ca="1">'Fiscal Forecasts'!E$182-E$358</f>
        <v>29.827599999999997</v>
      </c>
      <c r="F359" s="35">
        <f ca="1">'Fiscal Forecasts'!F$182-F$358</f>
        <v>19.820039999999999</v>
      </c>
      <c r="G359" s="35">
        <f ca="1">'Fiscal Forecasts'!G$182-G$358</f>
        <v>24.468640000000004</v>
      </c>
      <c r="H359" s="35">
        <f ca="1">'Fiscal Forecasts'!H$182-H$358</f>
        <v>25.522199999999994</v>
      </c>
      <c r="I359" s="35">
        <f ca="1">'Fiscal Forecasts'!I$182-I$358</f>
        <v>30.382839999999998</v>
      </c>
      <c r="J359" s="17">
        <f ca="1">'Fiscal Forecasts'!J$182-J$358</f>
        <v>38.730679999999992</v>
      </c>
      <c r="K359" s="17">
        <f ca="1">'Fiscal Forecasts'!K$182-K$358</f>
        <v>46.704920000000001</v>
      </c>
      <c r="L359" s="17">
        <f ca="1">'Fiscal Forecasts'!L$182-L$358</f>
        <v>45.037799999999997</v>
      </c>
      <c r="M359" s="17">
        <f ca="1">'Fiscal Forecasts'!M$182-M$358</f>
        <v>45.951880000000003</v>
      </c>
      <c r="N359" s="17">
        <f ca="1">'Fiscal Forecasts'!N$182-N$358</f>
        <v>46.982280000000003</v>
      </c>
      <c r="O359" s="16">
        <f t="shared" ref="O359:AX359" ca="1" si="1225">N$359*(1+O$14)</f>
        <v>49.090033170671859</v>
      </c>
      <c r="P359" s="16">
        <f t="shared" ca="1" si="1225"/>
        <v>51.259583483340414</v>
      </c>
      <c r="Q359" s="16">
        <f t="shared" ca="1" si="1225"/>
        <v>53.436358609484486</v>
      </c>
      <c r="R359" s="16">
        <f t="shared" ca="1" si="1225"/>
        <v>55.612993175225654</v>
      </c>
      <c r="S359" s="16">
        <f t="shared" ca="1" si="1225"/>
        <v>57.859228481026335</v>
      </c>
      <c r="T359" s="16">
        <f t="shared" ca="1" si="1225"/>
        <v>60.173969864622286</v>
      </c>
      <c r="U359" s="16">
        <f t="shared" ca="1" si="1225"/>
        <v>62.566537648794558</v>
      </c>
      <c r="V359" s="16">
        <f t="shared" ca="1" si="1225"/>
        <v>65.037599640912731</v>
      </c>
      <c r="W359" s="16">
        <f t="shared" ca="1" si="1225"/>
        <v>67.574276001305861</v>
      </c>
      <c r="X359" s="16">
        <f t="shared" ca="1" si="1225"/>
        <v>70.180676203492894</v>
      </c>
      <c r="Y359" s="16">
        <f t="shared" ca="1" si="1225"/>
        <v>72.870451713276296</v>
      </c>
      <c r="Z359" s="16">
        <f t="shared" ca="1" si="1225"/>
        <v>75.644066169561441</v>
      </c>
      <c r="AA359" s="16">
        <f t="shared" ca="1" si="1225"/>
        <v>78.512863722306392</v>
      </c>
      <c r="AB359" s="16">
        <f t="shared" ca="1" si="1225"/>
        <v>81.473800050963348</v>
      </c>
      <c r="AC359" s="16">
        <f t="shared" ca="1" si="1225"/>
        <v>84.526799007375502</v>
      </c>
      <c r="AD359" s="16">
        <f t="shared" ca="1" si="1225"/>
        <v>87.674048607287162</v>
      </c>
      <c r="AE359" s="16">
        <f t="shared" ca="1" si="1225"/>
        <v>90.914690289181138</v>
      </c>
      <c r="AF359" s="16">
        <f t="shared" ca="1" si="1225"/>
        <v>94.249484073758694</v>
      </c>
      <c r="AG359" s="16">
        <f t="shared" ca="1" si="1225"/>
        <v>97.678789282651465</v>
      </c>
      <c r="AH359" s="16">
        <f t="shared" ca="1" si="1225"/>
        <v>101.20098891893564</v>
      </c>
      <c r="AI359" s="16">
        <f t="shared" ca="1" si="1225"/>
        <v>104.81942241820802</v>
      </c>
      <c r="AJ359" s="16">
        <f t="shared" ca="1" si="1225"/>
        <v>108.53835904672692</v>
      </c>
      <c r="AK359" s="16">
        <f t="shared" ca="1" si="1225"/>
        <v>112.35286199318662</v>
      </c>
      <c r="AL359" s="16">
        <f t="shared" ca="1" si="1225"/>
        <v>116.26816392008972</v>
      </c>
      <c r="AM359" s="16">
        <f t="shared" ca="1" si="1225"/>
        <v>120.2899290725626</v>
      </c>
      <c r="AN359" s="16">
        <f t="shared" ca="1" si="1225"/>
        <v>124.42273058972413</v>
      </c>
      <c r="AO359" s="16">
        <f t="shared" ca="1" si="1225"/>
        <v>128.6682865823461</v>
      </c>
      <c r="AP359" s="16">
        <f t="shared" ca="1" si="1225"/>
        <v>133.03965847520831</v>
      </c>
      <c r="AQ359" s="16">
        <f t="shared" ca="1" si="1225"/>
        <v>137.54111730978241</v>
      </c>
      <c r="AR359" s="16">
        <f t="shared" ca="1" si="1225"/>
        <v>142.18441054701333</v>
      </c>
      <c r="AS359" s="16">
        <f t="shared" ca="1" si="1225"/>
        <v>146.9730105925014</v>
      </c>
      <c r="AT359" s="16">
        <f t="shared" ca="1" si="1225"/>
        <v>151.92181848978709</v>
      </c>
      <c r="AU359" s="16">
        <f t="shared" ca="1" si="1225"/>
        <v>157.02869469968272</v>
      </c>
      <c r="AV359" s="16">
        <f t="shared" ca="1" si="1225"/>
        <v>162.30811762735564</v>
      </c>
      <c r="AW359" s="16">
        <f t="shared" ca="1" si="1225"/>
        <v>167.76474034748358</v>
      </c>
      <c r="AX359" s="16">
        <f t="shared" ca="1" si="1225"/>
        <v>173.396295619238</v>
      </c>
    </row>
    <row r="360" spans="1:50" x14ac:dyDescent="0.25">
      <c r="A360" s="9" t="s">
        <v>960</v>
      </c>
      <c r="D360" s="64">
        <f t="shared" ref="D360:N360" ca="1" si="1226">SUM(D$358:D$359)</f>
        <v>27.405999999999999</v>
      </c>
      <c r="E360" s="64">
        <f t="shared" ca="1" si="1226"/>
        <v>43.665999999999997</v>
      </c>
      <c r="F360" s="64">
        <f t="shared" ca="1" si="1226"/>
        <v>37.732999999999997</v>
      </c>
      <c r="G360" s="64">
        <f t="shared" ca="1" si="1226"/>
        <v>43.764000000000003</v>
      </c>
      <c r="H360" s="64">
        <f t="shared" ca="1" si="1226"/>
        <v>44.414999999999999</v>
      </c>
      <c r="I360" s="64">
        <f t="shared" ca="1" si="1226"/>
        <v>51.970999999999997</v>
      </c>
      <c r="J360" s="65">
        <f t="shared" ca="1" si="1226"/>
        <v>64.650999999999996</v>
      </c>
      <c r="K360" s="65">
        <f t="shared" ca="1" si="1226"/>
        <v>73.935000000000002</v>
      </c>
      <c r="L360" s="65">
        <f t="shared" ca="1" si="1226"/>
        <v>74.600999999999999</v>
      </c>
      <c r="M360" s="65">
        <f t="shared" ca="1" si="1226"/>
        <v>76.813000000000002</v>
      </c>
      <c r="N360" s="65">
        <f t="shared" ca="1" si="1226"/>
        <v>79.525000000000006</v>
      </c>
      <c r="O360" s="66">
        <f t="shared" ref="O360:AW360" ca="1" si="1227">SUM(O$358:O$359)</f>
        <v>82.96725297270342</v>
      </c>
      <c r="P360" s="66">
        <f t="shared" ca="1" si="1227"/>
        <v>87.286314529410845</v>
      </c>
      <c r="Q360" s="66">
        <f t="shared" ca="1" si="1227"/>
        <v>91.717247709049488</v>
      </c>
      <c r="R360" s="66">
        <f t="shared" ca="1" si="1227"/>
        <v>96.244923719719864</v>
      </c>
      <c r="S360" s="66">
        <f t="shared" ca="1" si="1227"/>
        <v>100.93872764080503</v>
      </c>
      <c r="T360" s="66">
        <f t="shared" ca="1" si="1227"/>
        <v>105.80932835860972</v>
      </c>
      <c r="U360" s="66">
        <f t="shared" ca="1" si="1227"/>
        <v>110.8572142254814</v>
      </c>
      <c r="V360" s="66">
        <f t="shared" ca="1" si="1227"/>
        <v>116.1007447898638</v>
      </c>
      <c r="W360" s="66">
        <f t="shared" ca="1" si="1227"/>
        <v>121.55494670277164</v>
      </c>
      <c r="X360" s="66">
        <f t="shared" ca="1" si="1227"/>
        <v>127.2539160036371</v>
      </c>
      <c r="Y360" s="66">
        <f t="shared" ca="1" si="1227"/>
        <v>133.25091571559605</v>
      </c>
      <c r="Z360" s="66">
        <f t="shared" ca="1" si="1227"/>
        <v>139.58271388167904</v>
      </c>
      <c r="AA360" s="66">
        <f t="shared" ca="1" si="1227"/>
        <v>146.27993319103345</v>
      </c>
      <c r="AB360" s="66">
        <f t="shared" ca="1" si="1227"/>
        <v>153.37128196621265</v>
      </c>
      <c r="AC360" s="66">
        <f t="shared" ca="1" si="1227"/>
        <v>160.8595084213174</v>
      </c>
      <c r="AD360" s="66">
        <f t="shared" ca="1" si="1227"/>
        <v>168.74243528310345</v>
      </c>
      <c r="AE360" s="66">
        <f t="shared" ca="1" si="1227"/>
        <v>177.02419704959587</v>
      </c>
      <c r="AF360" s="66">
        <f t="shared" ca="1" si="1227"/>
        <v>185.70635694062707</v>
      </c>
      <c r="AG360" s="66">
        <f t="shared" ca="1" si="1227"/>
        <v>194.78086608490872</v>
      </c>
      <c r="AH360" s="66">
        <f t="shared" ca="1" si="1227"/>
        <v>204.24558450808996</v>
      </c>
      <c r="AI360" s="66">
        <f t="shared" ca="1" si="1227"/>
        <v>214.09783991361488</v>
      </c>
      <c r="AJ360" s="66">
        <f t="shared" ca="1" si="1227"/>
        <v>224.33569457403735</v>
      </c>
      <c r="AK360" s="66">
        <f t="shared" ca="1" si="1227"/>
        <v>234.91618769415226</v>
      </c>
      <c r="AL360" s="66">
        <f t="shared" ca="1" si="1227"/>
        <v>245.80498387736577</v>
      </c>
      <c r="AM360" s="66">
        <f t="shared" ca="1" si="1227"/>
        <v>256.98660189655573</v>
      </c>
      <c r="AN360" s="66">
        <f t="shared" ca="1" si="1227"/>
        <v>268.41388033209398</v>
      </c>
      <c r="AO360" s="66">
        <f t="shared" ca="1" si="1227"/>
        <v>280.0600461549256</v>
      </c>
      <c r="AP360" s="66">
        <f t="shared" ca="1" si="1227"/>
        <v>291.9341933449947</v>
      </c>
      <c r="AQ360" s="66">
        <f t="shared" ca="1" si="1227"/>
        <v>304.05327523160349</v>
      </c>
      <c r="AR360" s="66">
        <f t="shared" ca="1" si="1227"/>
        <v>316.46099984771411</v>
      </c>
      <c r="AS360" s="66">
        <f t="shared" ca="1" si="1227"/>
        <v>329.1674765349328</v>
      </c>
      <c r="AT360" s="66">
        <f t="shared" ca="1" si="1227"/>
        <v>342.21510217613354</v>
      </c>
      <c r="AU360" s="66">
        <f t="shared" ca="1" si="1227"/>
        <v>355.62868299708464</v>
      </c>
      <c r="AV360" s="66">
        <f t="shared" ca="1" si="1227"/>
        <v>369.43881025413458</v>
      </c>
      <c r="AW360" s="66">
        <f t="shared" ca="1" si="1227"/>
        <v>383.68829156824677</v>
      </c>
      <c r="AX360" s="66">
        <f ca="1">SUM(AX$358:AX$359)</f>
        <v>398.33437043183091</v>
      </c>
    </row>
    <row r="361" spans="1:50" x14ac:dyDescent="0.25">
      <c r="A361" s="11" t="s">
        <v>630</v>
      </c>
      <c r="B361" s="10" t="str">
        <f>$B$38</f>
        <v>From Fiscal Forecasts</v>
      </c>
      <c r="D361" s="35">
        <f>'Fiscal Forecasts'!D$214</f>
        <v>33.838000000000001</v>
      </c>
      <c r="E361" s="35">
        <f>'Fiscal Forecasts'!E$214</f>
        <v>34.494</v>
      </c>
      <c r="F361" s="35">
        <f>'Fiscal Forecasts'!F$214</f>
        <v>33.545999999999999</v>
      </c>
      <c r="G361" s="35">
        <f>'Fiscal Forecasts'!G$214</f>
        <v>31.513000000000002</v>
      </c>
      <c r="H361" s="35">
        <f>'Fiscal Forecasts'!H$214</f>
        <v>34.506</v>
      </c>
      <c r="I361" s="35">
        <f>'Fiscal Forecasts'!I$214</f>
        <v>39.212000000000003</v>
      </c>
      <c r="J361" s="17">
        <f>'Fiscal Forecasts'!J$214</f>
        <v>44.709000000000003</v>
      </c>
      <c r="K361" s="17">
        <f>'Fiscal Forecasts'!K$214</f>
        <v>45.356000000000002</v>
      </c>
      <c r="L361" s="17">
        <f>'Fiscal Forecasts'!L$214</f>
        <v>45.789000000000001</v>
      </c>
      <c r="M361" s="17">
        <f>'Fiscal Forecasts'!M$214</f>
        <v>46.503999999999998</v>
      </c>
      <c r="N361" s="17">
        <f>'Fiscal Forecasts'!N$214</f>
        <v>47.848999999999997</v>
      </c>
      <c r="O361" s="16">
        <f ca="1">N$361*AVERAGE(Exogenous!Z$30/Exogenous!Y$30,1+O$14)</f>
        <v>49.60976455349045</v>
      </c>
      <c r="P361" s="16">
        <f ca="1">O$361*AVERAGE(Exogenous!AA$30/Exogenous!Z$30,1+P$14)</f>
        <v>51.558372239326474</v>
      </c>
      <c r="Q361" s="16">
        <f ca="1">P$361*AVERAGE(Exogenous!AB$30/Exogenous!AA$30,1+Q$14)</f>
        <v>53.711843674892513</v>
      </c>
      <c r="R361" s="16">
        <f ca="1">Q$361*AVERAGE(Exogenous!AC$30/Exogenous!AB$30,1+R$14)</f>
        <v>56.090290888715046</v>
      </c>
      <c r="S361" s="16">
        <f ca="1">R$361*AVERAGE(Exogenous!AD$30/Exogenous!AC$30,1+S$14)</f>
        <v>58.758150592937575</v>
      </c>
      <c r="T361" s="16">
        <f ca="1">S$361*AVERAGE(Exogenous!AE$30/Exogenous!AD$30,1+T$14)</f>
        <v>61.754062435995749</v>
      </c>
      <c r="U361" s="16">
        <f ca="1">T$361*AVERAGE(Exogenous!AF$30/Exogenous!AE$30,1+U$14)</f>
        <v>65.117783125641679</v>
      </c>
      <c r="V361" s="16">
        <f ca="1">U$361*AVERAGE(Exogenous!AG$30/Exogenous!AF$30,1+V$14)</f>
        <v>68.731539672204192</v>
      </c>
      <c r="W361" s="16">
        <f ca="1">V$361*AVERAGE(Exogenous!AH$30/Exogenous!AG$30,1+W$14)</f>
        <v>72.462968225431595</v>
      </c>
      <c r="X361" s="16">
        <f ca="1">W$361*AVERAGE(Exogenous!AI$30/Exogenous!AH$30,1+X$14)</f>
        <v>76.286666567151016</v>
      </c>
      <c r="Y361" s="16">
        <f ca="1">X$361*AVERAGE(Exogenous!AJ$30/Exogenous!AI$30,1+Y$14)</f>
        <v>80.225486382484988</v>
      </c>
      <c r="Z361" s="16">
        <f ca="1">Y$361*AVERAGE(Exogenous!AK$30/Exogenous!AJ$30,1+Z$14)</f>
        <v>84.294538979757519</v>
      </c>
      <c r="AA361" s="16">
        <f ca="1">Z$361*AVERAGE(Exogenous!AL$30/Exogenous!AK$30,1+AA$14)</f>
        <v>88.511165332726961</v>
      </c>
      <c r="AB361" s="16">
        <f ca="1">AA$361*AVERAGE(Exogenous!AM$30/Exogenous!AL$30,1+AB$14)</f>
        <v>92.885874306106629</v>
      </c>
      <c r="AC361" s="16">
        <f ca="1">AB$361*AVERAGE(Exogenous!AN$30/Exogenous!AM$30,1+AC$14)</f>
        <v>97.433130662683098</v>
      </c>
      <c r="AD361" s="16">
        <f ca="1">AC$361*AVERAGE(Exogenous!AO$30/Exogenous!AN$30,1+AD$14)</f>
        <v>102.18139533278307</v>
      </c>
      <c r="AE361" s="16">
        <f ca="1">AD$361*AVERAGE(Exogenous!AP$30/Exogenous!AO$30,1+AE$14)</f>
        <v>107.12101717451027</v>
      </c>
      <c r="AF361" s="16">
        <f ca="1">AE$361*AVERAGE(Exogenous!AQ$30/Exogenous!AP$30,1+AF$14)</f>
        <v>112.28258674621563</v>
      </c>
      <c r="AG361" s="16">
        <f ca="1">AF$361*AVERAGE(Exogenous!AR$30/Exogenous!AQ$30,1+AG$14)</f>
        <v>117.65017378218867</v>
      </c>
      <c r="AH361" s="16">
        <f ca="1">AG$361*AVERAGE(Exogenous!AS$30/Exogenous!AR$30,1+AH$14)</f>
        <v>123.20551357645465</v>
      </c>
      <c r="AI361" s="16">
        <f ca="1">AH$361*AVERAGE(Exogenous!AT$30/Exogenous!AS$30,1+AI$14)</f>
        <v>128.97836850645527</v>
      </c>
      <c r="AJ361" s="16">
        <f ca="1">AI$361*AVERAGE(Exogenous!AU$30/Exogenous!AT$30,1+AJ$14)</f>
        <v>134.97952538952231</v>
      </c>
      <c r="AK361" s="16">
        <f ca="1">AJ$361*AVERAGE(Exogenous!AV$30/Exogenous!AU$30,1+AK$14)</f>
        <v>141.18730843528107</v>
      </c>
      <c r="AL361" s="16">
        <f ca="1">AK$361*AVERAGE(Exogenous!AW$30/Exogenous!AV$30,1+AL$14)</f>
        <v>147.66350506839802</v>
      </c>
      <c r="AM361" s="16">
        <f ca="1">AL$361*AVERAGE(Exogenous!AX$30/Exogenous!AW$30,1+AM$14)</f>
        <v>154.40480069758121</v>
      </c>
      <c r="AN361" s="16">
        <f ca="1">AM$361*AVERAGE(Exogenous!AY$30/Exogenous!AX$30,1+AN$14)</f>
        <v>161.43782182561722</v>
      </c>
      <c r="AO361" s="16">
        <f ca="1">AN$361*AVERAGE(Exogenous!AZ$30/Exogenous!AY$30,1+AO$14)</f>
        <v>168.79069531835123</v>
      </c>
      <c r="AP361" s="16">
        <f ca="1">AO$361*AVERAGE(Exogenous!BA$30/Exogenous!AZ$30,1+AP$14)</f>
        <v>176.47708356997398</v>
      </c>
      <c r="AQ361" s="16">
        <f ca="1">AP$361*AVERAGE(Exogenous!BB$30/Exogenous!BA$30,1+AQ$14)</f>
        <v>184.53103568868102</v>
      </c>
      <c r="AR361" s="16">
        <f ca="1">AQ$361*AVERAGE(Exogenous!BC$30/Exogenous!BB$30,1+AR$14)</f>
        <v>192.94552254397541</v>
      </c>
      <c r="AS361" s="16">
        <f ca="1">AR$361*AVERAGE(Exogenous!BD$30/Exogenous!BC$30,1+AS$14)</f>
        <v>201.73593691971567</v>
      </c>
      <c r="AT361" s="16">
        <f ca="1">AS$361*AVERAGE(Exogenous!BE$30/Exogenous!BD$30,1+AT$14)</f>
        <v>210.92610230638167</v>
      </c>
      <c r="AU361" s="16">
        <f ca="1">AT$361*AVERAGE(Exogenous!BF$30/Exogenous!BE$30,1+AU$14)</f>
        <v>220.52898330480286</v>
      </c>
      <c r="AV361" s="16">
        <f ca="1">AU$361*AVERAGE(Exogenous!BG$30/Exogenous!BF$30,1+AV$14)</f>
        <v>230.56967357385</v>
      </c>
      <c r="AW361" s="16">
        <f ca="1">AV$361*AVERAGE(Exogenous!BH$30/Exogenous!BG$30,1+AW$14)</f>
        <v>241.06730479348093</v>
      </c>
      <c r="AX361" s="16">
        <f ca="1">AW$361*AVERAGE(Exogenous!BI$30/Exogenous!BH$30,1+AX$14)</f>
        <v>252.03676733197878</v>
      </c>
    </row>
    <row r="362" spans="1:50" x14ac:dyDescent="0.25">
      <c r="A362" s="11" t="s">
        <v>825</v>
      </c>
      <c r="B362" s="10" t="str">
        <f t="shared" ref="B362:B363" si="1228">$B$38</f>
        <v>From Fiscal Forecasts</v>
      </c>
      <c r="D362" s="35">
        <f>'Fiscal Forecasts'!D$215</f>
        <v>3.3879999999999999</v>
      </c>
      <c r="E362" s="35">
        <f>'Fiscal Forecasts'!E$215</f>
        <v>3.88</v>
      </c>
      <c r="F362" s="35">
        <f>'Fiscal Forecasts'!F$215</f>
        <v>3.3250000000000002</v>
      </c>
      <c r="G362" s="35">
        <f>'Fiscal Forecasts'!G$215</f>
        <v>5.3479999999999999</v>
      </c>
      <c r="H362" s="35">
        <f>'Fiscal Forecasts'!H$215</f>
        <v>3.9380000000000002</v>
      </c>
      <c r="I362" s="35">
        <f>'Fiscal Forecasts'!I$215</f>
        <v>2.9710000000000001</v>
      </c>
      <c r="J362" s="17">
        <f>'Fiscal Forecasts'!J$215</f>
        <v>3.2130000000000001</v>
      </c>
      <c r="K362" s="17">
        <f>'Fiscal Forecasts'!K$215</f>
        <v>2.7749999999999999</v>
      </c>
      <c r="L362" s="17">
        <f>'Fiscal Forecasts'!L$215</f>
        <v>2.8260000000000001</v>
      </c>
      <c r="M362" s="17">
        <f>'Fiscal Forecasts'!M$215</f>
        <v>3.0030000000000001</v>
      </c>
      <c r="N362" s="17">
        <f>'Fiscal Forecasts'!N$215</f>
        <v>2.976</v>
      </c>
      <c r="O362" s="16">
        <f t="shared" ref="O362:AX362" ca="1" si="1229">N$362*(1+O$14)</f>
        <v>3.1095114736006733</v>
      </c>
      <c r="P362" s="16">
        <f t="shared" ca="1" si="1229"/>
        <v>3.2469373654582339</v>
      </c>
      <c r="Q362" s="16">
        <f t="shared" ca="1" si="1229"/>
        <v>3.3848208988968995</v>
      </c>
      <c r="R362" s="16">
        <f t="shared" ca="1" si="1229"/>
        <v>3.5226955288136619</v>
      </c>
      <c r="S362" s="16">
        <f t="shared" ca="1" si="1229"/>
        <v>3.6649788805382446</v>
      </c>
      <c r="T362" s="16">
        <f t="shared" ca="1" si="1229"/>
        <v>3.81160161484534</v>
      </c>
      <c r="U362" s="16">
        <f t="shared" ca="1" si="1229"/>
        <v>3.9631541092261293</v>
      </c>
      <c r="V362" s="16">
        <f t="shared" ca="1" si="1229"/>
        <v>4.1196786646232644</v>
      </c>
      <c r="W362" s="16">
        <f t="shared" ca="1" si="1229"/>
        <v>4.2803594329582619</v>
      </c>
      <c r="X362" s="16">
        <f t="shared" ca="1" si="1229"/>
        <v>4.445456720738008</v>
      </c>
      <c r="Y362" s="16">
        <f t="shared" ca="1" si="1229"/>
        <v>4.6158352531786511</v>
      </c>
      <c r="Z362" s="16">
        <f t="shared" ca="1" si="1229"/>
        <v>4.791524398573566</v>
      </c>
      <c r="AA362" s="16">
        <f t="shared" ca="1" si="1229"/>
        <v>4.9732427297607495</v>
      </c>
      <c r="AB362" s="16">
        <f t="shared" ca="1" si="1229"/>
        <v>5.1607974102505665</v>
      </c>
      <c r="AC362" s="16">
        <f t="shared" ca="1" si="1229"/>
        <v>5.3541836165879895</v>
      </c>
      <c r="AD362" s="16">
        <f t="shared" ca="1" si="1229"/>
        <v>5.5535399443212778</v>
      </c>
      <c r="AE362" s="16">
        <f t="shared" ca="1" si="1229"/>
        <v>5.7588120095619706</v>
      </c>
      <c r="AF362" s="16">
        <f t="shared" ca="1" si="1229"/>
        <v>5.9700479543246097</v>
      </c>
      <c r="AG362" s="16">
        <f t="shared" ca="1" si="1229"/>
        <v>6.1872705391303047</v>
      </c>
      <c r="AH362" s="16">
        <f t="shared" ca="1" si="1229"/>
        <v>6.4103773384934195</v>
      </c>
      <c r="AI362" s="16">
        <f t="shared" ca="1" si="1229"/>
        <v>6.6395798823851724</v>
      </c>
      <c r="AJ362" s="16">
        <f t="shared" ca="1" si="1229"/>
        <v>6.8751485990688304</v>
      </c>
      <c r="AK362" s="16">
        <f t="shared" ca="1" si="1229"/>
        <v>7.1167707759547554</v>
      </c>
      <c r="AL362" s="16">
        <f t="shared" ca="1" si="1229"/>
        <v>7.3647778657440037</v>
      </c>
      <c r="AM362" s="16">
        <f t="shared" ca="1" si="1229"/>
        <v>7.6195286588889788</v>
      </c>
      <c r="AN362" s="16">
        <f t="shared" ca="1" si="1229"/>
        <v>7.8813128318808534</v>
      </c>
      <c r="AO362" s="16">
        <f t="shared" ca="1" si="1229"/>
        <v>8.1502392150628324</v>
      </c>
      <c r="AP362" s="16">
        <f t="shared" ca="1" si="1229"/>
        <v>8.4271351586645036</v>
      </c>
      <c r="AQ362" s="16">
        <f t="shared" ca="1" si="1229"/>
        <v>8.7122712033965293</v>
      </c>
      <c r="AR362" s="16">
        <f t="shared" ca="1" si="1229"/>
        <v>9.0063914690370908</v>
      </c>
      <c r="AS362" s="16">
        <f t="shared" ca="1" si="1229"/>
        <v>9.309715908280408</v>
      </c>
      <c r="AT362" s="16">
        <f t="shared" ca="1" si="1229"/>
        <v>9.6231883983835314</v>
      </c>
      <c r="AU362" s="16">
        <f t="shared" ca="1" si="1229"/>
        <v>9.9466734144502151</v>
      </c>
      <c r="AV362" s="16">
        <f t="shared" ca="1" si="1229"/>
        <v>10.281088062542105</v>
      </c>
      <c r="AW362" s="16">
        <f t="shared" ca="1" si="1229"/>
        <v>10.626727082510927</v>
      </c>
      <c r="AX362" s="16">
        <f t="shared" ca="1" si="1229"/>
        <v>10.983446860451485</v>
      </c>
    </row>
    <row r="363" spans="1:50" x14ac:dyDescent="0.25">
      <c r="A363" s="11" t="s">
        <v>787</v>
      </c>
      <c r="B363" s="10" t="str">
        <f t="shared" si="1228"/>
        <v>From Fiscal Forecasts</v>
      </c>
      <c r="D363" s="35">
        <f ca="1">'Fiscal Forecasts'!D$122-SUM(D$360:D$362)</f>
        <v>-21.016000000000005</v>
      </c>
      <c r="E363" s="35">
        <f ca="1">'Fiscal Forecasts'!E$122-SUM(E$360:E$362)</f>
        <v>-21.034999999999989</v>
      </c>
      <c r="F363" s="35">
        <f ca="1">'Fiscal Forecasts'!F$122-SUM(F$360:F$362)</f>
        <v>-17.820999999999998</v>
      </c>
      <c r="G363" s="35">
        <f ca="1">'Fiscal Forecasts'!G$122-SUM(G$360:G$362)</f>
        <v>-15.168999999999997</v>
      </c>
      <c r="H363" s="35">
        <f ca="1">'Fiscal Forecasts'!H$122-SUM(H$360:H$362)</f>
        <v>-16.369</v>
      </c>
      <c r="I363" s="35">
        <f ca="1">'Fiscal Forecasts'!I$122-SUM(I$360:I$362)</f>
        <v>-20.507999999999996</v>
      </c>
      <c r="J363" s="17">
        <f ca="1">'Fiscal Forecasts'!J$122-SUM(J$360:J$362)</f>
        <v>-26.075999999999993</v>
      </c>
      <c r="K363" s="17">
        <f ca="1">'Fiscal Forecasts'!K$122-SUM(K$360:K$362)</f>
        <v>-26.134</v>
      </c>
      <c r="L363" s="17">
        <f ca="1">'Fiscal Forecasts'!L$122-SUM(L$360:L$362)</f>
        <v>-26.244</v>
      </c>
      <c r="M363" s="17">
        <f ca="1">'Fiscal Forecasts'!M$122-SUM(M$360:M$362)</f>
        <v>-26.624000000000009</v>
      </c>
      <c r="N363" s="17">
        <f ca="1">'Fiscal Forecasts'!N$122-SUM(N$360:N$362)</f>
        <v>-27.197999999999993</v>
      </c>
      <c r="O363" s="16">
        <f t="shared" ref="O363" ca="1" si="1230">N$363*O$361/N$361</f>
        <v>-28.198841696291101</v>
      </c>
      <c r="P363" s="16">
        <f t="shared" ref="P363" ca="1" si="1231">O$363*P$361/O$361</f>
        <v>-29.306455895947689</v>
      </c>
      <c r="Q363" s="16">
        <f t="shared" ref="Q363" ca="1" si="1232">P$363*Q$361/P$361</f>
        <v>-30.53051734142252</v>
      </c>
      <c r="R363" s="16">
        <f t="shared" ref="R363" ca="1" si="1233">Q$363*R$361/Q$361</f>
        <v>-31.882457973860927</v>
      </c>
      <c r="S363" s="16">
        <f t="shared" ref="S363" ca="1" si="1234">R$363*S$361/R$361</f>
        <v>-33.398904466691377</v>
      </c>
      <c r="T363" s="16">
        <f t="shared" ref="T363" ca="1" si="1235">S$363*T$361/S$361</f>
        <v>-35.101820103538458</v>
      </c>
      <c r="U363" s="16">
        <f t="shared" ref="U363" ca="1" si="1236">T$363*U$361/T$361</f>
        <v>-37.013803119212561</v>
      </c>
      <c r="V363" s="16">
        <f t="shared" ref="V363" ca="1" si="1237">U$363*V$361/U$361</f>
        <v>-39.067909799674162</v>
      </c>
      <c r="W363" s="16">
        <f t="shared" ref="W363" ca="1" si="1238">V$363*W$361/V$361</f>
        <v>-41.188902794108294</v>
      </c>
      <c r="X363" s="16">
        <f t="shared" ref="X363" ca="1" si="1239">W$363*X$361/W$361</f>
        <v>-43.36234314809866</v>
      </c>
      <c r="Y363" s="16">
        <f t="shared" ref="Y363" ca="1" si="1240">X$363*Y$361/X$361</f>
        <v>-45.601220059579639</v>
      </c>
      <c r="Z363" s="16">
        <f t="shared" ref="Z363" ca="1" si="1241">Y$363*Z$361/Y$361</f>
        <v>-47.914122994659124</v>
      </c>
      <c r="AA363" s="16">
        <f t="shared" ref="AA363" ca="1" si="1242">Z$363*AA$361/Z$361</f>
        <v>-50.310908790560035</v>
      </c>
      <c r="AB363" s="16">
        <f t="shared" ref="AB363" ca="1" si="1243">AA$363*AB$361/AA$361</f>
        <v>-52.797550823998144</v>
      </c>
      <c r="AC363" s="16">
        <f t="shared" ref="AC363" ca="1" si="1244">AB$363*AC$361/AB$361</f>
        <v>-55.382271056106795</v>
      </c>
      <c r="AD363" s="16">
        <f t="shared" ref="AD363" ca="1" si="1245">AC$363*AD$361/AC$361</f>
        <v>-58.08124705346053</v>
      </c>
      <c r="AE363" s="16">
        <f t="shared" ref="AE363" ca="1" si="1246">AD$363*AE$361/AD$361</f>
        <v>-60.88899298025725</v>
      </c>
      <c r="AF363" s="16">
        <f t="shared" ref="AF363" ca="1" si="1247">AE$363*AF$361/AE$361</f>
        <v>-63.822896911608844</v>
      </c>
      <c r="AG363" s="16">
        <f t="shared" ref="AG363" ca="1" si="1248">AF$363*AG$361/AF$361</f>
        <v>-66.873903875273598</v>
      </c>
      <c r="AH363" s="16">
        <f t="shared" ref="AH363" ca="1" si="1249">AG$363*AH$361/AG$361</f>
        <v>-70.031631972505423</v>
      </c>
      <c r="AI363" s="16">
        <f t="shared" ref="AI363" ca="1" si="1250">AH$363*AI$361/AH$361</f>
        <v>-73.312998529510935</v>
      </c>
      <c r="AJ363" s="16">
        <f t="shared" ref="AJ363" ca="1" si="1251">AI$363*AJ$361/AI$361</f>
        <v>-76.724134914924576</v>
      </c>
      <c r="AK363" s="16">
        <f t="shared" ref="AK363" ca="1" si="1252">AJ$363*AK$361/AJ$361</f>
        <v>-80.252720324829625</v>
      </c>
      <c r="AL363" s="16">
        <f t="shared" ref="AL363" ca="1" si="1253">AK$363*AL$361/AK$361</f>
        <v>-83.933875542859568</v>
      </c>
      <c r="AM363" s="16">
        <f t="shared" ref="AM363" ca="1" si="1254">AL$363*AM$361/AL$361</f>
        <v>-87.765716511793585</v>
      </c>
      <c r="AN363" s="16">
        <f t="shared" ref="AN363" ca="1" si="1255">AM$363*AN$361/AM$361</f>
        <v>-91.763378085500932</v>
      </c>
      <c r="AO363" s="16">
        <f t="shared" ref="AO363" ca="1" si="1256">AN$363*AO$361/AN$361</f>
        <v>-95.942847943917599</v>
      </c>
      <c r="AP363" s="16">
        <f t="shared" ref="AP363" ca="1" si="1257">AO$363*AP$361/AO$361</f>
        <v>-100.31189197132957</v>
      </c>
      <c r="AQ363" s="16">
        <f t="shared" ref="AQ363" ca="1" si="1258">AP$363*AQ$361/AP$361</f>
        <v>-104.88986412800148</v>
      </c>
      <c r="AR363" s="16">
        <f t="shared" ref="AR363" ca="1" si="1259">AQ$363*AR$361/AQ$361</f>
        <v>-109.67276896384541</v>
      </c>
      <c r="AS363" s="16">
        <f t="shared" ref="AS363" ca="1" si="1260">AR$363*AS$361/AR$361</f>
        <v>-114.6693559393597</v>
      </c>
      <c r="AT363" s="16">
        <f t="shared" ref="AT363" ca="1" si="1261">AS$363*AT$361/AS$361</f>
        <v>-119.89316663940656</v>
      </c>
      <c r="AU363" s="16">
        <f t="shared" ref="AU363" ca="1" si="1262">AT$363*AU$361/AT$361</f>
        <v>-125.35157031336128</v>
      </c>
      <c r="AV363" s="16">
        <f t="shared" ref="AV363" ca="1" si="1263">AU$363*AV$361/AU$361</f>
        <v>-131.05883052648053</v>
      </c>
      <c r="AW363" s="16">
        <f t="shared" ref="AW363" ca="1" si="1264">AV$363*AW$361/AV$361</f>
        <v>-137.02582197690836</v>
      </c>
      <c r="AX363" s="16">
        <f t="shared" ref="AX363" ca="1" si="1265">AW$363*AX$361/AW$361</f>
        <v>-143.26100854553184</v>
      </c>
    </row>
    <row r="364" spans="1:50" x14ac:dyDescent="0.25">
      <c r="A364" s="9" t="s">
        <v>961</v>
      </c>
      <c r="D364" s="64">
        <f t="shared" ref="D364:N364" ca="1" si="1266">SUM(D$360:D$363)</f>
        <v>43.616</v>
      </c>
      <c r="E364" s="64">
        <f t="shared" ca="1" si="1266"/>
        <v>61.005000000000003</v>
      </c>
      <c r="F364" s="64">
        <f t="shared" ca="1" si="1266"/>
        <v>56.783000000000001</v>
      </c>
      <c r="G364" s="64">
        <f t="shared" ca="1" si="1266"/>
        <v>65.456000000000003</v>
      </c>
      <c r="H364" s="64">
        <f t="shared" ca="1" si="1266"/>
        <v>66.489999999999995</v>
      </c>
      <c r="I364" s="64">
        <f t="shared" ca="1" si="1266"/>
        <v>73.646000000000001</v>
      </c>
      <c r="J364" s="65">
        <f t="shared" ca="1" si="1266"/>
        <v>86.497</v>
      </c>
      <c r="K364" s="65">
        <f t="shared" ca="1" si="1266"/>
        <v>95.932000000000002</v>
      </c>
      <c r="L364" s="65">
        <f t="shared" ca="1" si="1266"/>
        <v>96.971999999999994</v>
      </c>
      <c r="M364" s="65">
        <f t="shared" ca="1" si="1266"/>
        <v>99.695999999999998</v>
      </c>
      <c r="N364" s="65">
        <f t="shared" ca="1" si="1266"/>
        <v>103.152</v>
      </c>
      <c r="O364" s="66">
        <f t="shared" ref="O364:AW364" ca="1" si="1267">SUM(O$360:O$363)</f>
        <v>107.48768730350342</v>
      </c>
      <c r="P364" s="66">
        <f t="shared" ca="1" si="1267"/>
        <v>112.78516823824785</v>
      </c>
      <c r="Q364" s="66">
        <f t="shared" ca="1" si="1267"/>
        <v>118.28339494141636</v>
      </c>
      <c r="R364" s="66">
        <f t="shared" ca="1" si="1267"/>
        <v>123.97545216338766</v>
      </c>
      <c r="S364" s="66">
        <f t="shared" ca="1" si="1267"/>
        <v>129.96295264758947</v>
      </c>
      <c r="T364" s="66">
        <f t="shared" ca="1" si="1267"/>
        <v>136.27317230591234</v>
      </c>
      <c r="U364" s="66">
        <f t="shared" ca="1" si="1267"/>
        <v>142.92434834113666</v>
      </c>
      <c r="V364" s="66">
        <f t="shared" ca="1" si="1267"/>
        <v>149.88405332701709</v>
      </c>
      <c r="W364" s="66">
        <f t="shared" ca="1" si="1267"/>
        <v>157.10937156705322</v>
      </c>
      <c r="X364" s="66">
        <f t="shared" ca="1" si="1267"/>
        <v>164.62369614342745</v>
      </c>
      <c r="Y364" s="66">
        <f t="shared" ca="1" si="1267"/>
        <v>172.49101729168007</v>
      </c>
      <c r="Z364" s="66">
        <f t="shared" ca="1" si="1267"/>
        <v>180.75465426535098</v>
      </c>
      <c r="AA364" s="66">
        <f t="shared" ca="1" si="1267"/>
        <v>189.45343246296113</v>
      </c>
      <c r="AB364" s="66">
        <f t="shared" ca="1" si="1267"/>
        <v>198.62040285857168</v>
      </c>
      <c r="AC364" s="66">
        <f t="shared" ca="1" si="1267"/>
        <v>208.26455164448168</v>
      </c>
      <c r="AD364" s="66">
        <f t="shared" ca="1" si="1267"/>
        <v>218.3961235067473</v>
      </c>
      <c r="AE364" s="66">
        <f t="shared" ca="1" si="1267"/>
        <v>229.01503325341085</v>
      </c>
      <c r="AF364" s="66">
        <f t="shared" ca="1" si="1267"/>
        <v>240.13609472955852</v>
      </c>
      <c r="AG364" s="66">
        <f t="shared" ca="1" si="1267"/>
        <v>251.74440653095411</v>
      </c>
      <c r="AH364" s="66">
        <f t="shared" ca="1" si="1267"/>
        <v>263.82984345053262</v>
      </c>
      <c r="AI364" s="66">
        <f t="shared" ca="1" si="1267"/>
        <v>276.4027897729444</v>
      </c>
      <c r="AJ364" s="66">
        <f t="shared" ca="1" si="1267"/>
        <v>289.46623364770392</v>
      </c>
      <c r="AK364" s="66">
        <f t="shared" ca="1" si="1267"/>
        <v>302.96754658055846</v>
      </c>
      <c r="AL364" s="66">
        <f t="shared" ca="1" si="1267"/>
        <v>316.89939126864829</v>
      </c>
      <c r="AM364" s="66">
        <f t="shared" ca="1" si="1267"/>
        <v>331.2452147412323</v>
      </c>
      <c r="AN364" s="66">
        <f t="shared" ca="1" si="1267"/>
        <v>345.96963690409109</v>
      </c>
      <c r="AO364" s="66">
        <f t="shared" ca="1" si="1267"/>
        <v>361.05813274442198</v>
      </c>
      <c r="AP364" s="66">
        <f t="shared" ca="1" si="1267"/>
        <v>376.52652010230361</v>
      </c>
      <c r="AQ364" s="66">
        <f t="shared" ca="1" si="1267"/>
        <v>392.40671799567957</v>
      </c>
      <c r="AR364" s="66">
        <f t="shared" ca="1" si="1267"/>
        <v>408.74014489688113</v>
      </c>
      <c r="AS364" s="66">
        <f t="shared" ca="1" si="1267"/>
        <v>425.54377342356912</v>
      </c>
      <c r="AT364" s="66">
        <f t="shared" ca="1" si="1267"/>
        <v>442.87122624149208</v>
      </c>
      <c r="AU364" s="66">
        <f t="shared" ca="1" si="1267"/>
        <v>460.75276940297641</v>
      </c>
      <c r="AV364" s="66">
        <f t="shared" ca="1" si="1267"/>
        <v>479.23074136404625</v>
      </c>
      <c r="AW364" s="66">
        <f t="shared" ca="1" si="1267"/>
        <v>498.3565014673303</v>
      </c>
      <c r="AX364" s="66">
        <f ca="1">SUM(AX$360:AX$363)</f>
        <v>518.09357607872937</v>
      </c>
    </row>
    <row r="366" spans="1:50" x14ac:dyDescent="0.25">
      <c r="A366" s="9" t="s">
        <v>544</v>
      </c>
    </row>
    <row r="367" spans="1:50" x14ac:dyDescent="0.25">
      <c r="A367" s="11" t="s">
        <v>962</v>
      </c>
      <c r="D367" s="35">
        <f ca="1">SUM(OFFSET(Assumptions!$B$53,0,$C$1),OFFSET(Assumptions!$B$54,0,$C$1))*(D$385-D$351-D$392)-D$389</f>
        <v>23.951360000000001</v>
      </c>
      <c r="E367" s="35">
        <f ca="1">SUM(OFFSET(Assumptions!$B$53,0,$C$1),OFFSET(Assumptions!$B$54,0,$C$1))*(E$385-E$351-E$392)-E$389</f>
        <v>23.024350000000005</v>
      </c>
      <c r="F367" s="35">
        <f ca="1">SUM(OFFSET(Assumptions!$B$53,0,$C$1),OFFSET(Assumptions!$B$54,0,$C$1))*(F$385-F$351-F$392)-F$389</f>
        <v>30.54814</v>
      </c>
      <c r="G367" s="35">
        <f ca="1">SUM(OFFSET(Assumptions!$B$53,0,$C$1),OFFSET(Assumptions!$B$54,0,$C$1))*(G$385-G$351-G$392)-G$389</f>
        <v>31.891739999999995</v>
      </c>
      <c r="H367" s="35">
        <f ca="1">SUM(OFFSET(Assumptions!$B$53,0,$C$1),OFFSET(Assumptions!$B$54,0,$C$1))*(H$385-H$351-H$392)-H$389</f>
        <v>29.878200000000007</v>
      </c>
      <c r="I367" s="35">
        <f ca="1">SUM(OFFSET(Assumptions!$B$53,0,$C$1),OFFSET(Assumptions!$B$54,0,$C$1))*(I$385-I$351-I$392)-I$389</f>
        <v>35.327689999999997</v>
      </c>
      <c r="J367" s="17">
        <f ca="1">SUM(OFFSET(Assumptions!$B$53,0,$C$1),OFFSET(Assumptions!$B$54,0,$C$1))*(J$385-J$351-J$392)-J$389</f>
        <v>42.631630000000001</v>
      </c>
      <c r="K367" s="17">
        <f ca="1">SUM(OFFSET(Assumptions!$B$53,0,$C$1),OFFSET(Assumptions!$B$54,0,$C$1))*(K$385-K$351-K$392)-K$389</f>
        <v>44.30022000000001</v>
      </c>
      <c r="L367" s="17">
        <f ca="1">SUM(OFFSET(Assumptions!$B$53,0,$C$1),OFFSET(Assumptions!$B$54,0,$C$1))*(L$385-L$351-L$392)-L$389</f>
        <v>47.376550000000002</v>
      </c>
      <c r="M367" s="17">
        <f ca="1">SUM(OFFSET(Assumptions!$B$53,0,$C$1),OFFSET(Assumptions!$B$54,0,$C$1))*(M$385-M$351-M$392)-M$389</f>
        <v>48.376830000000005</v>
      </c>
      <c r="N367" s="17">
        <f ca="1">SUM(OFFSET(Assumptions!$B$53,0,$C$1),OFFSET(Assumptions!$B$54,0,$C$1))*(N$385-N$351-N$392)-N$389</f>
        <v>50.054479999999998</v>
      </c>
      <c r="O367" s="16">
        <f ca="1">OFFSET(Assumptions!$B$53,0,$C$1)*(O$385-O$351-O$392)</f>
        <v>56.109145297114772</v>
      </c>
      <c r="P367" s="16">
        <f ca="1">OFFSET(Assumptions!$B$53,0,$C$1)*(P$385-P$351-P$392)</f>
        <v>59.669273295054168</v>
      </c>
      <c r="Q367" s="16">
        <f ca="1">OFFSET(Assumptions!$B$53,0,$C$1)*(Q$385-Q$351-Q$392)</f>
        <v>63.402722571154534</v>
      </c>
      <c r="R367" s="16">
        <f ca="1">OFFSET(Assumptions!$B$53,0,$C$1)*(R$385-R$351-R$392)</f>
        <v>67.296634964318528</v>
      </c>
      <c r="S367" s="16">
        <f ca="1">OFFSET(Assumptions!$B$53,0,$C$1)*(S$385-S$351-S$392)</f>
        <v>71.350420483383459</v>
      </c>
      <c r="T367" s="16">
        <f ca="1">OFFSET(Assumptions!$B$53,0,$C$1)*(T$385-T$351-T$392)</f>
        <v>75.583562505666677</v>
      </c>
      <c r="U367" s="16">
        <f ca="1">OFFSET(Assumptions!$B$53,0,$C$1)*(U$385-U$351-U$392)</f>
        <v>79.981433080137577</v>
      </c>
      <c r="V367" s="16">
        <f ca="1">OFFSET(Assumptions!$B$53,0,$C$1)*(V$385-V$351-V$392)</f>
        <v>84.57333415295021</v>
      </c>
      <c r="W367" s="16">
        <f ca="1">OFFSET(Assumptions!$B$53,0,$C$1)*(W$385-W$351-W$392)</f>
        <v>89.405485849302707</v>
      </c>
      <c r="X367" s="16">
        <f ca="1">OFFSET(Assumptions!$B$53,0,$C$1)*(X$385-X$351-X$392)</f>
        <v>94.527553418988845</v>
      </c>
      <c r="Y367" s="16">
        <f ca="1">OFFSET(Assumptions!$B$53,0,$C$1)*(Y$385-Y$351-Y$392)</f>
        <v>100.00514350384211</v>
      </c>
      <c r="Z367" s="16">
        <f ca="1">OFFSET(Assumptions!$B$53,0,$C$1)*(Z$385-Z$351-Z$392)</f>
        <v>105.89838527319479</v>
      </c>
      <c r="AA367" s="16">
        <f ca="1">OFFSET(Assumptions!$B$53,0,$C$1)*(AA$385-AA$351-AA$392)</f>
        <v>112.2392088075792</v>
      </c>
      <c r="AB367" s="16">
        <f ca="1">OFFSET(Assumptions!$B$53,0,$C$1)*(AB$385-AB$351-AB$392)</f>
        <v>119.08020442213166</v>
      </c>
      <c r="AC367" s="16">
        <f ca="1">OFFSET(Assumptions!$B$53,0,$C$1)*(AC$385-AC$351-AC$392)</f>
        <v>126.42604996684125</v>
      </c>
      <c r="AD367" s="16">
        <f ca="1">OFFSET(Assumptions!$B$53,0,$C$1)*(AD$385-AD$351-AD$392)</f>
        <v>134.26951543182074</v>
      </c>
      <c r="AE367" s="16">
        <f ca="1">OFFSET(Assumptions!$B$53,0,$C$1)*(AE$385-AE$351-AE$392)</f>
        <v>142.6188705719369</v>
      </c>
      <c r="AF367" s="16">
        <f ca="1">OFFSET(Assumptions!$B$53,0,$C$1)*(AF$385-AF$351-AF$392)</f>
        <v>151.47544568575077</v>
      </c>
      <c r="AG367" s="16">
        <f ca="1">OFFSET(Assumptions!$B$53,0,$C$1)*(AG$385-AG$351-AG$392)</f>
        <v>160.8253147037386</v>
      </c>
      <c r="AH367" s="16">
        <f ca="1">OFFSET(Assumptions!$B$53,0,$C$1)*(AH$385-AH$351-AH$392)</f>
        <v>170.66761144453687</v>
      </c>
      <c r="AI367" s="16">
        <f ca="1">OFFSET(Assumptions!$B$53,0,$C$1)*(AI$385-AI$351-AI$392)</f>
        <v>180.99237897676761</v>
      </c>
      <c r="AJ367" s="16">
        <f ca="1">OFFSET(Assumptions!$B$53,0,$C$1)*(AJ$385-AJ$351-AJ$392)</f>
        <v>191.78933696710786</v>
      </c>
      <c r="AK367" s="16">
        <f ca="1">OFFSET(Assumptions!$B$53,0,$C$1)*(AK$385-AK$351-AK$392)</f>
        <v>202.99550819222432</v>
      </c>
      <c r="AL367" s="16">
        <f ca="1">OFFSET(Assumptions!$B$53,0,$C$1)*(AL$385-AL$351-AL$392)</f>
        <v>214.54535805423845</v>
      </c>
      <c r="AM367" s="16">
        <f ca="1">OFFSET(Assumptions!$B$53,0,$C$1)*(AM$385-AM$351-AM$392)</f>
        <v>226.40386436473858</v>
      </c>
      <c r="AN367" s="16">
        <f ca="1">OFFSET(Assumptions!$B$53,0,$C$1)*(AN$385-AN$351-AN$392)</f>
        <v>238.48534176080003</v>
      </c>
      <c r="AO367" s="16">
        <f ca="1">OFFSET(Assumptions!$B$53,0,$C$1)*(AO$385-AO$351-AO$392)</f>
        <v>250.7426017920848</v>
      </c>
      <c r="AP367" s="16">
        <f ca="1">OFFSET(Assumptions!$B$53,0,$C$1)*(AP$385-AP$351-AP$392)</f>
        <v>263.16907337808379</v>
      </c>
      <c r="AQ367" s="16">
        <f ca="1">OFFSET(Assumptions!$B$53,0,$C$1)*(AQ$385-AQ$351-AQ$392)</f>
        <v>275.78576155801613</v>
      </c>
      <c r="AR367" s="16">
        <f ca="1">OFFSET(Assumptions!$B$53,0,$C$1)*(AR$385-AR$351-AR$392)</f>
        <v>288.64560102928573</v>
      </c>
      <c r="AS367" s="16">
        <f ca="1">OFFSET(Assumptions!$B$53,0,$C$1)*(AS$385-AS$351-AS$392)</f>
        <v>301.759584217152</v>
      </c>
      <c r="AT367" s="16">
        <f ca="1">OFFSET(Assumptions!$B$53,0,$C$1)*(AT$385-AT$351-AT$392)</f>
        <v>315.17325110551133</v>
      </c>
      <c r="AU367" s="16">
        <f ca="1">OFFSET(Assumptions!$B$53,0,$C$1)*(AU$385-AU$351-AU$392)</f>
        <v>328.93123061757194</v>
      </c>
      <c r="AV367" s="16">
        <f ca="1">OFFSET(Assumptions!$B$53,0,$C$1)*(AV$385-AV$351-AV$392)</f>
        <v>343.06020966310263</v>
      </c>
      <c r="AW367" s="16">
        <f ca="1">OFFSET(Assumptions!$B$53,0,$C$1)*(AW$385-AW$351-AW$392)</f>
        <v>357.62338170938909</v>
      </c>
      <c r="AX367" s="16">
        <f ca="1">OFFSET(Assumptions!$B$53,0,$C$1)*(AX$385-AX$351-AX$392)</f>
        <v>372.55368640835701</v>
      </c>
    </row>
    <row r="368" spans="1:50" x14ac:dyDescent="0.25">
      <c r="A368" s="11" t="s">
        <v>963</v>
      </c>
      <c r="B368" s="10" t="str">
        <f>$B$38</f>
        <v>From Fiscal Forecasts</v>
      </c>
      <c r="D368" s="35">
        <f ca="1">'Fiscal Forecasts'!D$183-D$367</f>
        <v>2.4436399999999985</v>
      </c>
      <c r="E368" s="35">
        <f ca="1">'Fiscal Forecasts'!E$183-E$367</f>
        <v>-5.164350000000006</v>
      </c>
      <c r="F368" s="35">
        <f ca="1">'Fiscal Forecasts'!F$183-F$367</f>
        <v>-1.9041400000000017</v>
      </c>
      <c r="G368" s="35">
        <f ca="1">'Fiscal Forecasts'!G$183-G$367</f>
        <v>-2.7387399999999964</v>
      </c>
      <c r="H368" s="35">
        <f ca="1">'Fiscal Forecasts'!H$183-H$367</f>
        <v>-0.88020000000000564</v>
      </c>
      <c r="I368" s="35">
        <f ca="1">'Fiscal Forecasts'!I$183-I$367</f>
        <v>2.010310000000004</v>
      </c>
      <c r="J368" s="17">
        <f ca="1">'Fiscal Forecasts'!J$183-J$367</f>
        <v>1.3833699999999993</v>
      </c>
      <c r="K368" s="17">
        <f ca="1">'Fiscal Forecasts'!K$183-K$367</f>
        <v>0.96277999999998798</v>
      </c>
      <c r="L368" s="17">
        <f ca="1">'Fiscal Forecasts'!L$183-L$367</f>
        <v>-0.15955000000000297</v>
      </c>
      <c r="M368" s="17">
        <f ca="1">'Fiscal Forecasts'!M$183-M$367</f>
        <v>0.82116999999999507</v>
      </c>
      <c r="N368" s="17">
        <f ca="1">'Fiscal Forecasts'!N$183-N$367</f>
        <v>1.1585200000000029</v>
      </c>
      <c r="O368" s="16">
        <f t="shared" ref="O368:AX368" ca="1" si="1268">N$368*(1+O$14)</f>
        <v>1.2104943657244156</v>
      </c>
      <c r="P368" s="16">
        <f t="shared" ca="1" si="1268"/>
        <v>1.2639925660721378</v>
      </c>
      <c r="Q368" s="16">
        <f t="shared" ca="1" si="1268"/>
        <v>1.3176689206283756</v>
      </c>
      <c r="R368" s="16">
        <f t="shared" ca="1" si="1268"/>
        <v>1.3713418091536336</v>
      </c>
      <c r="S368" s="16">
        <f t="shared" ca="1" si="1268"/>
        <v>1.4267309585622237</v>
      </c>
      <c r="T368" s="16">
        <f t="shared" ca="1" si="1268"/>
        <v>1.4838093759511539</v>
      </c>
      <c r="U368" s="16">
        <f t="shared" ca="1" si="1268"/>
        <v>1.5428068879773746</v>
      </c>
      <c r="V368" s="16">
        <f t="shared" ca="1" si="1268"/>
        <v>1.6037399618747836</v>
      </c>
      <c r="W368" s="16">
        <f t="shared" ca="1" si="1268"/>
        <v>1.6662909980748715</v>
      </c>
      <c r="X368" s="16">
        <f t="shared" ca="1" si="1268"/>
        <v>1.7305613306819252</v>
      </c>
      <c r="Y368" s="16">
        <f t="shared" ca="1" si="1268"/>
        <v>1.7968875865297527</v>
      </c>
      <c r="Z368" s="16">
        <f t="shared" ca="1" si="1268"/>
        <v>1.8652811983318081</v>
      </c>
      <c r="AA368" s="16">
        <f t="shared" ca="1" si="1268"/>
        <v>1.9360218976083459</v>
      </c>
      <c r="AB368" s="16">
        <f t="shared" ca="1" si="1268"/>
        <v>2.0090346154984879</v>
      </c>
      <c r="AC368" s="16">
        <f t="shared" ca="1" si="1268"/>
        <v>2.0843174742908372</v>
      </c>
      <c r="AD368" s="16">
        <f t="shared" ca="1" si="1268"/>
        <v>2.1619244275185152</v>
      </c>
      <c r="AE368" s="16">
        <f t="shared" ca="1" si="1268"/>
        <v>2.241834304206233</v>
      </c>
      <c r="AF368" s="16">
        <f t="shared" ca="1" si="1268"/>
        <v>2.324065845444947</v>
      </c>
      <c r="AG368" s="16">
        <f t="shared" ca="1" si="1268"/>
        <v>2.4086279116240781</v>
      </c>
      <c r="AH368" s="16">
        <f t="shared" ca="1" si="1268"/>
        <v>2.4954806297686201</v>
      </c>
      <c r="AI368" s="16">
        <f t="shared" ca="1" si="1268"/>
        <v>2.5847063458806745</v>
      </c>
      <c r="AJ368" s="16">
        <f t="shared" ca="1" si="1268"/>
        <v>2.6764103343391259</v>
      </c>
      <c r="AK368" s="16">
        <f t="shared" ca="1" si="1268"/>
        <v>2.7704708599997048</v>
      </c>
      <c r="AL368" s="16">
        <f t="shared" ca="1" si="1268"/>
        <v>2.8670169533003231</v>
      </c>
      <c r="AM368" s="16">
        <f t="shared" ca="1" si="1268"/>
        <v>2.9661882869274461</v>
      </c>
      <c r="AN368" s="16">
        <f t="shared" ca="1" si="1268"/>
        <v>3.0680976283570653</v>
      </c>
      <c r="AO368" s="16">
        <f t="shared" ca="1" si="1268"/>
        <v>3.1727873438960392</v>
      </c>
      <c r="AP368" s="16">
        <f t="shared" ca="1" si="1268"/>
        <v>3.2805795107580717</v>
      </c>
      <c r="AQ368" s="16">
        <f t="shared" ca="1" si="1268"/>
        <v>3.3915794470964276</v>
      </c>
      <c r="AR368" s="16">
        <f t="shared" ca="1" si="1268"/>
        <v>3.5060768295392717</v>
      </c>
      <c r="AS368" s="16">
        <f t="shared" ca="1" si="1268"/>
        <v>3.6241572829506183</v>
      </c>
      <c r="AT368" s="16">
        <f t="shared" ca="1" si="1268"/>
        <v>3.7461882470750374</v>
      </c>
      <c r="AU368" s="16">
        <f t="shared" ca="1" si="1268"/>
        <v>3.8721169637462651</v>
      </c>
      <c r="AV368" s="16">
        <f t="shared" ca="1" si="1268"/>
        <v>4.002300451013542</v>
      </c>
      <c r="AW368" s="16">
        <f t="shared" ca="1" si="1268"/>
        <v>4.1368534474565122</v>
      </c>
      <c r="AX368" s="16">
        <f t="shared" ca="1" si="1268"/>
        <v>4.2757200459577547</v>
      </c>
    </row>
    <row r="369" spans="1:50" x14ac:dyDescent="0.25">
      <c r="A369" s="9" t="s">
        <v>964</v>
      </c>
      <c r="D369" s="64">
        <f t="shared" ref="D369:N369" ca="1" si="1269">SUM(D$367:D$368)</f>
        <v>26.395</v>
      </c>
      <c r="E369" s="64">
        <f t="shared" ca="1" si="1269"/>
        <v>17.86</v>
      </c>
      <c r="F369" s="64">
        <f t="shared" ca="1" si="1269"/>
        <v>28.643999999999998</v>
      </c>
      <c r="G369" s="64">
        <f t="shared" ca="1" si="1269"/>
        <v>29.152999999999999</v>
      </c>
      <c r="H369" s="64">
        <f t="shared" ca="1" si="1269"/>
        <v>28.998000000000001</v>
      </c>
      <c r="I369" s="64">
        <f t="shared" ca="1" si="1269"/>
        <v>37.338000000000001</v>
      </c>
      <c r="J369" s="65">
        <f t="shared" ca="1" si="1269"/>
        <v>44.015000000000001</v>
      </c>
      <c r="K369" s="65">
        <f t="shared" ca="1" si="1269"/>
        <v>45.262999999999998</v>
      </c>
      <c r="L369" s="65">
        <f t="shared" ca="1" si="1269"/>
        <v>47.216999999999999</v>
      </c>
      <c r="M369" s="65">
        <f t="shared" ca="1" si="1269"/>
        <v>49.198</v>
      </c>
      <c r="N369" s="65">
        <f t="shared" ca="1" si="1269"/>
        <v>51.213000000000001</v>
      </c>
      <c r="O369" s="66">
        <f t="shared" ref="O369:AW369" ca="1" si="1270">SUM(O$367:O$368)</f>
        <v>57.319639662839187</v>
      </c>
      <c r="P369" s="66">
        <f t="shared" ca="1" si="1270"/>
        <v>60.933265861126308</v>
      </c>
      <c r="Q369" s="66">
        <f t="shared" ca="1" si="1270"/>
        <v>64.720391491782905</v>
      </c>
      <c r="R369" s="66">
        <f t="shared" ca="1" si="1270"/>
        <v>68.667976773472162</v>
      </c>
      <c r="S369" s="66">
        <f t="shared" ca="1" si="1270"/>
        <v>72.777151441945676</v>
      </c>
      <c r="T369" s="66">
        <f t="shared" ca="1" si="1270"/>
        <v>77.067371881617831</v>
      </c>
      <c r="U369" s="66">
        <f t="shared" ca="1" si="1270"/>
        <v>81.524239968114955</v>
      </c>
      <c r="V369" s="66">
        <f t="shared" ca="1" si="1270"/>
        <v>86.17707411482499</v>
      </c>
      <c r="W369" s="66">
        <f t="shared" ca="1" si="1270"/>
        <v>91.071776847377578</v>
      </c>
      <c r="X369" s="66">
        <f t="shared" ca="1" si="1270"/>
        <v>96.258114749670767</v>
      </c>
      <c r="Y369" s="66">
        <f t="shared" ca="1" si="1270"/>
        <v>101.80203109037186</v>
      </c>
      <c r="Z369" s="66">
        <f t="shared" ca="1" si="1270"/>
        <v>107.76366647152661</v>
      </c>
      <c r="AA369" s="66">
        <f t="shared" ca="1" si="1270"/>
        <v>114.17523070518754</v>
      </c>
      <c r="AB369" s="66">
        <f t="shared" ca="1" si="1270"/>
        <v>121.08923903763015</v>
      </c>
      <c r="AC369" s="66">
        <f t="shared" ca="1" si="1270"/>
        <v>128.51036744113208</v>
      </c>
      <c r="AD369" s="66">
        <f t="shared" ca="1" si="1270"/>
        <v>136.43143985933926</v>
      </c>
      <c r="AE369" s="66">
        <f t="shared" ca="1" si="1270"/>
        <v>144.86070487614313</v>
      </c>
      <c r="AF369" s="66">
        <f t="shared" ca="1" si="1270"/>
        <v>153.79951153119572</v>
      </c>
      <c r="AG369" s="66">
        <f t="shared" ca="1" si="1270"/>
        <v>163.23394261536268</v>
      </c>
      <c r="AH369" s="66">
        <f t="shared" ca="1" si="1270"/>
        <v>173.1630920743055</v>
      </c>
      <c r="AI369" s="66">
        <f t="shared" ca="1" si="1270"/>
        <v>183.57708532264829</v>
      </c>
      <c r="AJ369" s="66">
        <f t="shared" ca="1" si="1270"/>
        <v>194.46574730144698</v>
      </c>
      <c r="AK369" s="66">
        <f t="shared" ca="1" si="1270"/>
        <v>205.76597905222403</v>
      </c>
      <c r="AL369" s="66">
        <f t="shared" ca="1" si="1270"/>
        <v>217.41237500753877</v>
      </c>
      <c r="AM369" s="66">
        <f t="shared" ca="1" si="1270"/>
        <v>229.37005265166601</v>
      </c>
      <c r="AN369" s="66">
        <f t="shared" ca="1" si="1270"/>
        <v>241.55343938915709</v>
      </c>
      <c r="AO369" s="66">
        <f t="shared" ca="1" si="1270"/>
        <v>253.91538913598083</v>
      </c>
      <c r="AP369" s="66">
        <f t="shared" ca="1" si="1270"/>
        <v>266.44965288884185</v>
      </c>
      <c r="AQ369" s="66">
        <f t="shared" ca="1" si="1270"/>
        <v>279.17734100511257</v>
      </c>
      <c r="AR369" s="66">
        <f t="shared" ca="1" si="1270"/>
        <v>292.151677858825</v>
      </c>
      <c r="AS369" s="66">
        <f t="shared" ca="1" si="1270"/>
        <v>305.38374150010259</v>
      </c>
      <c r="AT369" s="66">
        <f t="shared" ca="1" si="1270"/>
        <v>318.91943935258638</v>
      </c>
      <c r="AU369" s="66">
        <f t="shared" ca="1" si="1270"/>
        <v>332.80334758131823</v>
      </c>
      <c r="AV369" s="66">
        <f t="shared" ca="1" si="1270"/>
        <v>347.06251011411615</v>
      </c>
      <c r="AW369" s="66">
        <f t="shared" ca="1" si="1270"/>
        <v>361.76023515684562</v>
      </c>
      <c r="AX369" s="66">
        <f ca="1">SUM(AX$367:AX$368)</f>
        <v>376.82940645431478</v>
      </c>
    </row>
    <row r="370" spans="1:50" x14ac:dyDescent="0.25">
      <c r="A370" s="11" t="s">
        <v>630</v>
      </c>
      <c r="B370" s="10" t="str">
        <f>$B$38</f>
        <v>From Fiscal Forecasts</v>
      </c>
      <c r="D370" s="35">
        <f>'Fiscal Forecasts'!D$216</f>
        <v>14.254</v>
      </c>
      <c r="E370" s="35">
        <f>'Fiscal Forecasts'!E$216</f>
        <v>17.135000000000002</v>
      </c>
      <c r="F370" s="35">
        <f>'Fiscal Forecasts'!F$216</f>
        <v>21.521999999999998</v>
      </c>
      <c r="G370" s="35">
        <f>'Fiscal Forecasts'!G$216</f>
        <v>18.613</v>
      </c>
      <c r="H370" s="35">
        <f>'Fiscal Forecasts'!H$216</f>
        <v>19.635000000000002</v>
      </c>
      <c r="I370" s="35">
        <f>'Fiscal Forecasts'!I$216</f>
        <v>16.818999999999999</v>
      </c>
      <c r="J370" s="17">
        <f>'Fiscal Forecasts'!J$216</f>
        <v>16.510000000000002</v>
      </c>
      <c r="K370" s="17">
        <f>'Fiscal Forecasts'!K$216</f>
        <v>16.564</v>
      </c>
      <c r="L370" s="17">
        <f>'Fiscal Forecasts'!L$216</f>
        <v>16.648</v>
      </c>
      <c r="M370" s="17">
        <f>'Fiscal Forecasts'!M$216</f>
        <v>16.707999999999998</v>
      </c>
      <c r="N370" s="17">
        <f>'Fiscal Forecasts'!N$216</f>
        <v>16.702999999999999</v>
      </c>
      <c r="O370" s="16">
        <f ca="1">N$370*AVERAGE(Exogenous!Z$30/Exogenous!Y$30,1+O$14)</f>
        <v>17.317642946288345</v>
      </c>
      <c r="P370" s="16">
        <f ca="1">O$370*AVERAGE(Exogenous!AA$30/Exogenous!Z$30,1+P$14)</f>
        <v>17.997857667108406</v>
      </c>
      <c r="Q370" s="16">
        <f ca="1">P$370*AVERAGE(Exogenous!AB$30/Exogenous!AA$30,1+Q$14)</f>
        <v>18.749585673717938</v>
      </c>
      <c r="R370" s="16">
        <f ca="1">Q$370*AVERAGE(Exogenous!AC$30/Exogenous!AB$30,1+R$14)</f>
        <v>19.579847618846941</v>
      </c>
      <c r="S370" s="16">
        <f ca="1">R$370*AVERAGE(Exogenous!AD$30/Exogenous!AC$30,1+S$14)</f>
        <v>20.511136896358046</v>
      </c>
      <c r="T370" s="16">
        <f ca="1">S$370*AVERAGE(Exogenous!AE$30/Exogenous!AD$30,1+T$14)</f>
        <v>21.556941730620007</v>
      </c>
      <c r="U370" s="16">
        <f ca="1">T$370*AVERAGE(Exogenous!AF$30/Exogenous!AE$30,1+U$14)</f>
        <v>22.731140286058075</v>
      </c>
      <c r="V370" s="16">
        <f ca="1">U$370*AVERAGE(Exogenous!AG$30/Exogenous!AF$30,1+V$14)</f>
        <v>23.992620684754677</v>
      </c>
      <c r="W370" s="16">
        <f ca="1">V$370*AVERAGE(Exogenous!AH$30/Exogenous!AG$30,1+W$14)</f>
        <v>25.295177710493089</v>
      </c>
      <c r="X370" s="16">
        <f ca="1">W$370*AVERAGE(Exogenous!AI$30/Exogenous!AH$30,1+X$14)</f>
        <v>26.629944025394956</v>
      </c>
      <c r="Y370" s="16">
        <f ca="1">X$370*AVERAGE(Exogenous!AJ$30/Exogenous!AI$30,1+Y$14)</f>
        <v>28.004896634133345</v>
      </c>
      <c r="Z370" s="16">
        <f ca="1">Y$370*AVERAGE(Exogenous!AK$30/Exogenous!AJ$30,1+Z$14)</f>
        <v>29.425310551503472</v>
      </c>
      <c r="AA370" s="16">
        <f ca="1">Z$370*AVERAGE(Exogenous!AL$30/Exogenous!AK$30,1+AA$14)</f>
        <v>30.897239117902949</v>
      </c>
      <c r="AB370" s="16">
        <f ca="1">AA$370*AVERAGE(Exogenous!AM$30/Exogenous!AL$30,1+AB$14)</f>
        <v>32.424350739511773</v>
      </c>
      <c r="AC370" s="16">
        <f ca="1">AB$370*AVERAGE(Exogenous!AN$30/Exogenous!AM$30,1+AC$14)</f>
        <v>34.01169473675094</v>
      </c>
      <c r="AD370" s="16">
        <f ca="1">AC$370*AVERAGE(Exogenous!AO$30/Exogenous!AN$30,1+AD$14)</f>
        <v>35.669206174496345</v>
      </c>
      <c r="AE370" s="16">
        <f ca="1">AD$370*AVERAGE(Exogenous!AP$30/Exogenous!AO$30,1+AE$14)</f>
        <v>37.393516058137998</v>
      </c>
      <c r="AF370" s="16">
        <f ca="1">AE$370*AVERAGE(Exogenous!AQ$30/Exogenous!AP$30,1+AF$14)</f>
        <v>39.195302857364617</v>
      </c>
      <c r="AG370" s="16">
        <f ca="1">AF$370*AVERAGE(Exogenous!AR$30/Exogenous!AQ$30,1+AG$14)</f>
        <v>41.069005677943053</v>
      </c>
      <c r="AH370" s="16">
        <f ca="1">AG$370*AVERAGE(Exogenous!AS$30/Exogenous!AR$30,1+AH$14)</f>
        <v>43.008248725522407</v>
      </c>
      <c r="AI370" s="16">
        <f ca="1">AH$370*AVERAGE(Exogenous!AT$30/Exogenous!AS$30,1+AI$14)</f>
        <v>45.023421370630984</v>
      </c>
      <c r="AJ370" s="16">
        <f ca="1">AI$370*AVERAGE(Exogenous!AU$30/Exogenous!AT$30,1+AJ$14)</f>
        <v>47.118289046399937</v>
      </c>
      <c r="AK370" s="16">
        <f ca="1">AJ$370*AVERAGE(Exogenous!AV$30/Exogenous!AU$30,1+AK$14)</f>
        <v>49.28528522632655</v>
      </c>
      <c r="AL370" s="16">
        <f ca="1">AK$370*AVERAGE(Exogenous!AW$30/Exogenous!AV$30,1+AL$14)</f>
        <v>51.545978498138965</v>
      </c>
      <c r="AM370" s="16">
        <f ca="1">AL$370*AVERAGE(Exogenous!AX$30/Exogenous!AW$30,1+AM$14)</f>
        <v>53.899211813239525</v>
      </c>
      <c r="AN370" s="16">
        <f ca="1">AM$370*AVERAGE(Exogenous!AY$30/Exogenous!AX$30,1+AN$14)</f>
        <v>56.354279879480941</v>
      </c>
      <c r="AO370" s="16">
        <f ca="1">AN$370*AVERAGE(Exogenous!AZ$30/Exogenous!AY$30,1+AO$14)</f>
        <v>58.921001147409974</v>
      </c>
      <c r="AP370" s="16">
        <f ca="1">AO$370*AVERAGE(Exogenous!BA$30/Exogenous!AZ$30,1+AP$14)</f>
        <v>61.60414484878001</v>
      </c>
      <c r="AQ370" s="16">
        <f ca="1">AP$370*AVERAGE(Exogenous!BB$30/Exogenous!BA$30,1+AQ$14)</f>
        <v>64.415596754541113</v>
      </c>
      <c r="AR370" s="16">
        <f ca="1">AQ$370*AVERAGE(Exogenous!BC$30/Exogenous!BB$30,1+AR$14)</f>
        <v>67.352903154758096</v>
      </c>
      <c r="AS370" s="16">
        <f ca="1">AR$370*AVERAGE(Exogenous!BD$30/Exogenous!BC$30,1+AS$14)</f>
        <v>70.421437320947348</v>
      </c>
      <c r="AT370" s="16">
        <f ca="1">AS$370*AVERAGE(Exogenous!BE$30/Exogenous!BD$30,1+AT$14)</f>
        <v>73.629515492977731</v>
      </c>
      <c r="AU370" s="16">
        <f ca="1">AT$370*AVERAGE(Exogenous!BF$30/Exogenous!BE$30,1+AU$14)</f>
        <v>76.981663318776157</v>
      </c>
      <c r="AV370" s="16">
        <f ca="1">AU$370*AVERAGE(Exogenous!BG$30/Exogenous!BF$30,1+AV$14)</f>
        <v>80.486640425171146</v>
      </c>
      <c r="AW370" s="16">
        <f ca="1">AV$370*AVERAGE(Exogenous!BH$30/Exogenous!BG$30,1+AW$14)</f>
        <v>84.151125247455738</v>
      </c>
      <c r="AX370" s="16">
        <f ca="1">AW$370*AVERAGE(Exogenous!BI$30/Exogenous!BH$30,1+AX$14)</f>
        <v>87.98031567527093</v>
      </c>
    </row>
    <row r="371" spans="1:50" x14ac:dyDescent="0.25">
      <c r="A371" s="11" t="s">
        <v>825</v>
      </c>
      <c r="B371" s="10" t="str">
        <f t="shared" ref="B371:B372" si="1271">$B$38</f>
        <v>From Fiscal Forecasts</v>
      </c>
      <c r="D371" s="35">
        <f>'Fiscal Forecasts'!D$217</f>
        <v>0.27900000000000003</v>
      </c>
      <c r="E371" s="35">
        <f>'Fiscal Forecasts'!E$217</f>
        <v>3.7999999999999999E-2</v>
      </c>
      <c r="F371" s="35">
        <f>'Fiscal Forecasts'!F$217</f>
        <v>3.7999999999999999E-2</v>
      </c>
      <c r="G371" s="35">
        <f>'Fiscal Forecasts'!G$217</f>
        <v>3.4000000000000002E-2</v>
      </c>
      <c r="H371" s="35">
        <f>'Fiscal Forecasts'!H$217</f>
        <v>3.5999999999999997E-2</v>
      </c>
      <c r="I371" s="35">
        <f>'Fiscal Forecasts'!I$217</f>
        <v>3.2000000000000001E-2</v>
      </c>
      <c r="J371" s="17">
        <f>'Fiscal Forecasts'!J$217</f>
        <v>3.2000000000000001E-2</v>
      </c>
      <c r="K371" s="17">
        <f>'Fiscal Forecasts'!K$217</f>
        <v>2.1999999999999999E-2</v>
      </c>
      <c r="L371" s="17">
        <f>'Fiscal Forecasts'!L$217</f>
        <v>2.3E-2</v>
      </c>
      <c r="M371" s="17">
        <f>'Fiscal Forecasts'!M$217</f>
        <v>2.3E-2</v>
      </c>
      <c r="N371" s="17">
        <f>'Fiscal Forecasts'!N$217</f>
        <v>2.3E-2</v>
      </c>
      <c r="O371" s="16">
        <f t="shared" ref="O371:AX371" ca="1" si="1272">N$371*(1+O$14)</f>
        <v>2.4031842705919182E-2</v>
      </c>
      <c r="P371" s="16">
        <f t="shared" ca="1" si="1272"/>
        <v>2.5093937972291456E-2</v>
      </c>
      <c r="Q371" s="16">
        <f t="shared" ca="1" si="1272"/>
        <v>2.6159570119162864E-2</v>
      </c>
      <c r="R371" s="16">
        <f t="shared" ca="1" si="1272"/>
        <v>2.7225133455213109E-2</v>
      </c>
      <c r="S371" s="16">
        <f t="shared" ca="1" si="1272"/>
        <v>2.8324769574052291E-2</v>
      </c>
      <c r="T371" s="16">
        <f t="shared" ca="1" si="1272"/>
        <v>2.9457942587850408E-2</v>
      </c>
      <c r="U371" s="16">
        <f t="shared" ca="1" si="1272"/>
        <v>3.0629215225873984E-2</v>
      </c>
      <c r="V371" s="16">
        <f t="shared" ca="1" si="1272"/>
        <v>3.1838914410730876E-2</v>
      </c>
      <c r="W371" s="16">
        <f t="shared" ca="1" si="1272"/>
        <v>3.3080734864932806E-2</v>
      </c>
      <c r="X371" s="16">
        <f t="shared" ca="1" si="1272"/>
        <v>3.4356688365918743E-2</v>
      </c>
      <c r="Y371" s="16">
        <f t="shared" ca="1" si="1272"/>
        <v>3.5673457937872639E-2</v>
      </c>
      <c r="Z371" s="16">
        <f t="shared" ca="1" si="1272"/>
        <v>3.7031270553491938E-2</v>
      </c>
      <c r="AA371" s="16">
        <f t="shared" ca="1" si="1272"/>
        <v>3.8435679699091813E-2</v>
      </c>
      <c r="AB371" s="16">
        <f t="shared" ca="1" si="1272"/>
        <v>3.9885195038898862E-2</v>
      </c>
      <c r="AC371" s="16">
        <f t="shared" ca="1" si="1272"/>
        <v>4.1379779294866845E-2</v>
      </c>
      <c r="AD371" s="16">
        <f t="shared" ca="1" si="1272"/>
        <v>4.2920503601945346E-2</v>
      </c>
      <c r="AE371" s="16">
        <f t="shared" ca="1" si="1272"/>
        <v>4.4506947654544785E-2</v>
      </c>
      <c r="AF371" s="16">
        <f t="shared" ca="1" si="1272"/>
        <v>4.6139483517965714E-2</v>
      </c>
      <c r="AG371" s="16">
        <f t="shared" ca="1" si="1272"/>
        <v>4.7818287096773167E-2</v>
      </c>
      <c r="AH371" s="16">
        <f t="shared" ca="1" si="1272"/>
        <v>4.9542566796152078E-2</v>
      </c>
      <c r="AI371" s="16">
        <f t="shared" ca="1" si="1272"/>
        <v>5.1313957424347745E-2</v>
      </c>
      <c r="AJ371" s="16">
        <f t="shared" ca="1" si="1272"/>
        <v>5.3134548984738919E-2</v>
      </c>
      <c r="AK371" s="16">
        <f t="shared" ca="1" si="1272"/>
        <v>5.5001924679757827E-2</v>
      </c>
      <c r="AL371" s="16">
        <f t="shared" ca="1" si="1272"/>
        <v>5.691864613982258E-2</v>
      </c>
      <c r="AM371" s="16">
        <f t="shared" ca="1" si="1272"/>
        <v>5.8887486275015603E-2</v>
      </c>
      <c r="AN371" s="16">
        <f t="shared" ca="1" si="1272"/>
        <v>6.0910683848541515E-2</v>
      </c>
      <c r="AO371" s="16">
        <f t="shared" ca="1" si="1272"/>
        <v>6.2989079955122665E-2</v>
      </c>
      <c r="AP371" s="16">
        <f t="shared" ca="1" si="1272"/>
        <v>6.5129068766560314E-2</v>
      </c>
      <c r="AQ371" s="16">
        <f t="shared" ca="1" si="1272"/>
        <v>6.7332741155282275E-2</v>
      </c>
      <c r="AR371" s="16">
        <f t="shared" ca="1" si="1272"/>
        <v>6.9605848046993601E-2</v>
      </c>
      <c r="AS371" s="16">
        <f t="shared" ca="1" si="1272"/>
        <v>7.1950089344909013E-2</v>
      </c>
      <c r="AT371" s="16">
        <f t="shared" ca="1" si="1272"/>
        <v>7.4372759799335039E-2</v>
      </c>
      <c r="AU371" s="16">
        <f t="shared" ca="1" si="1272"/>
        <v>7.6872812006839639E-2</v>
      </c>
      <c r="AV371" s="16">
        <f t="shared" ca="1" si="1272"/>
        <v>7.9457333816689582E-2</v>
      </c>
      <c r="AW371" s="16">
        <f t="shared" ca="1" si="1272"/>
        <v>8.2128603124244318E-2</v>
      </c>
      <c r="AX371" s="16">
        <f t="shared" ca="1" si="1272"/>
        <v>8.488551001020965E-2</v>
      </c>
    </row>
    <row r="372" spans="1:50" x14ac:dyDescent="0.25">
      <c r="A372" s="11" t="s">
        <v>787</v>
      </c>
      <c r="B372" s="10" t="str">
        <f t="shared" si="1271"/>
        <v>From Fiscal Forecasts</v>
      </c>
      <c r="D372" s="35">
        <f ca="1">'Fiscal Forecasts'!D$123-SUM(D$369:D$371)</f>
        <v>-1.3760000000000048</v>
      </c>
      <c r="E372" s="35">
        <f ca="1">'Fiscal Forecasts'!E$123-SUM(E$369:E$371)</f>
        <v>-1.2420000000000044</v>
      </c>
      <c r="F372" s="35">
        <f ca="1">'Fiscal Forecasts'!F$123-SUM(F$369:F$371)</f>
        <v>-1.664999999999992</v>
      </c>
      <c r="G372" s="35">
        <f ca="1">'Fiscal Forecasts'!G$123-SUM(G$369:G$371)</f>
        <v>-1.5389999999999944</v>
      </c>
      <c r="H372" s="35">
        <f ca="1">'Fiscal Forecasts'!H$123-SUM(H$369:H$371)</f>
        <v>-0.62300000000000466</v>
      </c>
      <c r="I372" s="35">
        <f ca="1">'Fiscal Forecasts'!I$123-SUM(I$369:I$371)</f>
        <v>-0.69399999999999551</v>
      </c>
      <c r="J372" s="17">
        <f ca="1">'Fiscal Forecasts'!J$123-SUM(J$369:J$371)</f>
        <v>-0.67500000000000426</v>
      </c>
      <c r="K372" s="17">
        <f ca="1">'Fiscal Forecasts'!K$123-SUM(K$369:K$371)</f>
        <v>-0.68599999999999994</v>
      </c>
      <c r="L372" s="17">
        <f ca="1">'Fiscal Forecasts'!L$123-SUM(L$369:L$371)</f>
        <v>-0.70199999999999818</v>
      </c>
      <c r="M372" s="17">
        <f ca="1">'Fiscal Forecasts'!M$123-SUM(M$369:M$371)</f>
        <v>-0.72100000000000364</v>
      </c>
      <c r="N372" s="17">
        <f ca="1">'Fiscal Forecasts'!N$123-SUM(N$369:N$371)</f>
        <v>-0.74699999999999989</v>
      </c>
      <c r="O372" s="16">
        <f t="shared" ref="O372" ca="1" si="1273">N$372*AVERAGE(O$369/N$369,O$370/N$370)</f>
        <v>-0.80528033735265658</v>
      </c>
      <c r="P372" s="16">
        <f t="shared" ref="P372" ca="1" si="1274">O$372*AVERAGE(P$369/O$369,P$370/O$370)</f>
        <v>-0.84647933866393132</v>
      </c>
      <c r="Q372" s="16">
        <f t="shared" ref="Q372" ca="1" si="1275">P$372*AVERAGE(Q$369/P$369,Q$370/P$370)</f>
        <v>-0.89046226092008396</v>
      </c>
      <c r="R372" s="16">
        <f t="shared" ref="R372" ca="1" si="1276">Q$372*AVERAGE(R$369/Q$369,R$370/Q$370)</f>
        <v>-0.93733444672939148</v>
      </c>
      <c r="S372" s="16">
        <f t="shared" ref="S372" ca="1" si="1277">R$372*AVERAGE(S$369/R$369,S$370/R$370)</f>
        <v>-0.98767158940143862</v>
      </c>
      <c r="T372" s="16">
        <f t="shared" ref="T372" ca="1" si="1278">S$372*AVERAGE(T$369/S$369,T$370/S$370)</f>
        <v>-1.0419625493234044</v>
      </c>
      <c r="U372" s="16">
        <f t="shared" ref="U372" ca="1" si="1279">T$372*AVERAGE(U$369/T$369,U$370/T$370)</f>
        <v>-1.100468970587053</v>
      </c>
      <c r="V372" s="16">
        <f t="shared" ref="V372" ca="1" si="1280">U$372*AVERAGE(V$369/U$369,V$370/U$370)</f>
        <v>-1.1624081559160577</v>
      </c>
      <c r="W372" s="16">
        <f t="shared" ref="W372" ca="1" si="1281">V$372*AVERAGE(W$369/V$369,W$370/V$370)</f>
        <v>-1.2269730140923618</v>
      </c>
      <c r="X372" s="16">
        <f t="shared" ref="X372" ca="1" si="1282">W$372*AVERAGE(X$369/W$369,X$370/W$370)</f>
        <v>-1.2942819474572844</v>
      </c>
      <c r="Y372" s="16">
        <f t="shared" ref="Y372" ca="1" si="1283">X$372*AVERAGE(Y$369/X$369,Y$370/X$370)</f>
        <v>-1.3649666322043525</v>
      </c>
      <c r="Z372" s="16">
        <f t="shared" ref="Z372" ca="1" si="1284">Y$372*AVERAGE(Z$369/Y$369,Z$370/Y$370)</f>
        <v>-1.4395492714758988</v>
      </c>
      <c r="AA372" s="16">
        <f t="shared" ref="AA372" ca="1" si="1285">Z$372*AVERAGE(AA$369/Z$369,AA$370/Z$370)</f>
        <v>-1.5183783152352925</v>
      </c>
      <c r="AB372" s="16">
        <f t="shared" ref="AB372" ca="1" si="1286">AA$372*AVERAGE(AB$369/AA$369,AB$370/AA$370)</f>
        <v>-1.601875167610608</v>
      </c>
      <c r="AC372" s="16">
        <f t="shared" ref="AC372" ca="1" si="1287">AB$372*AVERAGE(AC$369/AB$369,AC$370/AB$370)</f>
        <v>-1.690171925050298</v>
      </c>
      <c r="AD372" s="16">
        <f t="shared" ref="AD372" ca="1" si="1288">AC$372*AVERAGE(AD$369/AC$369,AD$370/AC$370)</f>
        <v>-1.7834450665489674</v>
      </c>
      <c r="AE372" s="16">
        <f t="shared" ref="AE372" ca="1" si="1289">AD$372*AVERAGE(AE$369/AD$369,AE$370/AD$370)</f>
        <v>-1.8816465317639877</v>
      </c>
      <c r="AF372" s="16">
        <f t="shared" ref="AF372" ca="1" si="1290">AE$372*AVERAGE(AF$369/AE$369,AF$370/AE$370)</f>
        <v>-1.9850342516387509</v>
      </c>
      <c r="AG372" s="16">
        <f t="shared" ref="AG372" ca="1" si="1291">AF$372*AVERAGE(AG$369/AF$369,AG$370/AF$370)</f>
        <v>-2.09336418987027</v>
      </c>
      <c r="AH372" s="16">
        <f t="shared" ref="AH372" ca="1" si="1292">AG$372*AVERAGE(AH$369/AG$369,AH$370/AG$370)</f>
        <v>-2.2064549073675082</v>
      </c>
      <c r="AI372" s="16">
        <f t="shared" ref="AI372" ca="1" si="1293">AH$372*AVERAGE(AI$369/AH$369,AI$370/AH$370)</f>
        <v>-2.3244950476512809</v>
      </c>
      <c r="AJ372" s="16">
        <f t="shared" ref="AJ372" ca="1" si="1294">AI$372*AVERAGE(AJ$369/AI$369,AJ$370/AI$370)</f>
        <v>-2.4475099275724532</v>
      </c>
      <c r="AK372" s="16">
        <f t="shared" ref="AK372" ca="1" si="1295">AJ$372*AVERAGE(AK$369/AJ$369,AK$370/AJ$370)</f>
        <v>-2.5749024087346206</v>
      </c>
      <c r="AL372" s="16">
        <f t="shared" ref="AL372" ca="1" si="1296">AK$372*AVERAGE(AL$369/AK$369,AL$370/AK$370)</f>
        <v>-2.7068271989764683</v>
      </c>
      <c r="AM372" s="16">
        <f t="shared" ref="AM372" ca="1" si="1297">AL$372*AVERAGE(AM$369/AL$369,AM$370/AL$370)</f>
        <v>-2.8430524443940985</v>
      </c>
      <c r="AN372" s="16">
        <f t="shared" ref="AN372" ca="1" si="1298">AM$372*AVERAGE(AN$369/AM$369,AN$370/AM$370)</f>
        <v>-2.9833087035837229</v>
      </c>
      <c r="AO372" s="16">
        <f t="shared" ref="AO372" ca="1" si="1299">AN$372*AVERAGE(AO$369/AN$369,AO$370/AN$370)</f>
        <v>-3.1275860428448818</v>
      </c>
      <c r="AP372" s="16">
        <f t="shared" ref="AP372" ca="1" si="1300">AO$372*AVERAGE(AP$369/AO$369,AP$370/AO$370)</f>
        <v>-3.2759930100727841</v>
      </c>
      <c r="AQ372" s="16">
        <f t="shared" ref="AQ372" ca="1" si="1301">AP$372*AVERAGE(AQ$369/AP$369,AQ$370/AP$370)</f>
        <v>-3.4289902146713755</v>
      </c>
      <c r="AR372" s="16">
        <f t="shared" ref="AR372" ca="1" si="1302">AQ$372*AVERAGE(AR$369/AQ$369,AR$370/AQ$370)</f>
        <v>-3.5868485178019367</v>
      </c>
      <c r="AS372" s="16">
        <f t="shared" ref="AS372" ca="1" si="1303">AR$372*AVERAGE(AS$369/AR$369,AS$370/AR$370)</f>
        <v>-3.7497825610800368</v>
      </c>
      <c r="AT372" s="16">
        <f t="shared" ref="AT372" ca="1" si="1304">AS$372*AVERAGE(AT$369/AS$369,AT$370/AS$370)</f>
        <v>-3.918295897495208</v>
      </c>
      <c r="AU372" s="16">
        <f t="shared" ref="AU372" ca="1" si="1305">AT$372*AVERAGE(AU$369/AT$369,AU$370/AT$370)</f>
        <v>-4.0927804480030909</v>
      </c>
      <c r="AV372" s="16">
        <f t="shared" ref="AV372" ca="1" si="1306">AU$372*AVERAGE(AV$369/AU$369,AV$370/AU$370)</f>
        <v>-4.2736314854494521</v>
      </c>
      <c r="AW372" s="16">
        <f t="shared" ref="AW372" ca="1" si="1307">AV$372*AVERAGE(AW$369/AV$369,AW$370/AV$370)</f>
        <v>-4.4614106516795591</v>
      </c>
      <c r="AX372" s="16">
        <f t="shared" ref="AX372" ca="1" si="1308">AW$372*AVERAGE(AX$369/AW$369,AX$370/AW$370)</f>
        <v>-4.6558364043478191</v>
      </c>
    </row>
    <row r="373" spans="1:50" x14ac:dyDescent="0.25">
      <c r="A373" s="9" t="s">
        <v>965</v>
      </c>
      <c r="D373" s="64">
        <f t="shared" ref="D373:N373" ca="1" si="1309">SUM(D$369:D$372)</f>
        <v>39.552</v>
      </c>
      <c r="E373" s="64">
        <f t="shared" ca="1" si="1309"/>
        <v>33.790999999999997</v>
      </c>
      <c r="F373" s="64">
        <f t="shared" ca="1" si="1309"/>
        <v>48.539000000000001</v>
      </c>
      <c r="G373" s="64">
        <f t="shared" ca="1" si="1309"/>
        <v>46.261000000000003</v>
      </c>
      <c r="H373" s="64">
        <f t="shared" ca="1" si="1309"/>
        <v>48.045999999999999</v>
      </c>
      <c r="I373" s="64">
        <f t="shared" ca="1" si="1309"/>
        <v>53.494999999999997</v>
      </c>
      <c r="J373" s="65">
        <f t="shared" ca="1" si="1309"/>
        <v>59.881999999999998</v>
      </c>
      <c r="K373" s="65">
        <f t="shared" ca="1" si="1309"/>
        <v>61.162999999999997</v>
      </c>
      <c r="L373" s="65">
        <f t="shared" ca="1" si="1309"/>
        <v>63.186</v>
      </c>
      <c r="M373" s="65">
        <f t="shared" ca="1" si="1309"/>
        <v>65.207999999999998</v>
      </c>
      <c r="N373" s="65">
        <f t="shared" ca="1" si="1309"/>
        <v>67.191999999999993</v>
      </c>
      <c r="O373" s="66">
        <f t="shared" ref="O373:AW373" ca="1" si="1310">SUM(O$369:O$372)</f>
        <v>73.856034114480806</v>
      </c>
      <c r="P373" s="66">
        <f t="shared" ca="1" si="1310"/>
        <v>78.109738127543068</v>
      </c>
      <c r="Q373" s="66">
        <f t="shared" ca="1" si="1310"/>
        <v>82.60567447469991</v>
      </c>
      <c r="R373" s="66">
        <f t="shared" ca="1" si="1310"/>
        <v>87.337715079044926</v>
      </c>
      <c r="S373" s="66">
        <f t="shared" ca="1" si="1310"/>
        <v>92.328941518476327</v>
      </c>
      <c r="T373" s="66">
        <f t="shared" ca="1" si="1310"/>
        <v>97.611809005502295</v>
      </c>
      <c r="U373" s="66">
        <f t="shared" ca="1" si="1310"/>
        <v>103.18554049881185</v>
      </c>
      <c r="V373" s="66">
        <f t="shared" ca="1" si="1310"/>
        <v>109.03912555807435</v>
      </c>
      <c r="W373" s="66">
        <f t="shared" ca="1" si="1310"/>
        <v>115.17306227864324</v>
      </c>
      <c r="X373" s="66">
        <f t="shared" ca="1" si="1310"/>
        <v>121.62813351597437</v>
      </c>
      <c r="Y373" s="66">
        <f t="shared" ca="1" si="1310"/>
        <v>128.47763455023872</v>
      </c>
      <c r="Z373" s="66">
        <f t="shared" ca="1" si="1310"/>
        <v>135.78645902210766</v>
      </c>
      <c r="AA373" s="66">
        <f t="shared" ca="1" si="1310"/>
        <v>143.59252718755431</v>
      </c>
      <c r="AB373" s="66">
        <f t="shared" ca="1" si="1310"/>
        <v>151.95159980457021</v>
      </c>
      <c r="AC373" s="66">
        <f t="shared" ca="1" si="1310"/>
        <v>160.87327003212758</v>
      </c>
      <c r="AD373" s="66">
        <f t="shared" ca="1" si="1310"/>
        <v>170.36012147088857</v>
      </c>
      <c r="AE373" s="66">
        <f t="shared" ca="1" si="1310"/>
        <v>180.41708135017171</v>
      </c>
      <c r="AF373" s="66">
        <f t="shared" ca="1" si="1310"/>
        <v>191.05591962043957</v>
      </c>
      <c r="AG373" s="66">
        <f t="shared" ca="1" si="1310"/>
        <v>202.25740239053223</v>
      </c>
      <c r="AH373" s="66">
        <f t="shared" ca="1" si="1310"/>
        <v>214.01442845925655</v>
      </c>
      <c r="AI373" s="66">
        <f t="shared" ca="1" si="1310"/>
        <v>226.32732560305234</v>
      </c>
      <c r="AJ373" s="66">
        <f t="shared" ca="1" si="1310"/>
        <v>239.18966096925919</v>
      </c>
      <c r="AK373" s="66">
        <f t="shared" ca="1" si="1310"/>
        <v>252.53136379449572</v>
      </c>
      <c r="AL373" s="66">
        <f t="shared" ca="1" si="1310"/>
        <v>266.30844495284111</v>
      </c>
      <c r="AM373" s="66">
        <f t="shared" ca="1" si="1310"/>
        <v>280.48509950678641</v>
      </c>
      <c r="AN373" s="66">
        <f t="shared" ca="1" si="1310"/>
        <v>294.98532124890289</v>
      </c>
      <c r="AO373" s="66">
        <f t="shared" ca="1" si="1310"/>
        <v>309.77179332050105</v>
      </c>
      <c r="AP373" s="66">
        <f t="shared" ca="1" si="1310"/>
        <v>324.84293379631561</v>
      </c>
      <c r="AQ373" s="66">
        <f t="shared" ca="1" si="1310"/>
        <v>340.23128028613758</v>
      </c>
      <c r="AR373" s="66">
        <f t="shared" ca="1" si="1310"/>
        <v>355.98733834382818</v>
      </c>
      <c r="AS373" s="66">
        <f t="shared" ca="1" si="1310"/>
        <v>372.12734634931479</v>
      </c>
      <c r="AT373" s="66">
        <f t="shared" ca="1" si="1310"/>
        <v>388.70503170786827</v>
      </c>
      <c r="AU373" s="66">
        <f t="shared" ca="1" si="1310"/>
        <v>405.76910326409813</v>
      </c>
      <c r="AV373" s="66">
        <f t="shared" ca="1" si="1310"/>
        <v>423.35497638765452</v>
      </c>
      <c r="AW373" s="66">
        <f t="shared" ca="1" si="1310"/>
        <v>441.53207835574608</v>
      </c>
      <c r="AX373" s="66">
        <f ca="1">SUM(AX$369:AX$372)</f>
        <v>460.23877123524807</v>
      </c>
    </row>
    <row r="375" spans="1:50" x14ac:dyDescent="0.25">
      <c r="A375" s="9" t="s">
        <v>700</v>
      </c>
    </row>
    <row r="376" spans="1:50" x14ac:dyDescent="0.25">
      <c r="A376" s="11" t="s">
        <v>701</v>
      </c>
      <c r="B376" s="10" t="str">
        <f>$B$38</f>
        <v>From Fiscal Forecasts</v>
      </c>
      <c r="D376" s="35">
        <f>'Fiscal Forecasts'!D$358</f>
        <v>0.98199999999999998</v>
      </c>
      <c r="E376" s="35">
        <f>'Fiscal Forecasts'!E$358</f>
        <v>0.80300000000000005</v>
      </c>
      <c r="F376" s="35">
        <f>'Fiscal Forecasts'!F$358</f>
        <v>0.74199999999999999</v>
      </c>
      <c r="G376" s="35">
        <f>'Fiscal Forecasts'!G$358</f>
        <v>1.077</v>
      </c>
      <c r="H376" s="35">
        <f>'Fiscal Forecasts'!H$358</f>
        <v>1.32</v>
      </c>
      <c r="I376" s="35">
        <f>'Fiscal Forecasts'!I$358</f>
        <v>1.659</v>
      </c>
      <c r="J376" s="17">
        <f>'Fiscal Forecasts'!J$358</f>
        <v>1.7050000000000001</v>
      </c>
      <c r="K376" s="17">
        <f>'Fiscal Forecasts'!K$358</f>
        <v>1.7729999999999999</v>
      </c>
      <c r="L376" s="17">
        <f>'Fiscal Forecasts'!L$358</f>
        <v>1.869</v>
      </c>
      <c r="M376" s="17">
        <f>'Fiscal Forecasts'!M$358</f>
        <v>1.9930000000000001</v>
      </c>
      <c r="N376" s="17">
        <f>'Fiscal Forecasts'!N$358</f>
        <v>2.1160000000000001</v>
      </c>
      <c r="O376" s="16">
        <f>Exogenous!Z$7</f>
        <v>2.2485091977363307</v>
      </c>
      <c r="P376" s="16">
        <f>Exogenous!AA$7</f>
        <v>2.3938922970082097</v>
      </c>
      <c r="Q376" s="16">
        <f>Exogenous!AB$7</f>
        <v>2.5467212694327102</v>
      </c>
      <c r="R376" s="16">
        <f>Exogenous!AC$7</f>
        <v>2.706584874798061</v>
      </c>
      <c r="S376" s="16">
        <f>Exogenous!AD$7</f>
        <v>2.8731767733957629</v>
      </c>
      <c r="T376" s="16">
        <f>Exogenous!AE$7</f>
        <v>3.0468545845477002</v>
      </c>
      <c r="U376" s="16">
        <f>Exogenous!AF$7</f>
        <v>3.2277867965278375</v>
      </c>
      <c r="V376" s="16">
        <f>Exogenous!AG$7</f>
        <v>3.4161958959481393</v>
      </c>
      <c r="W376" s="16">
        <f>Exogenous!AH$7</f>
        <v>3.6136348721088121</v>
      </c>
      <c r="X376" s="16">
        <f>Exogenous!AI$7</f>
        <v>3.8221106236944116</v>
      </c>
      <c r="Y376" s="16">
        <f>Exogenous!AJ$7</f>
        <v>4.0440128012558398</v>
      </c>
      <c r="Z376" s="16">
        <f>Exogenous!AK$7</f>
        <v>4.2819925708685664</v>
      </c>
      <c r="AA376" s="16">
        <f>Exogenous!AL$7</f>
        <v>4.5380381933936791</v>
      </c>
      <c r="AB376" s="16">
        <f>Exogenous!AM$7</f>
        <v>4.813884327566532</v>
      </c>
      <c r="AC376" s="16">
        <f>Exogenous!AN$7</f>
        <v>5.1108270571612575</v>
      </c>
      <c r="AD376" s="16">
        <f>Exogenous!AO$7</f>
        <v>5.411890318535777</v>
      </c>
      <c r="AE376" s="16">
        <f>Exogenous!AP$7</f>
        <v>5.7318916946083114</v>
      </c>
      <c r="AF376" s="16">
        <f>Exogenous!AQ$7</f>
        <v>6.0708464995846274</v>
      </c>
      <c r="AG376" s="16">
        <f>Exogenous!AR$7</f>
        <v>6.4283229784530489</v>
      </c>
      <c r="AH376" s="16">
        <f>Exogenous!AS$7</f>
        <v>6.8037925285814174</v>
      </c>
      <c r="AI376" s="16">
        <f>Exogenous!AT$7</f>
        <v>7.196854812640562</v>
      </c>
      <c r="AJ376" s="16">
        <f>Exogenous!AU$7</f>
        <v>7.6069019641818008</v>
      </c>
      <c r="AK376" s="16">
        <f>Exogenous!AV$7</f>
        <v>8.0323450771558971</v>
      </c>
      <c r="AL376" s="16">
        <f>Exogenous!AW$7</f>
        <v>8.4703905299002482</v>
      </c>
      <c r="AM376" s="16">
        <f>Exogenous!AX$7</f>
        <v>8.9187847741125257</v>
      </c>
      <c r="AN376" s="16">
        <f>Exogenous!AY$7</f>
        <v>9.3750451481579429</v>
      </c>
      <c r="AO376" s="16">
        <f>Exogenous!AZ$7</f>
        <v>9.8363066833099211</v>
      </c>
      <c r="AP376" s="16">
        <f>Exogenous!BA$7</f>
        <v>10.30133028976487</v>
      </c>
      <c r="AQ376" s="16">
        <f>Exogenous!BB$7</f>
        <v>10.770285691436372</v>
      </c>
      <c r="AR376" s="16">
        <f>Exogenous!BC$7</f>
        <v>11.244522520308308</v>
      </c>
      <c r="AS376" s="16">
        <f>Exogenous!BD$7</f>
        <v>11.725308201611897</v>
      </c>
      <c r="AT376" s="16">
        <f>Exogenous!BE$7</f>
        <v>12.213604692878054</v>
      </c>
      <c r="AU376" s="16">
        <f>Exogenous!BF$7</f>
        <v>12.711091473249665</v>
      </c>
      <c r="AV376" s="16">
        <f>Exogenous!BG$7</f>
        <v>13.21908289391642</v>
      </c>
      <c r="AW376" s="16">
        <f>Exogenous!BH$7</f>
        <v>13.739140593069376</v>
      </c>
      <c r="AX376" s="16">
        <f>Exogenous!BI$7</f>
        <v>14.271265874217802</v>
      </c>
    </row>
    <row r="377" spans="1:50" x14ac:dyDescent="0.25">
      <c r="A377" s="11" t="s">
        <v>793</v>
      </c>
      <c r="B377" s="10" t="str">
        <f t="shared" ref="B377:B382" si="1311">$B$38</f>
        <v>From Fiscal Forecasts</v>
      </c>
      <c r="D377" s="35">
        <f>'Fiscal Forecasts'!D$359</f>
        <v>0.504</v>
      </c>
      <c r="E377" s="35">
        <f>'Fiscal Forecasts'!E$359</f>
        <v>0.44800000000000001</v>
      </c>
      <c r="F377" s="35">
        <f>'Fiscal Forecasts'!F$359</f>
        <v>2.1560000000000001</v>
      </c>
      <c r="G377" s="35">
        <f>'Fiscal Forecasts'!G$359</f>
        <v>3.5000000000000003E-2</v>
      </c>
      <c r="H377" s="35">
        <f>'Fiscal Forecasts'!H$359</f>
        <v>0.127</v>
      </c>
      <c r="I377" s="35">
        <f>'Fiscal Forecasts'!I$359</f>
        <v>1.29</v>
      </c>
      <c r="J377" s="17">
        <f>'Fiscal Forecasts'!J$359</f>
        <v>1.389</v>
      </c>
      <c r="K377" s="17">
        <f>'Fiscal Forecasts'!K$359</f>
        <v>1.518</v>
      </c>
      <c r="L377" s="17">
        <f>'Fiscal Forecasts'!L$359</f>
        <v>1.6120000000000001</v>
      </c>
      <c r="M377" s="17">
        <f>'Fiscal Forecasts'!M$359</f>
        <v>1.7110000000000001</v>
      </c>
      <c r="N377" s="17">
        <f>'Fiscal Forecasts'!N$359</f>
        <v>1.8169999999999999</v>
      </c>
      <c r="O377" s="16">
        <f>Exogenous!Z$8</f>
        <v>1.9481668139231745</v>
      </c>
      <c r="P377" s="16">
        <f>Exogenous!AA$8</f>
        <v>2.0741305100432137</v>
      </c>
      <c r="Q377" s="16">
        <f>Exogenous!AB$8</f>
        <v>2.206545504201626</v>
      </c>
      <c r="R377" s="16">
        <f>Exogenous!AC$8</f>
        <v>2.3450554871896556</v>
      </c>
      <c r="S377" s="16">
        <f>Exogenous!AD$8</f>
        <v>2.4893950383212387</v>
      </c>
      <c r="T377" s="16">
        <f>Exogenous!AE$8</f>
        <v>2.6398740082723755</v>
      </c>
      <c r="U377" s="16">
        <f>Exogenous!AF$8</f>
        <v>2.7966383796631078</v>
      </c>
      <c r="V377" s="16">
        <f>Exogenous!AG$8</f>
        <v>2.959880920677088</v>
      </c>
      <c r="W377" s="16">
        <f>Exogenous!AH$8</f>
        <v>3.1309471816105225</v>
      </c>
      <c r="X377" s="16">
        <f>Exogenous!AI$8</f>
        <v>3.3115759916485872</v>
      </c>
      <c r="Y377" s="16">
        <f>Exogenous!AJ$8</f>
        <v>3.5038378061422435</v>
      </c>
      <c r="Z377" s="16">
        <f>Exogenous!AK$8</f>
        <v>3.7100296642904542</v>
      </c>
      <c r="AA377" s="16">
        <f>Exogenous!AL$8</f>
        <v>3.9318742469836923</v>
      </c>
      <c r="AB377" s="16">
        <f>Exogenous!AM$8</f>
        <v>4.1708745076388718</v>
      </c>
      <c r="AC377" s="16">
        <f>Exogenous!AN$8</f>
        <v>4.4281534069267208</v>
      </c>
      <c r="AD377" s="16">
        <f>Exogenous!AO$8</f>
        <v>4.6890024420526579</v>
      </c>
      <c r="AE377" s="16">
        <f>Exogenous!AP$8</f>
        <v>4.9662599520072011</v>
      </c>
      <c r="AF377" s="16">
        <f>Exogenous!AQ$8</f>
        <v>5.2599392054162832</v>
      </c>
      <c r="AG377" s="16">
        <f>Exogenous!AR$8</f>
        <v>5.5696661185152765</v>
      </c>
      <c r="AH377" s="16">
        <f>Exogenous!AS$8</f>
        <v>5.8949826962438268</v>
      </c>
      <c r="AI377" s="16">
        <f>Exogenous!AT$8</f>
        <v>6.2355420759340596</v>
      </c>
      <c r="AJ377" s="16">
        <f>Exogenous!AU$8</f>
        <v>6.5908175862947003</v>
      </c>
      <c r="AK377" s="16">
        <f>Exogenous!AV$8</f>
        <v>6.959432557824603</v>
      </c>
      <c r="AL377" s="16">
        <f>Exogenous!AW$8</f>
        <v>7.3389665241012976</v>
      </c>
      <c r="AM377" s="16">
        <f>Exogenous!AX$8</f>
        <v>7.7274669522996611</v>
      </c>
      <c r="AN377" s="16">
        <f>Exogenous!AY$8</f>
        <v>8.1227827998480358</v>
      </c>
      <c r="AO377" s="16">
        <f>Exogenous!AZ$8</f>
        <v>8.5224317833732162</v>
      </c>
      <c r="AP377" s="16">
        <f>Exogenous!BA$8</f>
        <v>8.9253403232619792</v>
      </c>
      <c r="AQ377" s="16">
        <f>Exogenous!BB$8</f>
        <v>9.3316554727246537</v>
      </c>
      <c r="AR377" s="16">
        <f>Exogenous!BC$8</f>
        <v>9.7425465879927557</v>
      </c>
      <c r="AS377" s="16">
        <f>Exogenous!BD$8</f>
        <v>10.159111799230523</v>
      </c>
      <c r="AT377" s="16">
        <f>Exogenous!BE$8</f>
        <v>10.582184571446687</v>
      </c>
      <c r="AU377" s="16">
        <f>Exogenous!BF$8</f>
        <v>11.013220049024978</v>
      </c>
      <c r="AV377" s="16">
        <f>Exogenous!BG$8</f>
        <v>11.453357019999785</v>
      </c>
      <c r="AW377" s="16">
        <f>Exogenous!BH$8</f>
        <v>11.903948528291155</v>
      </c>
      <c r="AX377" s="16">
        <f>Exogenous!BI$8</f>
        <v>12.364995703293401</v>
      </c>
    </row>
    <row r="378" spans="1:50" x14ac:dyDescent="0.25">
      <c r="A378" s="11" t="s">
        <v>794</v>
      </c>
      <c r="B378" s="10" t="str">
        <f t="shared" si="1311"/>
        <v>From Fiscal Forecasts</v>
      </c>
      <c r="D378" s="35">
        <f>'Fiscal Forecasts'!D$360</f>
        <v>0.13</v>
      </c>
      <c r="E378" s="35">
        <f>'Fiscal Forecasts'!E$360</f>
        <v>0.15</v>
      </c>
      <c r="F378" s="35">
        <f>'Fiscal Forecasts'!F$360</f>
        <v>0.125</v>
      </c>
      <c r="G378" s="35">
        <f>'Fiscal Forecasts'!G$360</f>
        <v>-0.51700000000000002</v>
      </c>
      <c r="H378" s="35">
        <f>'Fiscal Forecasts'!H$360</f>
        <v>1.054</v>
      </c>
      <c r="I378" s="35">
        <f>'Fiscal Forecasts'!I$360</f>
        <v>0.189</v>
      </c>
      <c r="J378" s="17">
        <f>'Fiscal Forecasts'!J$360</f>
        <v>0.253</v>
      </c>
      <c r="K378" s="17">
        <f>'Fiscal Forecasts'!K$360</f>
        <v>0.314</v>
      </c>
      <c r="L378" s="17">
        <f>'Fiscal Forecasts'!L$360</f>
        <v>0.33600000000000002</v>
      </c>
      <c r="M378" s="17">
        <f>'Fiscal Forecasts'!M$360</f>
        <v>0.36</v>
      </c>
      <c r="N378" s="17">
        <f>'Fiscal Forecasts'!N$360</f>
        <v>0.38700000000000001</v>
      </c>
      <c r="O378" s="16">
        <f>Exogenous!Z$9</f>
        <v>0.40586808623399473</v>
      </c>
      <c r="P378" s="16">
        <f>Exogenous!AA$9</f>
        <v>0.43211052292566959</v>
      </c>
      <c r="Q378" s="16">
        <f>Exogenous!AB$9</f>
        <v>0.45969698004200543</v>
      </c>
      <c r="R378" s="16">
        <f>Exogenous!AC$9</f>
        <v>0.48855322649784494</v>
      </c>
      <c r="S378" s="16">
        <f>Exogenous!AD$9</f>
        <v>0.51862396631692476</v>
      </c>
      <c r="T378" s="16">
        <f>Exogenous!AE$9</f>
        <v>0.54997375172341156</v>
      </c>
      <c r="U378" s="16">
        <f>Exogenous!AF$9</f>
        <v>0.58263299576314753</v>
      </c>
      <c r="V378" s="16">
        <f>Exogenous!AG$9</f>
        <v>0.61664185847439335</v>
      </c>
      <c r="W378" s="16">
        <f>Exogenous!AH$9</f>
        <v>0.65228066283552566</v>
      </c>
      <c r="X378" s="16">
        <f>Exogenous!AI$9</f>
        <v>0.68991166492678913</v>
      </c>
      <c r="Y378" s="16">
        <f>Exogenous!AJ$9</f>
        <v>0.72996620961296754</v>
      </c>
      <c r="Z378" s="16">
        <f>Exogenous!AK$9</f>
        <v>0.77292284672717804</v>
      </c>
      <c r="AA378" s="16">
        <f>Exogenous!AL$9</f>
        <v>0.81914046812160268</v>
      </c>
      <c r="AB378" s="16">
        <f>Exogenous!AM$9</f>
        <v>0.86893218909143166</v>
      </c>
      <c r="AC378" s="16">
        <f>Exogenous!AN$9</f>
        <v>0.92253195977640035</v>
      </c>
      <c r="AD378" s="16">
        <f>Exogenous!AO$9</f>
        <v>0.97687550876097051</v>
      </c>
      <c r="AE378" s="16">
        <f>Exogenous!AP$9</f>
        <v>1.0346374900015003</v>
      </c>
      <c r="AF378" s="16">
        <f>Exogenous!AQ$9</f>
        <v>1.095820667795059</v>
      </c>
      <c r="AG378" s="16">
        <f>Exogenous!AR$9</f>
        <v>1.160347108024016</v>
      </c>
      <c r="AH378" s="16">
        <f>Exogenous!AS$9</f>
        <v>1.2281213950507972</v>
      </c>
      <c r="AI378" s="16">
        <f>Exogenous!AT$9</f>
        <v>1.299071265819596</v>
      </c>
      <c r="AJ378" s="16">
        <f>Exogenous!AU$9</f>
        <v>1.3730869971447293</v>
      </c>
      <c r="AK378" s="16">
        <f>Exogenous!AV$9</f>
        <v>1.4498817828801258</v>
      </c>
      <c r="AL378" s="16">
        <f>Exogenous!AW$9</f>
        <v>1.5289513591877704</v>
      </c>
      <c r="AM378" s="16">
        <f>Exogenous!AX$9</f>
        <v>1.6098889483957628</v>
      </c>
      <c r="AN378" s="16">
        <f>Exogenous!AY$9</f>
        <v>1.6922464166350075</v>
      </c>
      <c r="AO378" s="16">
        <f>Exogenous!AZ$9</f>
        <v>1.7755066215360866</v>
      </c>
      <c r="AP378" s="16">
        <f>Exogenous!BA$9</f>
        <v>1.8594459006795792</v>
      </c>
      <c r="AQ378" s="16">
        <f>Exogenous!BB$9</f>
        <v>1.9440948901509696</v>
      </c>
      <c r="AR378" s="16">
        <f>Exogenous!BC$9</f>
        <v>2.0296972058318246</v>
      </c>
      <c r="AS378" s="16">
        <f>Exogenous!BD$9</f>
        <v>2.1164816248396927</v>
      </c>
      <c r="AT378" s="16">
        <f>Exogenous!BE$9</f>
        <v>2.2046217857180603</v>
      </c>
      <c r="AU378" s="16">
        <f>Exogenous!BF$9</f>
        <v>2.2944208435468707</v>
      </c>
      <c r="AV378" s="16">
        <f>Exogenous!BG$9</f>
        <v>2.3861160458332886</v>
      </c>
      <c r="AW378" s="16">
        <f>Exogenous!BH$9</f>
        <v>2.4799892767273239</v>
      </c>
      <c r="AX378" s="16">
        <f>Exogenous!BI$9</f>
        <v>2.5760407715194589</v>
      </c>
    </row>
    <row r="379" spans="1:50" x14ac:dyDescent="0.25">
      <c r="A379" s="11" t="s">
        <v>789</v>
      </c>
      <c r="B379" s="10" t="str">
        <f t="shared" si="1311"/>
        <v>From Fiscal Forecasts</v>
      </c>
      <c r="D379" s="35">
        <f>'Fiscal Forecasts'!D$361</f>
        <v>1.9550000000000001</v>
      </c>
      <c r="E379" s="35">
        <f>'Fiscal Forecasts'!E$361</f>
        <v>1.7000000000000001E-2</v>
      </c>
      <c r="F379" s="35">
        <f>'Fiscal Forecasts'!F$361</f>
        <v>12.786</v>
      </c>
      <c r="G379" s="35">
        <f>'Fiscal Forecasts'!G$361</f>
        <v>-5.133</v>
      </c>
      <c r="H379" s="35">
        <f>'Fiscal Forecasts'!H$361</f>
        <v>5.766</v>
      </c>
      <c r="I379" s="35">
        <f>'Fiscal Forecasts'!I$361</f>
        <v>8.3520000000000003</v>
      </c>
      <c r="J379" s="17">
        <f>'Fiscal Forecasts'!J$361</f>
        <v>6.6360000000000001</v>
      </c>
      <c r="K379" s="17">
        <f>'Fiscal Forecasts'!K$361</f>
        <v>4.9329999999999998</v>
      </c>
      <c r="L379" s="17">
        <f>'Fiscal Forecasts'!L$361</f>
        <v>5.2549999999999999</v>
      </c>
      <c r="M379" s="17">
        <f>'Fiscal Forecasts'!M$361</f>
        <v>5.57</v>
      </c>
      <c r="N379" s="17">
        <f>'Fiscal Forecasts'!N$361</f>
        <v>5.9210000000000003</v>
      </c>
      <c r="O379" s="16">
        <f>Exogenous!Z$10</f>
        <v>6.2747206131775579</v>
      </c>
      <c r="P379" s="16">
        <f>Exogenous!AA$10</f>
        <v>6.6804286844308516</v>
      </c>
      <c r="Q379" s="16">
        <f>Exogenous!AB$10</f>
        <v>7.1069153114494039</v>
      </c>
      <c r="R379" s="16">
        <f>Exogenous!AC$10</f>
        <v>7.5530328816566827</v>
      </c>
      <c r="S379" s="16">
        <f>Exogenous!AD$10</f>
        <v>8.0179265192596567</v>
      </c>
      <c r="T379" s="16">
        <f>Exogenous!AE$10</f>
        <v>8.5025942016439426</v>
      </c>
      <c r="U379" s="16">
        <f>Exogenous!AF$10</f>
        <v>9.0075061144982609</v>
      </c>
      <c r="V379" s="16">
        <f>Exogenous!AG$10</f>
        <v>9.5332831320141214</v>
      </c>
      <c r="W379" s="16">
        <f>Exogenous!AH$10</f>
        <v>10.084259047437225</v>
      </c>
      <c r="X379" s="16">
        <f>Exogenous!AI$10</f>
        <v>10.666034339768158</v>
      </c>
      <c r="Y379" s="16">
        <f>Exogenous!AJ$10</f>
        <v>11.285277600616476</v>
      </c>
      <c r="Z379" s="16">
        <f>Exogenous!AK$10</f>
        <v>11.949387210402172</v>
      </c>
      <c r="AA379" s="16">
        <f>Exogenous!AL$10</f>
        <v>12.663911637159977</v>
      </c>
      <c r="AB379" s="16">
        <f>Exogenous!AM$10</f>
        <v>13.433691643353534</v>
      </c>
      <c r="AC379" s="16">
        <f>Exogenous!AN$10</f>
        <v>14.262344098143148</v>
      </c>
      <c r="AD379" s="16">
        <f>Exogenous!AO$10</f>
        <v>15.102495365444604</v>
      </c>
      <c r="AE379" s="16">
        <f>Exogenous!AP$10</f>
        <v>15.995495595423193</v>
      </c>
      <c r="AF379" s="16">
        <f>Exogenous!AQ$10</f>
        <v>16.941387524111612</v>
      </c>
      <c r="AG379" s="16">
        <f>Exogenous!AR$10</f>
        <v>17.938966290051287</v>
      </c>
      <c r="AH379" s="16">
        <f>Exogenous!AS$10</f>
        <v>18.986756767485325</v>
      </c>
      <c r="AI379" s="16">
        <f>Exogenous!AT$10</f>
        <v>20.083641769570953</v>
      </c>
      <c r="AJ379" s="16">
        <f>Exogenous!AU$10</f>
        <v>21.227924975857515</v>
      </c>
      <c r="AK379" s="16">
        <f>Exogenous!AV$10</f>
        <v>22.415172363326747</v>
      </c>
      <c r="AL379" s="16">
        <f>Exogenous!AW$10</f>
        <v>23.637588013042929</v>
      </c>
      <c r="AM379" s="16">
        <f>Exogenous!AX$10</f>
        <v>24.888883142198491</v>
      </c>
      <c r="AN379" s="16">
        <f>Exogenous!AY$10</f>
        <v>26.162129601177217</v>
      </c>
      <c r="AO379" s="16">
        <f>Exogenous!AZ$10</f>
        <v>27.4493323689479</v>
      </c>
      <c r="AP379" s="16">
        <f>Exogenous!BA$10</f>
        <v>28.747033624506294</v>
      </c>
      <c r="AQ379" s="16">
        <f>Exogenous!BB$10</f>
        <v>30.055707001733989</v>
      </c>
      <c r="AR379" s="16">
        <f>Exogenous!BC$10</f>
        <v>31.379118802160004</v>
      </c>
      <c r="AS379" s="16">
        <f>Exogenous!BD$10</f>
        <v>32.720805920021647</v>
      </c>
      <c r="AT379" s="16">
        <f>Exogenous!BE$10</f>
        <v>34.083452807201212</v>
      </c>
      <c r="AU379" s="16">
        <f>Exogenous!BF$10</f>
        <v>35.471746241234619</v>
      </c>
      <c r="AV379" s="16">
        <f>Exogenous!BG$10</f>
        <v>36.889354068582641</v>
      </c>
      <c r="AW379" s="16">
        <f>Exogenous!BH$10</f>
        <v>38.340634218204428</v>
      </c>
      <c r="AX379" s="16">
        <f>Exogenous!BI$10</f>
        <v>39.825590327690833</v>
      </c>
    </row>
    <row r="380" spans="1:50" x14ac:dyDescent="0.25">
      <c r="A380" s="9" t="s">
        <v>795</v>
      </c>
      <c r="D380" s="64">
        <f t="shared" ref="D380:AX380" si="1312">D$376-D$377-D$378+D$379</f>
        <v>2.3029999999999999</v>
      </c>
      <c r="E380" s="64">
        <f t="shared" si="1312"/>
        <v>0.22200000000000003</v>
      </c>
      <c r="F380" s="64">
        <f t="shared" si="1312"/>
        <v>11.247</v>
      </c>
      <c r="G380" s="64">
        <f t="shared" si="1312"/>
        <v>-3.5739999999999998</v>
      </c>
      <c r="H380" s="64">
        <f t="shared" si="1312"/>
        <v>5.9050000000000002</v>
      </c>
      <c r="I380" s="64">
        <f t="shared" si="1312"/>
        <v>8.532</v>
      </c>
      <c r="J380" s="65">
        <f t="shared" si="1312"/>
        <v>6.6989999999999998</v>
      </c>
      <c r="K380" s="65">
        <f t="shared" si="1312"/>
        <v>4.8739999999999997</v>
      </c>
      <c r="L380" s="65">
        <f t="shared" si="1312"/>
        <v>5.1760000000000002</v>
      </c>
      <c r="M380" s="65">
        <f t="shared" si="1312"/>
        <v>5.492</v>
      </c>
      <c r="N380" s="65">
        <f t="shared" si="1312"/>
        <v>5.8330000000000002</v>
      </c>
      <c r="O380" s="66">
        <f t="shared" si="1312"/>
        <v>6.169194910756719</v>
      </c>
      <c r="P380" s="66">
        <f t="shared" si="1312"/>
        <v>6.568079948470178</v>
      </c>
      <c r="Q380" s="66">
        <f t="shared" si="1312"/>
        <v>6.9873940966384822</v>
      </c>
      <c r="R380" s="66">
        <f t="shared" si="1312"/>
        <v>7.4260090427672427</v>
      </c>
      <c r="S380" s="66">
        <f t="shared" si="1312"/>
        <v>7.8830842880172565</v>
      </c>
      <c r="T380" s="66">
        <f t="shared" si="1312"/>
        <v>8.3596010261958558</v>
      </c>
      <c r="U380" s="66">
        <f t="shared" si="1312"/>
        <v>8.8560215355998437</v>
      </c>
      <c r="V380" s="66">
        <f t="shared" si="1312"/>
        <v>9.3729562488107803</v>
      </c>
      <c r="W380" s="66">
        <f t="shared" si="1312"/>
        <v>9.9146660750999889</v>
      </c>
      <c r="X380" s="66">
        <f t="shared" si="1312"/>
        <v>10.486657306887194</v>
      </c>
      <c r="Y380" s="66">
        <f t="shared" si="1312"/>
        <v>11.095486386117106</v>
      </c>
      <c r="Z380" s="66">
        <f t="shared" si="1312"/>
        <v>11.748427270253107</v>
      </c>
      <c r="AA380" s="66">
        <f t="shared" si="1312"/>
        <v>12.450935115448361</v>
      </c>
      <c r="AB380" s="66">
        <f t="shared" si="1312"/>
        <v>13.207769274189761</v>
      </c>
      <c r="AC380" s="66">
        <f t="shared" si="1312"/>
        <v>14.022485788601283</v>
      </c>
      <c r="AD380" s="66">
        <f t="shared" si="1312"/>
        <v>14.848507733166752</v>
      </c>
      <c r="AE380" s="66">
        <f t="shared" si="1312"/>
        <v>15.726489848022803</v>
      </c>
      <c r="AF380" s="66">
        <f t="shared" si="1312"/>
        <v>16.656474150484897</v>
      </c>
      <c r="AG380" s="66">
        <f t="shared" si="1312"/>
        <v>17.637276041965045</v>
      </c>
      <c r="AH380" s="66">
        <f t="shared" si="1312"/>
        <v>18.667445204772118</v>
      </c>
      <c r="AI380" s="66">
        <f t="shared" si="1312"/>
        <v>19.745883240457861</v>
      </c>
      <c r="AJ380" s="66">
        <f t="shared" si="1312"/>
        <v>20.870922356599888</v>
      </c>
      <c r="AK380" s="66">
        <f t="shared" si="1312"/>
        <v>22.038203099777913</v>
      </c>
      <c r="AL380" s="66">
        <f t="shared" si="1312"/>
        <v>23.240060659654109</v>
      </c>
      <c r="AM380" s="66">
        <f t="shared" si="1312"/>
        <v>24.470312015615594</v>
      </c>
      <c r="AN380" s="66">
        <f t="shared" si="1312"/>
        <v>25.722145532852117</v>
      </c>
      <c r="AO380" s="66">
        <f t="shared" si="1312"/>
        <v>26.987700647348518</v>
      </c>
      <c r="AP380" s="66">
        <f t="shared" si="1312"/>
        <v>28.263577690329605</v>
      </c>
      <c r="AQ380" s="66">
        <f t="shared" si="1312"/>
        <v>29.550242330294736</v>
      </c>
      <c r="AR380" s="66">
        <f t="shared" si="1312"/>
        <v>30.851397528643734</v>
      </c>
      <c r="AS380" s="66">
        <f t="shared" si="1312"/>
        <v>32.170520697563326</v>
      </c>
      <c r="AT380" s="66">
        <f t="shared" si="1312"/>
        <v>33.51025114291452</v>
      </c>
      <c r="AU380" s="66">
        <f t="shared" si="1312"/>
        <v>34.875196821912432</v>
      </c>
      <c r="AV380" s="66">
        <f t="shared" si="1312"/>
        <v>36.268963896665987</v>
      </c>
      <c r="AW380" s="66">
        <f t="shared" si="1312"/>
        <v>37.695837006255324</v>
      </c>
      <c r="AX380" s="66">
        <f t="shared" si="1312"/>
        <v>39.155819727095775</v>
      </c>
    </row>
    <row r="381" spans="1:50" x14ac:dyDescent="0.25">
      <c r="A381" s="11" t="s">
        <v>790</v>
      </c>
      <c r="B381" s="10" t="str">
        <f t="shared" si="1311"/>
        <v>From Fiscal Forecasts</v>
      </c>
      <c r="D381" s="35">
        <f>'Fiscal Forecasts'!D$362</f>
        <v>1</v>
      </c>
      <c r="E381" s="35">
        <f>'Fiscal Forecasts'!E$362</f>
        <v>1.46</v>
      </c>
      <c r="F381" s="35">
        <f>'Fiscal Forecasts'!F$362</f>
        <v>2.12</v>
      </c>
      <c r="G381" s="35">
        <f>'Fiscal Forecasts'!G$362</f>
        <v>2.42</v>
      </c>
      <c r="H381" s="35">
        <f>'Fiscal Forecasts'!H$362</f>
        <v>2.5579999999999998</v>
      </c>
      <c r="I381" s="35">
        <f>'Fiscal Forecasts'!I$362</f>
        <v>1.6140000000000001</v>
      </c>
      <c r="J381" s="17">
        <f>'Fiscal Forecasts'!J$362</f>
        <v>0.879</v>
      </c>
      <c r="K381" s="17">
        <f>'Fiscal Forecasts'!K$362</f>
        <v>0</v>
      </c>
      <c r="L381" s="17">
        <f>'Fiscal Forecasts'!L$362</f>
        <v>4.0000000000000001E-3</v>
      </c>
      <c r="M381" s="17">
        <f>'Fiscal Forecasts'!M$362</f>
        <v>-3.2000000000000001E-2</v>
      </c>
      <c r="N381" s="17">
        <f>'Fiscal Forecasts'!N$362</f>
        <v>6.3E-2</v>
      </c>
      <c r="O381" s="16">
        <f>Exogenous!Z$11</f>
        <v>0.57706930755217201</v>
      </c>
      <c r="P381" s="16">
        <f>Exogenous!AA$11</f>
        <v>0.53863117962832163</v>
      </c>
      <c r="Q381" s="16">
        <f>Exogenous!AB$11</f>
        <v>0.46530016941342822</v>
      </c>
      <c r="R381" s="16">
        <f>Exogenous!AC$11</f>
        <v>0.34700095922042351</v>
      </c>
      <c r="S381" s="16">
        <f>Exogenous!AD$11</f>
        <v>0.20906371226192988</v>
      </c>
      <c r="T381" s="16">
        <f>Exogenous!AE$11</f>
        <v>9.0577600526046353E-2</v>
      </c>
      <c r="U381" s="16">
        <f>Exogenous!AF$11</f>
        <v>-7.7012530974350568E-2</v>
      </c>
      <c r="V381" s="16">
        <f>Exogenous!AG$11</f>
        <v>-0.20662445619740311</v>
      </c>
      <c r="W381" s="16">
        <f>Exogenous!AH$11</f>
        <v>-0.26874709325309709</v>
      </c>
      <c r="X381" s="16">
        <f>Exogenous!AI$11</f>
        <v>-0.26200959269547752</v>
      </c>
      <c r="Y381" s="16">
        <f>Exogenous!AJ$11</f>
        <v>-0.16114626303163249</v>
      </c>
      <c r="Z381" s="16">
        <f>Exogenous!AK$11</f>
        <v>1.5634832872052584E-2</v>
      </c>
      <c r="AA381" s="16">
        <f>Exogenous!AL$11</f>
        <v>0.20658764755357595</v>
      </c>
      <c r="AB381" s="16">
        <f>Exogenous!AM$11</f>
        <v>0.44819469377786447</v>
      </c>
      <c r="AC381" s="16">
        <f>Exogenous!AN$11</f>
        <v>0.64125728695573514</v>
      </c>
      <c r="AD381" s="16">
        <f>Exogenous!AO$11</f>
        <v>0.8085819375104677</v>
      </c>
      <c r="AE381" s="16">
        <f>Exogenous!AP$11</f>
        <v>0.94045446438789781</v>
      </c>
      <c r="AF381" s="16">
        <f>Exogenous!AQ$11</f>
        <v>1.0229803395255246</v>
      </c>
      <c r="AG381" s="16">
        <f>Exogenous!AR$11</f>
        <v>1.0268894697404249</v>
      </c>
      <c r="AH381" s="16">
        <f>Exogenous!AS$11</f>
        <v>0.97970226137621808</v>
      </c>
      <c r="AI381" s="16">
        <f>Exogenous!AT$11</f>
        <v>0.86437019953181249</v>
      </c>
      <c r="AJ381" s="16">
        <f>Exogenous!AU$11</f>
        <v>0.68191550315545157</v>
      </c>
      <c r="AK381" s="16">
        <f>Exogenous!AV$11</f>
        <v>0.33150433630515863</v>
      </c>
      <c r="AL381" s="16">
        <f>Exogenous!AW$11</f>
        <v>-0.18430350998096401</v>
      </c>
      <c r="AM381" s="16">
        <f>Exogenous!AX$11</f>
        <v>-0.79841628371046625</v>
      </c>
      <c r="AN381" s="16">
        <f>Exogenous!AY$11</f>
        <v>-1.6051559459170477</v>
      </c>
      <c r="AO381" s="16">
        <f>Exogenous!AZ$11</f>
        <v>-2.5198145728177366</v>
      </c>
      <c r="AP381" s="16">
        <f>Exogenous!BA$11</f>
        <v>-3.4579122888796121</v>
      </c>
      <c r="AQ381" s="16">
        <f>Exogenous!BB$11</f>
        <v>-4.3648674392876927</v>
      </c>
      <c r="AR381" s="16">
        <f>Exogenous!BC$11</f>
        <v>-5.1806451486930598</v>
      </c>
      <c r="AS381" s="16">
        <f>Exogenous!BD$11</f>
        <v>-5.9924477999459071</v>
      </c>
      <c r="AT381" s="16">
        <f>Exogenous!BE$11</f>
        <v>-6.7339510213220564</v>
      </c>
      <c r="AU381" s="16">
        <f>Exogenous!BF$11</f>
        <v>-7.4115814251896239</v>
      </c>
      <c r="AV381" s="16">
        <f>Exogenous!BG$11</f>
        <v>-8.0647609383281491</v>
      </c>
      <c r="AW381" s="16">
        <f>Exogenous!BH$11</f>
        <v>-8.6248999776821762</v>
      </c>
      <c r="AX381" s="16">
        <f>Exogenous!BI$11</f>
        <v>-9.3520141865447641</v>
      </c>
    </row>
    <row r="382" spans="1:50" x14ac:dyDescent="0.25">
      <c r="A382" s="11" t="s">
        <v>391</v>
      </c>
      <c r="B382" s="10" t="str">
        <f t="shared" si="1311"/>
        <v>From Fiscal Forecasts</v>
      </c>
      <c r="D382" s="35">
        <f>'Fiscal Forecasts'!D$363</f>
        <v>8.8999999999999996E-2</v>
      </c>
      <c r="E382" s="35">
        <f>'Fiscal Forecasts'!E$363</f>
        <v>-0.13</v>
      </c>
      <c r="F382" s="35">
        <f>'Fiscal Forecasts'!F$363</f>
        <v>1E-3</v>
      </c>
      <c r="G382" s="35">
        <f>'Fiscal Forecasts'!G$363</f>
        <v>-1E-3</v>
      </c>
      <c r="H382" s="35">
        <f>'Fiscal Forecasts'!H$363</f>
        <v>0</v>
      </c>
      <c r="I382" s="35">
        <f>'Fiscal Forecasts'!I$363</f>
        <v>0</v>
      </c>
      <c r="J382" s="17">
        <f>'Fiscal Forecasts'!J$363</f>
        <v>0</v>
      </c>
      <c r="K382" s="17">
        <f>'Fiscal Forecasts'!K$363</f>
        <v>0</v>
      </c>
      <c r="L382" s="17">
        <f>'Fiscal Forecasts'!L$363</f>
        <v>0</v>
      </c>
      <c r="M382" s="17">
        <f>'Fiscal Forecasts'!M$363</f>
        <v>0</v>
      </c>
      <c r="N382" s="17">
        <f>'Fiscal Forecasts'!N$363</f>
        <v>0</v>
      </c>
      <c r="O382" s="16">
        <f>Exogenous!Z$12</f>
        <v>0</v>
      </c>
      <c r="P382" s="16">
        <f>Exogenous!AA$12</f>
        <v>0</v>
      </c>
      <c r="Q382" s="16">
        <f>Exogenous!AB$12</f>
        <v>0</v>
      </c>
      <c r="R382" s="16">
        <f>Exogenous!AC$12</f>
        <v>0</v>
      </c>
      <c r="S382" s="16">
        <f>Exogenous!AD$12</f>
        <v>0</v>
      </c>
      <c r="T382" s="16">
        <f>Exogenous!AE$12</f>
        <v>0</v>
      </c>
      <c r="U382" s="16">
        <f>Exogenous!AF$12</f>
        <v>0</v>
      </c>
      <c r="V382" s="16">
        <f>Exogenous!AG$12</f>
        <v>0</v>
      </c>
      <c r="W382" s="16">
        <f>Exogenous!AH$12</f>
        <v>0</v>
      </c>
      <c r="X382" s="16">
        <f>Exogenous!AI$12</f>
        <v>0</v>
      </c>
      <c r="Y382" s="16">
        <f>Exogenous!AJ$12</f>
        <v>0</v>
      </c>
      <c r="Z382" s="16">
        <f>Exogenous!AK$12</f>
        <v>0</v>
      </c>
      <c r="AA382" s="16">
        <f>Exogenous!AL$12</f>
        <v>0</v>
      </c>
      <c r="AB382" s="16">
        <f>Exogenous!AM$12</f>
        <v>0</v>
      </c>
      <c r="AC382" s="16">
        <f>Exogenous!AN$12</f>
        <v>0</v>
      </c>
      <c r="AD382" s="16">
        <f>Exogenous!AO$12</f>
        <v>0</v>
      </c>
      <c r="AE382" s="16">
        <f>Exogenous!AP$12</f>
        <v>0</v>
      </c>
      <c r="AF382" s="16">
        <f>Exogenous!AQ$12</f>
        <v>0</v>
      </c>
      <c r="AG382" s="16">
        <f>Exogenous!AR$12</f>
        <v>0</v>
      </c>
      <c r="AH382" s="16">
        <f>Exogenous!AS$12</f>
        <v>0</v>
      </c>
      <c r="AI382" s="16">
        <f>Exogenous!AT$12</f>
        <v>0</v>
      </c>
      <c r="AJ382" s="16">
        <f>Exogenous!AU$12</f>
        <v>0</v>
      </c>
      <c r="AK382" s="16">
        <f>Exogenous!AV$12</f>
        <v>0</v>
      </c>
      <c r="AL382" s="16">
        <f>Exogenous!AW$12</f>
        <v>0</v>
      </c>
      <c r="AM382" s="16">
        <f>Exogenous!AX$12</f>
        <v>0</v>
      </c>
      <c r="AN382" s="16">
        <f>Exogenous!AY$12</f>
        <v>0</v>
      </c>
      <c r="AO382" s="16">
        <f>Exogenous!AZ$12</f>
        <v>0</v>
      </c>
      <c r="AP382" s="16">
        <f>Exogenous!BA$12</f>
        <v>0</v>
      </c>
      <c r="AQ382" s="16">
        <f>Exogenous!BB$12</f>
        <v>0</v>
      </c>
      <c r="AR382" s="16">
        <f>Exogenous!BC$12</f>
        <v>0</v>
      </c>
      <c r="AS382" s="16">
        <f>Exogenous!BD$12</f>
        <v>0</v>
      </c>
      <c r="AT382" s="16">
        <f>Exogenous!BE$12</f>
        <v>0</v>
      </c>
      <c r="AU382" s="16">
        <f>Exogenous!BF$12</f>
        <v>0</v>
      </c>
      <c r="AV382" s="16">
        <f>Exogenous!BG$12</f>
        <v>0</v>
      </c>
      <c r="AW382" s="16">
        <f>Exogenous!BH$12</f>
        <v>0</v>
      </c>
      <c r="AX382" s="16">
        <f>Exogenous!BI$12</f>
        <v>0</v>
      </c>
    </row>
    <row r="383" spans="1:50" x14ac:dyDescent="0.25">
      <c r="A383" s="9" t="s">
        <v>706</v>
      </c>
      <c r="C383" s="75">
        <f>'Fiscal Forecasts'!$C$364</f>
        <v>39.052999999999997</v>
      </c>
      <c r="D383" s="64">
        <f t="shared" ref="D383:O383" si="1313">SUM(C$383,D$380,D$381,D$382)</f>
        <v>42.444999999999993</v>
      </c>
      <c r="E383" s="64">
        <f t="shared" si="1313"/>
        <v>43.996999999999993</v>
      </c>
      <c r="F383" s="64">
        <f t="shared" si="1313"/>
        <v>57.364999999999988</v>
      </c>
      <c r="G383" s="64">
        <f t="shared" si="1313"/>
        <v>56.209999999999994</v>
      </c>
      <c r="H383" s="64">
        <f t="shared" si="1313"/>
        <v>64.673000000000002</v>
      </c>
      <c r="I383" s="64">
        <f t="shared" si="1313"/>
        <v>74.819000000000003</v>
      </c>
      <c r="J383" s="65">
        <f t="shared" si="1313"/>
        <v>82.397000000000006</v>
      </c>
      <c r="K383" s="65">
        <f t="shared" si="1313"/>
        <v>87.271000000000001</v>
      </c>
      <c r="L383" s="65">
        <f t="shared" si="1313"/>
        <v>92.451000000000008</v>
      </c>
      <c r="M383" s="65">
        <f t="shared" si="1313"/>
        <v>97.911000000000016</v>
      </c>
      <c r="N383" s="65">
        <f t="shared" si="1313"/>
        <v>103.80700000000002</v>
      </c>
      <c r="O383" s="66">
        <f t="shared" si="1313"/>
        <v>110.5532642183089</v>
      </c>
      <c r="P383" s="66">
        <f t="shared" ref="P383" si="1314">SUM(O$383,P$380,P$381,P$382)</f>
        <v>117.65997534640739</v>
      </c>
      <c r="Q383" s="66">
        <f t="shared" ref="Q383" si="1315">SUM(P$383,Q$380,Q$381,Q$382)</f>
        <v>125.1126696124593</v>
      </c>
      <c r="R383" s="66">
        <f t="shared" ref="R383" si="1316">SUM(Q$383,R$380,R$381,R$382)</f>
        <v>132.88567961444696</v>
      </c>
      <c r="S383" s="66">
        <f t="shared" ref="S383" si="1317">SUM(R$383,S$380,S$381,S$382)</f>
        <v>140.97782761472612</v>
      </c>
      <c r="T383" s="66">
        <f t="shared" ref="T383" si="1318">SUM(S$383,T$380,T$381,T$382)</f>
        <v>149.42800624144803</v>
      </c>
      <c r="U383" s="66">
        <f t="shared" ref="U383" si="1319">SUM(T$383,U$380,U$381,U$382)</f>
        <v>158.20701524607352</v>
      </c>
      <c r="V383" s="66">
        <f t="shared" ref="V383" si="1320">SUM(U$383,V$380,V$381,V$382)</f>
        <v>167.37334703868692</v>
      </c>
      <c r="W383" s="66">
        <f t="shared" ref="W383" si="1321">SUM(V$383,W$380,W$381,W$382)</f>
        <v>177.01926602053382</v>
      </c>
      <c r="X383" s="66">
        <f t="shared" ref="X383" si="1322">SUM(W$383,X$380,X$381,X$382)</f>
        <v>187.24391373472554</v>
      </c>
      <c r="Y383" s="66">
        <f t="shared" ref="Y383" si="1323">SUM(X$383,Y$380,Y$381,Y$382)</f>
        <v>198.178253857811</v>
      </c>
      <c r="Z383" s="66">
        <f t="shared" ref="Z383" si="1324">SUM(Y$383,Z$380,Z$381,Z$382)</f>
        <v>209.94231596093616</v>
      </c>
      <c r="AA383" s="66">
        <f t="shared" ref="AA383" si="1325">SUM(Z$383,AA$380,AA$381,AA$382)</f>
        <v>222.59983872393809</v>
      </c>
      <c r="AB383" s="66">
        <f t="shared" ref="AB383" si="1326">SUM(AA$383,AB$380,AB$381,AB$382)</f>
        <v>236.25580269190573</v>
      </c>
      <c r="AC383" s="66">
        <f t="shared" ref="AC383" si="1327">SUM(AB$383,AC$380,AC$381,AC$382)</f>
        <v>250.91954576746275</v>
      </c>
      <c r="AD383" s="66">
        <f t="shared" ref="AD383" si="1328">SUM(AC$383,AD$380,AD$381,AD$382)</f>
        <v>266.57663543813999</v>
      </c>
      <c r="AE383" s="66">
        <f t="shared" ref="AE383" si="1329">SUM(AD$383,AE$380,AE$381,AE$382)</f>
        <v>283.24357975055068</v>
      </c>
      <c r="AF383" s="66">
        <f t="shared" ref="AF383" si="1330">SUM(AE$383,AF$380,AF$381,AF$382)</f>
        <v>300.92303424056109</v>
      </c>
      <c r="AG383" s="66">
        <f t="shared" ref="AG383" si="1331">SUM(AF$383,AG$380,AG$381,AG$382)</f>
        <v>319.58719975226654</v>
      </c>
      <c r="AH383" s="66">
        <f t="shared" ref="AH383" si="1332">SUM(AG$383,AH$380,AH$381,AH$382)</f>
        <v>339.23434721841488</v>
      </c>
      <c r="AI383" s="66">
        <f t="shared" ref="AI383" si="1333">SUM(AH$383,AI$380,AI$381,AI$382)</f>
        <v>359.8446006584046</v>
      </c>
      <c r="AJ383" s="66">
        <f t="shared" ref="AJ383" si="1334">SUM(AI$383,AJ$380,AJ$381,AJ$382)</f>
        <v>381.3974385181599</v>
      </c>
      <c r="AK383" s="66">
        <f t="shared" ref="AK383" si="1335">SUM(AJ$383,AK$380,AK$381,AK$382)</f>
        <v>403.76714595424295</v>
      </c>
      <c r="AL383" s="66">
        <f t="shared" ref="AL383" si="1336">SUM(AK$383,AL$380,AL$381,AL$382)</f>
        <v>426.82290310391608</v>
      </c>
      <c r="AM383" s="66">
        <f t="shared" ref="AM383" si="1337">SUM(AL$383,AM$380,AM$381,AM$382)</f>
        <v>450.4947988358212</v>
      </c>
      <c r="AN383" s="66">
        <f t="shared" ref="AN383" si="1338">SUM(AM$383,AN$380,AN$381,AN$382)</f>
        <v>474.61178842275626</v>
      </c>
      <c r="AO383" s="66">
        <f t="shared" ref="AO383" si="1339">SUM(AN$383,AO$380,AO$381,AO$382)</f>
        <v>499.07967449728704</v>
      </c>
      <c r="AP383" s="66">
        <f t="shared" ref="AP383" si="1340">SUM(AO$383,AP$380,AP$381,AP$382)</f>
        <v>523.88533989873702</v>
      </c>
      <c r="AQ383" s="66">
        <f t="shared" ref="AQ383" si="1341">SUM(AP$383,AQ$380,AQ$381,AQ$382)</f>
        <v>549.0707147897441</v>
      </c>
      <c r="AR383" s="66">
        <f t="shared" ref="AR383" si="1342">SUM(AQ$383,AR$380,AR$381,AR$382)</f>
        <v>574.74146716969472</v>
      </c>
      <c r="AS383" s="66">
        <f t="shared" ref="AS383" si="1343">SUM(AR$383,AS$380,AS$381,AS$382)</f>
        <v>600.91954006731214</v>
      </c>
      <c r="AT383" s="66">
        <f t="shared" ref="AT383" si="1344">SUM(AS$383,AT$380,AT$381,AT$382)</f>
        <v>627.69584018890464</v>
      </c>
      <c r="AU383" s="66">
        <f t="shared" ref="AU383" si="1345">SUM(AT$383,AU$380,AU$381,AU$382)</f>
        <v>655.15945558562748</v>
      </c>
      <c r="AV383" s="66">
        <f t="shared" ref="AV383" si="1346">SUM(AU$383,AV$380,AV$381,AV$382)</f>
        <v>683.36365854396536</v>
      </c>
      <c r="AW383" s="66">
        <f t="shared" ref="AW383" si="1347">SUM(AV$383,AW$380,AW$381,AW$382)</f>
        <v>712.43459557253857</v>
      </c>
      <c r="AX383" s="66">
        <f t="shared" ref="AX383" si="1348">SUM(AW$383,AX$380,AX$381,AX$382)</f>
        <v>742.23840111308948</v>
      </c>
    </row>
    <row r="384" spans="1:50" x14ac:dyDescent="0.25">
      <c r="A384" s="10" t="s">
        <v>791</v>
      </c>
    </row>
    <row r="385" spans="1:50" x14ac:dyDescent="0.25">
      <c r="A385" s="11" t="s">
        <v>707</v>
      </c>
      <c r="B385" s="10" t="str">
        <f>$B$38</f>
        <v>From Fiscal Forecasts</v>
      </c>
      <c r="D385" s="35">
        <f>'Fiscal Forecasts'!D$365</f>
        <v>44.307000000000002</v>
      </c>
      <c r="E385" s="35">
        <f>'Fiscal Forecasts'!E$365</f>
        <v>48.220999999999997</v>
      </c>
      <c r="F385" s="35">
        <f>'Fiscal Forecasts'!F$365</f>
        <v>62.311999999999998</v>
      </c>
      <c r="G385" s="35">
        <f>'Fiscal Forecasts'!G$365</f>
        <v>65.411000000000001</v>
      </c>
      <c r="H385" s="35">
        <f>'Fiscal Forecasts'!H$365</f>
        <v>68.233999999999995</v>
      </c>
      <c r="I385" s="35">
        <f>'Fiscal Forecasts'!I$365</f>
        <v>79.058000000000007</v>
      </c>
      <c r="J385" s="17">
        <f>'Fiscal Forecasts'!J$365</f>
        <v>90.405000000000001</v>
      </c>
      <c r="K385" s="17">
        <f>'Fiscal Forecasts'!K$365</f>
        <v>94.126000000000005</v>
      </c>
      <c r="L385" s="17">
        <f>'Fiscal Forecasts'!L$365</f>
        <v>100.392</v>
      </c>
      <c r="M385" s="17">
        <f>'Fiscal Forecasts'!M$365</f>
        <v>105.19</v>
      </c>
      <c r="N385" s="17">
        <f>'Fiscal Forecasts'!N$365</f>
        <v>110.79600000000001</v>
      </c>
      <c r="O385" s="16">
        <f ca="1">IF(O$6=OFFSET(Assumptions!$B$8,0,$C$1),AVERAGE(L$385/L$383,M$385/M$383,N$385/N$383),N$385/N$383)*O$383</f>
        <v>118.93924674814356</v>
      </c>
      <c r="P385" s="16">
        <f ca="1">IF(P$6=OFFSET(Assumptions!$B$8,0,$C$1),AVERAGE(M$385/M$383,N$385/N$383,O$385/O$383),O$385/O$383)*P$383</f>
        <v>126.58503517790481</v>
      </c>
      <c r="Q385" s="16">
        <f ca="1">IF(Q$6=OFFSET(Assumptions!$B$8,0,$C$1),AVERAGE(N$385/N$383,O$385/O$383,P$385/P$383),P$385/P$383)*Q$383</f>
        <v>134.60305118598956</v>
      </c>
      <c r="R385" s="16">
        <f ca="1">IF(R$6=OFFSET(Assumptions!$B$8,0,$C$1),AVERAGE(O$385/O$383,P$385/P$383,Q$385/Q$383),Q$385/Q$383)*R$383</f>
        <v>142.96568037780213</v>
      </c>
      <c r="S385" s="16">
        <f ca="1">IF(S$6=OFFSET(Assumptions!$B$8,0,$C$1),AVERAGE(P$385/P$383,Q$385/Q$383,R$385/R$383),R$385/R$383)*S$383</f>
        <v>151.67165567878564</v>
      </c>
      <c r="T385" s="16">
        <f ca="1">IF(T$6=OFFSET(Assumptions!$B$8,0,$C$1),AVERAGE(Q$385/Q$383,R$385/R$383,S$385/S$383),S$385/S$383)*T$383</f>
        <v>160.76281990497151</v>
      </c>
      <c r="U385" s="16">
        <f ca="1">IF(U$6=OFFSET(Assumptions!$B$8,0,$C$1),AVERAGE(R$385/R$383,S$385/S$383,T$385/T$383),T$385/T$383)*U$383</f>
        <v>170.20775783229865</v>
      </c>
      <c r="V385" s="16">
        <f ca="1">IF(V$6=OFFSET(Assumptions!$B$8,0,$C$1),AVERAGE(S$385/S$383,T$385/T$383,U$385/U$383),U$385/U$383)*V$383</f>
        <v>180.06939879392701</v>
      </c>
      <c r="W385" s="16">
        <f ca="1">IF(W$6=OFFSET(Assumptions!$B$8,0,$C$1),AVERAGE(T$385/T$383,U$385/U$383,V$385/V$383),V$385/V$383)*W$383</f>
        <v>190.44700587777547</v>
      </c>
      <c r="X385" s="16">
        <f ca="1">IF(X$6=OFFSET(Assumptions!$B$8,0,$C$1),AVERAGE(U$385/U$383,V$385/V$383,W$385/W$383),W$385/W$383)*X$383</f>
        <v>201.44724097702718</v>
      </c>
      <c r="Y385" s="16">
        <f ca="1">IF(Y$6=OFFSET(Assumptions!$B$8,0,$C$1),AVERAGE(V$385/V$383,W$385/W$383,X$385/X$383),X$385/X$383)*Y$383</f>
        <v>213.21100197606611</v>
      </c>
      <c r="Z385" s="16">
        <f ca="1">IF(Z$6=OFFSET(Assumptions!$B$8,0,$C$1),AVERAGE(W$385/W$383,X$385/X$383,Y$385/Y$383),Y$385/Y$383)*Z$383</f>
        <v>225.86742325080186</v>
      </c>
      <c r="AA385" s="16">
        <f ca="1">IF(AA$6=OFFSET(Assumptions!$B$8,0,$C$1),AVERAGE(X$385/X$383,Y$385/Y$383,Z$385/Z$383),Z$385/Z$383)*AA$383</f>
        <v>239.4850783582628</v>
      </c>
      <c r="AB385" s="16">
        <f ca="1">IF(AB$6=OFFSET(Assumptions!$B$8,0,$C$1),AVERAGE(Y$385/Y$383,Z$385/Z$383,AA$385/AA$383),AA$385/AA$383)*AB$383</f>
        <v>254.17691110923886</v>
      </c>
      <c r="AC385" s="16">
        <f ca="1">IF(AC$6=OFFSET(Assumptions!$B$8,0,$C$1),AVERAGE(Z$385/Z$383,AA$385/AA$383,AB$385/AB$383),AB$385/AB$383)*AC$383</f>
        <v>269.9529677299733</v>
      </c>
      <c r="AD385" s="16">
        <f ca="1">IF(AD$6=OFFSET(Assumptions!$B$8,0,$C$1),AVERAGE(AA$385/AA$383,AB$385/AB$383,AC$385/AC$383),AC$385/AC$383)*AD$383</f>
        <v>286.7977209343756</v>
      </c>
      <c r="AE385" s="16">
        <f ca="1">IF(AE$6=OFFSET(Assumptions!$B$8,0,$C$1),AVERAGE(AB$385/AB$383,AC$385/AC$383,AD$385/AD$383),AD$385/AD$383)*AE$383</f>
        <v>304.72893098165957</v>
      </c>
      <c r="AF385" s="16">
        <f ca="1">IF(AF$6=OFFSET(Assumptions!$B$8,0,$C$1),AVERAGE(AC$385/AC$383,AD$385/AD$383,AE$385/AE$383),AE$385/AE$383)*AF$383</f>
        <v>323.74945484251612</v>
      </c>
      <c r="AG385" s="16">
        <f ca="1">IF(AG$6=OFFSET(Assumptions!$B$8,0,$C$1),AVERAGE(AD$385/AD$383,AE$385/AE$383,AF$385/AF$383),AF$385/AF$383)*AG$383</f>
        <v>343.82938466495267</v>
      </c>
      <c r="AH385" s="16">
        <f ca="1">IF(AH$6=OFFSET(Assumptions!$B$8,0,$C$1),AVERAGE(AE$385/AE$383,AF$385/AF$383,AG$385/AG$383),AG$385/AG$383)*AH$383</f>
        <v>364.96686022387314</v>
      </c>
      <c r="AI385" s="16">
        <f ca="1">IF(AI$6=OFFSET(Assumptions!$B$8,0,$C$1),AVERAGE(AF$385/AF$383,AG$385/AG$383,AH$385/AH$383),AH$385/AH$383)*AI$383</f>
        <v>387.14049785251888</v>
      </c>
      <c r="AJ385" s="16">
        <f ca="1">IF(AJ$6=OFFSET(Assumptions!$B$8,0,$C$1),AVERAGE(AG$385/AG$383,AH$385/AH$383,AI$385/AI$383),AI$385/AI$383)*AJ$383</f>
        <v>410.32821934088742</v>
      </c>
      <c r="AK385" s="16">
        <f ca="1">IF(AK$6=OFFSET(Assumptions!$B$8,0,$C$1),AVERAGE(AH$385/AH$383,AI$385/AI$383,AJ$385/AJ$383),AJ$385/AJ$383)*AK$383</f>
        <v>434.3947737862643</v>
      </c>
      <c r="AL385" s="16">
        <f ca="1">IF(AL$6=OFFSET(Assumptions!$B$8,0,$C$1),AVERAGE(AI$385/AI$383,AJ$385/AJ$383,AK$385/AK$383),AK$385/AK$383)*AL$383</f>
        <v>459.19941802702749</v>
      </c>
      <c r="AM385" s="16">
        <f ca="1">IF(AM$6=OFFSET(Assumptions!$B$8,0,$C$1),AVERAGE(AJ$385/AJ$383,AK$385/AK$383,AL$385/AL$383),AL$385/AL$383)*AM$383</f>
        <v>484.66693784528997</v>
      </c>
      <c r="AN385" s="16">
        <f ca="1">IF(AN$6=OFFSET(Assumptions!$B$8,0,$C$1),AVERAGE(AK$385/AK$383,AL$385/AL$383,AM$385/AM$383),AM$385/AM$383)*AN$383</f>
        <v>510.61331397072536</v>
      </c>
      <c r="AO385" s="16">
        <f ca="1">IF(AO$6=OFFSET(Assumptions!$B$8,0,$C$1),AVERAGE(AL$385/AL$383,AM$385/AM$383,AN$385/AN$383),AN$385/AN$383)*AO$383</f>
        <v>536.93720372469352</v>
      </c>
      <c r="AP385" s="16">
        <f ca="1">IF(AP$6=OFFSET(Assumptions!$B$8,0,$C$1),AVERAGE(AM$385/AM$383,AN$385/AN$383,AO$385/AO$383),AO$385/AO$383)*AP$383</f>
        <v>563.62449494848659</v>
      </c>
      <c r="AQ385" s="16">
        <f ca="1">IF(AQ$6=OFFSET(Assumptions!$B$8,0,$C$1),AVERAGE(AN$385/AN$383,AO$385/AO$383,AP$385/AP$383),AP$385/AP$383)*AQ$383</f>
        <v>590.72029840383038</v>
      </c>
      <c r="AR385" s="16">
        <f ca="1">IF(AR$6=OFFSET(Assumptions!$B$8,0,$C$1),AVERAGE(AO$385/AO$383,AP$385/AP$383,AQ$385/AQ$383),AQ$385/AQ$383)*AR$383</f>
        <v>618.33829750243854</v>
      </c>
      <c r="AS385" s="16">
        <f ca="1">IF(AS$6=OFFSET(Assumptions!$B$8,0,$C$1),AVERAGE(AP$385/AP$383,AQ$385/AQ$383,AR$385/AR$383),AR$385/AR$383)*AS$383</f>
        <v>646.50209975446603</v>
      </c>
      <c r="AT385" s="16">
        <f ca="1">IF(AT$6=OFFSET(Assumptions!$B$8,0,$C$1),AVERAGE(AQ$385/AQ$383,AR$385/AR$383,AS$385/AS$383),AS$385/AS$383)*AT$383</f>
        <v>675.30950756537902</v>
      </c>
      <c r="AU385" s="16">
        <f ca="1">IF(AU$6=OFFSET(Assumptions!$B$8,0,$C$1),AVERAGE(AR$385/AR$383,AS$385/AS$383,AT$385/AT$383),AT$385/AT$383)*AU$383</f>
        <v>704.85636673198485</v>
      </c>
      <c r="AV385" s="16">
        <f ca="1">IF(AV$6=OFFSET(Assumptions!$B$8,0,$C$1),AVERAGE(AS$385/AS$383,AT$385/AT$383,AU$385/AU$383),AU$385/AU$383)*AV$383</f>
        <v>735.19999049303624</v>
      </c>
      <c r="AW385" s="16">
        <f ca="1">IF(AW$6=OFFSET(Assumptions!$B$8,0,$C$1),AVERAGE(AT$385/AT$383,AU$385/AU$383,AV$385/AV$383),AV$385/AV$383)*AW$383</f>
        <v>766.47609416025455</v>
      </c>
      <c r="AX385" s="16">
        <f ca="1">IF(AX$6=OFFSET(Assumptions!$B$8,0,$C$1),AVERAGE(AU$385/AU$383,AV$385/AV$383,AW$385/AW$383),AW$385/AW$383)*AX$383</f>
        <v>798.54065784623765</v>
      </c>
    </row>
    <row r="386" spans="1:50" x14ac:dyDescent="0.25">
      <c r="A386" s="11" t="s">
        <v>792</v>
      </c>
      <c r="B386" s="10" t="str">
        <f t="shared" ref="B386:B392" si="1349">$B$38</f>
        <v>From Fiscal Forecasts</v>
      </c>
      <c r="D386" s="35">
        <f>-'Fiscal Forecasts'!D$366</f>
        <v>1.9910000000000001</v>
      </c>
      <c r="E386" s="35">
        <f>-'Fiscal Forecasts'!E$366</f>
        <v>4.226</v>
      </c>
      <c r="F386" s="35">
        <f>-'Fiscal Forecasts'!F$366</f>
        <v>4.9489999999999998</v>
      </c>
      <c r="G386" s="35">
        <f>-'Fiscal Forecasts'!G$366</f>
        <v>9.1020000000000003</v>
      </c>
      <c r="H386" s="35">
        <f>-'Fiscal Forecasts'!H$366</f>
        <v>3.5009999999999999</v>
      </c>
      <c r="I386" s="35">
        <f>-'Fiscal Forecasts'!I$366</f>
        <v>4.2350000000000003</v>
      </c>
      <c r="J386" s="17">
        <f>-'Fiscal Forecasts'!J$366</f>
        <v>7.984</v>
      </c>
      <c r="K386" s="17">
        <f>-'Fiscal Forecasts'!K$366</f>
        <v>6.8</v>
      </c>
      <c r="L386" s="17">
        <f>-'Fiscal Forecasts'!L$366</f>
        <v>7.8959999999999999</v>
      </c>
      <c r="M386" s="17">
        <f>-'Fiscal Forecasts'!M$366</f>
        <v>7.2270000000000003</v>
      </c>
      <c r="N386" s="17">
        <f>-'Fiscal Forecasts'!N$366</f>
        <v>6.9290000000000003</v>
      </c>
      <c r="O386" s="16">
        <f t="shared" ref="O386:AX386" ca="1" si="1350">O$385-O$383</f>
        <v>8.3859825298346635</v>
      </c>
      <c r="P386" s="16">
        <f t="shared" ca="1" si="1350"/>
        <v>8.9250598314974212</v>
      </c>
      <c r="Q386" s="16">
        <f t="shared" ca="1" si="1350"/>
        <v>9.4903815735302572</v>
      </c>
      <c r="R386" s="16">
        <f t="shared" ca="1" si="1350"/>
        <v>10.080000763355173</v>
      </c>
      <c r="S386" s="16">
        <f t="shared" ca="1" si="1350"/>
        <v>10.693828064059517</v>
      </c>
      <c r="T386" s="16">
        <f t="shared" ca="1" si="1350"/>
        <v>11.334813663523477</v>
      </c>
      <c r="U386" s="16">
        <f t="shared" ca="1" si="1350"/>
        <v>12.00074258622513</v>
      </c>
      <c r="V386" s="16">
        <f t="shared" ca="1" si="1350"/>
        <v>12.696051755240092</v>
      </c>
      <c r="W386" s="16">
        <f t="shared" ca="1" si="1350"/>
        <v>13.427739857241647</v>
      </c>
      <c r="X386" s="16">
        <f t="shared" ca="1" si="1350"/>
        <v>14.20332724230164</v>
      </c>
      <c r="Y386" s="16">
        <f t="shared" ca="1" si="1350"/>
        <v>15.032748118255114</v>
      </c>
      <c r="Z386" s="16">
        <f t="shared" ca="1" si="1350"/>
        <v>15.925107289865707</v>
      </c>
      <c r="AA386" s="16">
        <f t="shared" ca="1" si="1350"/>
        <v>16.885239634324705</v>
      </c>
      <c r="AB386" s="16">
        <f t="shared" ca="1" si="1350"/>
        <v>17.92110841733313</v>
      </c>
      <c r="AC386" s="16">
        <f t="shared" ca="1" si="1350"/>
        <v>19.033421962510545</v>
      </c>
      <c r="AD386" s="16">
        <f t="shared" ca="1" si="1350"/>
        <v>20.221085496235617</v>
      </c>
      <c r="AE386" s="16">
        <f t="shared" ca="1" si="1350"/>
        <v>21.485351231108893</v>
      </c>
      <c r="AF386" s="16">
        <f t="shared" ca="1" si="1350"/>
        <v>22.826420601955022</v>
      </c>
      <c r="AG386" s="16">
        <f t="shared" ca="1" si="1350"/>
        <v>24.242184912686128</v>
      </c>
      <c r="AH386" s="16">
        <f t="shared" ca="1" si="1350"/>
        <v>25.732513005458259</v>
      </c>
      <c r="AI386" s="16">
        <f t="shared" ca="1" si="1350"/>
        <v>27.295897194114275</v>
      </c>
      <c r="AJ386" s="16">
        <f t="shared" ca="1" si="1350"/>
        <v>28.930780822727513</v>
      </c>
      <c r="AK386" s="16">
        <f t="shared" ca="1" si="1350"/>
        <v>30.627627832021346</v>
      </c>
      <c r="AL386" s="16">
        <f t="shared" ca="1" si="1350"/>
        <v>32.376514923111415</v>
      </c>
      <c r="AM386" s="16">
        <f t="shared" ca="1" si="1350"/>
        <v>34.172139009468765</v>
      </c>
      <c r="AN386" s="16">
        <f t="shared" ca="1" si="1350"/>
        <v>36.001525547969095</v>
      </c>
      <c r="AO386" s="16">
        <f t="shared" ca="1" si="1350"/>
        <v>37.857529227406474</v>
      </c>
      <c r="AP386" s="16">
        <f t="shared" ca="1" si="1350"/>
        <v>39.73915504974957</v>
      </c>
      <c r="AQ386" s="16">
        <f t="shared" ca="1" si="1350"/>
        <v>41.649583614086282</v>
      </c>
      <c r="AR386" s="16">
        <f t="shared" ca="1" si="1350"/>
        <v>43.596830332743821</v>
      </c>
      <c r="AS386" s="16">
        <f t="shared" ca="1" si="1350"/>
        <v>45.582559687153889</v>
      </c>
      <c r="AT386" s="16">
        <f t="shared" ca="1" si="1350"/>
        <v>47.613667376474382</v>
      </c>
      <c r="AU386" s="16">
        <f t="shared" ca="1" si="1350"/>
        <v>49.696911146357365</v>
      </c>
      <c r="AV386" s="16">
        <f t="shared" ca="1" si="1350"/>
        <v>51.836331949070882</v>
      </c>
      <c r="AW386" s="16">
        <f t="shared" ca="1" si="1350"/>
        <v>54.041498587715978</v>
      </c>
      <c r="AX386" s="16">
        <f t="shared" ca="1" si="1350"/>
        <v>56.30225673314817</v>
      </c>
    </row>
    <row r="387" spans="1:50" x14ac:dyDescent="0.25">
      <c r="A387" s="11" t="s">
        <v>709</v>
      </c>
      <c r="B387" s="10" t="str">
        <f t="shared" si="1349"/>
        <v>From Fiscal Forecasts</v>
      </c>
      <c r="D387" s="35">
        <f>'Fiscal Forecasts'!D$367</f>
        <v>0</v>
      </c>
      <c r="E387" s="35">
        <f>'Fiscal Forecasts'!E$367</f>
        <v>2E-3</v>
      </c>
      <c r="F387" s="35">
        <f>'Fiscal Forecasts'!F$367</f>
        <v>2E-3</v>
      </c>
      <c r="G387" s="35">
        <f>'Fiscal Forecasts'!G$367</f>
        <v>-9.9000000000000005E-2</v>
      </c>
      <c r="H387" s="35">
        <f>'Fiscal Forecasts'!H$367</f>
        <v>-0.06</v>
      </c>
      <c r="I387" s="35">
        <f>'Fiscal Forecasts'!I$367</f>
        <v>-4.0000000000000001E-3</v>
      </c>
      <c r="J387" s="17">
        <f>'Fiscal Forecasts'!J$367</f>
        <v>-2.4E-2</v>
      </c>
      <c r="K387" s="17">
        <f>'Fiscal Forecasts'!K$367</f>
        <v>-5.5E-2</v>
      </c>
      <c r="L387" s="17">
        <f>'Fiscal Forecasts'!L$367</f>
        <v>-4.4999999999999998E-2</v>
      </c>
      <c r="M387" s="17">
        <f>'Fiscal Forecasts'!M$367</f>
        <v>-5.1999999999999998E-2</v>
      </c>
      <c r="N387" s="17">
        <f>'Fiscal Forecasts'!N$367</f>
        <v>-0.06</v>
      </c>
      <c r="O387" s="16">
        <f ca="1">IF(O$6=OFFSET(Assumptions!$B$8,0,$C$1),OFFSET(Assumptions!$B$9,0,$C$1),N$387)</f>
        <v>0</v>
      </c>
      <c r="P387" s="16">
        <f ca="1">IF(P$6=OFFSET(Assumptions!$B$8,0,$C$1),OFFSET(Assumptions!$B$9,0,$C$1),O$387)</f>
        <v>0</v>
      </c>
      <c r="Q387" s="16">
        <f ca="1">IF(Q$6=OFFSET(Assumptions!$B$8,0,$C$1),OFFSET(Assumptions!$B$9,0,$C$1),P$387)</f>
        <v>0</v>
      </c>
      <c r="R387" s="16">
        <f ca="1">IF(R$6=OFFSET(Assumptions!$B$8,0,$C$1),OFFSET(Assumptions!$B$9,0,$C$1),Q$387)</f>
        <v>0</v>
      </c>
      <c r="S387" s="16">
        <f ca="1">IF(S$6=OFFSET(Assumptions!$B$8,0,$C$1),OFFSET(Assumptions!$B$9,0,$C$1),R$387)</f>
        <v>0</v>
      </c>
      <c r="T387" s="16">
        <f ca="1">IF(T$6=OFFSET(Assumptions!$B$8,0,$C$1),OFFSET(Assumptions!$B$9,0,$C$1),S$387)</f>
        <v>0</v>
      </c>
      <c r="U387" s="16">
        <f ca="1">IF(U$6=OFFSET(Assumptions!$B$8,0,$C$1),OFFSET(Assumptions!$B$9,0,$C$1),T$387)</f>
        <v>0</v>
      </c>
      <c r="V387" s="16">
        <f ca="1">IF(V$6=OFFSET(Assumptions!$B$8,0,$C$1),OFFSET(Assumptions!$B$9,0,$C$1),U$387)</f>
        <v>0</v>
      </c>
      <c r="W387" s="16">
        <f ca="1">IF(W$6=OFFSET(Assumptions!$B$8,0,$C$1),OFFSET(Assumptions!$B$9,0,$C$1),V$387)</f>
        <v>0</v>
      </c>
      <c r="X387" s="16">
        <f ca="1">IF(X$6=OFFSET(Assumptions!$B$8,0,$C$1),OFFSET(Assumptions!$B$9,0,$C$1),W$387)</f>
        <v>0</v>
      </c>
      <c r="Y387" s="16">
        <f ca="1">IF(Y$6=OFFSET(Assumptions!$B$8,0,$C$1),OFFSET(Assumptions!$B$9,0,$C$1),X$387)</f>
        <v>0</v>
      </c>
      <c r="Z387" s="16">
        <f ca="1">IF(Z$6=OFFSET(Assumptions!$B$8,0,$C$1),OFFSET(Assumptions!$B$9,0,$C$1),Y$387)</f>
        <v>0</v>
      </c>
      <c r="AA387" s="16">
        <f ca="1">IF(AA$6=OFFSET(Assumptions!$B$8,0,$C$1),OFFSET(Assumptions!$B$9,0,$C$1),Z$387)</f>
        <v>0</v>
      </c>
      <c r="AB387" s="16">
        <f ca="1">IF(AB$6=OFFSET(Assumptions!$B$8,0,$C$1),OFFSET(Assumptions!$B$9,0,$C$1),AA$387)</f>
        <v>0</v>
      </c>
      <c r="AC387" s="16">
        <f ca="1">IF(AC$6=OFFSET(Assumptions!$B$8,0,$C$1),OFFSET(Assumptions!$B$9,0,$C$1),AB$387)</f>
        <v>0</v>
      </c>
      <c r="AD387" s="16">
        <f ca="1">IF(AD$6=OFFSET(Assumptions!$B$8,0,$C$1),OFFSET(Assumptions!$B$9,0,$C$1),AC$387)</f>
        <v>0</v>
      </c>
      <c r="AE387" s="16">
        <f ca="1">IF(AE$6=OFFSET(Assumptions!$B$8,0,$C$1),OFFSET(Assumptions!$B$9,0,$C$1),AD$387)</f>
        <v>0</v>
      </c>
      <c r="AF387" s="16">
        <f ca="1">IF(AF$6=OFFSET(Assumptions!$B$8,0,$C$1),OFFSET(Assumptions!$B$9,0,$C$1),AE$387)</f>
        <v>0</v>
      </c>
      <c r="AG387" s="16">
        <f ca="1">IF(AG$6=OFFSET(Assumptions!$B$8,0,$C$1),OFFSET(Assumptions!$B$9,0,$C$1),AF$387)</f>
        <v>0</v>
      </c>
      <c r="AH387" s="16">
        <f ca="1">IF(AH$6=OFFSET(Assumptions!$B$8,0,$C$1),OFFSET(Assumptions!$B$9,0,$C$1),AG$387)</f>
        <v>0</v>
      </c>
      <c r="AI387" s="16">
        <f ca="1">IF(AI$6=OFFSET(Assumptions!$B$8,0,$C$1),OFFSET(Assumptions!$B$9,0,$C$1),AH$387)</f>
        <v>0</v>
      </c>
      <c r="AJ387" s="16">
        <f ca="1">IF(AJ$6=OFFSET(Assumptions!$B$8,0,$C$1),OFFSET(Assumptions!$B$9,0,$C$1),AI$387)</f>
        <v>0</v>
      </c>
      <c r="AK387" s="16">
        <f ca="1">IF(AK$6=OFFSET(Assumptions!$B$8,0,$C$1),OFFSET(Assumptions!$B$9,0,$C$1),AJ$387)</f>
        <v>0</v>
      </c>
      <c r="AL387" s="16">
        <f ca="1">IF(AL$6=OFFSET(Assumptions!$B$8,0,$C$1),OFFSET(Assumptions!$B$9,0,$C$1),AK$387)</f>
        <v>0</v>
      </c>
      <c r="AM387" s="16">
        <f ca="1">IF(AM$6=OFFSET(Assumptions!$B$8,0,$C$1),OFFSET(Assumptions!$B$9,0,$C$1),AL$387)</f>
        <v>0</v>
      </c>
      <c r="AN387" s="16">
        <f ca="1">IF(AN$6=OFFSET(Assumptions!$B$8,0,$C$1),OFFSET(Assumptions!$B$9,0,$C$1),AM$387)</f>
        <v>0</v>
      </c>
      <c r="AO387" s="16">
        <f ca="1">IF(AO$6=OFFSET(Assumptions!$B$8,0,$C$1),OFFSET(Assumptions!$B$9,0,$C$1),AN$387)</f>
        <v>0</v>
      </c>
      <c r="AP387" s="16">
        <f ca="1">IF(AP$6=OFFSET(Assumptions!$B$8,0,$C$1),OFFSET(Assumptions!$B$9,0,$C$1),AO$387)</f>
        <v>0</v>
      </c>
      <c r="AQ387" s="16">
        <f ca="1">IF(AQ$6=OFFSET(Assumptions!$B$8,0,$C$1),OFFSET(Assumptions!$B$9,0,$C$1),AP$387)</f>
        <v>0</v>
      </c>
      <c r="AR387" s="16">
        <f ca="1">IF(AR$6=OFFSET(Assumptions!$B$8,0,$C$1),OFFSET(Assumptions!$B$9,0,$C$1),AQ$387)</f>
        <v>0</v>
      </c>
      <c r="AS387" s="16">
        <f ca="1">IF(AS$6=OFFSET(Assumptions!$B$8,0,$C$1),OFFSET(Assumptions!$B$9,0,$C$1),AR$387)</f>
        <v>0</v>
      </c>
      <c r="AT387" s="16">
        <f ca="1">IF(AT$6=OFFSET(Assumptions!$B$8,0,$C$1),OFFSET(Assumptions!$B$9,0,$C$1),AS$387)</f>
        <v>0</v>
      </c>
      <c r="AU387" s="16">
        <f ca="1">IF(AU$6=OFFSET(Assumptions!$B$8,0,$C$1),OFFSET(Assumptions!$B$9,0,$C$1),AT$387)</f>
        <v>0</v>
      </c>
      <c r="AV387" s="16">
        <f ca="1">IF(AV$6=OFFSET(Assumptions!$B$8,0,$C$1),OFFSET(Assumptions!$B$9,0,$C$1),AU$387)</f>
        <v>0</v>
      </c>
      <c r="AW387" s="16">
        <f ca="1">IF(AW$6=OFFSET(Assumptions!$B$8,0,$C$1),OFFSET(Assumptions!$B$9,0,$C$1),AV$387)</f>
        <v>0</v>
      </c>
      <c r="AX387" s="16">
        <f ca="1">IF(AX$6=OFFSET(Assumptions!$B$8,0,$C$1),OFFSET(Assumptions!$B$9,0,$C$1),AW$387)</f>
        <v>0</v>
      </c>
    </row>
    <row r="389" spans="1:50" x14ac:dyDescent="0.25">
      <c r="A389" s="9" t="s">
        <v>1005</v>
      </c>
      <c r="B389" s="10" t="str">
        <f t="shared" si="1349"/>
        <v>From Fiscal Forecasts</v>
      </c>
      <c r="D389" s="42">
        <f>'Fiscal Forecasts'!D$125</f>
        <v>3.6880000000000002</v>
      </c>
      <c r="E389" s="42">
        <f>'Fiscal Forecasts'!E$125</f>
        <v>4.22</v>
      </c>
      <c r="F389" s="42">
        <f>'Fiscal Forecasts'!F$125</f>
        <v>4.718</v>
      </c>
      <c r="G389" s="42">
        <f>'Fiscal Forecasts'!G$125</f>
        <v>6.0960000000000001</v>
      </c>
      <c r="H389" s="42">
        <f>'Fiscal Forecasts'!H$125</f>
        <v>7.3170000000000002</v>
      </c>
      <c r="I389" s="42">
        <f>'Fiscal Forecasts'!I$125</f>
        <v>7.1740000000000004</v>
      </c>
      <c r="J389" s="43">
        <f>'Fiscal Forecasts'!J$125</f>
        <v>8.3989999999999991</v>
      </c>
      <c r="K389" s="43">
        <f>'Fiscal Forecasts'!K$125</f>
        <v>9.3089999999999993</v>
      </c>
      <c r="L389" s="43">
        <f>'Fiscal Forecasts'!L$125</f>
        <v>10.826000000000001</v>
      </c>
      <c r="M389" s="43">
        <f>'Fiscal Forecasts'!M$125</f>
        <v>12.381</v>
      </c>
      <c r="N389" s="43">
        <f>'Fiscal Forecasts'!N$125</f>
        <v>14.013999999999999</v>
      </c>
      <c r="O389" s="47">
        <f ca="1">OFFSET(Assumptions!$B$54,0,$C$1)*(O$385-O$351-O$392)</f>
        <v>10.586631188134863</v>
      </c>
      <c r="P389" s="47">
        <f ca="1">OFFSET(Assumptions!$B$54,0,$C$1)*(P$385-P$351-P$392)</f>
        <v>11.258353451897014</v>
      </c>
      <c r="Q389" s="47">
        <f ca="1">OFFSET(Assumptions!$B$54,0,$C$1)*(Q$385-Q$351-Q$392)</f>
        <v>11.962777843614063</v>
      </c>
      <c r="R389" s="47">
        <f ca="1">OFFSET(Assumptions!$B$54,0,$C$1)*(R$385-R$351-R$392)</f>
        <v>12.69747829515444</v>
      </c>
      <c r="S389" s="47">
        <f ca="1">OFFSET(Assumptions!$B$54,0,$C$1)*(S$385-S$351-S$392)</f>
        <v>13.462343487430841</v>
      </c>
      <c r="T389" s="47">
        <f ca="1">OFFSET(Assumptions!$B$54,0,$C$1)*(T$385-T$351-T$392)</f>
        <v>14.261049529371071</v>
      </c>
      <c r="U389" s="47">
        <f ca="1">OFFSET(Assumptions!$B$54,0,$C$1)*(U$385-U$351-U$392)</f>
        <v>15.090836430214637</v>
      </c>
      <c r="V389" s="47">
        <f ca="1">OFFSET(Assumptions!$B$54,0,$C$1)*(V$385-V$351-V$392)</f>
        <v>15.95723285904721</v>
      </c>
      <c r="W389" s="47">
        <f ca="1">OFFSET(Assumptions!$B$54,0,$C$1)*(W$385-W$351-W$392)</f>
        <v>16.868959594208057</v>
      </c>
      <c r="X389" s="47">
        <f ca="1">OFFSET(Assumptions!$B$54,0,$C$1)*(X$385-X$351-X$392)</f>
        <v>17.835387437545062</v>
      </c>
      <c r="Y389" s="47">
        <f ca="1">OFFSET(Assumptions!$B$54,0,$C$1)*(Y$385-Y$351-Y$392)</f>
        <v>18.868895000724926</v>
      </c>
      <c r="Z389" s="47">
        <f ca="1">OFFSET(Assumptions!$B$54,0,$C$1)*(Z$385-Z$351-Z$392)</f>
        <v>19.980827410036753</v>
      </c>
      <c r="AA389" s="47">
        <f ca="1">OFFSET(Assumptions!$B$54,0,$C$1)*(AA$385-AA$351-AA$392)</f>
        <v>21.177209208977207</v>
      </c>
      <c r="AB389" s="47">
        <f ca="1">OFFSET(Assumptions!$B$54,0,$C$1)*(AB$385-AB$351-AB$392)</f>
        <v>22.467963098515408</v>
      </c>
      <c r="AC389" s="47">
        <f ca="1">OFFSET(Assumptions!$B$54,0,$C$1)*(AC$385-AC$351-AC$392)</f>
        <v>23.853971691856842</v>
      </c>
      <c r="AD389" s="47">
        <f ca="1">OFFSET(Assumptions!$B$54,0,$C$1)*(AD$385-AD$351-AD$392)</f>
        <v>25.333870836192588</v>
      </c>
      <c r="AE389" s="47">
        <f ca="1">OFFSET(Assumptions!$B$54,0,$C$1)*(AE$385-AE$351-AE$392)</f>
        <v>26.909220862629606</v>
      </c>
      <c r="AF389" s="47">
        <f ca="1">OFFSET(Assumptions!$B$54,0,$C$1)*(AF$385-AF$351-AF$392)</f>
        <v>28.580272770896372</v>
      </c>
      <c r="AG389" s="47">
        <f ca="1">OFFSET(Assumptions!$B$54,0,$C$1)*(AG$385-AG$351-AG$392)</f>
        <v>30.344399000705398</v>
      </c>
      <c r="AH389" s="47">
        <f ca="1">OFFSET(Assumptions!$B$54,0,$C$1)*(AH$385-AH$351-AH$392)</f>
        <v>32.201436121610733</v>
      </c>
      <c r="AI389" s="47">
        <f ca="1">OFFSET(Assumptions!$B$54,0,$C$1)*(AI$385-AI$351-AI$392)</f>
        <v>34.14950546731464</v>
      </c>
      <c r="AJ389" s="47">
        <f ca="1">OFFSET(Assumptions!$B$54,0,$C$1)*(AJ$385-AJ$351-AJ$392)</f>
        <v>36.186667352284502</v>
      </c>
      <c r="AK389" s="47">
        <f ca="1">OFFSET(Assumptions!$B$54,0,$C$1)*(AK$385-AK$351-AK$392)</f>
        <v>38.301039281551759</v>
      </c>
      <c r="AL389" s="47">
        <f ca="1">OFFSET(Assumptions!$B$54,0,$C$1)*(AL$385-AL$351-AL$392)</f>
        <v>40.480256236648763</v>
      </c>
      <c r="AM389" s="47">
        <f ca="1">OFFSET(Assumptions!$B$54,0,$C$1)*(AM$385-AM$351-AM$392)</f>
        <v>42.717710257497849</v>
      </c>
      <c r="AN389" s="47">
        <f ca="1">OFFSET(Assumptions!$B$54,0,$C$1)*(AN$385-AN$351-AN$392)</f>
        <v>44.997234294490568</v>
      </c>
      <c r="AO389" s="47">
        <f ca="1">OFFSET(Assumptions!$B$54,0,$C$1)*(AO$385-AO$351-AO$392)</f>
        <v>47.309924866431089</v>
      </c>
      <c r="AP389" s="47">
        <f ca="1">OFFSET(Assumptions!$B$54,0,$C$1)*(AP$385-AP$351-AP$392)</f>
        <v>49.654542146808261</v>
      </c>
      <c r="AQ389" s="47">
        <f ca="1">OFFSET(Assumptions!$B$54,0,$C$1)*(AQ$385-AQ$351-AQ$392)</f>
        <v>52.035049350569082</v>
      </c>
      <c r="AR389" s="47">
        <f ca="1">OFFSET(Assumptions!$B$54,0,$C$1)*(AR$385-AR$351-AR$392)</f>
        <v>54.461434156469004</v>
      </c>
      <c r="AS389" s="47">
        <f ca="1">OFFSET(Assumptions!$B$54,0,$C$1)*(AS$385-AS$351-AS$392)</f>
        <v>56.935770607009808</v>
      </c>
      <c r="AT389" s="47">
        <f ca="1">OFFSET(Assumptions!$B$54,0,$C$1)*(AT$385-AT$351-AT$392)</f>
        <v>59.466651151983264</v>
      </c>
      <c r="AU389" s="47">
        <f ca="1">OFFSET(Assumptions!$B$54,0,$C$1)*(AU$385-AU$351-AU$392)</f>
        <v>62.062496342938097</v>
      </c>
      <c r="AV389" s="47">
        <f ca="1">OFFSET(Assumptions!$B$54,0,$C$1)*(AV$385-AV$351-AV$392)</f>
        <v>64.728341445868423</v>
      </c>
      <c r="AW389" s="47">
        <f ca="1">OFFSET(Assumptions!$B$54,0,$C$1)*(AW$385-AW$351-AW$392)</f>
        <v>67.476109756488512</v>
      </c>
      <c r="AX389" s="47">
        <f ca="1">OFFSET(Assumptions!$B$54,0,$C$1)*(AX$385-AX$351-AX$392)</f>
        <v>70.293148378935285</v>
      </c>
    </row>
    <row r="390" spans="1:50" x14ac:dyDescent="0.25">
      <c r="A390" s="9"/>
      <c r="B390" s="10"/>
      <c r="D390" s="35"/>
      <c r="E390" s="35"/>
      <c r="F390" s="35"/>
      <c r="G390" s="35"/>
      <c r="H390" s="35"/>
      <c r="I390" s="35"/>
      <c r="J390" s="17"/>
      <c r="K390" s="17"/>
      <c r="L390" s="17"/>
      <c r="M390" s="17"/>
      <c r="N390" s="17"/>
    </row>
    <row r="391" spans="1:50" x14ac:dyDescent="0.25">
      <c r="A391" s="9" t="s">
        <v>545</v>
      </c>
    </row>
    <row r="392" spans="1:50" x14ac:dyDescent="0.25">
      <c r="A392" s="11" t="s">
        <v>945</v>
      </c>
      <c r="B392" s="10" t="str">
        <f t="shared" si="1349"/>
        <v>From Fiscal Forecasts</v>
      </c>
      <c r="D392" s="35">
        <f>'Fiscal Forecasts'!D$185-D$77</f>
        <v>2.0030000000000001</v>
      </c>
      <c r="E392" s="35">
        <f>'Fiscal Forecasts'!E$185-E$77</f>
        <v>3.6860000000000017</v>
      </c>
      <c r="F392" s="35">
        <f>'Fiscal Forecasts'!F$185-F$77</f>
        <v>5.4710000000000001</v>
      </c>
      <c r="G392" s="35">
        <f>'Fiscal Forecasts'!G$185-G$77</f>
        <v>4.6139999999999972</v>
      </c>
      <c r="H392" s="35">
        <f>'Fiscal Forecasts'!H$185-H$77</f>
        <v>7.3510000000000062</v>
      </c>
      <c r="I392" s="35">
        <f>'Fiscal Forecasts'!I$185-I$77</f>
        <v>8.9179999999999993</v>
      </c>
      <c r="J392" s="17">
        <f>'Fiscal Forecasts'!J$185-J$77</f>
        <v>9.8170000000000002</v>
      </c>
      <c r="K392" s="17">
        <f>'Fiscal Forecasts'!K$185-K$77</f>
        <v>9.8189999999999991</v>
      </c>
      <c r="L392" s="17">
        <f>'Fiscal Forecasts'!L$185-L$77</f>
        <v>9.8179999999999978</v>
      </c>
      <c r="M392" s="17">
        <f>'Fiscal Forecasts'!M$185-M$77</f>
        <v>9.8170000000000002</v>
      </c>
      <c r="N392" s="17">
        <f>'Fiscal Forecasts'!N$185-N$77</f>
        <v>9.8179999999999978</v>
      </c>
      <c r="O392" s="16">
        <f ca="1">IF(O$6=OFFSET(Assumptions!$B$8,0,$C$1),AVERAGE(L$392/L$385,M$392/M$385,N$392/N$385),N$392/N$385)*O$385</f>
        <v>11.090541854861067</v>
      </c>
      <c r="P392" s="16">
        <f ca="1">IF(P$6=OFFSET(Assumptions!$B$8,0,$C$1),AVERAGE(M$392/M$385,N$392/N$385,O$392/O$385),O$392/O$385)*P$385</f>
        <v>11.803476726335719</v>
      </c>
      <c r="Q392" s="16">
        <f ca="1">IF(Q$6=OFFSET(Assumptions!$B$8,0,$C$1),AVERAGE(N$392/N$385,O$392/O$385,P$392/P$385),P$392/P$385)*Q$385</f>
        <v>12.551120120436815</v>
      </c>
      <c r="R392" s="16">
        <f ca="1">IF(R$6=OFFSET(Assumptions!$B$8,0,$C$1),AVERAGE(O$392/O$385,P$392/P$385,Q$392/Q$385),Q$392/Q$385)*R$385</f>
        <v>13.330897120915658</v>
      </c>
      <c r="S392" s="16">
        <f ca="1">IF(S$6=OFFSET(Assumptions!$B$8,0,$C$1),AVERAGE(P$392/P$385,Q$392/Q$385,R$392/R$385),R$392/R$385)*S$385</f>
        <v>14.142689578853444</v>
      </c>
      <c r="T392" s="16">
        <f ca="1">IF(T$6=OFFSET(Assumptions!$B$8,0,$C$1),AVERAGE(Q$392/Q$385,R$392/R$385,S$392/S$385),S$392/S$385)*T$385</f>
        <v>14.990399145851386</v>
      </c>
      <c r="U392" s="16">
        <f ca="1">IF(U$6=OFFSET(Assumptions!$B$8,0,$C$1),AVERAGE(R$392/R$385,S$392/S$385,T$392/T$385),T$392/T$385)*U$385</f>
        <v>15.871096495662215</v>
      </c>
      <c r="V392" s="16">
        <f ca="1">IF(V$6=OFFSET(Assumptions!$B$8,0,$C$1),AVERAGE(S$392/S$385,T$392/T$385,U$392/U$385),U$392/U$385)*V$385</f>
        <v>16.790649501358871</v>
      </c>
      <c r="W392" s="16">
        <f ca="1">IF(W$6=OFFSET(Assumptions!$B$8,0,$C$1),AVERAGE(T$392/T$385,U$392/U$385,V$392/V$385),V$392/V$385)*W$385</f>
        <v>17.758313992798243</v>
      </c>
      <c r="X392" s="16">
        <f ca="1">IF(X$6=OFFSET(Assumptions!$B$8,0,$C$1),AVERAGE(U$392/U$385,V$392/V$385,W$392/W$385),W$392/W$385)*X$385</f>
        <v>18.784035704655874</v>
      </c>
      <c r="Y392" s="16">
        <f ca="1">IF(Y$6=OFFSET(Assumptions!$B$8,0,$C$1),AVERAGE(V$392/V$385,W$392/W$385,X$392/X$385),X$392/X$385)*Y$385</f>
        <v>19.88095272151482</v>
      </c>
      <c r="Z392" s="16">
        <f ca="1">IF(Z$6=OFFSET(Assumptions!$B$8,0,$C$1),AVERAGE(W$392/W$385,X$392/X$385,Y$392/Y$385),Y$392/Y$385)*Z$385</f>
        <v>21.061106234488044</v>
      </c>
      <c r="AA392" s="16">
        <f ca="1">IF(AA$6=OFFSET(Assumptions!$B$8,0,$C$1),AVERAGE(X$392/X$385,Y$392/Y$385,Z$392/Z$385),Z$392/Z$385)*AA$385</f>
        <v>22.330890414760866</v>
      </c>
      <c r="AB392" s="16">
        <f ca="1">IF(AB$6=OFFSET(Assumptions!$B$8,0,$C$1),AVERAGE(Y$392/Y$385,Z$392/Z$385,AA$392/AA$385),AA$392/AA$385)*AB$385</f>
        <v>23.700836757151521</v>
      </c>
      <c r="AC392" s="16">
        <f ca="1">IF(AC$6=OFFSET(Assumptions!$B$8,0,$C$1),AVERAGE(Z$392/Z$385,AA$392/AA$385,AB$392/AB$385),AB$392/AB$385)*AC$385</f>
        <v>25.171882026400667</v>
      </c>
      <c r="AD392" s="16">
        <f ca="1">IF(AD$6=OFFSET(Assumptions!$B$8,0,$C$1),AVERAGE(AA$392/AA$385,AB$392/AB$385,AC$392/AC$385),AC$392/AC$385)*AD$385</f>
        <v>26.742578373955471</v>
      </c>
      <c r="AE392" s="16">
        <f ca="1">IF(AE$6=OFFSET(Assumptions!$B$8,0,$C$1),AVERAGE(AB$392/AB$385,AC$392/AC$385,AD$392/AD$385),AD$392/AD$385)*AE$385</f>
        <v>28.414581862919995</v>
      </c>
      <c r="AF392" s="16">
        <f ca="1">IF(AF$6=OFFSET(Assumptions!$B$8,0,$C$1),AVERAGE(AC$392/AC$385,AD$392/AD$385,AE$392/AE$385),AE$392/AE$385)*AF$385</f>
        <v>30.188158892770367</v>
      </c>
      <c r="AG392" s="16">
        <f ca="1">IF(AG$6=OFFSET(Assumptions!$B$8,0,$C$1),AVERAGE(AD$392/AD$385,AE$392/AE$385,AF$392/AF$385),AF$392/AF$385)*AG$385</f>
        <v>32.060520692824241</v>
      </c>
      <c r="AH392" s="16">
        <f ca="1">IF(AH$6=OFFSET(Assumptions!$B$8,0,$C$1),AVERAGE(AE$392/AE$385,AF$392/AF$385,AG$392/AG$385),AG$392/AG$385)*AH$385</f>
        <v>34.031493805582492</v>
      </c>
      <c r="AI392" s="16">
        <f ca="1">IF(AI$6=OFFSET(Assumptions!$B$8,0,$C$1),AVERAGE(AF$392/AF$385,AG$392/AG$385,AH$392/AH$385),AH$392/AH$385)*AI$385</f>
        <v>36.099084301726748</v>
      </c>
      <c r="AJ392" s="16">
        <f ca="1">IF(AJ$6=OFFSET(Assumptions!$B$8,0,$C$1),AVERAGE(AG$392/AG$385,AH$392/AH$385,AI$392/AI$385),AI$392/AI$385)*AJ$385</f>
        <v>38.261233488951419</v>
      </c>
      <c r="AK392" s="16">
        <f ca="1">IF(AK$6=OFFSET(Assumptions!$B$8,0,$C$1),AVERAGE(AH$392/AH$385,AI$392/AI$385,AJ$392/AJ$385),AJ$392/AJ$385)*AK$385</f>
        <v>40.505329837938184</v>
      </c>
      <c r="AL392" s="16">
        <f ca="1">IF(AL$6=OFFSET(Assumptions!$B$8,0,$C$1),AVERAGE(AI$392/AI$385,AJ$392/AJ$385,AK$392/AK$385),AK$392/AK$385)*AL$385</f>
        <v>42.818249691295307</v>
      </c>
      <c r="AM392" s="16">
        <f ca="1">IF(AM$6=OFFSET(Assumptions!$B$8,0,$C$1),AVERAGE(AJ$392/AJ$385,AK$392/AK$385,AL$392/AL$385),AL$392/AL$385)*AM$385</f>
        <v>45.192979666524046</v>
      </c>
      <c r="AN392" s="16">
        <f ca="1">IF(AN$6=OFFSET(Assumptions!$B$8,0,$C$1),AVERAGE(AK$392/AK$385,AL$392/AL$385,AM$392/AM$385),AM$392/AM$385)*AN$385</f>
        <v>47.61236080663204</v>
      </c>
      <c r="AO392" s="16">
        <f ca="1">IF(AO$6=OFFSET(Assumptions!$B$8,0,$C$1),AVERAGE(AL$392/AL$385,AM$392/AM$385,AN$392/AN$385),AN$392/AN$385)*AO$385</f>
        <v>50.066943369420038</v>
      </c>
      <c r="AP392" s="16">
        <f ca="1">IF(AP$6=OFFSET(Assumptions!$B$8,0,$C$1),AVERAGE(AM$392/AM$385,AN$392/AN$385,AO$392/AO$385),AO$392/AO$385)*AP$385</f>
        <v>52.555411460504217</v>
      </c>
      <c r="AQ392" s="16">
        <f ca="1">IF(AQ$6=OFFSET(Assumptions!$B$8,0,$C$1),AVERAGE(AN$392/AN$385,AO$392/AO$385,AP$392/AP$385),AP$392/AP$385)*AQ$385</f>
        <v>55.081971452505094</v>
      </c>
      <c r="AR392" s="16">
        <f ca="1">IF(AR$6=OFFSET(Assumptions!$B$8,0,$C$1),AVERAGE(AO$392/AO$385,AP$392/AP$385,AQ$392/AQ$385),AQ$392/AQ$385)*AR$385</f>
        <v>57.657223804651089</v>
      </c>
      <c r="AS392" s="16">
        <f ca="1">IF(AS$6=OFFSET(Assumptions!$B$8,0,$C$1),AVERAGE(AP$392/AP$385,AQ$392/AQ$385,AR$392/AR$385),AR$392/AR$385)*AS$385</f>
        <v>60.283369809506432</v>
      </c>
      <c r="AT392" s="16">
        <f ca="1">IF(AT$6=OFFSET(Assumptions!$B$8,0,$C$1),AVERAGE(AQ$392/AQ$385,AR$392/AR$385,AS$392/AS$385),AS$392/AS$385)*AT$385</f>
        <v>62.969529094956663</v>
      </c>
      <c r="AU392" s="16">
        <f ca="1">IF(AU$6=OFFSET(Assumptions!$B$8,0,$C$1),AVERAGE(AR$392/AR$385,AS$392/AS$385,AT$392/AT$385),AT$392/AT$385)*AU$385</f>
        <v>65.724638844060919</v>
      </c>
      <c r="AV392" s="16">
        <f ca="1">IF(AV$6=OFFSET(Assumptions!$B$8,0,$C$1),AVERAGE(AS$392/AS$385,AT$392/AT$385,AU$392/AU$385),AU$392/AU$385)*AV$385</f>
        <v>68.554043254723624</v>
      </c>
      <c r="AW392" s="16">
        <f ca="1">IF(AW$6=OFFSET(Assumptions!$B$8,0,$C$1),AVERAGE(AT$392/AT$385,AU$392/AU$385,AV$392/AV$385),AV$392/AV$385)*AW$385</f>
        <v>71.47039716028317</v>
      </c>
      <c r="AX392" s="16">
        <f ca="1">IF(AX$6=OFFSET(Assumptions!$B$8,0,$C$1),AVERAGE(AU$392/AU$385,AV$392/AV$385,AW$392/AW$385),AW$392/AW$385)*AX$385</f>
        <v>74.460271363625594</v>
      </c>
    </row>
    <row r="393" spans="1:50" x14ac:dyDescent="0.25">
      <c r="A393" s="11" t="s">
        <v>799</v>
      </c>
      <c r="D393" s="35">
        <f t="shared" ref="D393:AX393" si="1351">D$408</f>
        <v>10.731000000000002</v>
      </c>
      <c r="E393" s="35">
        <f t="shared" si="1351"/>
        <v>10.395</v>
      </c>
      <c r="F393" s="35">
        <f t="shared" si="1351"/>
        <v>10.840999999999999</v>
      </c>
      <c r="G393" s="35">
        <f t="shared" si="1351"/>
        <v>9.2089999999999996</v>
      </c>
      <c r="H393" s="35">
        <f t="shared" si="1351"/>
        <v>9.3729999999999993</v>
      </c>
      <c r="I393" s="35">
        <f t="shared" si="1351"/>
        <v>9.5960000000000001</v>
      </c>
      <c r="J393" s="17">
        <f t="shared" si="1351"/>
        <v>10.012</v>
      </c>
      <c r="K393" s="17">
        <f t="shared" si="1351"/>
        <v>10.026000000000002</v>
      </c>
      <c r="L393" s="17">
        <f t="shared" si="1351"/>
        <v>9.9530000000000012</v>
      </c>
      <c r="M393" s="17">
        <f t="shared" si="1351"/>
        <v>9.8220000000000027</v>
      </c>
      <c r="N393" s="17">
        <f t="shared" si="1351"/>
        <v>9.6330000000000027</v>
      </c>
      <c r="O393" s="16">
        <f t="shared" si="1351"/>
        <v>9.6690258260084878</v>
      </c>
      <c r="P393" s="16">
        <f t="shared" si="1351"/>
        <v>9.7397753654976267</v>
      </c>
      <c r="Q393" s="16">
        <f t="shared" si="1351"/>
        <v>9.8430382197785438</v>
      </c>
      <c r="R393" s="16">
        <f t="shared" si="1351"/>
        <v>9.9715171685733903</v>
      </c>
      <c r="S393" s="16">
        <f t="shared" si="1351"/>
        <v>10.118040711801754</v>
      </c>
      <c r="T393" s="16">
        <f t="shared" si="1351"/>
        <v>10.279509164872225</v>
      </c>
      <c r="U393" s="16">
        <f t="shared" si="1351"/>
        <v>10.446554493957743</v>
      </c>
      <c r="V393" s="16">
        <f t="shared" si="1351"/>
        <v>10.616428642665062</v>
      </c>
      <c r="W393" s="16">
        <f t="shared" si="1351"/>
        <v>10.789324259563148</v>
      </c>
      <c r="X393" s="16">
        <f t="shared" si="1351"/>
        <v>10.9650927839971</v>
      </c>
      <c r="Y393" s="16">
        <f t="shared" si="1351"/>
        <v>11.145799860566857</v>
      </c>
      <c r="Z393" s="16">
        <f t="shared" si="1351"/>
        <v>11.32902937780085</v>
      </c>
      <c r="AA393" s="16">
        <f t="shared" si="1351"/>
        <v>11.519154021538563</v>
      </c>
      <c r="AB393" s="16">
        <f t="shared" si="1351"/>
        <v>11.718595962136831</v>
      </c>
      <c r="AC393" s="16">
        <f t="shared" si="1351"/>
        <v>11.926758165759855</v>
      </c>
      <c r="AD393" s="16">
        <f t="shared" si="1351"/>
        <v>12.147473042157271</v>
      </c>
      <c r="AE393" s="16">
        <f t="shared" si="1351"/>
        <v>12.381668783213367</v>
      </c>
      <c r="AF393" s="16">
        <f t="shared" si="1351"/>
        <v>12.628933194116613</v>
      </c>
      <c r="AG393" s="16">
        <f t="shared" si="1351"/>
        <v>12.890151907502728</v>
      </c>
      <c r="AH393" s="16">
        <f t="shared" si="1351"/>
        <v>13.167047724133633</v>
      </c>
      <c r="AI393" s="16">
        <f t="shared" si="1351"/>
        <v>13.458836178316339</v>
      </c>
      <c r="AJ393" s="16">
        <f t="shared" si="1351"/>
        <v>13.769454104539536</v>
      </c>
      <c r="AK393" s="16">
        <f t="shared" si="1351"/>
        <v>14.100847452109974</v>
      </c>
      <c r="AL393" s="16">
        <f t="shared" si="1351"/>
        <v>14.455921797079915</v>
      </c>
      <c r="AM393" s="16">
        <f t="shared" si="1351"/>
        <v>14.837361168782923</v>
      </c>
      <c r="AN393" s="16">
        <f t="shared" si="1351"/>
        <v>15.122921703854214</v>
      </c>
      <c r="AO393" s="16">
        <f t="shared" si="1351"/>
        <v>15.450408887961258</v>
      </c>
      <c r="AP393" s="16">
        <f t="shared" si="1351"/>
        <v>15.867283239171721</v>
      </c>
      <c r="AQ393" s="16">
        <f t="shared" si="1351"/>
        <v>16.294509349010763</v>
      </c>
      <c r="AR393" s="16">
        <f t="shared" si="1351"/>
        <v>16.73072618968445</v>
      </c>
      <c r="AS393" s="16">
        <f t="shared" si="1351"/>
        <v>17.172884078401712</v>
      </c>
      <c r="AT393" s="16">
        <f t="shared" si="1351"/>
        <v>17.618784813050276</v>
      </c>
      <c r="AU393" s="16">
        <f t="shared" si="1351"/>
        <v>18.063370340767506</v>
      </c>
      <c r="AV393" s="16">
        <f t="shared" si="1351"/>
        <v>18.502923918728769</v>
      </c>
      <c r="AW393" s="16">
        <f t="shared" si="1351"/>
        <v>18.931475699057682</v>
      </c>
      <c r="AX393" s="16">
        <f t="shared" si="1351"/>
        <v>19.360234996308392</v>
      </c>
    </row>
    <row r="394" spans="1:50" x14ac:dyDescent="0.25">
      <c r="A394" s="11" t="s">
        <v>966</v>
      </c>
      <c r="C394" s="63" cm="1">
        <f t="array" aca="1" ref="C394" ca="1">SUMPRODUCT(OFFSET($N$394,0,0,1,-OFFSET(Assumptions!$B$44,0,$C$1))/OFFSET($N$13,0,0,1,-OFFSET(Assumptions!$B$44,0,$C$1)))/OFFSET(Assumptions!$B$44,0,$C$1)</f>
        <v>5.4897429193109783E-2</v>
      </c>
      <c r="D394" s="35">
        <f t="shared" ref="D394:I394" si="1352">D$77-D$408</f>
        <v>3.113999999999999</v>
      </c>
      <c r="E394" s="35">
        <f t="shared" si="1352"/>
        <v>4.1609999999999996</v>
      </c>
      <c r="F394" s="35">
        <f t="shared" si="1352"/>
        <v>7.8870000000000022</v>
      </c>
      <c r="G394" s="35">
        <f t="shared" si="1352"/>
        <v>16.894000000000002</v>
      </c>
      <c r="H394" s="35">
        <f t="shared" si="1352"/>
        <v>27.167999999999999</v>
      </c>
      <c r="I394" s="35">
        <f t="shared" si="1352"/>
        <v>30.791999999999998</v>
      </c>
      <c r="J394" s="17">
        <f>J$77-J$408+Allocation!C$44</f>
        <v>24.679000000000002</v>
      </c>
      <c r="K394" s="17">
        <f>K$77-K$408+Allocation!D$44</f>
        <v>19.262</v>
      </c>
      <c r="L394" s="17">
        <f>L$77-L$408+Allocation!E$44</f>
        <v>22.939499999999995</v>
      </c>
      <c r="M394" s="17">
        <f>M$77-M$408+Allocation!F$44</f>
        <v>25.536749999999998</v>
      </c>
      <c r="N394" s="17">
        <f>N$77-N$408+Allocation!G$44</f>
        <v>28.412499999999998</v>
      </c>
      <c r="O394" s="16">
        <f ca="1">(N$394/N$13+MIN(ABS($C$394-N$394/N$13),OFFSET(Assumptions!$B$43,0,$C$1))*SIGN($C$394-N$394/N$13))*O$13</f>
        <v>30.063783382726808</v>
      </c>
      <c r="P394" s="16">
        <f ca="1">(O$394/O$13+MIN(ABS($C$394-O$394/O$13),OFFSET(Assumptions!$B$43,0,$C$1))*SIGN($C$394-O$394/O$13))*P$13</f>
        <v>31.39246226976741</v>
      </c>
      <c r="Q394" s="16">
        <f ca="1">(P$394/P$13+MIN(ABS($C$394-P$394/P$13),OFFSET(Assumptions!$B$43,0,$C$1))*SIGN($C$394-P$394/P$13))*Q$13</f>
        <v>32.725565786682544</v>
      </c>
      <c r="R394" s="16">
        <f ca="1">(Q$394/Q$13+MIN(ABS($C$394-Q$394/Q$13),OFFSET(Assumptions!$B$43,0,$C$1))*SIGN($C$394-Q$394/Q$13))*R$13</f>
        <v>34.058583221408846</v>
      </c>
      <c r="S394" s="16">
        <f ca="1">(R$394/R$13+MIN(ABS($C$394-R$394/R$13),OFFSET(Assumptions!$B$43,0,$C$1))*SIGN($C$394-R$394/R$13))*S$13</f>
        <v>35.434225633901043</v>
      </c>
      <c r="T394" s="16">
        <f ca="1">(S$394/S$13+MIN(ABS($C$394-S$394/S$13),OFFSET(Assumptions!$B$43,0,$C$1))*SIGN($C$394-S$394/S$13))*T$13</f>
        <v>36.851822629639834</v>
      </c>
      <c r="U394" s="16">
        <f ca="1">(T$394/T$13+MIN(ABS($C$394-T$394/T$13),OFFSET(Assumptions!$B$43,0,$C$1))*SIGN($C$394-T$394/T$13))*U$13</f>
        <v>38.317082173094761</v>
      </c>
      <c r="V394" s="16">
        <f ca="1">(U$394/U$13+MIN(ABS($C$394-U$394/U$13),OFFSET(Assumptions!$B$43,0,$C$1))*SIGN($C$394-U$394/U$13))*V$13</f>
        <v>39.830413243743003</v>
      </c>
      <c r="W394" s="16">
        <f ca="1">(V$394/V$13+MIN(ABS($C$394-V$394/V$13),OFFSET(Assumptions!$B$43,0,$C$1))*SIGN($C$394-V$394/V$13))*W$13</f>
        <v>41.383927953048698</v>
      </c>
      <c r="X394" s="16">
        <f ca="1">(W$394/W$13+MIN(ABS($C$394-W$394/W$13),OFFSET(Assumptions!$B$43,0,$C$1))*SIGN($C$394-W$394/W$13))*X$13</f>
        <v>42.980143030248122</v>
      </c>
      <c r="Y394" s="16">
        <f ca="1">(X$394/X$13+MIN(ABS($C$394-X$394/X$13),OFFSET(Assumptions!$B$43,0,$C$1))*SIGN($C$394-X$394/X$13))*Y$13</f>
        <v>44.627418924178521</v>
      </c>
      <c r="Z394" s="16">
        <f ca="1">(Y$394/Y$13+MIN(ABS($C$394-Y$394/Y$13),OFFSET(Assumptions!$B$43,0,$C$1))*SIGN($C$394-Y$394/Y$13))*Z$13</f>
        <v>46.32603957719477</v>
      </c>
      <c r="AA394" s="16">
        <f ca="1">(Z$394/Z$13+MIN(ABS($C$394-Z$394/Z$13),OFFSET(Assumptions!$B$43,0,$C$1))*SIGN($C$394-Z$394/Z$13))*AA$13</f>
        <v>48.082952388696974</v>
      </c>
      <c r="AB394" s="16">
        <f ca="1">(AA$394/AA$13+MIN(ABS($C$394-AA$394/AA$13),OFFSET(Assumptions!$B$43,0,$C$1))*SIGN($C$394-AA$394/AA$13))*AB$13</f>
        <v>49.896292951847606</v>
      </c>
      <c r="AC394" s="16">
        <f ca="1">(AB$394/AB$13+MIN(ABS($C$394-AB$394/AB$13),OFFSET(Assumptions!$B$43,0,$C$1))*SIGN($C$394-AB$394/AB$13))*AC$13</f>
        <v>51.766014631891231</v>
      </c>
      <c r="AD394" s="16">
        <f ca="1">(AC$394/AC$13+MIN(ABS($C$394-AC$394/AC$13),OFFSET(Assumptions!$B$43,0,$C$1))*SIGN($C$394-AC$394/AC$13))*AD$13</f>
        <v>53.693457416339108</v>
      </c>
      <c r="AE394" s="16">
        <f ca="1">(AD$394/AD$13+MIN(ABS($C$394-AD$394/AD$13),OFFSET(Assumptions!$B$43,0,$C$1))*SIGN($C$394-AD$394/AD$13))*AE$13</f>
        <v>55.678095503805338</v>
      </c>
      <c r="AF394" s="16">
        <f ca="1">(AE$394/AE$13+MIN(ABS($C$394-AE$394/AE$13),OFFSET(Assumptions!$B$43,0,$C$1))*SIGN($C$394-AE$394/AE$13))*AF$13</f>
        <v>57.720394347178299</v>
      </c>
      <c r="AG394" s="16">
        <f ca="1">(AF$394/AF$13+MIN(ABS($C$394-AF$394/AF$13),OFFSET(Assumptions!$B$43,0,$C$1))*SIGN($C$394-AF$394/AF$13))*AG$13</f>
        <v>59.820574002689376</v>
      </c>
      <c r="AH394" s="16">
        <f ca="1">(AG$394/AG$13+MIN(ABS($C$394-AG$394/AG$13),OFFSET(Assumptions!$B$43,0,$C$1))*SIGN($C$394-AG$394/AG$13))*AH$13</f>
        <v>61.977644186932586</v>
      </c>
      <c r="AI394" s="16">
        <f ca="1">(AH$394/AH$13+MIN(ABS($C$394-AH$394/AH$13),OFFSET(Assumptions!$B$43,0,$C$1))*SIGN($C$394-AH$394/AH$13))*AI$13</f>
        <v>64.193650041496127</v>
      </c>
      <c r="AJ394" s="16">
        <f ca="1">(AI$394/AI$13+MIN(ABS($C$394-AI$394/AI$13),OFFSET(Assumptions!$B$43,0,$C$1))*SIGN($C$394-AI$394/AI$13))*AJ$13</f>
        <v>66.471206156098162</v>
      </c>
      <c r="AK394" s="16">
        <f ca="1">(AJ$394/AJ$13+MIN(ABS($C$394-AJ$394/AJ$13),OFFSET(Assumptions!$B$43,0,$C$1))*SIGN($C$394-AJ$394/AJ$13))*AK$13</f>
        <v>68.807289122195044</v>
      </c>
      <c r="AL394" s="16">
        <f ca="1">(AK$394/AK$13+MIN(ABS($C$394-AK$394/AK$13),OFFSET(Assumptions!$B$43,0,$C$1))*SIGN($C$394-AK$394/AK$13))*AL$13</f>
        <v>71.205103533913785</v>
      </c>
      <c r="AM394" s="16">
        <f ca="1">(AL$394/AL$13+MIN(ABS($C$394-AL$394/AL$13),OFFSET(Assumptions!$B$43,0,$C$1))*SIGN($C$394-AL$394/AL$13))*AM$13</f>
        <v>73.668118295785646</v>
      </c>
      <c r="AN394" s="16">
        <f ca="1">(AM$394/AM$13+MIN(ABS($C$394-AM$394/AM$13),OFFSET(Assumptions!$B$43,0,$C$1))*SIGN($C$394-AM$394/AM$13))*AN$13</f>
        <v>76.199134095750097</v>
      </c>
      <c r="AO394" s="16">
        <f ca="1">(AN$394/AN$13+MIN(ABS($C$394-AN$394/AN$13),OFFSET(Assumptions!$B$43,0,$C$1))*SIGN($C$394-AN$394/AN$13))*AO$13</f>
        <v>78.799203141490324</v>
      </c>
      <c r="AP394" s="16">
        <f ca="1">(AO$394/AO$13+MIN(ABS($C$394-AO$394/AO$13),OFFSET(Assumptions!$B$43,0,$C$1))*SIGN($C$394-AO$394/AO$13))*AP$13</f>
        <v>81.476324528135976</v>
      </c>
      <c r="AQ394" s="16">
        <f ca="1">(AP$394/AP$13+MIN(ABS($C$394-AP$394/AP$13),OFFSET(Assumptions!$B$43,0,$C$1))*SIGN($C$394-AP$394/AP$13))*AQ$13</f>
        <v>84.233113932583748</v>
      </c>
      <c r="AR394" s="16">
        <f ca="1">(AQ$394/AQ$13+MIN(ABS($C$394-AQ$394/AQ$13),OFFSET(Assumptions!$B$43,0,$C$1))*SIGN($C$394-AQ$394/AQ$13))*AR$13</f>
        <v>87.076765750484526</v>
      </c>
      <c r="AS394" s="16">
        <f ca="1">(AR$394/AR$13+MIN(ABS($C$394-AR$394/AR$13),OFFSET(Assumptions!$B$43,0,$C$1))*SIGN($C$394-AR$394/AR$13))*AS$13</f>
        <v>90.009406557092859</v>
      </c>
      <c r="AT394" s="16">
        <f ca="1">(AS$394/AS$13+MIN(ABS($C$394-AS$394/AS$13),OFFSET(Assumptions!$B$43,0,$C$1))*SIGN($C$394-AS$394/AS$13))*AT$13</f>
        <v>93.040162069305708</v>
      </c>
      <c r="AU394" s="16">
        <f ca="1">(AT$394/AT$13+MIN(ABS($C$394-AT$394/AT$13),OFFSET(Assumptions!$B$43,0,$C$1))*SIGN($C$394-AT$394/AT$13))*AU$13</f>
        <v>96.167721987689077</v>
      </c>
      <c r="AV394" s="16">
        <f ca="1">(AU$394/AU$13+MIN(ABS($C$394-AU$394/AU$13),OFFSET(Assumptions!$B$43,0,$C$1))*SIGN($C$394-AU$394/AU$13))*AV$13</f>
        <v>99.40095319638553</v>
      </c>
      <c r="AW394" s="16">
        <f ca="1">(AV$394/AV$13+MIN(ABS($C$394-AV$394/AV$13),OFFSET(Assumptions!$B$43,0,$C$1))*SIGN($C$394-AV$394/AV$13))*AW$13</f>
        <v>102.74270533757576</v>
      </c>
      <c r="AX394" s="16">
        <f ca="1">(AW$394/AW$13+MIN(ABS($C$394-AW$394/AW$13),OFFSET(Assumptions!$B$43,0,$C$1))*SIGN($C$394-AW$394/AW$13))*AX$13</f>
        <v>106.19158990461709</v>
      </c>
    </row>
    <row r="395" spans="1:50" x14ac:dyDescent="0.25">
      <c r="A395" s="9" t="s">
        <v>967</v>
      </c>
      <c r="D395" s="64">
        <f t="shared" ref="D395:AX395" si="1353">SUM(D$392:D$394)</f>
        <v>15.848000000000001</v>
      </c>
      <c r="E395" s="64">
        <f t="shared" si="1353"/>
        <v>18.242000000000001</v>
      </c>
      <c r="F395" s="64">
        <f t="shared" si="1353"/>
        <v>24.198999999999998</v>
      </c>
      <c r="G395" s="64">
        <f t="shared" si="1353"/>
        <v>30.716999999999999</v>
      </c>
      <c r="H395" s="64">
        <f t="shared" si="1353"/>
        <v>43.892000000000003</v>
      </c>
      <c r="I395" s="64">
        <f t="shared" si="1353"/>
        <v>49.305999999999997</v>
      </c>
      <c r="J395" s="65">
        <f t="shared" si="1353"/>
        <v>44.508000000000003</v>
      </c>
      <c r="K395" s="65">
        <f t="shared" si="1353"/>
        <v>39.106999999999999</v>
      </c>
      <c r="L395" s="65">
        <f t="shared" si="1353"/>
        <v>42.710499999999996</v>
      </c>
      <c r="M395" s="65">
        <f t="shared" si="1353"/>
        <v>45.175750000000001</v>
      </c>
      <c r="N395" s="65">
        <f t="shared" si="1353"/>
        <v>47.863500000000002</v>
      </c>
      <c r="O395" s="66">
        <f t="shared" ca="1" si="1353"/>
        <v>50.823351063596363</v>
      </c>
      <c r="P395" s="66">
        <f t="shared" ca="1" si="1353"/>
        <v>52.935714361600759</v>
      </c>
      <c r="Q395" s="66">
        <f t="shared" ca="1" si="1353"/>
        <v>55.119724126897907</v>
      </c>
      <c r="R395" s="66">
        <f t="shared" ca="1" si="1353"/>
        <v>57.360997510897896</v>
      </c>
      <c r="S395" s="66">
        <f t="shared" ca="1" si="1353"/>
        <v>59.69495592455624</v>
      </c>
      <c r="T395" s="66">
        <f t="shared" ca="1" si="1353"/>
        <v>62.121730940363449</v>
      </c>
      <c r="U395" s="66">
        <f t="shared" ca="1" si="1353"/>
        <v>64.634733162714724</v>
      </c>
      <c r="V395" s="66">
        <f t="shared" ca="1" si="1353"/>
        <v>67.237491387766937</v>
      </c>
      <c r="W395" s="66">
        <f t="shared" ca="1" si="1353"/>
        <v>69.931566205410093</v>
      </c>
      <c r="X395" s="66">
        <f t="shared" ca="1" si="1353"/>
        <v>72.729271518901101</v>
      </c>
      <c r="Y395" s="66">
        <f t="shared" ca="1" si="1353"/>
        <v>75.654171506260198</v>
      </c>
      <c r="Z395" s="66">
        <f t="shared" ca="1" si="1353"/>
        <v>78.716175189483664</v>
      </c>
      <c r="AA395" s="66">
        <f t="shared" ca="1" si="1353"/>
        <v>81.932996824996394</v>
      </c>
      <c r="AB395" s="66">
        <f t="shared" ca="1" si="1353"/>
        <v>85.315725671135965</v>
      </c>
      <c r="AC395" s="66">
        <f t="shared" ca="1" si="1353"/>
        <v>88.864654824051755</v>
      </c>
      <c r="AD395" s="66">
        <f t="shared" ca="1" si="1353"/>
        <v>92.583508832451855</v>
      </c>
      <c r="AE395" s="66">
        <f t="shared" ca="1" si="1353"/>
        <v>96.474346149938697</v>
      </c>
      <c r="AF395" s="66">
        <f t="shared" ca="1" si="1353"/>
        <v>100.53748643406527</v>
      </c>
      <c r="AG395" s="66">
        <f t="shared" ca="1" si="1353"/>
        <v>104.77124660301635</v>
      </c>
      <c r="AH395" s="66">
        <f t="shared" ca="1" si="1353"/>
        <v>109.17618571664872</v>
      </c>
      <c r="AI395" s="66">
        <f t="shared" ca="1" si="1353"/>
        <v>113.75157052153921</v>
      </c>
      <c r="AJ395" s="66">
        <f t="shared" ca="1" si="1353"/>
        <v>118.50189374958912</v>
      </c>
      <c r="AK395" s="66">
        <f t="shared" ca="1" si="1353"/>
        <v>123.4134664122432</v>
      </c>
      <c r="AL395" s="66">
        <f t="shared" ca="1" si="1353"/>
        <v>128.47927502228902</v>
      </c>
      <c r="AM395" s="66">
        <f t="shared" ca="1" si="1353"/>
        <v>133.69845913109262</v>
      </c>
      <c r="AN395" s="66">
        <f t="shared" ca="1" si="1353"/>
        <v>138.93441660623637</v>
      </c>
      <c r="AO395" s="66">
        <f t="shared" ca="1" si="1353"/>
        <v>144.31655539887163</v>
      </c>
      <c r="AP395" s="66">
        <f t="shared" ca="1" si="1353"/>
        <v>149.89901922781192</v>
      </c>
      <c r="AQ395" s="66">
        <f t="shared" ca="1" si="1353"/>
        <v>155.6095947340996</v>
      </c>
      <c r="AR395" s="66">
        <f t="shared" ca="1" si="1353"/>
        <v>161.46471574482007</v>
      </c>
      <c r="AS395" s="66">
        <f t="shared" ca="1" si="1353"/>
        <v>167.46566044500099</v>
      </c>
      <c r="AT395" s="66">
        <f t="shared" ca="1" si="1353"/>
        <v>173.62847597731263</v>
      </c>
      <c r="AU395" s="66">
        <f t="shared" ca="1" si="1353"/>
        <v>179.95573117251752</v>
      </c>
      <c r="AV395" s="66">
        <f t="shared" ca="1" si="1353"/>
        <v>186.45792036983792</v>
      </c>
      <c r="AW395" s="66">
        <f t="shared" ca="1" si="1353"/>
        <v>193.1445781969166</v>
      </c>
      <c r="AX395" s="66">
        <f t="shared" ca="1" si="1353"/>
        <v>200.01209626455108</v>
      </c>
    </row>
    <row r="396" spans="1:50" x14ac:dyDescent="0.25">
      <c r="A396" s="11" t="s">
        <v>968</v>
      </c>
      <c r="B396" s="10" t="str">
        <f t="shared" ref="B396:B397" si="1354">$B$38</f>
        <v>From Fiscal Forecasts</v>
      </c>
      <c r="D396" s="35">
        <f>'Fiscal Forecasts'!D$323</f>
        <v>20.411000000000001</v>
      </c>
      <c r="E396" s="35">
        <f>'Fiscal Forecasts'!E$323</f>
        <v>22.189</v>
      </c>
      <c r="F396" s="35">
        <f>'Fiscal Forecasts'!F$323</f>
        <v>25.206</v>
      </c>
      <c r="G396" s="35">
        <f>'Fiscal Forecasts'!G$323</f>
        <v>27.786000000000001</v>
      </c>
      <c r="H396" s="35">
        <f>'Fiscal Forecasts'!H$323</f>
        <v>29.785</v>
      </c>
      <c r="I396" s="35">
        <f>'Fiscal Forecasts'!I$323</f>
        <v>32.487000000000002</v>
      </c>
      <c r="J396" s="17">
        <f>'Fiscal Forecasts'!J$323</f>
        <v>35.345999999999997</v>
      </c>
      <c r="K396" s="17">
        <f>'Fiscal Forecasts'!K$323</f>
        <v>38.869999999999997</v>
      </c>
      <c r="L396" s="17">
        <f>'Fiscal Forecasts'!L$323</f>
        <v>42.386000000000003</v>
      </c>
      <c r="M396" s="17">
        <f>'Fiscal Forecasts'!M$323</f>
        <v>46.438000000000002</v>
      </c>
      <c r="N396" s="17">
        <f>'Fiscal Forecasts'!N$323</f>
        <v>50.116999999999997</v>
      </c>
      <c r="O396" s="16">
        <f t="shared" ref="O396:AX396" ca="1" si="1355">N$396*(1+O$14)</f>
        <v>52.365385256197889</v>
      </c>
      <c r="P396" s="16">
        <f t="shared" ca="1" si="1355"/>
        <v>54.679690841623078</v>
      </c>
      <c r="Q396" s="16">
        <f t="shared" ca="1" si="1355"/>
        <v>57.001703289655879</v>
      </c>
      <c r="R396" s="16">
        <f t="shared" ca="1" si="1355"/>
        <v>59.323565798909364</v>
      </c>
      <c r="S396" s="16">
        <f t="shared" ca="1" si="1355"/>
        <v>61.719672901859944</v>
      </c>
      <c r="T396" s="16">
        <f t="shared" ca="1" si="1355"/>
        <v>64.188856898926034</v>
      </c>
      <c r="U396" s="16">
        <f t="shared" ca="1" si="1355"/>
        <v>66.741059977179404</v>
      </c>
      <c r="V396" s="16">
        <f t="shared" ca="1" si="1355"/>
        <v>69.376994500982562</v>
      </c>
      <c r="W396" s="16">
        <f t="shared" ca="1" si="1355"/>
        <v>72.082921270688558</v>
      </c>
      <c r="X396" s="16">
        <f t="shared" ca="1" si="1355"/>
        <v>74.863223949336913</v>
      </c>
      <c r="Y396" s="16">
        <f t="shared" ca="1" si="1355"/>
        <v>77.732464846624453</v>
      </c>
      <c r="Z396" s="16">
        <f t="shared" ca="1" si="1355"/>
        <v>80.691138536058901</v>
      </c>
      <c r="AA396" s="16">
        <f t="shared" ca="1" si="1355"/>
        <v>83.751346064321027</v>
      </c>
      <c r="AB396" s="16">
        <f t="shared" ca="1" si="1355"/>
        <v>86.909839989760584</v>
      </c>
      <c r="AC396" s="16">
        <f t="shared" ca="1" si="1355"/>
        <v>90.16653908351482</v>
      </c>
      <c r="AD396" s="16">
        <f t="shared" ca="1" si="1355"/>
        <v>93.523777348638887</v>
      </c>
      <c r="AE396" s="16">
        <f t="shared" ca="1" si="1355"/>
        <v>96.980638939253055</v>
      </c>
      <c r="AF396" s="16">
        <f t="shared" ca="1" si="1355"/>
        <v>100.53793458564726</v>
      </c>
      <c r="AG396" s="16">
        <f t="shared" ca="1" si="1355"/>
        <v>104.1960475838687</v>
      </c>
      <c r="AH396" s="16">
        <f t="shared" ca="1" si="1355"/>
        <v>107.95325304881536</v>
      </c>
      <c r="AI396" s="16">
        <f t="shared" ca="1" si="1355"/>
        <v>111.81311322765372</v>
      </c>
      <c r="AJ396" s="16">
        <f t="shared" ca="1" si="1355"/>
        <v>115.78018223774608</v>
      </c>
      <c r="AK396" s="16">
        <f t="shared" ca="1" si="1355"/>
        <v>119.84919387719228</v>
      </c>
      <c r="AL396" s="16">
        <f t="shared" ca="1" si="1355"/>
        <v>124.02572993867338</v>
      </c>
      <c r="AM396" s="16">
        <f t="shared" ca="1" si="1355"/>
        <v>128.31583259325896</v>
      </c>
      <c r="AN396" s="16">
        <f t="shared" ca="1" si="1355"/>
        <v>132.72438010597193</v>
      </c>
      <c r="AO396" s="16">
        <f t="shared" ca="1" si="1355"/>
        <v>137.25320522221227</v>
      </c>
      <c r="AP396" s="16">
        <f t="shared" ca="1" si="1355"/>
        <v>141.9162408423349</v>
      </c>
      <c r="AQ396" s="16">
        <f t="shared" ca="1" si="1355"/>
        <v>146.71804297736006</v>
      </c>
      <c r="AR396" s="16">
        <f t="shared" ca="1" si="1355"/>
        <v>151.67114289439903</v>
      </c>
      <c r="AS396" s="16">
        <f t="shared" ca="1" si="1355"/>
        <v>156.77924468255671</v>
      </c>
      <c r="AT396" s="16">
        <f t="shared" ca="1" si="1355"/>
        <v>162.05824360275102</v>
      </c>
      <c r="AU396" s="16">
        <f t="shared" ca="1" si="1355"/>
        <v>167.50585736290355</v>
      </c>
      <c r="AV396" s="16">
        <f t="shared" ca="1" si="1355"/>
        <v>173.1375303865666</v>
      </c>
      <c r="AW396" s="16">
        <f t="shared" ca="1" si="1355"/>
        <v>178.95822620772836</v>
      </c>
      <c r="AX396" s="16">
        <f t="shared" ca="1" si="1355"/>
        <v>184.96552631224682</v>
      </c>
    </row>
    <row r="397" spans="1:50" x14ac:dyDescent="0.25">
      <c r="A397" s="11" t="s">
        <v>969</v>
      </c>
      <c r="B397" s="10" t="str">
        <f t="shared" si="1354"/>
        <v>From Fiscal Forecasts</v>
      </c>
      <c r="D397" s="35">
        <f>'Fiscal Forecasts'!D$124-SUM(D$395:D$396)</f>
        <v>-2.5690000000000026</v>
      </c>
      <c r="E397" s="35">
        <f>'Fiscal Forecasts'!E$124-SUM(E$395:E$396)</f>
        <v>-2.8019999999999996</v>
      </c>
      <c r="F397" s="35">
        <f>'Fiscal Forecasts'!F$124-SUM(F$395:F$396)</f>
        <v>-3.7929999999999993</v>
      </c>
      <c r="G397" s="35">
        <f>'Fiscal Forecasts'!G$124-SUM(G$395:G$396)</f>
        <v>-3.8440000000000012</v>
      </c>
      <c r="H397" s="35">
        <f>'Fiscal Forecasts'!H$124-SUM(H$395:H$396)</f>
        <v>-7.1880000000000024</v>
      </c>
      <c r="I397" s="35">
        <f>'Fiscal Forecasts'!I$124-SUM(I$395:I$396)</f>
        <v>-12.415000000000006</v>
      </c>
      <c r="J397" s="17">
        <f>'Fiscal Forecasts'!J$124-SUM(J$395:J$396)+Allocation!C$44</f>
        <v>-15.823999999999998</v>
      </c>
      <c r="K397" s="17">
        <f>'Fiscal Forecasts'!K$124-SUM(K$395:K$396)+Allocation!D$44</f>
        <v>-17.170000000000002</v>
      </c>
      <c r="L397" s="17">
        <f>'Fiscal Forecasts'!L$124-SUM(L$395:L$396)+Allocation!E$44</f>
        <v>-19.888999999999996</v>
      </c>
      <c r="M397" s="17">
        <f>'Fiscal Forecasts'!M$124-SUM(M$395:M$396)+Allocation!F$44</f>
        <v>-21.448000000000008</v>
      </c>
      <c r="N397" s="17">
        <f>'Fiscal Forecasts'!N$124-SUM(N$395:N$396)+Allocation!G$44</f>
        <v>-23.144000000000002</v>
      </c>
      <c r="O397" s="16">
        <f ca="1">N$397*O$394/N$394</f>
        <v>-24.48908764134903</v>
      </c>
      <c r="P397" s="16">
        <f t="shared" ref="P397" ca="1" si="1356">O$397*P$394/O$394</f>
        <v>-25.571390999436765</v>
      </c>
      <c r="Q397" s="16">
        <f t="shared" ref="Q397" ca="1" si="1357">P$397*Q$394/P$394</f>
        <v>-26.657298532933776</v>
      </c>
      <c r="R397" s="16">
        <f t="shared" ref="R397" ca="1" si="1358">Q$397*R$394/Q$394</f>
        <v>-27.743135946371719</v>
      </c>
      <c r="S397" s="16">
        <f t="shared" ref="S397" ca="1" si="1359">R$397*S$394/R$394</f>
        <v>-28.863694432767478</v>
      </c>
      <c r="T397" s="16">
        <f t="shared" ref="T397" ca="1" si="1360">S$397*T$394/S$394</f>
        <v>-30.018427908152557</v>
      </c>
      <c r="U397" s="16">
        <f t="shared" ref="U397" ca="1" si="1361">T$397*U$394/T$394</f>
        <v>-31.211985915146691</v>
      </c>
      <c r="V397" s="16">
        <f t="shared" ref="V397" ca="1" si="1362">U$397*V$394/U$394</f>
        <v>-32.444701596592637</v>
      </c>
      <c r="W397" s="16">
        <f t="shared" ref="W397" ca="1" si="1363">V$397*W$394/V$394</f>
        <v>-33.710149706831828</v>
      </c>
      <c r="X397" s="16">
        <f t="shared" ref="X397" ca="1" si="1364">W$397*X$394/W$394</f>
        <v>-35.010380300644535</v>
      </c>
      <c r="Y397" s="16">
        <f t="shared" ref="Y397" ca="1" si="1365">X$397*Y$394/X$394</f>
        <v>-36.352203557630901</v>
      </c>
      <c r="Z397" s="16">
        <f t="shared" ref="Z397" ca="1" si="1366">Y$397*Z$394/Y$394</f>
        <v>-37.735850769013503</v>
      </c>
      <c r="AA397" s="16">
        <f t="shared" ref="AA397" ca="1" si="1367">Z$397*AA$394/Z$394</f>
        <v>-39.166981085226688</v>
      </c>
      <c r="AB397" s="16">
        <f t="shared" ref="AB397" ca="1" si="1368">AA$397*AB$394/AA$394</f>
        <v>-40.644075814432433</v>
      </c>
      <c r="AC397" s="16">
        <f t="shared" ref="AC397" ca="1" si="1369">AB$397*AC$394/AB$394</f>
        <v>-42.167096969308972</v>
      </c>
      <c r="AD397" s="16">
        <f t="shared" ref="AD397" ca="1" si="1370">AC$397*AD$394/AC$394</f>
        <v>-43.737136064892312</v>
      </c>
      <c r="AE397" s="16">
        <f t="shared" ref="AE397" ca="1" si="1371">AD$397*AE$394/AD$394</f>
        <v>-45.353764798594675</v>
      </c>
      <c r="AF397" s="16">
        <f t="shared" ref="AF397" ca="1" si="1372">AE$397*AF$394/AE$394</f>
        <v>-47.017362314864755</v>
      </c>
      <c r="AG397" s="16">
        <f t="shared" ref="AG397" ca="1" si="1373">AF$397*AG$394/AF$394</f>
        <v>-48.728107865138341</v>
      </c>
      <c r="AH397" s="16">
        <f t="shared" ref="AH397" ca="1" si="1374">AG$397*AH$394/AG$394</f>
        <v>-50.485194793220167</v>
      </c>
      <c r="AI397" s="16">
        <f t="shared" ref="AI397" ca="1" si="1375">AH$397*AI$394/AH$394</f>
        <v>-52.290289012244145</v>
      </c>
      <c r="AJ397" s="16">
        <f t="shared" ref="AJ397" ca="1" si="1376">AI$397*AJ$394/AI$394</f>
        <v>-54.145520291306163</v>
      </c>
      <c r="AK397" s="16">
        <f t="shared" ref="AK397" ca="1" si="1377">AJ$397*AK$394/AJ$394</f>
        <v>-56.048425849329782</v>
      </c>
      <c r="AL397" s="16">
        <f t="shared" ref="AL397" ca="1" si="1378">AK$397*AL$394/AK$394</f>
        <v>-58.001616055922604</v>
      </c>
      <c r="AM397" s="16">
        <f t="shared" ref="AM397" ca="1" si="1379">AL$397*AM$394/AL$394</f>
        <v>-60.007916580296119</v>
      </c>
      <c r="AN397" s="16">
        <f t="shared" ref="AN397" ca="1" si="1380">AM$397*AN$394/AM$394</f>
        <v>-62.069608781770015</v>
      </c>
      <c r="AO397" s="16">
        <f t="shared" ref="AO397" ca="1" si="1381">AN$397*AO$394/AN$394</f>
        <v>-64.187549758263174</v>
      </c>
      <c r="AP397" s="16">
        <f t="shared" ref="AP397" ca="1" si="1382">AO$397*AP$394/AO$394</f>
        <v>-66.368255341106178</v>
      </c>
      <c r="AQ397" s="16">
        <f t="shared" ref="AQ397" ca="1" si="1383">AP$397*AQ$394/AP$394</f>
        <v>-68.613856184979099</v>
      </c>
      <c r="AR397" s="16">
        <f t="shared" ref="AR397" ca="1" si="1384">AQ$397*AR$394/AQ$394</f>
        <v>-70.930212636311978</v>
      </c>
      <c r="AS397" s="16">
        <f t="shared" ref="AS397" ca="1" si="1385">AR$397*AS$394/AR$394</f>
        <v>-73.31905694174597</v>
      </c>
      <c r="AT397" s="16">
        <f t="shared" ref="AT397" ca="1" si="1386">AS$397*AT$394/AS$394</f>
        <v>-75.787822646089282</v>
      </c>
      <c r="AU397" s="16">
        <f t="shared" ref="AU397" ca="1" si="1387">AT$397*AU$394/AT$394</f>
        <v>-78.335442417354201</v>
      </c>
      <c r="AV397" s="16">
        <f t="shared" ref="AV397" ca="1" si="1388">AU$397*AV$394/AU$394</f>
        <v>-80.969138962680049</v>
      </c>
      <c r="AW397" s="16">
        <f t="shared" ref="AW397" ca="1" si="1389">AV$397*AW$394/AV$394</f>
        <v>-83.691233518094265</v>
      </c>
      <c r="AX397" s="16">
        <f t="shared" ref="AX397" ca="1" si="1390">AW$397*AX$394/AW$394</f>
        <v>-86.500595046280964</v>
      </c>
    </row>
    <row r="398" spans="1:50" x14ac:dyDescent="0.25">
      <c r="A398" s="9" t="s">
        <v>970</v>
      </c>
      <c r="D398" s="64">
        <f t="shared" ref="D398:AX398" si="1391">SUM(D$395:D$397)</f>
        <v>33.69</v>
      </c>
      <c r="E398" s="64">
        <f t="shared" si="1391"/>
        <v>37.628999999999998</v>
      </c>
      <c r="F398" s="64">
        <f t="shared" si="1391"/>
        <v>45.612000000000002</v>
      </c>
      <c r="G398" s="64">
        <f t="shared" si="1391"/>
        <v>54.658999999999999</v>
      </c>
      <c r="H398" s="64">
        <f t="shared" si="1391"/>
        <v>66.489000000000004</v>
      </c>
      <c r="I398" s="64">
        <f t="shared" si="1391"/>
        <v>69.378</v>
      </c>
      <c r="J398" s="65">
        <f t="shared" si="1391"/>
        <v>64.03</v>
      </c>
      <c r="K398" s="65">
        <f t="shared" si="1391"/>
        <v>60.807000000000002</v>
      </c>
      <c r="L398" s="65">
        <f t="shared" si="1391"/>
        <v>65.207499999999996</v>
      </c>
      <c r="M398" s="65">
        <f t="shared" si="1391"/>
        <v>70.165750000000003</v>
      </c>
      <c r="N398" s="65">
        <f t="shared" si="1391"/>
        <v>74.836500000000001</v>
      </c>
      <c r="O398" s="66">
        <f t="shared" ca="1" si="1391"/>
        <v>78.699648678445229</v>
      </c>
      <c r="P398" s="66">
        <f t="shared" ca="1" si="1391"/>
        <v>82.044014203787071</v>
      </c>
      <c r="Q398" s="66">
        <f t="shared" ca="1" si="1391"/>
        <v>85.464128883620006</v>
      </c>
      <c r="R398" s="66">
        <f t="shared" ca="1" si="1391"/>
        <v>88.941427363435537</v>
      </c>
      <c r="S398" s="66">
        <f t="shared" ca="1" si="1391"/>
        <v>92.550934393648717</v>
      </c>
      <c r="T398" s="66">
        <f t="shared" ca="1" si="1391"/>
        <v>96.292159931136922</v>
      </c>
      <c r="U398" s="66">
        <f t="shared" ca="1" si="1391"/>
        <v>100.16380722474744</v>
      </c>
      <c r="V398" s="66">
        <f t="shared" ca="1" si="1391"/>
        <v>104.16978429215686</v>
      </c>
      <c r="W398" s="66">
        <f t="shared" ca="1" si="1391"/>
        <v>108.30433776926682</v>
      </c>
      <c r="X398" s="66">
        <f t="shared" ca="1" si="1391"/>
        <v>112.58211516759349</v>
      </c>
      <c r="Y398" s="66">
        <f t="shared" ca="1" si="1391"/>
        <v>117.03443279525374</v>
      </c>
      <c r="Z398" s="66">
        <f t="shared" ca="1" si="1391"/>
        <v>121.67146295652907</v>
      </c>
      <c r="AA398" s="66">
        <f t="shared" ca="1" si="1391"/>
        <v>126.51736180409071</v>
      </c>
      <c r="AB398" s="66">
        <f t="shared" ca="1" si="1391"/>
        <v>131.58148984646414</v>
      </c>
      <c r="AC398" s="66">
        <f t="shared" ca="1" si="1391"/>
        <v>136.8640969382576</v>
      </c>
      <c r="AD398" s="66">
        <f t="shared" ca="1" si="1391"/>
        <v>142.37015011619843</v>
      </c>
      <c r="AE398" s="66">
        <f t="shared" ca="1" si="1391"/>
        <v>148.10122029059707</v>
      </c>
      <c r="AF398" s="66">
        <f t="shared" ca="1" si="1391"/>
        <v>154.05805870484778</v>
      </c>
      <c r="AG398" s="66">
        <f t="shared" ca="1" si="1391"/>
        <v>160.23918632174673</v>
      </c>
      <c r="AH398" s="66">
        <f t="shared" ca="1" si="1391"/>
        <v>166.64424397224391</v>
      </c>
      <c r="AI398" s="66">
        <f t="shared" ca="1" si="1391"/>
        <v>173.27439473694875</v>
      </c>
      <c r="AJ398" s="66">
        <f t="shared" ca="1" si="1391"/>
        <v>180.13655569602903</v>
      </c>
      <c r="AK398" s="66">
        <f t="shared" ca="1" si="1391"/>
        <v>187.21423444010568</v>
      </c>
      <c r="AL398" s="66">
        <f t="shared" ca="1" si="1391"/>
        <v>194.5033889050398</v>
      </c>
      <c r="AM398" s="66">
        <f t="shared" ca="1" si="1391"/>
        <v>202.00637514405543</v>
      </c>
      <c r="AN398" s="66">
        <f t="shared" ca="1" si="1391"/>
        <v>209.5891879304383</v>
      </c>
      <c r="AO398" s="66">
        <f t="shared" ca="1" si="1391"/>
        <v>217.38221086282073</v>
      </c>
      <c r="AP398" s="66">
        <f t="shared" ca="1" si="1391"/>
        <v>225.4470047290406</v>
      </c>
      <c r="AQ398" s="66">
        <f t="shared" ca="1" si="1391"/>
        <v>233.71378152648055</v>
      </c>
      <c r="AR398" s="66">
        <f t="shared" ca="1" si="1391"/>
        <v>242.20564600290714</v>
      </c>
      <c r="AS398" s="66">
        <f t="shared" ca="1" si="1391"/>
        <v>250.9258481858117</v>
      </c>
      <c r="AT398" s="66">
        <f t="shared" ca="1" si="1391"/>
        <v>259.89889693397436</v>
      </c>
      <c r="AU398" s="66">
        <f t="shared" ca="1" si="1391"/>
        <v>269.12614611806686</v>
      </c>
      <c r="AV398" s="66">
        <f t="shared" ca="1" si="1391"/>
        <v>278.62631179372443</v>
      </c>
      <c r="AW398" s="66">
        <f t="shared" ca="1" si="1391"/>
        <v>288.41157088655075</v>
      </c>
      <c r="AX398" s="66">
        <f t="shared" ca="1" si="1391"/>
        <v>298.47702753051692</v>
      </c>
    </row>
    <row r="400" spans="1:50" x14ac:dyDescent="0.25">
      <c r="A400" s="9" t="s">
        <v>799</v>
      </c>
    </row>
    <row r="401" spans="1:50" x14ac:dyDescent="0.25">
      <c r="A401" s="11" t="s">
        <v>394</v>
      </c>
      <c r="B401" s="10" t="str">
        <f>$B$38</f>
        <v>From Fiscal Forecasts</v>
      </c>
      <c r="D401" s="35">
        <f>'Fiscal Forecasts'!D$325</f>
        <v>1.361</v>
      </c>
      <c r="E401" s="35">
        <f>'Fiscal Forecasts'!E$325</f>
        <v>1.413</v>
      </c>
      <c r="F401" s="35">
        <f>'Fiscal Forecasts'!F$325</f>
        <v>1.43</v>
      </c>
      <c r="G401" s="35">
        <f>'Fiscal Forecasts'!G$325</f>
        <v>1.2949999999999999</v>
      </c>
      <c r="H401" s="35">
        <f>'Fiscal Forecasts'!H$325</f>
        <v>1.2709999999999999</v>
      </c>
      <c r="I401" s="35">
        <f>'Fiscal Forecasts'!I$325</f>
        <v>1.3480000000000001</v>
      </c>
      <c r="J401" s="17">
        <f>'Fiscal Forecasts'!J$325</f>
        <v>1.6339999999999999</v>
      </c>
      <c r="K401" s="17">
        <f>'Fiscal Forecasts'!K$325</f>
        <v>1.877</v>
      </c>
      <c r="L401" s="17">
        <f>'Fiscal Forecasts'!L$325</f>
        <v>1.855</v>
      </c>
      <c r="M401" s="17">
        <f>'Fiscal Forecasts'!M$325</f>
        <v>1.8620000000000001</v>
      </c>
      <c r="N401" s="17">
        <f>'Fiscal Forecasts'!N$325</f>
        <v>1.907</v>
      </c>
      <c r="O401" s="16">
        <f>Exogenous!Z$16</f>
        <v>1.9442327826405721</v>
      </c>
      <c r="P401" s="16">
        <f>Exogenous!AA$16</f>
        <v>1.996699391479654</v>
      </c>
      <c r="Q401" s="16">
        <f>Exogenous!AB$16</f>
        <v>2.0455985949070552</v>
      </c>
      <c r="R401" s="16">
        <f>Exogenous!AC$16</f>
        <v>2.0899678486917921</v>
      </c>
      <c r="S401" s="16">
        <f>Exogenous!AD$16</f>
        <v>2.1316451947104071</v>
      </c>
      <c r="T401" s="16">
        <f>Exogenous!AE$16</f>
        <v>2.1717326464473512</v>
      </c>
      <c r="U401" s="16">
        <f>Exogenous!AF$16</f>
        <v>2.2110293806093164</v>
      </c>
      <c r="V401" s="16">
        <f>Exogenous!AG$16</f>
        <v>2.2515764973223384</v>
      </c>
      <c r="W401" s="16">
        <f>Exogenous!AH$16</f>
        <v>2.2920119170874975</v>
      </c>
      <c r="X401" s="16">
        <f>Exogenous!AI$16</f>
        <v>2.3347295940068622</v>
      </c>
      <c r="Y401" s="16">
        <f>Exogenous!AJ$16</f>
        <v>2.3784377396445269</v>
      </c>
      <c r="Z401" s="16">
        <f>Exogenous!AK$16</f>
        <v>2.4232471048656792</v>
      </c>
      <c r="AA401" s="16">
        <f>Exogenous!AL$16</f>
        <v>2.469938462413634</v>
      </c>
      <c r="AB401" s="16">
        <f>Exogenous!AM$16</f>
        <v>2.5199367517044533</v>
      </c>
      <c r="AC401" s="16">
        <f>Exogenous!AN$16</f>
        <v>2.5718344108800268</v>
      </c>
      <c r="AD401" s="16">
        <f>Exogenous!AO$16</f>
        <v>2.6260663682149032</v>
      </c>
      <c r="AE401" s="16">
        <f>Exogenous!AP$16</f>
        <v>2.6823301208440955</v>
      </c>
      <c r="AF401" s="16">
        <f>Exogenous!AQ$16</f>
        <v>2.7393932822472391</v>
      </c>
      <c r="AG401" s="16">
        <f>Exogenous!AR$16</f>
        <v>2.7967851369754291</v>
      </c>
      <c r="AH401" s="16">
        <f>Exogenous!AS$16</f>
        <v>2.8553818573401051</v>
      </c>
      <c r="AI401" s="16">
        <f>Exogenous!AT$16</f>
        <v>2.914848065551662</v>
      </c>
      <c r="AJ401" s="16">
        <f>Exogenous!AU$16</f>
        <v>2.9751406352105567</v>
      </c>
      <c r="AK401" s="16">
        <f>Exogenous!AV$16</f>
        <v>3.0369386570545962</v>
      </c>
      <c r="AL401" s="16">
        <f>Exogenous!AW$16</f>
        <v>3.1007679661162437</v>
      </c>
      <c r="AM401" s="16">
        <f>Exogenous!AX$16</f>
        <v>3.1669454772556471</v>
      </c>
      <c r="AN401" s="16">
        <f>Exogenous!AY$16</f>
        <v>3.2352708312984868</v>
      </c>
      <c r="AO401" s="16">
        <f>Exogenous!AZ$16</f>
        <v>3.3060520559669451</v>
      </c>
      <c r="AP401" s="16">
        <f>Exogenous!BA$16</f>
        <v>3.3791568111819239</v>
      </c>
      <c r="AQ401" s="16">
        <f>Exogenous!BB$16</f>
        <v>3.4554377688817359</v>
      </c>
      <c r="AR401" s="16">
        <f>Exogenous!BC$16</f>
        <v>3.534164536765962</v>
      </c>
      <c r="AS401" s="16">
        <f>Exogenous!BD$16</f>
        <v>3.6147832810097458</v>
      </c>
      <c r="AT401" s="16">
        <f>Exogenous!BE$16</f>
        <v>3.6980063963614533</v>
      </c>
      <c r="AU401" s="16">
        <f>Exogenous!BF$16</f>
        <v>3.78270739557234</v>
      </c>
      <c r="AV401" s="16">
        <f>Exogenous!BG$16</f>
        <v>3.8686669213759504</v>
      </c>
      <c r="AW401" s="16">
        <f>Exogenous!BH$16</f>
        <v>3.9554147631086241</v>
      </c>
      <c r="AX401" s="16">
        <f>Exogenous!BI$16</f>
        <v>4.0426395938105317</v>
      </c>
    </row>
    <row r="402" spans="1:50" x14ac:dyDescent="0.25">
      <c r="A402" s="11" t="s">
        <v>395</v>
      </c>
      <c r="B402" s="10" t="str">
        <f t="shared" ref="B402:B407" si="1392">$B$38</f>
        <v>From Fiscal Forecasts</v>
      </c>
      <c r="D402" s="35">
        <f>'Fiscal Forecasts'!D$326</f>
        <v>3.5999999999999997E-2</v>
      </c>
      <c r="E402" s="35">
        <f>'Fiscal Forecasts'!E$326</f>
        <v>3.5999999999999997E-2</v>
      </c>
      <c r="F402" s="35">
        <f>'Fiscal Forecasts'!F$326</f>
        <v>3.7999999999999999E-2</v>
      </c>
      <c r="G402" s="35">
        <f>'Fiscal Forecasts'!G$326</f>
        <v>3.7999999999999999E-2</v>
      </c>
      <c r="H402" s="35">
        <f>'Fiscal Forecasts'!H$326</f>
        <v>0.03</v>
      </c>
      <c r="I402" s="35">
        <f>'Fiscal Forecasts'!I$326</f>
        <v>2.8000000000000001E-2</v>
      </c>
      <c r="J402" s="17">
        <f>'Fiscal Forecasts'!J$326</f>
        <v>2.5999999999999999E-2</v>
      </c>
      <c r="K402" s="17">
        <f>'Fiscal Forecasts'!K$326</f>
        <v>2.5000000000000001E-2</v>
      </c>
      <c r="L402" s="17">
        <f>'Fiscal Forecasts'!L$326</f>
        <v>2.4E-2</v>
      </c>
      <c r="M402" s="17">
        <f>'Fiscal Forecasts'!M$326</f>
        <v>2.5000000000000001E-2</v>
      </c>
      <c r="N402" s="17">
        <f>'Fiscal Forecasts'!N$326</f>
        <v>2.5999999999999999E-2</v>
      </c>
      <c r="O402" s="16">
        <f>Exogenous!Z$17</f>
        <v>2.5156840887762273E-2</v>
      </c>
      <c r="P402" s="16">
        <f>Exogenous!AA$17</f>
        <v>2.5436667182115333E-2</v>
      </c>
      <c r="Q402" s="16">
        <f>Exogenous!AB$17</f>
        <v>2.5721799145634688E-2</v>
      </c>
      <c r="R402" s="16">
        <f>Exogenous!AC$17</f>
        <v>2.6080919867206103E-2</v>
      </c>
      <c r="S402" s="16">
        <f>Exogenous!AD$17</f>
        <v>2.6506257641129582E-2</v>
      </c>
      <c r="T402" s="16">
        <f>Exogenous!AE$17</f>
        <v>2.6951733853668607E-2</v>
      </c>
      <c r="U402" s="16">
        <f>Exogenous!AF$17</f>
        <v>2.7455329326324246E-2</v>
      </c>
      <c r="V402" s="16">
        <f>Exogenous!AG$17</f>
        <v>2.7963173093792676E-2</v>
      </c>
      <c r="W402" s="16">
        <f>Exogenous!AH$17</f>
        <v>2.8461492080499213E-2</v>
      </c>
      <c r="X402" s="16">
        <f>Exogenous!AI$17</f>
        <v>2.8988777934735716E-2</v>
      </c>
      <c r="Y402" s="16">
        <f>Exogenous!AJ$17</f>
        <v>2.9491723204549323E-2</v>
      </c>
      <c r="Z402" s="16">
        <f>Exogenous!AK$17</f>
        <v>3.004646738990888E-2</v>
      </c>
      <c r="AA402" s="16">
        <f>Exogenous!AL$17</f>
        <v>3.0557289800035591E-2</v>
      </c>
      <c r="AB402" s="16">
        <f>Exogenous!AM$17</f>
        <v>3.1072149493139974E-2</v>
      </c>
      <c r="AC402" s="16">
        <f>Exogenous!AN$17</f>
        <v>3.1621235980738814E-2</v>
      </c>
      <c r="AD402" s="16">
        <f>Exogenous!AO$17</f>
        <v>3.2149506230649383E-2</v>
      </c>
      <c r="AE402" s="16">
        <f>Exogenous!AP$17</f>
        <v>3.2699586961868018E-2</v>
      </c>
      <c r="AF402" s="16">
        <f>Exogenous!AQ$17</f>
        <v>3.3283279181859582E-2</v>
      </c>
      <c r="AG402" s="16">
        <f>Exogenous!AR$17</f>
        <v>3.3881685016864685E-2</v>
      </c>
      <c r="AH402" s="16">
        <f>Exogenous!AS$17</f>
        <v>3.4496653745084913E-2</v>
      </c>
      <c r="AI402" s="16">
        <f>Exogenous!AT$17</f>
        <v>3.5165195493481641E-2</v>
      </c>
      <c r="AJ402" s="16">
        <f>Exogenous!AU$17</f>
        <v>3.5822586136883126E-2</v>
      </c>
      <c r="AK402" s="16">
        <f>Exogenous!AV$17</f>
        <v>3.6513498368786375E-2</v>
      </c>
      <c r="AL402" s="16">
        <f>Exogenous!AW$17</f>
        <v>3.7234198492891266E-2</v>
      </c>
      <c r="AM402" s="16">
        <f>Exogenous!AX$17</f>
        <v>3.7992744709770411E-2</v>
      </c>
      <c r="AN402" s="16">
        <f>Exogenous!AY$17</f>
        <v>3.87460440246509E-2</v>
      </c>
      <c r="AO402" s="16">
        <f>Exogenous!AZ$17</f>
        <v>3.8184500331599446E-2</v>
      </c>
      <c r="AP402" s="16">
        <f>Exogenous!BA$17</f>
        <v>3.7680468972933943E-2</v>
      </c>
      <c r="AQ402" s="16">
        <f>Exogenous!BB$17</f>
        <v>3.8446360338608911E-2</v>
      </c>
      <c r="AR402" s="16">
        <f>Exogenous!BC$17</f>
        <v>3.9235918521325956E-2</v>
      </c>
      <c r="AS402" s="16">
        <f>Exogenous!BD$17</f>
        <v>4.006358234660265E-2</v>
      </c>
      <c r="AT402" s="16">
        <f>Exogenous!BE$17</f>
        <v>4.090912725532652E-2</v>
      </c>
      <c r="AU402" s="16">
        <f>Exogenous!BF$17</f>
        <v>4.1795942883418431E-2</v>
      </c>
      <c r="AV402" s="16">
        <f>Exogenous!BG$17</f>
        <v>4.26967871482484E-2</v>
      </c>
      <c r="AW402" s="16">
        <f>Exogenous!BH$17</f>
        <v>4.3631564607813353E-2</v>
      </c>
      <c r="AX402" s="16">
        <f>Exogenous!BI$17</f>
        <v>4.4593932121763366E-2</v>
      </c>
    </row>
    <row r="403" spans="1:50" x14ac:dyDescent="0.25">
      <c r="A403" s="11" t="s">
        <v>800</v>
      </c>
      <c r="B403" s="10" t="str">
        <f t="shared" si="1392"/>
        <v>From Fiscal Forecasts</v>
      </c>
      <c r="D403" s="35">
        <f>'Fiscal Forecasts'!D$327</f>
        <v>0.56299999999999994</v>
      </c>
      <c r="E403" s="35">
        <f>'Fiscal Forecasts'!E$327</f>
        <v>0.50600000000000001</v>
      </c>
      <c r="F403" s="35">
        <f>'Fiscal Forecasts'!F$327</f>
        <v>0.46899999999999997</v>
      </c>
      <c r="G403" s="35">
        <f>'Fiscal Forecasts'!G$327</f>
        <v>0.48899999999999999</v>
      </c>
      <c r="H403" s="35">
        <f>'Fiscal Forecasts'!H$327</f>
        <v>0.55100000000000005</v>
      </c>
      <c r="I403" s="35">
        <f>'Fiscal Forecasts'!I$327</f>
        <v>0.54400000000000004</v>
      </c>
      <c r="J403" s="17">
        <f>'Fiscal Forecasts'!J$327</f>
        <v>0.56000000000000005</v>
      </c>
      <c r="K403" s="17">
        <f>'Fiscal Forecasts'!K$327</f>
        <v>0.63600000000000001</v>
      </c>
      <c r="L403" s="17">
        <f>'Fiscal Forecasts'!L$327</f>
        <v>0.628</v>
      </c>
      <c r="M403" s="17">
        <f>'Fiscal Forecasts'!M$327</f>
        <v>0.627</v>
      </c>
      <c r="N403" s="17">
        <f>'Fiscal Forecasts'!N$327</f>
        <v>0.65300000000000002</v>
      </c>
      <c r="O403" s="16">
        <f>Exogenous!Z$18</f>
        <v>0.59908734355342375</v>
      </c>
      <c r="P403" s="16">
        <f>Exogenous!AA$18</f>
        <v>0.61319598051257074</v>
      </c>
      <c r="Q403" s="16">
        <f>Exogenous!AB$18</f>
        <v>0.62974995353311924</v>
      </c>
      <c r="R403" s="16">
        <f>Exogenous!AC$18</f>
        <v>0.64518792892745702</v>
      </c>
      <c r="S403" s="16">
        <f>Exogenous!AD$18</f>
        <v>0.65933015253806015</v>
      </c>
      <c r="T403" s="16">
        <f>Exogenous!AE$18</f>
        <v>0.67239862514432691</v>
      </c>
      <c r="U403" s="16">
        <f>Exogenous!AF$18</f>
        <v>0.68465828502678294</v>
      </c>
      <c r="V403" s="16">
        <f>Exogenous!AG$18</f>
        <v>0.69703452915375852</v>
      </c>
      <c r="W403" s="16">
        <f>Exogenous!AH$18</f>
        <v>0.70932870854437469</v>
      </c>
      <c r="X403" s="16">
        <f>Exogenous!AI$18</f>
        <v>0.72222633104253953</v>
      </c>
      <c r="Y403" s="16">
        <f>Exogenous!AJ$18</f>
        <v>0.73537089628857999</v>
      </c>
      <c r="Z403" s="16">
        <f>Exogenous!AK$18</f>
        <v>0.74873042354600106</v>
      </c>
      <c r="AA403" s="16">
        <f>Exogenous!AL$18</f>
        <v>0.76251391930167212</v>
      </c>
      <c r="AB403" s="16">
        <f>Exogenous!AM$18</f>
        <v>0.77710090552342614</v>
      </c>
      <c r="AC403" s="16">
        <f>Exogenous!AN$18</f>
        <v>0.79202526932763051</v>
      </c>
      <c r="AD403" s="16">
        <f>Exogenous!AO$18</f>
        <v>0.80729501624665856</v>
      </c>
      <c r="AE403" s="16">
        <f>Exogenous!AP$18</f>
        <v>0.82271662995191253</v>
      </c>
      <c r="AF403" s="16">
        <f>Exogenous!AQ$18</f>
        <v>0.83776008887002451</v>
      </c>
      <c r="AG403" s="16">
        <f>Exogenous!AR$18</f>
        <v>0.85207669186267154</v>
      </c>
      <c r="AH403" s="16">
        <f>Exogenous!AS$18</f>
        <v>0.86568408036178868</v>
      </c>
      <c r="AI403" s="16">
        <f>Exogenous!AT$18</f>
        <v>0.87822136009323659</v>
      </c>
      <c r="AJ403" s="16">
        <f>Exogenous!AU$18</f>
        <v>0.88936364545335045</v>
      </c>
      <c r="AK403" s="16">
        <f>Exogenous!AV$18</f>
        <v>0.89900506542196523</v>
      </c>
      <c r="AL403" s="16">
        <f>Exogenous!AW$18</f>
        <v>0.90701022295504352</v>
      </c>
      <c r="AM403" s="16">
        <f>Exogenous!AX$18</f>
        <v>0.91317314059713262</v>
      </c>
      <c r="AN403" s="16">
        <f>Exogenous!AY$18</f>
        <v>1.0292723399477397</v>
      </c>
      <c r="AO403" s="16">
        <f>Exogenous!AZ$18</f>
        <v>1.0815596066337083</v>
      </c>
      <c r="AP403" s="16">
        <f>Exogenous!BA$18</f>
        <v>1.0909969742093337</v>
      </c>
      <c r="AQ403" s="16">
        <f>Exogenous!BB$18</f>
        <v>1.1017058892821119</v>
      </c>
      <c r="AR403" s="16">
        <f>Exogenous!BC$18</f>
        <v>1.113789524240977</v>
      </c>
      <c r="AS403" s="16">
        <f>Exogenous!BD$18</f>
        <v>1.127449946599218</v>
      </c>
      <c r="AT403" s="16">
        <f>Exogenous!BE$18</f>
        <v>1.143336070787913</v>
      </c>
      <c r="AU403" s="16">
        <f>Exogenous!BF$18</f>
        <v>1.1615898641842208</v>
      </c>
      <c r="AV403" s="16">
        <f>Exogenous!BG$18</f>
        <v>1.1825585395371088</v>
      </c>
      <c r="AW403" s="16">
        <f>Exogenous!BH$18</f>
        <v>1.2064738793150762</v>
      </c>
      <c r="AX403" s="16">
        <f>Exogenous!BI$18</f>
        <v>1.2325463697940795</v>
      </c>
    </row>
    <row r="404" spans="1:50" x14ac:dyDescent="0.25">
      <c r="A404" s="11" t="s">
        <v>801</v>
      </c>
      <c r="B404" s="10" t="str">
        <f>$B$38</f>
        <v>From Fiscal Forecasts</v>
      </c>
      <c r="D404" s="35">
        <f>'Fiscal Forecasts'!D$328</f>
        <v>1.371</v>
      </c>
      <c r="E404" s="35">
        <f>'Fiscal Forecasts'!E$328</f>
        <v>1.4770000000000001</v>
      </c>
      <c r="F404" s="35">
        <f>'Fiscal Forecasts'!F$328</f>
        <v>1.4950000000000001</v>
      </c>
      <c r="G404" s="35">
        <f>'Fiscal Forecasts'!G$328</f>
        <v>1.605</v>
      </c>
      <c r="H404" s="35">
        <f>'Fiscal Forecasts'!H$328</f>
        <v>1.6339999999999999</v>
      </c>
      <c r="I404" s="35">
        <f>'Fiscal Forecasts'!I$328</f>
        <v>1.5980000000000001</v>
      </c>
      <c r="J404" s="17">
        <f>'Fiscal Forecasts'!J$328</f>
        <v>1.5669999999999999</v>
      </c>
      <c r="K404" s="17">
        <f>'Fiscal Forecasts'!K$328</f>
        <v>1.631</v>
      </c>
      <c r="L404" s="17">
        <f>'Fiscal Forecasts'!L$328</f>
        <v>1.6890000000000001</v>
      </c>
      <c r="M404" s="17">
        <f>'Fiscal Forecasts'!M$328</f>
        <v>1.736</v>
      </c>
      <c r="N404" s="17">
        <f>'Fiscal Forecasts'!N$328</f>
        <v>1.7869999999999999</v>
      </c>
      <c r="O404" s="16">
        <f>Exogenous!Z$19</f>
        <v>1.6597876663971152</v>
      </c>
      <c r="P404" s="16">
        <f>Exogenous!AA$19</f>
        <v>1.6736860413089896</v>
      </c>
      <c r="Q404" s="16">
        <f>Exogenous!AB$19</f>
        <v>1.6883794705209414</v>
      </c>
      <c r="R404" s="16">
        <f>Exogenous!AC$19</f>
        <v>1.7085438183191002</v>
      </c>
      <c r="S404" s="16">
        <f>Exogenous!AD$19</f>
        <v>1.7336035578003619</v>
      </c>
      <c r="T404" s="16">
        <f>Exogenous!AE$19</f>
        <v>1.7604323539366169</v>
      </c>
      <c r="U404" s="16">
        <f>Exogenous!AF$19</f>
        <v>1.7915104001723419</v>
      </c>
      <c r="V404" s="16">
        <f>Exogenous!AG$19</f>
        <v>1.8231724246136798</v>
      </c>
      <c r="W404" s="16">
        <f>Exogenous!AH$19</f>
        <v>1.8544349129237778</v>
      </c>
      <c r="X404" s="16">
        <f>Exogenous!AI$19</f>
        <v>1.8878226019104041</v>
      </c>
      <c r="Y404" s="16">
        <f>Exogenous!AJ$19</f>
        <v>1.9197358260359061</v>
      </c>
      <c r="Z404" s="16">
        <f>Exogenous!AK$19</f>
        <v>1.9552166457522335</v>
      </c>
      <c r="AA404" s="16">
        <f>Exogenous!AL$19</f>
        <v>1.9878610456510715</v>
      </c>
      <c r="AB404" s="16">
        <f>Exogenous!AM$19</f>
        <v>2.0208446865569236</v>
      </c>
      <c r="AC404" s="16">
        <f>Exogenous!AN$19</f>
        <v>2.0561535573840573</v>
      </c>
      <c r="AD404" s="16">
        <f>Exogenous!AO$19</f>
        <v>2.0900989341912788</v>
      </c>
      <c r="AE404" s="16">
        <f>Exogenous!AP$19</f>
        <v>2.1255105463337243</v>
      </c>
      <c r="AF404" s="16">
        <f>Exogenous!AQ$19</f>
        <v>2.1631649611305042</v>
      </c>
      <c r="AG404" s="16">
        <f>Exogenous!AR$19</f>
        <v>2.2017935843885534</v>
      </c>
      <c r="AH404" s="16">
        <f>Exogenous!AS$19</f>
        <v>2.2415123177981102</v>
      </c>
      <c r="AI404" s="16">
        <f>Exogenous!AT$19</f>
        <v>2.284782855687399</v>
      </c>
      <c r="AJ404" s="16">
        <f>Exogenous!AU$19</f>
        <v>2.3272905957776944</v>
      </c>
      <c r="AK404" s="16">
        <f>Exogenous!AV$19</f>
        <v>2.3720126241647521</v>
      </c>
      <c r="AL404" s="16">
        <f>Exogenous!AW$19</f>
        <v>2.4186967463441551</v>
      </c>
      <c r="AM404" s="16">
        <f>Exogenous!AX$19</f>
        <v>2.4678795056710063</v>
      </c>
      <c r="AN404" s="16">
        <f>Exogenous!AY$19</f>
        <v>2.5166853703662757</v>
      </c>
      <c r="AO404" s="16">
        <f>Exogenous!AZ$19</f>
        <v>2.480129068242086</v>
      </c>
      <c r="AP404" s="16">
        <f>Exogenous!BA$19</f>
        <v>2.447303176606372</v>
      </c>
      <c r="AQ404" s="16">
        <f>Exogenous!BB$19</f>
        <v>2.4969544330685047</v>
      </c>
      <c r="AR404" s="16">
        <f>Exogenous!BC$19</f>
        <v>2.5481487910216414</v>
      </c>
      <c r="AS404" s="16">
        <f>Exogenous!BD$19</f>
        <v>2.6018457575262008</v>
      </c>
      <c r="AT404" s="16">
        <f>Exogenous!BE$19</f>
        <v>2.6566949462206777</v>
      </c>
      <c r="AU404" s="16">
        <f>Exogenous!BF$19</f>
        <v>2.7142519307042443</v>
      </c>
      <c r="AV404" s="16">
        <f>Exogenous!BG$19</f>
        <v>2.7726994269012488</v>
      </c>
      <c r="AW404" s="16">
        <f>Exogenous!BH$19</f>
        <v>2.8333650863708169</v>
      </c>
      <c r="AX404" s="16">
        <f>Exogenous!BI$19</f>
        <v>2.8958272775331522</v>
      </c>
    </row>
    <row r="405" spans="1:50" x14ac:dyDescent="0.25">
      <c r="A405" s="11" t="s">
        <v>396</v>
      </c>
      <c r="B405" s="10" t="str">
        <f t="shared" si="1392"/>
        <v>From Fiscal Forecasts</v>
      </c>
      <c r="D405" s="35">
        <f>'Fiscal Forecasts'!D$329</f>
        <v>0.39400000000000002</v>
      </c>
      <c r="E405" s="35">
        <f>'Fiscal Forecasts'!E$329</f>
        <v>0.33100000000000002</v>
      </c>
      <c r="F405" s="35">
        <f>'Fiscal Forecasts'!F$329</f>
        <v>0.23499999999999999</v>
      </c>
      <c r="G405" s="35">
        <f>'Fiscal Forecasts'!G$329</f>
        <v>0.28000000000000003</v>
      </c>
      <c r="H405" s="35">
        <f>'Fiscal Forecasts'!H$329</f>
        <v>0.57699999999999996</v>
      </c>
      <c r="I405" s="35">
        <f>'Fiscal Forecasts'!I$329</f>
        <v>0.63400000000000001</v>
      </c>
      <c r="J405" s="17">
        <f>'Fiscal Forecasts'!J$329</f>
        <v>0.502</v>
      </c>
      <c r="K405" s="17">
        <f>'Fiscal Forecasts'!K$329</f>
        <v>0.41299999999999998</v>
      </c>
      <c r="L405" s="17">
        <f>'Fiscal Forecasts'!L$329</f>
        <v>0.42899999999999999</v>
      </c>
      <c r="M405" s="17">
        <f>'Fiscal Forecasts'!M$329</f>
        <v>0.46100000000000002</v>
      </c>
      <c r="N405" s="17">
        <f>'Fiscal Forecasts'!N$329</f>
        <v>0.48599999999999999</v>
      </c>
      <c r="O405" s="16">
        <f>Exogenous!Z$20</f>
        <v>0.52894410207035358</v>
      </c>
      <c r="P405" s="16">
        <f>Exogenous!AA$20</f>
        <v>0.55680676032728715</v>
      </c>
      <c r="Q405" s="16">
        <f>Exogenous!AB$20</f>
        <v>0.58313665103493628</v>
      </c>
      <c r="R405" s="16">
        <f>Exogenous!AC$20</f>
        <v>0.60754685851833434</v>
      </c>
      <c r="S405" s="16">
        <f>Exogenous!AD$20</f>
        <v>0.6297882630430407</v>
      </c>
      <c r="T405" s="16">
        <f>Exogenous!AE$20</f>
        <v>0.64905333864022052</v>
      </c>
      <c r="U405" s="16">
        <f>Exogenous!AF$20</f>
        <v>0.66283813650034062</v>
      </c>
      <c r="V405" s="16">
        <f>Exogenous!AG$20</f>
        <v>0.67329204461648962</v>
      </c>
      <c r="W405" s="16">
        <f>Exogenous!AH$20</f>
        <v>0.68378585024845817</v>
      </c>
      <c r="X405" s="16">
        <f>Exogenous!AI$20</f>
        <v>0.69446068333022448</v>
      </c>
      <c r="Y405" s="16">
        <f>Exogenous!AJ$20</f>
        <v>0.70539841995924402</v>
      </c>
      <c r="Z405" s="16">
        <f>Exogenous!AK$20</f>
        <v>0.71657427593119982</v>
      </c>
      <c r="AA405" s="16">
        <f>Exogenous!AL$20</f>
        <v>0.72803825292904767</v>
      </c>
      <c r="AB405" s="16">
        <f>Exogenous!AM$20</f>
        <v>0.73999796953970443</v>
      </c>
      <c r="AC405" s="16">
        <f>Exogenous!AN$20</f>
        <v>0.75253137997374264</v>
      </c>
      <c r="AD405" s="16">
        <f>Exogenous!AO$20</f>
        <v>0.76571699223413481</v>
      </c>
      <c r="AE405" s="16">
        <f>Exogenous!AP$20</f>
        <v>0.77971361355311952</v>
      </c>
      <c r="AF405" s="16">
        <f>Exogenous!AQ$20</f>
        <v>0.79454370516788098</v>
      </c>
      <c r="AG405" s="16">
        <f>Exogenous!AR$20</f>
        <v>0.81021758654407949</v>
      </c>
      <c r="AH405" s="16">
        <f>Exogenous!AS$20</f>
        <v>0.82680744427928343</v>
      </c>
      <c r="AI405" s="16">
        <f>Exogenous!AT$20</f>
        <v>0.84435078666315155</v>
      </c>
      <c r="AJ405" s="16">
        <f>Exogenous!AU$20</f>
        <v>0.8629349962951931</v>
      </c>
      <c r="AK405" s="16">
        <f>Exogenous!AV$20</f>
        <v>0.88274437159757746</v>
      </c>
      <c r="AL405" s="16">
        <f>Exogenous!AW$20</f>
        <v>0.90392696219305257</v>
      </c>
      <c r="AM405" s="16">
        <f>Exogenous!AX$20</f>
        <v>0.92631689188094091</v>
      </c>
      <c r="AN405" s="16">
        <f>Exogenous!AY$20</f>
        <v>0.93416595086524801</v>
      </c>
      <c r="AO405" s="16">
        <f>Exogenous!AZ$20</f>
        <v>0.92974862609821829</v>
      </c>
      <c r="AP405" s="16">
        <f>Exogenous!BA$20</f>
        <v>0.93159780953653537</v>
      </c>
      <c r="AQ405" s="16">
        <f>Exogenous!BB$20</f>
        <v>0.93397835456421729</v>
      </c>
      <c r="AR405" s="16">
        <f>Exogenous!BC$20</f>
        <v>0.93585967533437719</v>
      </c>
      <c r="AS405" s="16">
        <f>Exogenous!BD$20</f>
        <v>0.93708804967967485</v>
      </c>
      <c r="AT405" s="16">
        <f>Exogenous!BE$20</f>
        <v>0.9370897556822686</v>
      </c>
      <c r="AU405" s="16">
        <f>Exogenous!BF$20</f>
        <v>0.93592900171070592</v>
      </c>
      <c r="AV405" s="16">
        <f>Exogenous!BG$20</f>
        <v>0.93350362596972847</v>
      </c>
      <c r="AW405" s="16">
        <f>Exogenous!BH$20</f>
        <v>0.92960987643120918</v>
      </c>
      <c r="AX405" s="16">
        <f>Exogenous!BI$20</f>
        <v>0.94044563170080619</v>
      </c>
    </row>
    <row r="406" spans="1:50" x14ac:dyDescent="0.25">
      <c r="A406" s="11" t="s">
        <v>1095</v>
      </c>
      <c r="B406" s="10" t="str">
        <f t="shared" si="1392"/>
        <v>From Fiscal Forecasts</v>
      </c>
      <c r="D406" s="35">
        <f>'Fiscal Forecasts'!D$330</f>
        <v>0</v>
      </c>
      <c r="E406" s="35">
        <f>'Fiscal Forecasts'!E$330</f>
        <v>0</v>
      </c>
      <c r="F406" s="35">
        <f>'Fiscal Forecasts'!F$330</f>
        <v>0</v>
      </c>
      <c r="G406" s="35">
        <f>'Fiscal Forecasts'!G$330</f>
        <v>0</v>
      </c>
      <c r="H406" s="35">
        <f>'Fiscal Forecasts'!H$330</f>
        <v>0</v>
      </c>
      <c r="I406" s="35">
        <f>'Fiscal Forecasts'!I$330</f>
        <v>0</v>
      </c>
      <c r="J406" s="17">
        <f>'Fiscal Forecasts'!J$330</f>
        <v>0</v>
      </c>
      <c r="K406" s="17">
        <f>'Fiscal Forecasts'!K$330</f>
        <v>3.4000000000000002E-2</v>
      </c>
      <c r="L406" s="17">
        <f>'Fiscal Forecasts'!L$330</f>
        <v>6.4000000000000001E-2</v>
      </c>
      <c r="M406" s="17">
        <f>'Fiscal Forecasts'!M$330</f>
        <v>0.11600000000000001</v>
      </c>
      <c r="N406" s="17">
        <f>'Fiscal Forecasts'!N$330</f>
        <v>0.16800000000000001</v>
      </c>
      <c r="O406" s="16">
        <f>Exogenous!Z$21</f>
        <v>0.20343288963966299</v>
      </c>
      <c r="P406" s="16">
        <f>Exogenous!AA$21</f>
        <v>0.22131125767835649</v>
      </c>
      <c r="Q406" s="16">
        <f>Exogenous!AB$21</f>
        <v>0.23306476675264765</v>
      </c>
      <c r="R406" s="16">
        <f>Exogenous!AC$21</f>
        <v>0.24138493103592987</v>
      </c>
      <c r="S406" s="16">
        <f>Exogenous!AD$21</f>
        <v>0.24848246182779191</v>
      </c>
      <c r="T406" s="16">
        <f>Exogenous!AE$21</f>
        <v>0.25343828678982405</v>
      </c>
      <c r="U406" s="16">
        <f>Exogenous!AF$21</f>
        <v>0.25810883215133801</v>
      </c>
      <c r="V406" s="16">
        <f>Exogenous!AG$21</f>
        <v>0.26275061255786397</v>
      </c>
      <c r="W406" s="16">
        <f>Exogenous!AH$21</f>
        <v>0.26760002105021613</v>
      </c>
      <c r="X406" s="16">
        <f>Exogenous!AI$21</f>
        <v>0.27236159788492587</v>
      </c>
      <c r="Y406" s="16">
        <f>Exogenous!AJ$21</f>
        <v>0.27751408391407778</v>
      </c>
      <c r="Z406" s="16">
        <f>Exogenous!AK$21</f>
        <v>0.2826912616545586</v>
      </c>
      <c r="AA406" s="16">
        <f>Exogenous!AL$21</f>
        <v>0.2880343964522612</v>
      </c>
      <c r="AB406" s="16">
        <f>Exogenous!AM$21</f>
        <v>0.29361933805868007</v>
      </c>
      <c r="AC406" s="16">
        <f>Exogenous!AN$21</f>
        <v>0.29964599649979551</v>
      </c>
      <c r="AD406" s="16">
        <f>Exogenous!AO$21</f>
        <v>0.30582403984433321</v>
      </c>
      <c r="AE406" s="16">
        <f>Exogenous!AP$21</f>
        <v>0.31232040401734906</v>
      </c>
      <c r="AF406" s="16">
        <f>Exogenous!AQ$21</f>
        <v>0.31903080569320535</v>
      </c>
      <c r="AG406" s="16">
        <f>Exogenous!AR$21</f>
        <v>0.32579541889903474</v>
      </c>
      <c r="AH406" s="16">
        <f>Exogenous!AS$21</f>
        <v>0.33259374057367069</v>
      </c>
      <c r="AI406" s="16">
        <f>Exogenous!AT$21</f>
        <v>0.33957137774495261</v>
      </c>
      <c r="AJ406" s="16">
        <f>Exogenous!AU$21</f>
        <v>0.34662605018839221</v>
      </c>
      <c r="AK406" s="16">
        <f>Exogenous!AV$21</f>
        <v>0.35378548986380615</v>
      </c>
      <c r="AL406" s="16">
        <f>Exogenous!AW$21</f>
        <v>0.36114781253304928</v>
      </c>
      <c r="AM406" s="16">
        <f>Exogenous!AX$21</f>
        <v>0.36876309587521316</v>
      </c>
      <c r="AN406" s="16">
        <f>Exogenous!AY$21</f>
        <v>0.37666458080308152</v>
      </c>
      <c r="AO406" s="16">
        <f>Exogenous!AZ$21</f>
        <v>0.3848093234139226</v>
      </c>
      <c r="AP406" s="16">
        <f>Exogenous!BA$21</f>
        <v>0.39326058766522198</v>
      </c>
      <c r="AQ406" s="16">
        <f>Exogenous!BB$21</f>
        <v>0.40197605159490141</v>
      </c>
      <c r="AR406" s="16">
        <f>Exogenous!BC$21</f>
        <v>0.41110497468535578</v>
      </c>
      <c r="AS406" s="16">
        <f>Exogenous!BD$21</f>
        <v>0.42048132019334222</v>
      </c>
      <c r="AT406" s="16">
        <f>Exogenous!BE$21</f>
        <v>0.43007352764189233</v>
      </c>
      <c r="AU406" s="16">
        <f>Exogenous!BF$21</f>
        <v>0.44000501756077071</v>
      </c>
      <c r="AV406" s="16">
        <f>Exogenous!BG$21</f>
        <v>0.45005579009430668</v>
      </c>
      <c r="AW406" s="16">
        <f>Exogenous!BH$21</f>
        <v>0.46026545813283853</v>
      </c>
      <c r="AX406" s="16">
        <f>Exogenous!BI$21</f>
        <v>0.47054621305516164</v>
      </c>
    </row>
    <row r="407" spans="1:50" x14ac:dyDescent="0.25">
      <c r="A407" s="11" t="s">
        <v>397</v>
      </c>
      <c r="B407" s="10" t="str">
        <f t="shared" si="1392"/>
        <v>From Fiscal Forecasts</v>
      </c>
      <c r="D407" s="35">
        <f>'Fiscal Forecasts'!D$331</f>
        <v>0.94499999999999995</v>
      </c>
      <c r="E407" s="35">
        <f>'Fiscal Forecasts'!E$331</f>
        <v>-0.13300000000000001</v>
      </c>
      <c r="F407" s="35">
        <f>'Fiscal Forecasts'!F$331</f>
        <v>0.70699999999999996</v>
      </c>
      <c r="G407" s="35">
        <f>'Fiscal Forecasts'!G$331</f>
        <v>-1.151</v>
      </c>
      <c r="H407" s="35">
        <f>'Fiscal Forecasts'!H$331</f>
        <v>0.47099999999999997</v>
      </c>
      <c r="I407" s="35">
        <f>'Fiscal Forecasts'!I$331</f>
        <v>0.35499999999999998</v>
      </c>
      <c r="J407" s="17">
        <f>'Fiscal Forecasts'!J$331</f>
        <v>0.38100000000000001</v>
      </c>
      <c r="K407" s="17">
        <f>'Fiscal Forecasts'!K$331</f>
        <v>0</v>
      </c>
      <c r="L407" s="17">
        <f>'Fiscal Forecasts'!L$331</f>
        <v>0</v>
      </c>
      <c r="M407" s="17">
        <f>'Fiscal Forecasts'!M$331</f>
        <v>0</v>
      </c>
      <c r="N407" s="17">
        <f>'Fiscal Forecasts'!N$331</f>
        <v>0</v>
      </c>
      <c r="O407" s="16">
        <f>Exogenous!Z$22</f>
        <v>0</v>
      </c>
      <c r="P407" s="16">
        <f>Exogenous!AA$22</f>
        <v>0</v>
      </c>
      <c r="Q407" s="16">
        <f>Exogenous!AB$22</f>
        <v>0</v>
      </c>
      <c r="R407" s="16">
        <f>Exogenous!AC$22</f>
        <v>0</v>
      </c>
      <c r="S407" s="16">
        <f>Exogenous!AD$22</f>
        <v>0</v>
      </c>
      <c r="T407" s="16">
        <f>Exogenous!AE$22</f>
        <v>0</v>
      </c>
      <c r="U407" s="16">
        <f>Exogenous!AF$22</f>
        <v>0</v>
      </c>
      <c r="V407" s="16">
        <f>Exogenous!AG$22</f>
        <v>0</v>
      </c>
      <c r="W407" s="16">
        <f>Exogenous!AH$22</f>
        <v>0</v>
      </c>
      <c r="X407" s="16">
        <f>Exogenous!AI$22</f>
        <v>0</v>
      </c>
      <c r="Y407" s="16">
        <f>Exogenous!AJ$22</f>
        <v>0</v>
      </c>
      <c r="Z407" s="16">
        <f>Exogenous!AK$22</f>
        <v>0</v>
      </c>
      <c r="AA407" s="16">
        <f>Exogenous!AL$22</f>
        <v>0</v>
      </c>
      <c r="AB407" s="16">
        <f>Exogenous!AM$22</f>
        <v>0</v>
      </c>
      <c r="AC407" s="16">
        <f>Exogenous!AN$22</f>
        <v>0</v>
      </c>
      <c r="AD407" s="16">
        <f>Exogenous!AO$22</f>
        <v>0</v>
      </c>
      <c r="AE407" s="16">
        <f>Exogenous!AP$22</f>
        <v>0</v>
      </c>
      <c r="AF407" s="16">
        <f>Exogenous!AQ$22</f>
        <v>0</v>
      </c>
      <c r="AG407" s="16">
        <f>Exogenous!AR$22</f>
        <v>0</v>
      </c>
      <c r="AH407" s="16">
        <f>Exogenous!AS$22</f>
        <v>0</v>
      </c>
      <c r="AI407" s="16">
        <f>Exogenous!AT$22</f>
        <v>0</v>
      </c>
      <c r="AJ407" s="16">
        <f>Exogenous!AU$22</f>
        <v>0</v>
      </c>
      <c r="AK407" s="16">
        <f>Exogenous!AV$22</f>
        <v>0</v>
      </c>
      <c r="AL407" s="16">
        <f>Exogenous!AW$22</f>
        <v>0</v>
      </c>
      <c r="AM407" s="16">
        <f>Exogenous!AX$22</f>
        <v>0</v>
      </c>
      <c r="AN407" s="16">
        <f>Exogenous!AY$22</f>
        <v>0</v>
      </c>
      <c r="AO407" s="16">
        <f>Exogenous!AZ$22</f>
        <v>0</v>
      </c>
      <c r="AP407" s="16">
        <f>Exogenous!BA$22</f>
        <v>0</v>
      </c>
      <c r="AQ407" s="16">
        <f>Exogenous!BB$22</f>
        <v>0</v>
      </c>
      <c r="AR407" s="16">
        <f>Exogenous!BC$22</f>
        <v>0</v>
      </c>
      <c r="AS407" s="16">
        <f>Exogenous!BD$22</f>
        <v>0</v>
      </c>
      <c r="AT407" s="16">
        <f>Exogenous!BE$22</f>
        <v>0</v>
      </c>
      <c r="AU407" s="16">
        <f>Exogenous!BF$22</f>
        <v>0</v>
      </c>
      <c r="AV407" s="16">
        <f>Exogenous!BG$22</f>
        <v>0</v>
      </c>
      <c r="AW407" s="16">
        <f>Exogenous!BH$22</f>
        <v>0</v>
      </c>
      <c r="AX407" s="16">
        <f>Exogenous!BI$22</f>
        <v>0</v>
      </c>
    </row>
    <row r="408" spans="1:50" x14ac:dyDescent="0.25">
      <c r="A408" s="9" t="s">
        <v>683</v>
      </c>
      <c r="C408" s="75">
        <f>'Fiscal Forecasts'!$C$332</f>
        <v>9.9290000000000003</v>
      </c>
      <c r="D408" s="64">
        <f t="shared" ref="D408:O408" si="1393">SUM(C$408,D$401,D$402,D$405,D$407)-SUM(D$403,D$404,D$406)</f>
        <v>10.731000000000002</v>
      </c>
      <c r="E408" s="64">
        <f t="shared" si="1393"/>
        <v>10.395</v>
      </c>
      <c r="F408" s="64">
        <f t="shared" si="1393"/>
        <v>10.840999999999999</v>
      </c>
      <c r="G408" s="64">
        <f t="shared" si="1393"/>
        <v>9.2089999999999996</v>
      </c>
      <c r="H408" s="64">
        <f t="shared" si="1393"/>
        <v>9.3729999999999993</v>
      </c>
      <c r="I408" s="64">
        <f t="shared" si="1393"/>
        <v>9.5960000000000001</v>
      </c>
      <c r="J408" s="65">
        <f t="shared" si="1393"/>
        <v>10.012</v>
      </c>
      <c r="K408" s="65">
        <f t="shared" si="1393"/>
        <v>10.026000000000002</v>
      </c>
      <c r="L408" s="65">
        <f t="shared" si="1393"/>
        <v>9.9530000000000012</v>
      </c>
      <c r="M408" s="65">
        <f t="shared" si="1393"/>
        <v>9.8220000000000027</v>
      </c>
      <c r="N408" s="65">
        <f t="shared" si="1393"/>
        <v>9.6330000000000027</v>
      </c>
      <c r="O408" s="66">
        <f t="shared" si="1393"/>
        <v>9.6690258260084878</v>
      </c>
      <c r="P408" s="66">
        <f t="shared" ref="P408" si="1394">SUM(O$408,P$401,P$402,P$405,P$407)-SUM(P$403,P$404,P$406)</f>
        <v>9.7397753654976267</v>
      </c>
      <c r="Q408" s="66">
        <f t="shared" ref="Q408" si="1395">SUM(P$408,Q$401,Q$402,Q$405,Q$407)-SUM(Q$403,Q$404,Q$406)</f>
        <v>9.8430382197785438</v>
      </c>
      <c r="R408" s="66">
        <f t="shared" ref="R408" si="1396">SUM(Q$408,R$401,R$402,R$405,R$407)-SUM(R$403,R$404,R$406)</f>
        <v>9.9715171685733903</v>
      </c>
      <c r="S408" s="66">
        <f t="shared" ref="S408" si="1397">SUM(R$408,S$401,S$402,S$405,S$407)-SUM(S$403,S$404,S$406)</f>
        <v>10.118040711801754</v>
      </c>
      <c r="T408" s="66">
        <f t="shared" ref="T408" si="1398">SUM(S$408,T$401,T$402,T$405,T$407)-SUM(T$403,T$404,T$406)</f>
        <v>10.279509164872225</v>
      </c>
      <c r="U408" s="66">
        <f t="shared" ref="U408" si="1399">SUM(T$408,U$401,U$402,U$405,U$407)-SUM(U$403,U$404,U$406)</f>
        <v>10.446554493957743</v>
      </c>
      <c r="V408" s="66">
        <f t="shared" ref="V408" si="1400">SUM(U$408,V$401,V$402,V$405,V$407)-SUM(V$403,V$404,V$406)</f>
        <v>10.616428642665062</v>
      </c>
      <c r="W408" s="66">
        <f t="shared" ref="W408" si="1401">SUM(V$408,W$401,W$402,W$405,W$407)-SUM(W$403,W$404,W$406)</f>
        <v>10.789324259563148</v>
      </c>
      <c r="X408" s="66">
        <f t="shared" ref="X408" si="1402">SUM(W$408,X$401,X$402,X$405,X$407)-SUM(X$403,X$404,X$406)</f>
        <v>10.9650927839971</v>
      </c>
      <c r="Y408" s="66">
        <f t="shared" ref="Y408" si="1403">SUM(X$408,Y$401,Y$402,Y$405,Y$407)-SUM(Y$403,Y$404,Y$406)</f>
        <v>11.145799860566857</v>
      </c>
      <c r="Z408" s="66">
        <f t="shared" ref="Z408" si="1404">SUM(Y$408,Z$401,Z$402,Z$405,Z$407)-SUM(Z$403,Z$404,Z$406)</f>
        <v>11.32902937780085</v>
      </c>
      <c r="AA408" s="66">
        <f t="shared" ref="AA408" si="1405">SUM(Z$408,AA$401,AA$402,AA$405,AA$407)-SUM(AA$403,AA$404,AA$406)</f>
        <v>11.519154021538563</v>
      </c>
      <c r="AB408" s="66">
        <f t="shared" ref="AB408" si="1406">SUM(AA$408,AB$401,AB$402,AB$405,AB$407)-SUM(AB$403,AB$404,AB$406)</f>
        <v>11.718595962136831</v>
      </c>
      <c r="AC408" s="66">
        <f t="shared" ref="AC408" si="1407">SUM(AB$408,AC$401,AC$402,AC$405,AC$407)-SUM(AC$403,AC$404,AC$406)</f>
        <v>11.926758165759855</v>
      </c>
      <c r="AD408" s="66">
        <f t="shared" ref="AD408" si="1408">SUM(AC$408,AD$401,AD$402,AD$405,AD$407)-SUM(AD$403,AD$404,AD$406)</f>
        <v>12.147473042157271</v>
      </c>
      <c r="AE408" s="66">
        <f t="shared" ref="AE408" si="1409">SUM(AD$408,AE$401,AE$402,AE$405,AE$407)-SUM(AE$403,AE$404,AE$406)</f>
        <v>12.381668783213367</v>
      </c>
      <c r="AF408" s="66">
        <f t="shared" ref="AF408" si="1410">SUM(AE$408,AF$401,AF$402,AF$405,AF$407)-SUM(AF$403,AF$404,AF$406)</f>
        <v>12.628933194116613</v>
      </c>
      <c r="AG408" s="66">
        <f t="shared" ref="AG408" si="1411">SUM(AF$408,AG$401,AG$402,AG$405,AG$407)-SUM(AG$403,AG$404,AG$406)</f>
        <v>12.890151907502728</v>
      </c>
      <c r="AH408" s="66">
        <f t="shared" ref="AH408" si="1412">SUM(AG$408,AH$401,AH$402,AH$405,AH$407)-SUM(AH$403,AH$404,AH$406)</f>
        <v>13.167047724133633</v>
      </c>
      <c r="AI408" s="66">
        <f t="shared" ref="AI408" si="1413">SUM(AH$408,AI$401,AI$402,AI$405,AI$407)-SUM(AI$403,AI$404,AI$406)</f>
        <v>13.458836178316339</v>
      </c>
      <c r="AJ408" s="66">
        <f t="shared" ref="AJ408" si="1414">SUM(AI$408,AJ$401,AJ$402,AJ$405,AJ$407)-SUM(AJ$403,AJ$404,AJ$406)</f>
        <v>13.769454104539536</v>
      </c>
      <c r="AK408" s="66">
        <f t="shared" ref="AK408" si="1415">SUM(AJ$408,AK$401,AK$402,AK$405,AK$407)-SUM(AK$403,AK$404,AK$406)</f>
        <v>14.100847452109974</v>
      </c>
      <c r="AL408" s="66">
        <f t="shared" ref="AL408" si="1416">SUM(AK$408,AL$401,AL$402,AL$405,AL$407)-SUM(AL$403,AL$404,AL$406)</f>
        <v>14.455921797079915</v>
      </c>
      <c r="AM408" s="66">
        <f t="shared" ref="AM408" si="1417">SUM(AL$408,AM$401,AM$402,AM$405,AM$407)-SUM(AM$403,AM$404,AM$406)</f>
        <v>14.837361168782923</v>
      </c>
      <c r="AN408" s="66">
        <f t="shared" ref="AN408" si="1418">SUM(AM$408,AN$401,AN$402,AN$405,AN$407)-SUM(AN$403,AN$404,AN$406)</f>
        <v>15.122921703854214</v>
      </c>
      <c r="AO408" s="66">
        <f t="shared" ref="AO408" si="1419">SUM(AN$408,AO$401,AO$402,AO$405,AO$407)-SUM(AO$403,AO$404,AO$406)</f>
        <v>15.450408887961258</v>
      </c>
      <c r="AP408" s="66">
        <f t="shared" ref="AP408" si="1420">SUM(AO$408,AP$401,AP$402,AP$405,AP$407)-SUM(AP$403,AP$404,AP$406)</f>
        <v>15.867283239171721</v>
      </c>
      <c r="AQ408" s="66">
        <f t="shared" ref="AQ408" si="1421">SUM(AP$408,AQ$401,AQ$402,AQ$405,AQ$407)-SUM(AQ$403,AQ$404,AQ$406)</f>
        <v>16.294509349010763</v>
      </c>
      <c r="AR408" s="66">
        <f t="shared" ref="AR408" si="1422">SUM(AQ$408,AR$401,AR$402,AR$405,AR$407)-SUM(AR$403,AR$404,AR$406)</f>
        <v>16.73072618968445</v>
      </c>
      <c r="AS408" s="66">
        <f t="shared" ref="AS408" si="1423">SUM(AR$408,AS$401,AS$402,AS$405,AS$407)-SUM(AS$403,AS$404,AS$406)</f>
        <v>17.172884078401712</v>
      </c>
      <c r="AT408" s="66">
        <f t="shared" ref="AT408" si="1424">SUM(AS$408,AT$401,AT$402,AT$405,AT$407)-SUM(AT$403,AT$404,AT$406)</f>
        <v>17.618784813050276</v>
      </c>
      <c r="AU408" s="66">
        <f t="shared" ref="AU408" si="1425">SUM(AT$408,AU$401,AU$402,AU$405,AU$407)-SUM(AU$403,AU$404,AU$406)</f>
        <v>18.063370340767506</v>
      </c>
      <c r="AV408" s="66">
        <f t="shared" ref="AV408" si="1426">SUM(AU$408,AV$401,AV$402,AV$405,AV$407)-SUM(AV$403,AV$404,AV$406)</f>
        <v>18.502923918728769</v>
      </c>
      <c r="AW408" s="66">
        <f t="shared" ref="AW408" si="1427">SUM(AV$408,AW$401,AW$402,AW$405,AW$407)-SUM(AW$403,AW$404,AW$406)</f>
        <v>18.931475699057682</v>
      </c>
      <c r="AX408" s="66">
        <f t="shared" ref="AX408" si="1428">SUM(AW$408,AX$401,AX$402,AX$405,AX$407)-SUM(AX$403,AX$404,AX$406)</f>
        <v>19.360234996308392</v>
      </c>
    </row>
    <row r="410" spans="1:50" x14ac:dyDescent="0.25">
      <c r="A410" s="9" t="s">
        <v>547</v>
      </c>
    </row>
    <row r="411" spans="1:50" x14ac:dyDescent="0.25">
      <c r="A411" s="9" t="s">
        <v>971</v>
      </c>
      <c r="B411" s="10" t="str">
        <f t="shared" ref="B411:B412" si="1429">$B$38</f>
        <v>From Fiscal Forecasts</v>
      </c>
      <c r="D411" s="42">
        <f>ROUND('Fiscal Forecasts'!D$189*D$412/SUM(D$412,D$416),3)</f>
        <v>0.75700000000000001</v>
      </c>
      <c r="E411" s="42">
        <f>ROUND('Fiscal Forecasts'!E$189*E$412/SUM(E$412,E$416),3)</f>
        <v>1.0569999999999999</v>
      </c>
      <c r="F411" s="42">
        <f>ROUND('Fiscal Forecasts'!F$189*F$412/SUM(F$412,F$416),3)</f>
        <v>1.169</v>
      </c>
      <c r="G411" s="42">
        <f>ROUND('Fiscal Forecasts'!G$189*G$412/SUM(G$412,G$416),3)</f>
        <v>1.7330000000000001</v>
      </c>
      <c r="H411" s="42">
        <f>ROUND('Fiscal Forecasts'!H$189*H$412/SUM(H$412,H$416),3)</f>
        <v>1.5860000000000001</v>
      </c>
      <c r="I411" s="42">
        <f>ROUND('Fiscal Forecasts'!I$189*I$412/SUM(I$412,I$416),3)</f>
        <v>1.6120000000000001</v>
      </c>
      <c r="J411" s="43">
        <f>ROUND('Fiscal Forecasts'!J$189*J$412/SUM(J$412,J$416),3)</f>
        <v>1.899</v>
      </c>
      <c r="K411" s="43">
        <f>ROUND('Fiscal Forecasts'!K$189*K$412/SUM(K$412,K$416),3)</f>
        <v>1.835</v>
      </c>
      <c r="L411" s="43">
        <f>ROUND('Fiscal Forecasts'!L$189*L$412/SUM(L$412,L$416),3)</f>
        <v>1.8320000000000001</v>
      </c>
      <c r="M411" s="43">
        <f>ROUND('Fiscal Forecasts'!M$189*M$412/SUM(M$412,M$416),3)</f>
        <v>1.734</v>
      </c>
      <c r="N411" s="43">
        <f>ROUND('Fiscal Forecasts'!N$189*N$412/SUM(N$412,N$416),3)</f>
        <v>1.649</v>
      </c>
      <c r="O411" s="47">
        <f t="shared" ref="O411:AX411" ca="1" si="1430">N$411*(1+O$29)</f>
        <v>1.68198</v>
      </c>
      <c r="P411" s="47">
        <f t="shared" ca="1" si="1430"/>
        <v>1.7156196000000001</v>
      </c>
      <c r="Q411" s="47">
        <f t="shared" ca="1" si="1430"/>
        <v>1.7499319920000003</v>
      </c>
      <c r="R411" s="47">
        <f t="shared" ca="1" si="1430"/>
        <v>1.7849306318400002</v>
      </c>
      <c r="S411" s="47">
        <f t="shared" ca="1" si="1430"/>
        <v>1.8206292444768002</v>
      </c>
      <c r="T411" s="47">
        <f t="shared" ca="1" si="1430"/>
        <v>1.8570418293663362</v>
      </c>
      <c r="U411" s="47">
        <f t="shared" ca="1" si="1430"/>
        <v>1.8941826659536629</v>
      </c>
      <c r="V411" s="47">
        <f t="shared" ca="1" si="1430"/>
        <v>1.9320663192727363</v>
      </c>
      <c r="W411" s="47">
        <f t="shared" ca="1" si="1430"/>
        <v>1.9707076456581911</v>
      </c>
      <c r="X411" s="47">
        <f t="shared" ca="1" si="1430"/>
        <v>2.0101217985713551</v>
      </c>
      <c r="Y411" s="47">
        <f t="shared" ca="1" si="1430"/>
        <v>2.0503242345427823</v>
      </c>
      <c r="Z411" s="47">
        <f t="shared" ca="1" si="1430"/>
        <v>2.0913307192336381</v>
      </c>
      <c r="AA411" s="47">
        <f t="shared" ca="1" si="1430"/>
        <v>2.1331573336183109</v>
      </c>
      <c r="AB411" s="47">
        <f t="shared" ca="1" si="1430"/>
        <v>2.1758204802906773</v>
      </c>
      <c r="AC411" s="47">
        <f t="shared" ca="1" si="1430"/>
        <v>2.2193368898964909</v>
      </c>
      <c r="AD411" s="47">
        <f t="shared" ca="1" si="1430"/>
        <v>2.2637236276944206</v>
      </c>
      <c r="AE411" s="47">
        <f t="shared" ca="1" si="1430"/>
        <v>2.3089981002483091</v>
      </c>
      <c r="AF411" s="47">
        <f t="shared" ca="1" si="1430"/>
        <v>2.3551780622532754</v>
      </c>
      <c r="AG411" s="47">
        <f t="shared" ca="1" si="1430"/>
        <v>2.4022816234983408</v>
      </c>
      <c r="AH411" s="47">
        <f t="shared" ca="1" si="1430"/>
        <v>2.4503272559683076</v>
      </c>
      <c r="AI411" s="47">
        <f t="shared" ca="1" si="1430"/>
        <v>2.4993338010876736</v>
      </c>
      <c r="AJ411" s="47">
        <f t="shared" ca="1" si="1430"/>
        <v>2.5493204771094269</v>
      </c>
      <c r="AK411" s="47">
        <f t="shared" ca="1" si="1430"/>
        <v>2.6003068866516155</v>
      </c>
      <c r="AL411" s="47">
        <f t="shared" ca="1" si="1430"/>
        <v>2.652313024384648</v>
      </c>
      <c r="AM411" s="47">
        <f t="shared" ca="1" si="1430"/>
        <v>2.7053592848723409</v>
      </c>
      <c r="AN411" s="47">
        <f t="shared" ca="1" si="1430"/>
        <v>2.7594664705697878</v>
      </c>
      <c r="AO411" s="47">
        <f t="shared" ca="1" si="1430"/>
        <v>2.8146557999811836</v>
      </c>
      <c r="AP411" s="47">
        <f t="shared" ca="1" si="1430"/>
        <v>2.8709489159808075</v>
      </c>
      <c r="AQ411" s="47">
        <f t="shared" ca="1" si="1430"/>
        <v>2.9283678943004237</v>
      </c>
      <c r="AR411" s="47">
        <f t="shared" ca="1" si="1430"/>
        <v>2.9869352521864321</v>
      </c>
      <c r="AS411" s="47">
        <f t="shared" ca="1" si="1430"/>
        <v>3.0466739572301607</v>
      </c>
      <c r="AT411" s="47">
        <f t="shared" ca="1" si="1430"/>
        <v>3.1076074363747641</v>
      </c>
      <c r="AU411" s="47">
        <f t="shared" ca="1" si="1430"/>
        <v>3.1697595851022595</v>
      </c>
      <c r="AV411" s="47">
        <f t="shared" ca="1" si="1430"/>
        <v>3.2331547768043047</v>
      </c>
      <c r="AW411" s="47">
        <f t="shared" ca="1" si="1430"/>
        <v>3.2978178723403908</v>
      </c>
      <c r="AX411" s="47">
        <f t="shared" ca="1" si="1430"/>
        <v>3.3637742297871989</v>
      </c>
    </row>
    <row r="412" spans="1:50" x14ac:dyDescent="0.25">
      <c r="A412" s="9" t="s">
        <v>972</v>
      </c>
      <c r="B412" s="10" t="str">
        <f t="shared" si="1429"/>
        <v>From Fiscal Forecasts</v>
      </c>
      <c r="D412" s="42">
        <f>'Fiscal Forecasts'!D$126</f>
        <v>1.5169999999999999</v>
      </c>
      <c r="E412" s="42">
        <f>'Fiscal Forecasts'!E$126</f>
        <v>1.7729999999999999</v>
      </c>
      <c r="F412" s="42">
        <f>'Fiscal Forecasts'!F$126</f>
        <v>2.194</v>
      </c>
      <c r="G412" s="42">
        <f>'Fiscal Forecasts'!G$126</f>
        <v>3.0680000000000001</v>
      </c>
      <c r="H412" s="42">
        <f>'Fiscal Forecasts'!H$126</f>
        <v>3.0409999999999999</v>
      </c>
      <c r="I412" s="42">
        <f>'Fiscal Forecasts'!I$126</f>
        <v>2.8610000000000002</v>
      </c>
      <c r="J412" s="43">
        <f>'Fiscal Forecasts'!J$126</f>
        <v>3.4049999999999998</v>
      </c>
      <c r="K412" s="43">
        <f>'Fiscal Forecasts'!K$126</f>
        <v>3.5169999999999999</v>
      </c>
      <c r="L412" s="43">
        <f>'Fiscal Forecasts'!L$126</f>
        <v>3.5590000000000002</v>
      </c>
      <c r="M412" s="43">
        <f>'Fiscal Forecasts'!M$126</f>
        <v>3.488</v>
      </c>
      <c r="N412" s="43">
        <f>'Fiscal Forecasts'!N$126</f>
        <v>3.395</v>
      </c>
      <c r="O412" s="47">
        <f t="shared" ref="O412:AX412" ca="1" si="1431">O$411+(N$412-N$411)*(1+O$29)</f>
        <v>3.4629000000000003</v>
      </c>
      <c r="P412" s="47">
        <f t="shared" ca="1" si="1431"/>
        <v>3.5321580000000004</v>
      </c>
      <c r="Q412" s="47">
        <f t="shared" ca="1" si="1431"/>
        <v>3.6028011600000003</v>
      </c>
      <c r="R412" s="47">
        <f t="shared" ca="1" si="1431"/>
        <v>3.6748571832000003</v>
      </c>
      <c r="S412" s="47">
        <f t="shared" ca="1" si="1431"/>
        <v>3.7483543268640003</v>
      </c>
      <c r="T412" s="47">
        <f t="shared" ca="1" si="1431"/>
        <v>3.8233214134012803</v>
      </c>
      <c r="U412" s="47">
        <f t="shared" ca="1" si="1431"/>
        <v>3.8997878416693057</v>
      </c>
      <c r="V412" s="47">
        <f t="shared" ca="1" si="1431"/>
        <v>3.9777835985026924</v>
      </c>
      <c r="W412" s="47">
        <f t="shared" ca="1" si="1431"/>
        <v>4.0573392704727462</v>
      </c>
      <c r="X412" s="47">
        <f t="shared" ca="1" si="1431"/>
        <v>4.1384860558822014</v>
      </c>
      <c r="Y412" s="47">
        <f t="shared" ca="1" si="1431"/>
        <v>4.2212557769998451</v>
      </c>
      <c r="Z412" s="47">
        <f t="shared" ca="1" si="1431"/>
        <v>4.3056808925398418</v>
      </c>
      <c r="AA412" s="47">
        <f t="shared" ca="1" si="1431"/>
        <v>4.3917945103906391</v>
      </c>
      <c r="AB412" s="47">
        <f t="shared" ca="1" si="1431"/>
        <v>4.4796304005984524</v>
      </c>
      <c r="AC412" s="47">
        <f t="shared" ca="1" si="1431"/>
        <v>4.5692230086104217</v>
      </c>
      <c r="AD412" s="47">
        <f t="shared" ca="1" si="1431"/>
        <v>4.6606074687826302</v>
      </c>
      <c r="AE412" s="47">
        <f t="shared" ca="1" si="1431"/>
        <v>4.7538196181582828</v>
      </c>
      <c r="AF412" s="47">
        <f t="shared" ca="1" si="1431"/>
        <v>4.8488960105214485</v>
      </c>
      <c r="AG412" s="47">
        <f t="shared" ca="1" si="1431"/>
        <v>4.945873930731878</v>
      </c>
      <c r="AH412" s="47">
        <f t="shared" ca="1" si="1431"/>
        <v>5.0447914093465158</v>
      </c>
      <c r="AI412" s="47">
        <f t="shared" ca="1" si="1431"/>
        <v>5.1456872375334459</v>
      </c>
      <c r="AJ412" s="47">
        <f t="shared" ca="1" si="1431"/>
        <v>5.2486009822841151</v>
      </c>
      <c r="AK412" s="47">
        <f t="shared" ca="1" si="1431"/>
        <v>5.3535730019297976</v>
      </c>
      <c r="AL412" s="47">
        <f t="shared" ca="1" si="1431"/>
        <v>5.4606444619683936</v>
      </c>
      <c r="AM412" s="47">
        <f t="shared" ca="1" si="1431"/>
        <v>5.5698573512077614</v>
      </c>
      <c r="AN412" s="47">
        <f t="shared" ca="1" si="1431"/>
        <v>5.6812544982319171</v>
      </c>
      <c r="AO412" s="47">
        <f t="shared" ca="1" si="1431"/>
        <v>5.7948795881965562</v>
      </c>
      <c r="AP412" s="47">
        <f t="shared" ca="1" si="1431"/>
        <v>5.9107771799604878</v>
      </c>
      <c r="AQ412" s="47">
        <f t="shared" ca="1" si="1431"/>
        <v>6.0289927235596981</v>
      </c>
      <c r="AR412" s="47">
        <f t="shared" ca="1" si="1431"/>
        <v>6.1495725780308916</v>
      </c>
      <c r="AS412" s="47">
        <f t="shared" ca="1" si="1431"/>
        <v>6.2725640295915088</v>
      </c>
      <c r="AT412" s="47">
        <f t="shared" ca="1" si="1431"/>
        <v>6.3980153101833395</v>
      </c>
      <c r="AU412" s="47">
        <f t="shared" ca="1" si="1431"/>
        <v>6.5259756163870062</v>
      </c>
      <c r="AV412" s="47">
        <f t="shared" ca="1" si="1431"/>
        <v>6.6564951287147469</v>
      </c>
      <c r="AW412" s="47">
        <f t="shared" ca="1" si="1431"/>
        <v>6.7896250312890416</v>
      </c>
      <c r="AX412" s="47">
        <f t="shared" ca="1" si="1431"/>
        <v>6.9254175319148228</v>
      </c>
    </row>
    <row r="414" spans="1:50" x14ac:dyDescent="0.25">
      <c r="A414" s="9" t="s">
        <v>973</v>
      </c>
    </row>
    <row r="415" spans="1:50" x14ac:dyDescent="0.25">
      <c r="A415" s="9" t="s">
        <v>971</v>
      </c>
      <c r="B415" s="10" t="str">
        <f t="shared" ref="B415:B416" si="1432">$B$38</f>
        <v>From Fiscal Forecasts</v>
      </c>
      <c r="D415" s="42">
        <f>'Fiscal Forecasts'!D$189-D$411</f>
        <v>1.4119999999999999</v>
      </c>
      <c r="E415" s="42">
        <f>'Fiscal Forecasts'!E$189-E$411</f>
        <v>2.153</v>
      </c>
      <c r="F415" s="42">
        <f>'Fiscal Forecasts'!F$189-F$411</f>
        <v>2.0920000000000001</v>
      </c>
      <c r="G415" s="42">
        <f>'Fiscal Forecasts'!G$189-G$411</f>
        <v>2.3759999999999999</v>
      </c>
      <c r="H415" s="42">
        <f>'Fiscal Forecasts'!H$189-H$411</f>
        <v>2.4050000000000002</v>
      </c>
      <c r="I415" s="42">
        <f>'Fiscal Forecasts'!I$189-I$411</f>
        <v>2.8419999999999996</v>
      </c>
      <c r="J415" s="43">
        <f>'Fiscal Forecasts'!J$189-J$411</f>
        <v>3.0019999999999998</v>
      </c>
      <c r="K415" s="43">
        <f>'Fiscal Forecasts'!K$189-K$411</f>
        <v>2.63</v>
      </c>
      <c r="L415" s="43">
        <f>'Fiscal Forecasts'!L$189-L$411</f>
        <v>2.6539999999999999</v>
      </c>
      <c r="M415" s="43">
        <f>'Fiscal Forecasts'!M$189-M$411</f>
        <v>2.6340000000000003</v>
      </c>
      <c r="N415" s="43">
        <f>'Fiscal Forecasts'!N$189-N$411</f>
        <v>2.5919999999999996</v>
      </c>
      <c r="O415" s="47">
        <f t="shared" ref="O415:AX415" ca="1" si="1433">N$415*(1+O$29)</f>
        <v>2.6438399999999995</v>
      </c>
      <c r="P415" s="47">
        <f t="shared" ca="1" si="1433"/>
        <v>2.6967167999999995</v>
      </c>
      <c r="Q415" s="47">
        <f t="shared" ca="1" si="1433"/>
        <v>2.7506511359999997</v>
      </c>
      <c r="R415" s="47">
        <f t="shared" ca="1" si="1433"/>
        <v>2.8056641587199995</v>
      </c>
      <c r="S415" s="47">
        <f t="shared" ca="1" si="1433"/>
        <v>2.8617774418943998</v>
      </c>
      <c r="T415" s="47">
        <f t="shared" ca="1" si="1433"/>
        <v>2.9190129907322877</v>
      </c>
      <c r="U415" s="47">
        <f t="shared" ca="1" si="1433"/>
        <v>2.9773932505469336</v>
      </c>
      <c r="V415" s="47">
        <f t="shared" ca="1" si="1433"/>
        <v>3.0369411155578723</v>
      </c>
      <c r="W415" s="47">
        <f t="shared" ca="1" si="1433"/>
        <v>3.0976799378690298</v>
      </c>
      <c r="X415" s="47">
        <f t="shared" ca="1" si="1433"/>
        <v>3.1596335366264103</v>
      </c>
      <c r="Y415" s="47">
        <f t="shared" ca="1" si="1433"/>
        <v>3.2228262073589384</v>
      </c>
      <c r="Z415" s="47">
        <f t="shared" ca="1" si="1433"/>
        <v>3.2872827315061173</v>
      </c>
      <c r="AA415" s="47">
        <f t="shared" ca="1" si="1433"/>
        <v>3.3530283861362395</v>
      </c>
      <c r="AB415" s="47">
        <f t="shared" ca="1" si="1433"/>
        <v>3.4200889538589645</v>
      </c>
      <c r="AC415" s="47">
        <f t="shared" ca="1" si="1433"/>
        <v>3.4884907329361439</v>
      </c>
      <c r="AD415" s="47">
        <f t="shared" ca="1" si="1433"/>
        <v>3.558260547594867</v>
      </c>
      <c r="AE415" s="47">
        <f t="shared" ca="1" si="1433"/>
        <v>3.6294257585467644</v>
      </c>
      <c r="AF415" s="47">
        <f t="shared" ca="1" si="1433"/>
        <v>3.7020142737176998</v>
      </c>
      <c r="AG415" s="47">
        <f t="shared" ca="1" si="1433"/>
        <v>3.7760545591920538</v>
      </c>
      <c r="AH415" s="47">
        <f t="shared" ca="1" si="1433"/>
        <v>3.8515756503758949</v>
      </c>
      <c r="AI415" s="47">
        <f t="shared" ca="1" si="1433"/>
        <v>3.928607163383413</v>
      </c>
      <c r="AJ415" s="47">
        <f t="shared" ca="1" si="1433"/>
        <v>4.0071793066510812</v>
      </c>
      <c r="AK415" s="47">
        <f t="shared" ca="1" si="1433"/>
        <v>4.087322892784103</v>
      </c>
      <c r="AL415" s="47">
        <f t="shared" ca="1" si="1433"/>
        <v>4.1690693506397851</v>
      </c>
      <c r="AM415" s="47">
        <f t="shared" ca="1" si="1433"/>
        <v>4.2524507376525813</v>
      </c>
      <c r="AN415" s="47">
        <f t="shared" ca="1" si="1433"/>
        <v>4.3374997524056331</v>
      </c>
      <c r="AO415" s="47">
        <f t="shared" ca="1" si="1433"/>
        <v>4.4242497474537457</v>
      </c>
      <c r="AP415" s="47">
        <f t="shared" ca="1" si="1433"/>
        <v>4.512734742402821</v>
      </c>
      <c r="AQ415" s="47">
        <f t="shared" ca="1" si="1433"/>
        <v>4.6029894372508773</v>
      </c>
      <c r="AR415" s="47">
        <f t="shared" ca="1" si="1433"/>
        <v>4.6950492259958949</v>
      </c>
      <c r="AS415" s="47">
        <f t="shared" ca="1" si="1433"/>
        <v>4.7889502105158126</v>
      </c>
      <c r="AT415" s="47">
        <f t="shared" ca="1" si="1433"/>
        <v>4.8847292147261285</v>
      </c>
      <c r="AU415" s="47">
        <f t="shared" ca="1" si="1433"/>
        <v>4.9824237990206512</v>
      </c>
      <c r="AV415" s="47">
        <f t="shared" ca="1" si="1433"/>
        <v>5.0820722750010647</v>
      </c>
      <c r="AW415" s="47">
        <f t="shared" ca="1" si="1433"/>
        <v>5.1837137205010864</v>
      </c>
      <c r="AX415" s="47">
        <f t="shared" ca="1" si="1433"/>
        <v>5.287387994911108</v>
      </c>
    </row>
    <row r="416" spans="1:50" x14ac:dyDescent="0.25">
      <c r="A416" s="9" t="s">
        <v>972</v>
      </c>
      <c r="B416" s="10" t="str">
        <f t="shared" si="1432"/>
        <v>From Fiscal Forecasts</v>
      </c>
      <c r="D416" s="42">
        <f>'Fiscal Forecasts'!D$127</f>
        <v>2.8279999999999998</v>
      </c>
      <c r="E416" s="42">
        <f>'Fiscal Forecasts'!E$127</f>
        <v>3.61</v>
      </c>
      <c r="F416" s="42">
        <f>'Fiscal Forecasts'!F$127</f>
        <v>3.9279999999999999</v>
      </c>
      <c r="G416" s="42">
        <f>'Fiscal Forecasts'!G$127</f>
        <v>4.2080000000000002</v>
      </c>
      <c r="H416" s="42">
        <f>'Fiscal Forecasts'!H$127</f>
        <v>4.6120000000000001</v>
      </c>
      <c r="I416" s="42">
        <f>'Fiscal Forecasts'!I$127</f>
        <v>5.0449999999999999</v>
      </c>
      <c r="J416" s="43">
        <f>'Fiscal Forecasts'!J$127</f>
        <v>5.3849999999999998</v>
      </c>
      <c r="K416" s="43">
        <f>'Fiscal Forecasts'!K$127</f>
        <v>5.0410000000000004</v>
      </c>
      <c r="L416" s="43">
        <f>'Fiscal Forecasts'!L$127</f>
        <v>5.1580000000000004</v>
      </c>
      <c r="M416" s="43">
        <f>'Fiscal Forecasts'!M$127</f>
        <v>5.3</v>
      </c>
      <c r="N416" s="43">
        <f>'Fiscal Forecasts'!N$127</f>
        <v>5.3339999999999996</v>
      </c>
      <c r="O416" s="47">
        <f t="shared" ref="O416:AX416" ca="1" si="1434">O$415+(N$416-N$415)*(1+O$29)</f>
        <v>5.4406799999999995</v>
      </c>
      <c r="P416" s="47">
        <f t="shared" ca="1" si="1434"/>
        <v>5.5494935999999999</v>
      </c>
      <c r="Q416" s="47">
        <f t="shared" ca="1" si="1434"/>
        <v>5.6604834720000001</v>
      </c>
      <c r="R416" s="47">
        <f t="shared" ca="1" si="1434"/>
        <v>5.7736931414399999</v>
      </c>
      <c r="S416" s="47">
        <f t="shared" ca="1" si="1434"/>
        <v>5.8891670042688</v>
      </c>
      <c r="T416" s="47">
        <f t="shared" ca="1" si="1434"/>
        <v>6.0069503443541761</v>
      </c>
      <c r="U416" s="47">
        <f t="shared" ca="1" si="1434"/>
        <v>6.1270893512412599</v>
      </c>
      <c r="V416" s="47">
        <f t="shared" ca="1" si="1434"/>
        <v>6.2496311382660856</v>
      </c>
      <c r="W416" s="47">
        <f t="shared" ca="1" si="1434"/>
        <v>6.3746237610314074</v>
      </c>
      <c r="X416" s="47">
        <f t="shared" ca="1" si="1434"/>
        <v>6.5021162362520357</v>
      </c>
      <c r="Y416" s="47">
        <f t="shared" ca="1" si="1434"/>
        <v>6.6321585609770768</v>
      </c>
      <c r="Z416" s="47">
        <f t="shared" ca="1" si="1434"/>
        <v>6.7648017321966183</v>
      </c>
      <c r="AA416" s="47">
        <f t="shared" ca="1" si="1434"/>
        <v>6.9000977668405508</v>
      </c>
      <c r="AB416" s="47">
        <f t="shared" ca="1" si="1434"/>
        <v>7.0380997221773622</v>
      </c>
      <c r="AC416" s="47">
        <f t="shared" ca="1" si="1434"/>
        <v>7.1788617166209097</v>
      </c>
      <c r="AD416" s="47">
        <f t="shared" ca="1" si="1434"/>
        <v>7.3224389509533285</v>
      </c>
      <c r="AE416" s="47">
        <f t="shared" ca="1" si="1434"/>
        <v>7.4688877299723959</v>
      </c>
      <c r="AF416" s="47">
        <f t="shared" ca="1" si="1434"/>
        <v>7.618265484571844</v>
      </c>
      <c r="AG416" s="47">
        <f t="shared" ca="1" si="1434"/>
        <v>7.7706307942632815</v>
      </c>
      <c r="AH416" s="47">
        <f t="shared" ca="1" si="1434"/>
        <v>7.9260434101485471</v>
      </c>
      <c r="AI416" s="47">
        <f t="shared" ca="1" si="1434"/>
        <v>8.0845642783515181</v>
      </c>
      <c r="AJ416" s="47">
        <f t="shared" ca="1" si="1434"/>
        <v>8.2462555639185489</v>
      </c>
      <c r="AK416" s="47">
        <f t="shared" ca="1" si="1434"/>
        <v>8.4111806751969205</v>
      </c>
      <c r="AL416" s="47">
        <f t="shared" ca="1" si="1434"/>
        <v>8.579404288700859</v>
      </c>
      <c r="AM416" s="47">
        <f t="shared" ca="1" si="1434"/>
        <v>8.7509923744748761</v>
      </c>
      <c r="AN416" s="47">
        <f t="shared" ca="1" si="1434"/>
        <v>8.926012221964374</v>
      </c>
      <c r="AO416" s="47">
        <f t="shared" ca="1" si="1434"/>
        <v>9.1045324664036613</v>
      </c>
      <c r="AP416" s="47">
        <f t="shared" ca="1" si="1434"/>
        <v>9.2866231157317358</v>
      </c>
      <c r="AQ416" s="47">
        <f t="shared" ca="1" si="1434"/>
        <v>9.4723555780463702</v>
      </c>
      <c r="AR416" s="47">
        <f t="shared" ca="1" si="1434"/>
        <v>9.661802689607299</v>
      </c>
      <c r="AS416" s="47">
        <f t="shared" ca="1" si="1434"/>
        <v>9.8550387433994437</v>
      </c>
      <c r="AT416" s="47">
        <f t="shared" ca="1" si="1434"/>
        <v>10.052139518267431</v>
      </c>
      <c r="AU416" s="47">
        <f t="shared" ca="1" si="1434"/>
        <v>10.25318230863278</v>
      </c>
      <c r="AV416" s="47">
        <f t="shared" ca="1" si="1434"/>
        <v>10.458245954805436</v>
      </c>
      <c r="AW416" s="47">
        <f t="shared" ca="1" si="1434"/>
        <v>10.667410873901545</v>
      </c>
      <c r="AX416" s="47">
        <f t="shared" ca="1" si="1434"/>
        <v>10.880759091379577</v>
      </c>
    </row>
    <row r="418" spans="1:50" x14ac:dyDescent="0.25">
      <c r="A418" s="9" t="s">
        <v>974</v>
      </c>
    </row>
    <row r="419" spans="1:50" x14ac:dyDescent="0.25">
      <c r="A419" s="9" t="s">
        <v>975</v>
      </c>
      <c r="B419" s="10" t="str">
        <f t="shared" ref="B419:B421" si="1435">$B$38</f>
        <v>From Fiscal Forecasts</v>
      </c>
      <c r="C419" s="63" cm="1">
        <f t="array" aca="1" ref="C419" ca="1">SUMPRODUCT(OFFSET($N$419,0,0,1,-OFFSET(Assumptions!$B$39,0,$C$1))/OFFSET($N$13,0,0,1,-OFFSET(Assumptions!$B$39,0,$C$1)))/OFFSET(Assumptions!$B$39,0,$C$1)</f>
        <v>0.15173750764167618</v>
      </c>
      <c r="D419" s="42">
        <f>'Fiscal Forecasts'!D$186</f>
        <v>43.683999999999997</v>
      </c>
      <c r="E419" s="42">
        <f>'Fiscal Forecasts'!E$186</f>
        <v>45.167000000000002</v>
      </c>
      <c r="F419" s="42">
        <f>'Fiscal Forecasts'!F$186</f>
        <v>51.92</v>
      </c>
      <c r="G419" s="42">
        <f>'Fiscal Forecasts'!G$186</f>
        <v>56.518999999999998</v>
      </c>
      <c r="H419" s="42">
        <f>'Fiscal Forecasts'!H$186</f>
        <v>63.033999999999999</v>
      </c>
      <c r="I419" s="42">
        <f>'Fiscal Forecasts'!I$186</f>
        <v>67.997</v>
      </c>
      <c r="J419" s="43">
        <f>'Fiscal Forecasts'!J$186+Allocation!C$42</f>
        <v>69.206999999999994</v>
      </c>
      <c r="K419" s="43">
        <f>'Fiscal Forecasts'!K$186+Allocation!D$42</f>
        <v>70.900800000000004</v>
      </c>
      <c r="L419" s="43">
        <f>'Fiscal Forecasts'!L$186+Allocation!E$42</f>
        <v>72.277659999999997</v>
      </c>
      <c r="M419" s="43">
        <f>'Fiscal Forecasts'!M$186+Allocation!F$42</f>
        <v>72.828069999999997</v>
      </c>
      <c r="N419" s="43">
        <f>'Fiscal Forecasts'!N$186+Allocation!G$42</f>
        <v>73.243300000000005</v>
      </c>
      <c r="O419" s="47">
        <f ca="1">(N$419/N$13+MIN(ABS($C$419-N$419/N$13),OFFSET(Assumptions!$B$43,0,$C$1))*SIGN($C$419-N$419/N$13))*O$13</f>
        <v>77.624465208168431</v>
      </c>
      <c r="P419" s="47">
        <f ca="1">(O$419/O$13+MIN(ABS($C$419-O$419/O$13),OFFSET(Assumptions!$B$43,0,$C$1))*SIGN($C$419-O$419/O$13))*P$13</f>
        <v>82.198781170329909</v>
      </c>
      <c r="Q419" s="47">
        <f ca="1">(P$419/P$13+MIN(ABS($C$419-P$419/P$13),OFFSET(Assumptions!$B$43,0,$C$1))*SIGN($C$419-P$419/P$13))*Q$13</f>
        <v>86.8816556247329</v>
      </c>
      <c r="R419" s="47">
        <f ca="1">(Q$419/Q$13+MIN(ABS($C$419-Q$419/Q$13),OFFSET(Assumptions!$B$43,0,$C$1))*SIGN($C$419-Q$419/Q$13))*R$13</f>
        <v>91.661432538031121</v>
      </c>
      <c r="S419" s="47">
        <f ca="1">(R$419/R$13+MIN(ABS($C$419-R$419/R$13),OFFSET(Assumptions!$B$43,0,$C$1))*SIGN($C$419-R$419/R$13))*S$13</f>
        <v>96.654606266526031</v>
      </c>
      <c r="T419" s="47">
        <f ca="1">(S$419/S$13+MIN(ABS($C$419-S$419/S$13),OFFSET(Assumptions!$B$43,0,$C$1))*SIGN($C$419-S$419/S$13))*T$13</f>
        <v>101.85911799630321</v>
      </c>
      <c r="U419" s="47">
        <f ca="1">(T$419/T$13+MIN(ABS($C$419-T$419/T$13),OFFSET(Assumptions!$B$43,0,$C$1))*SIGN($C$419-T$419/T$13))*U$13</f>
        <v>105.90912242164588</v>
      </c>
      <c r="V419" s="47">
        <f ca="1">(U$419/U$13+MIN(ABS($C$419-U$419/U$13),OFFSET(Assumptions!$B$43,0,$C$1))*SIGN($C$419-U$419/U$13))*V$13</f>
        <v>110.09199743550344</v>
      </c>
      <c r="W419" s="47">
        <f ca="1">(V$419/V$13+MIN(ABS($C$419-V$419/V$13),OFFSET(Assumptions!$B$43,0,$C$1))*SIGN($C$419-V$419/V$13))*W$13</f>
        <v>114.38594076836019</v>
      </c>
      <c r="X419" s="47">
        <f ca="1">(W$419/W$13+MIN(ABS($C$419-W$419/W$13),OFFSET(Assumptions!$B$43,0,$C$1))*SIGN($C$419-W$419/W$13))*X$13</f>
        <v>118.7979087062815</v>
      </c>
      <c r="Y419" s="47">
        <f ca="1">(X$419/X$13+MIN(ABS($C$419-X$419/X$13),OFFSET(Assumptions!$B$43,0,$C$1))*SIGN($C$419-X$419/X$13))*Y$13</f>
        <v>123.35100968417912</v>
      </c>
      <c r="Z419" s="47">
        <f ca="1">(Y$419/Y$13+MIN(ABS($C$419-Y$419/Y$13),OFFSET(Assumptions!$B$43,0,$C$1))*SIGN($C$419-Y$419/Y$13))*Z$13</f>
        <v>128.0460285239632</v>
      </c>
      <c r="AA419" s="47">
        <f ca="1">(Z$419/Z$13+MIN(ABS($C$419-Z$419/Z$13),OFFSET(Assumptions!$B$43,0,$C$1))*SIGN($C$419-Z$419/Z$13))*AA$13</f>
        <v>132.90216796581768</v>
      </c>
      <c r="AB419" s="47">
        <f ca="1">(AA$419/AA$13+MIN(ABS($C$419-AA$419/AA$13),OFFSET(Assumptions!$B$43,0,$C$1))*SIGN($C$419-AA$419/AA$13))*AB$13</f>
        <v>137.91427475482857</v>
      </c>
      <c r="AC419" s="47">
        <f ca="1">(AB$419/AB$13+MIN(ABS($C$419-AB$419/AB$13),OFFSET(Assumptions!$B$43,0,$C$1))*SIGN($C$419-AB$419/AB$13))*AC$13</f>
        <v>143.08221999167102</v>
      </c>
      <c r="AD419" s="47">
        <f ca="1">(AC$419/AC$13+MIN(ABS($C$419-AC$419/AC$13),OFFSET(Assumptions!$B$43,0,$C$1))*SIGN($C$419-AC$419/AC$13))*AD$13</f>
        <v>148.40970742656097</v>
      </c>
      <c r="AE419" s="47">
        <f ca="1">(AD$419/AD$13+MIN(ABS($C$419-AD$419/AD$13),OFFSET(Assumptions!$B$43,0,$C$1))*SIGN($C$419-AD$419/AD$13))*AE$13</f>
        <v>153.89528373476202</v>
      </c>
      <c r="AF419" s="47">
        <f ca="1">(AE$419/AE$13+MIN(ABS($C$419-AE$419/AE$13),OFFSET(Assumptions!$B$43,0,$C$1))*SIGN($C$419-AE$419/AE$13))*AF$13</f>
        <v>159.54023543664948</v>
      </c>
      <c r="AG419" s="47">
        <f ca="1">(AF$419/AF$13+MIN(ABS($C$419-AF$419/AF$13),OFFSET(Assumptions!$B$43,0,$C$1))*SIGN($C$419-AF$419/AF$13))*AG$13</f>
        <v>165.34517077170889</v>
      </c>
      <c r="AH419" s="47">
        <f ca="1">(AG$419/AG$13+MIN(ABS($C$419-AG$419/AG$13),OFFSET(Assumptions!$B$43,0,$C$1))*SIGN($C$419-AG$419/AG$13))*AH$13</f>
        <v>171.30735257832649</v>
      </c>
      <c r="AI419" s="47">
        <f ca="1">(AH$419/AH$13+MIN(ABS($C$419-AH$419/AH$13),OFFSET(Assumptions!$B$43,0,$C$1))*SIGN($C$419-AH$419/AH$13))*AI$13</f>
        <v>177.43243366560327</v>
      </c>
      <c r="AJ419" s="47">
        <f ca="1">(AI$419/AI$13+MIN(ABS($C$419-AI$419/AI$13),OFFSET(Assumptions!$B$43,0,$C$1))*SIGN($C$419-AI$419/AI$13))*AJ$13</f>
        <v>183.72764080778305</v>
      </c>
      <c r="AK419" s="47">
        <f ca="1">(AJ$419/AJ$13+MIN(ABS($C$419-AJ$419/AJ$13),OFFSET(Assumptions!$B$43,0,$C$1))*SIGN($C$419-AJ$419/AJ$13))*AK$13</f>
        <v>190.18461724784203</v>
      </c>
      <c r="AL419" s="47">
        <f ca="1">(AK$419/AK$13+MIN(ABS($C$419-AK$419/AK$13),OFFSET(Assumptions!$B$43,0,$C$1))*SIGN($C$419-AK$419/AK$13))*AL$13</f>
        <v>196.81222054310086</v>
      </c>
      <c r="AM419" s="47">
        <f ca="1">(AL$419/AL$13+MIN(ABS($C$419-AL$419/AL$13),OFFSET(Assumptions!$B$43,0,$C$1))*SIGN($C$419-AL$419/AL$13))*AM$13</f>
        <v>203.62003880971653</v>
      </c>
      <c r="AN419" s="47">
        <f ca="1">(AM$419/AM$13+MIN(ABS($C$419-AM$419/AM$13),OFFSET(Assumptions!$B$43,0,$C$1))*SIGN($C$419-AM$419/AM$13))*AN$13</f>
        <v>210.61581320085159</v>
      </c>
      <c r="AO419" s="47">
        <f ca="1">(AN$419/AN$13+MIN(ABS($C$419-AN$419/AN$13),OFFSET(Assumptions!$B$43,0,$C$1))*SIGN($C$419-AN$419/AN$13))*AO$13</f>
        <v>217.80245203796517</v>
      </c>
      <c r="AP419" s="47">
        <f ca="1">(AO$419/AO$13+MIN(ABS($C$419-AO$419/AO$13),OFFSET(Assumptions!$B$43,0,$C$1))*SIGN($C$419-AO$419/AO$13))*AP$13</f>
        <v>225.20206496765081</v>
      </c>
      <c r="AQ419" s="47">
        <f ca="1">(AP$419/AP$13+MIN(ABS($C$419-AP$419/AP$13),OFFSET(Assumptions!$B$43,0,$C$1))*SIGN($C$419-AP$419/AP$13))*AQ$13</f>
        <v>232.82188176913391</v>
      </c>
      <c r="AR419" s="47">
        <f ca="1">(AQ$419/AQ$13+MIN(ABS($C$419-AQ$419/AQ$13),OFFSET(Assumptions!$B$43,0,$C$1))*SIGN($C$419-AQ$419/AQ$13))*AR$13</f>
        <v>240.68178788479483</v>
      </c>
      <c r="AS419" s="47">
        <f ca="1">(AR$419/AR$13+MIN(ABS($C$419-AR$419/AR$13),OFFSET(Assumptions!$B$43,0,$C$1))*SIGN($C$419-AR$419/AR$13))*AS$13</f>
        <v>248.78766120789163</v>
      </c>
      <c r="AT419" s="47">
        <f ca="1">(AS$419/AS$13+MIN(ABS($C$419-AS$419/AS$13),OFFSET(Assumptions!$B$43,0,$C$1))*SIGN($C$419-AS$419/AS$13))*AT$13</f>
        <v>257.16472538837911</v>
      </c>
      <c r="AU419" s="47">
        <f ca="1">(AT$419/AT$13+MIN(ABS($C$419-AT$419/AT$13),OFFSET(Assumptions!$B$43,0,$C$1))*SIGN($C$419-AT$419/AT$13))*AU$13</f>
        <v>265.80935873443497</v>
      </c>
      <c r="AV419" s="47">
        <f ca="1">(AU$419/AU$13+MIN(ABS($C$419-AU$419/AU$13),OFFSET(Assumptions!$B$43,0,$C$1))*SIGN($C$419-AU$419/AU$13))*AV$13</f>
        <v>274.74606947750306</v>
      </c>
      <c r="AW419" s="47">
        <f ca="1">(AV$419/AV$13+MIN(ABS($C$419-AV$419/AV$13),OFFSET(Assumptions!$B$43,0,$C$1))*SIGN($C$419-AV$419/AV$13))*AW$13</f>
        <v>283.9827340811724</v>
      </c>
      <c r="AX419" s="47">
        <f ca="1">(AW$419/AW$13+MIN(ABS($C$419-AW$419/AW$13),OFFSET(Assumptions!$B$43,0,$C$1))*SIGN($C$419-AW$419/AW$13))*AX$13</f>
        <v>293.51551468745214</v>
      </c>
    </row>
    <row r="420" spans="1:50" x14ac:dyDescent="0.25">
      <c r="A420" s="11" t="s">
        <v>1340</v>
      </c>
      <c r="B420" s="10" t="str">
        <f t="shared" si="1435"/>
        <v>From Fiscal Forecasts</v>
      </c>
      <c r="C420" s="63"/>
      <c r="D420" s="35">
        <f>'Fiscal Forecasts'!D$335</f>
        <v>93.730999999999995</v>
      </c>
      <c r="E420" s="35">
        <f>'Fiscal Forecasts'!E$335</f>
        <v>101.509</v>
      </c>
      <c r="F420" s="35">
        <f>'Fiscal Forecasts'!F$335</f>
        <v>119.682</v>
      </c>
      <c r="G420" s="35">
        <f>'Fiscal Forecasts'!G$335</f>
        <v>145.18600000000001</v>
      </c>
      <c r="H420" s="35">
        <f>'Fiscal Forecasts'!H$335</f>
        <v>151.042</v>
      </c>
      <c r="I420" s="35">
        <f>'Fiscal Forecasts'!I$335</f>
        <v>158.06800000000001</v>
      </c>
      <c r="J420" s="17">
        <f>'Fiscal Forecasts'!J$335+Allocation!C$43</f>
        <v>162.47299999999998</v>
      </c>
      <c r="K420" s="17">
        <f>'Fiscal Forecasts'!K$335+Allocation!D$43</f>
        <v>168.60159999999999</v>
      </c>
      <c r="L420" s="17">
        <f>'Fiscal Forecasts'!L$335+Allocation!E$43</f>
        <v>173.13082</v>
      </c>
      <c r="M420" s="17">
        <f>'Fiscal Forecasts'!M$335+Allocation!F$43</f>
        <v>178.11439000000001</v>
      </c>
      <c r="N420" s="17">
        <f>'Fiscal Forecasts'!N$335+Allocation!G$43</f>
        <v>182.81710000000001</v>
      </c>
      <c r="O420" s="16">
        <f t="shared" ref="O420:AX420" ca="1" si="1436">(N$420-N$425)*(1+O$29)+O$425</f>
        <v>187.83490911809275</v>
      </c>
      <c r="P420" s="16">
        <f t="shared" ca="1" si="1436"/>
        <v>192.91947889044377</v>
      </c>
      <c r="Q420" s="16">
        <f t="shared" ca="1" si="1436"/>
        <v>197.95622244485901</v>
      </c>
      <c r="R420" s="16">
        <f t="shared" ca="1" si="1436"/>
        <v>202.93050831016336</v>
      </c>
      <c r="S420" s="16">
        <f t="shared" ca="1" si="1436"/>
        <v>207.9819433006985</v>
      </c>
      <c r="T420" s="16">
        <f t="shared" ca="1" si="1436"/>
        <v>213.10442617655843</v>
      </c>
      <c r="U420" s="16">
        <f t="shared" ca="1" si="1436"/>
        <v>218.31224560757187</v>
      </c>
      <c r="V420" s="16">
        <f t="shared" ca="1" si="1436"/>
        <v>223.60221963431627</v>
      </c>
      <c r="W420" s="16">
        <f t="shared" ca="1" si="1436"/>
        <v>229.69856435642993</v>
      </c>
      <c r="X420" s="16">
        <f t="shared" ca="1" si="1436"/>
        <v>236.69384155569156</v>
      </c>
      <c r="Y420" s="16">
        <f t="shared" ca="1" si="1436"/>
        <v>243.88881667831356</v>
      </c>
      <c r="Z420" s="16">
        <f t="shared" ca="1" si="1436"/>
        <v>251.2851800572038</v>
      </c>
      <c r="AA420" s="16">
        <f t="shared" ca="1" si="1436"/>
        <v>258.9054581773882</v>
      </c>
      <c r="AB420" s="16">
        <f t="shared" ca="1" si="1436"/>
        <v>266.74466126407481</v>
      </c>
      <c r="AC420" s="16">
        <f t="shared" ca="1" si="1436"/>
        <v>274.80349591536299</v>
      </c>
      <c r="AD420" s="16">
        <f t="shared" ca="1" si="1436"/>
        <v>283.08701830127626</v>
      </c>
      <c r="AE420" s="16">
        <f t="shared" ca="1" si="1436"/>
        <v>291.59447228861438</v>
      </c>
      <c r="AF420" s="16">
        <f t="shared" ca="1" si="1436"/>
        <v>300.32821667049825</v>
      </c>
      <c r="AG420" s="16">
        <f t="shared" ca="1" si="1436"/>
        <v>309.28986158341115</v>
      </c>
      <c r="AH420" s="16">
        <f t="shared" ca="1" si="1436"/>
        <v>318.47725388762035</v>
      </c>
      <c r="AI420" s="16">
        <f t="shared" ca="1" si="1436"/>
        <v>327.89774350271392</v>
      </c>
      <c r="AJ420" s="16">
        <f t="shared" ca="1" si="1436"/>
        <v>337.56047879578244</v>
      </c>
      <c r="AK420" s="16">
        <f t="shared" ca="1" si="1436"/>
        <v>347.45701168956975</v>
      </c>
      <c r="AL420" s="16">
        <f t="shared" ca="1" si="1436"/>
        <v>357.598373583382</v>
      </c>
      <c r="AM420" s="16">
        <f t="shared" ca="1" si="1436"/>
        <v>367.99644209081566</v>
      </c>
      <c r="AN420" s="16">
        <f t="shared" ca="1" si="1436"/>
        <v>378.6610277501386</v>
      </c>
      <c r="AO420" s="16">
        <f t="shared" ca="1" si="1436"/>
        <v>389.59649913699297</v>
      </c>
      <c r="AP420" s="16">
        <f t="shared" ca="1" si="1436"/>
        <v>400.82895211811172</v>
      </c>
      <c r="AQ420" s="16">
        <f t="shared" ca="1" si="1436"/>
        <v>412.36768402602314</v>
      </c>
      <c r="AR420" s="16">
        <f t="shared" ca="1" si="1436"/>
        <v>424.23632097287486</v>
      </c>
      <c r="AS420" s="16">
        <f t="shared" ca="1" si="1436"/>
        <v>436.44267751848179</v>
      </c>
      <c r="AT420" s="16">
        <f t="shared" ca="1" si="1436"/>
        <v>449.0164605649818</v>
      </c>
      <c r="AU420" s="16">
        <f t="shared" ca="1" si="1436"/>
        <v>461.95479336611163</v>
      </c>
      <c r="AV420" s="16">
        <f t="shared" ca="1" si="1436"/>
        <v>475.286622311423</v>
      </c>
      <c r="AW420" s="16">
        <f t="shared" ca="1" si="1436"/>
        <v>489.0221176448523</v>
      </c>
      <c r="AX420" s="16">
        <f t="shared" ca="1" si="1436"/>
        <v>503.15823276928643</v>
      </c>
    </row>
    <row r="421" spans="1:50" x14ac:dyDescent="0.25">
      <c r="A421" s="11" t="s">
        <v>1341</v>
      </c>
      <c r="B421" s="10" t="str">
        <f t="shared" si="1435"/>
        <v>From Fiscal Forecasts</v>
      </c>
      <c r="C421" s="63" cm="1">
        <f t="array" aca="1" ref="C421" ca="1">SUMPRODUCT(OFFSET($N$421,0,0,1,-OFFSET(Assumptions!$B$39,0,$C$1))/OFFSET($N$13,0,0,1,-OFFSET(Assumptions!$B$39,0,$C$1)))/OFFSET(Assumptions!$B$39,0,$C$1)</f>
        <v>0.13228287103993974</v>
      </c>
      <c r="D421" s="35">
        <f>SUM('Fiscal Forecasts'!D$336:D$337)</f>
        <v>40.21</v>
      </c>
      <c r="E421" s="35">
        <f>SUM('Fiscal Forecasts'!E$336:E$337)</f>
        <v>39.826000000000001</v>
      </c>
      <c r="F421" s="35">
        <f>SUM('Fiscal Forecasts'!F$336:F$337)</f>
        <v>41.613999999999997</v>
      </c>
      <c r="G421" s="35">
        <f>SUM('Fiscal Forecasts'!G$336:G$337)</f>
        <v>47.476999999999997</v>
      </c>
      <c r="H421" s="35">
        <f>SUM('Fiscal Forecasts'!H$336:H$337)</f>
        <v>53.314</v>
      </c>
      <c r="I421" s="35">
        <f>SUM('Fiscal Forecasts'!I$336:I$337)</f>
        <v>57.724999999999994</v>
      </c>
      <c r="J421" s="17">
        <f>SUM('Fiscal Forecasts'!J$336:J$337)</f>
        <v>59.405999999999999</v>
      </c>
      <c r="K421" s="17">
        <f>SUM('Fiscal Forecasts'!K$336:K$337)</f>
        <v>63.405999999999999</v>
      </c>
      <c r="L421" s="17">
        <f>SUM('Fiscal Forecasts'!L$336:L$337)</f>
        <v>65.626999999999995</v>
      </c>
      <c r="M421" s="17">
        <f>SUM('Fiscal Forecasts'!M$336:M$337)</f>
        <v>67.17</v>
      </c>
      <c r="N421" s="17">
        <f>SUM('Fiscal Forecasts'!N$336:N$337)</f>
        <v>67.893000000000001</v>
      </c>
      <c r="O421" s="16">
        <f ca="1">(N$421/N$13+MIN(ABS($C$421-N$421/N$13),OFFSET(Assumptions!$B$43,0,$C$1))*SIGN($C$421-N$421/N$13))*O$13</f>
        <v>72.034136163408462</v>
      </c>
      <c r="P421" s="16">
        <f ca="1">(O$421/O$13+MIN(ABS($C$421-O$421/O$13),OFFSET(Assumptions!$B$43,0,$C$1))*SIGN($C$421-O$421/O$13))*P$13</f>
        <v>75.644435433399551</v>
      </c>
      <c r="Q421" s="16">
        <f ca="1">(P$421/P$13+MIN(ABS($C$421-P$421/P$13),OFFSET(Assumptions!$B$43,0,$C$1))*SIGN($C$421-P$421/P$13))*Q$13</f>
        <v>78.856730857847367</v>
      </c>
      <c r="R421" s="16">
        <f ca="1">(Q$421/Q$13+MIN(ABS($C$421-Q$421/Q$13),OFFSET(Assumptions!$B$43,0,$C$1))*SIGN($C$421-Q$421/Q$13))*R$13</f>
        <v>82.068818855476636</v>
      </c>
      <c r="S421" s="16">
        <f ca="1">(R$421/R$13+MIN(ABS($C$421-R$421/R$13),OFFSET(Assumptions!$B$43,0,$C$1))*SIGN($C$421-R$421/R$13))*S$13</f>
        <v>85.383617572346537</v>
      </c>
      <c r="T421" s="16">
        <f ca="1">(S$421/S$13+MIN(ABS($C$421-S$421/S$13),OFFSET(Assumptions!$B$43,0,$C$1))*SIGN($C$421-S$421/S$13))*T$13</f>
        <v>88.79951160108655</v>
      </c>
      <c r="U421" s="16">
        <f ca="1">(T$421/T$13+MIN(ABS($C$421-T$421/T$13),OFFSET(Assumptions!$B$43,0,$C$1))*SIGN($C$421-T$421/T$13))*U$13</f>
        <v>92.330255063500204</v>
      </c>
      <c r="V421" s="16">
        <f ca="1">(U$421/U$13+MIN(ABS($C$421-U$421/U$13),OFFSET(Assumptions!$B$43,0,$C$1))*SIGN($C$421-U$421/U$13))*V$13</f>
        <v>95.976833451626632</v>
      </c>
      <c r="W421" s="16">
        <f ca="1">(V$421/V$13+MIN(ABS($C$421-V$421/V$13),OFFSET(Assumptions!$B$43,0,$C$1))*SIGN($C$421-V$421/V$13))*W$13</f>
        <v>99.720239818195211</v>
      </c>
      <c r="X421" s="16">
        <f ca="1">(W$421/W$13+MIN(ABS($C$421-W$421/W$13),OFFSET(Assumptions!$B$43,0,$C$1))*SIGN($C$421-W$421/W$13))*X$13</f>
        <v>103.56653856683826</v>
      </c>
      <c r="Y421" s="16">
        <f ca="1">(X$421/X$13+MIN(ABS($C$421-X$421/X$13),OFFSET(Assumptions!$B$43,0,$C$1))*SIGN($C$421-X$421/X$13))*Y$13</f>
        <v>107.53587534356562</v>
      </c>
      <c r="Z421" s="16">
        <f ca="1">(Y$421/Y$13+MIN(ABS($C$421-Y$421/Y$13),OFFSET(Assumptions!$B$43,0,$C$1))*SIGN($C$421-Y$421/Y$13))*Z$13</f>
        <v>111.62893434635275</v>
      </c>
      <c r="AA421" s="16">
        <f ca="1">(Z$421/Z$13+MIN(ABS($C$421-Z$421/Z$13),OFFSET(Assumptions!$B$43,0,$C$1))*SIGN($C$421-Z$421/Z$13))*AA$13</f>
        <v>115.86245628514571</v>
      </c>
      <c r="AB421" s="16">
        <f ca="1">(AA$421/AA$13+MIN(ABS($C$421-AA$421/AA$13),OFFSET(Assumptions!$B$43,0,$C$1))*SIGN($C$421-AA$421/AA$13))*AB$13</f>
        <v>120.23194861643422</v>
      </c>
      <c r="AC421" s="16">
        <f ca="1">(AB$421/AB$13+MIN(ABS($C$421-AB$421/AB$13),OFFSET(Assumptions!$B$43,0,$C$1))*SIGN($C$421-AB$421/AB$13))*AC$13</f>
        <v>124.73729896739079</v>
      </c>
      <c r="AD421" s="16">
        <f ca="1">(AC$421/AC$13+MIN(ABS($C$421-AC$421/AC$13),OFFSET(Assumptions!$B$43,0,$C$1))*SIGN($C$421-AC$421/AC$13))*AD$13</f>
        <v>129.38173622136665</v>
      </c>
      <c r="AE421" s="16">
        <f ca="1">(AD$421/AD$13+MIN(ABS($C$421-AD$421/AD$13),OFFSET(Assumptions!$B$43,0,$C$1))*SIGN($C$421-AD$421/AD$13))*AE$13</f>
        <v>134.16399338794082</v>
      </c>
      <c r="AF421" s="16">
        <f ca="1">(AE$421/AE$13+MIN(ABS($C$421-AE$421/AE$13),OFFSET(Assumptions!$B$43,0,$C$1))*SIGN($C$421-AE$421/AE$13))*AF$13</f>
        <v>139.08519203956789</v>
      </c>
      <c r="AG421" s="16">
        <f ca="1">(AF$421/AF$13+MIN(ABS($C$421-AF$421/AF$13),OFFSET(Assumptions!$B$43,0,$C$1))*SIGN($C$421-AF$421/AF$13))*AG$13</f>
        <v>144.14586243186278</v>
      </c>
      <c r="AH421" s="16">
        <f ca="1">(AG$421/AG$13+MIN(ABS($C$421-AG$421/AG$13),OFFSET(Assumptions!$B$43,0,$C$1))*SIGN($C$421-AG$421/AG$13))*AH$13</f>
        <v>149.34361834139008</v>
      </c>
      <c r="AI421" s="16">
        <f ca="1">(AH$421/AH$13+MIN(ABS($C$421-AH$421/AH$13),OFFSET(Assumptions!$B$43,0,$C$1))*SIGN($C$421-AH$421/AH$13))*AI$13</f>
        <v>154.68338781678426</v>
      </c>
      <c r="AJ421" s="16">
        <f ca="1">(AI$421/AI$13+MIN(ABS($C$421-AI$421/AI$13),OFFSET(Assumptions!$B$43,0,$C$1))*SIGN($C$421-AI$421/AI$13))*AJ$13</f>
        <v>160.17147106990572</v>
      </c>
      <c r="AK421" s="16">
        <f ca="1">(AJ$421/AJ$13+MIN(ABS($C$421-AJ$421/AJ$13),OFFSET(Assumptions!$B$43,0,$C$1))*SIGN($C$421-AJ$421/AJ$13))*AK$13</f>
        <v>165.8005827839672</v>
      </c>
      <c r="AL421" s="16">
        <f ca="1">(AK$421/AK$13+MIN(ABS($C$421-AK$421/AK$13),OFFSET(Assumptions!$B$43,0,$C$1))*SIGN($C$421-AK$421/AK$13))*AL$13</f>
        <v>171.57844486722317</v>
      </c>
      <c r="AM421" s="16">
        <f ca="1">(AL$421/AL$13+MIN(ABS($C$421-AL$421/AL$13),OFFSET(Assumptions!$B$43,0,$C$1))*SIGN($C$421-AL$421/AL$13))*AM$13</f>
        <v>177.51341612003108</v>
      </c>
      <c r="AN421" s="16">
        <f ca="1">(AM$421/AM$13+MIN(ABS($C$421-AM$421/AM$13),OFFSET(Assumptions!$B$43,0,$C$1))*SIGN($C$421-AM$421/AM$13))*AN$13</f>
        <v>183.61224518339216</v>
      </c>
      <c r="AO421" s="16">
        <f ca="1">(AN$421/AN$13+MIN(ABS($C$421-AN$421/AN$13),OFFSET(Assumptions!$B$43,0,$C$1))*SIGN($C$421-AN$421/AN$13))*AO$13</f>
        <v>189.8774674957653</v>
      </c>
      <c r="AP421" s="16">
        <f ca="1">(AO$421/AO$13+MIN(ABS($C$421-AO$421/AO$13),OFFSET(Assumptions!$B$43,0,$C$1))*SIGN($C$421-AO$421/AO$13))*AP$13</f>
        <v>196.32835797193277</v>
      </c>
      <c r="AQ421" s="16">
        <f ca="1">(AP$421/AP$13+MIN(ABS($C$421-AP$421/AP$13),OFFSET(Assumptions!$B$43,0,$C$1))*SIGN($C$421-AP$421/AP$13))*AQ$13</f>
        <v>202.97121944346063</v>
      </c>
      <c r="AR421" s="16">
        <f ca="1">(AQ$421/AQ$13+MIN(ABS($C$421-AQ$421/AQ$13),OFFSET(Assumptions!$B$43,0,$C$1))*SIGN($C$421-AQ$421/AQ$13))*AR$13</f>
        <v>209.82338779157467</v>
      </c>
      <c r="AS421" s="16">
        <f ca="1">(AR$421/AR$13+MIN(ABS($C$421-AR$421/AR$13),OFFSET(Assumptions!$B$43,0,$C$1))*SIGN($C$421-AR$421/AR$13))*AS$13</f>
        <v>216.88998729047663</v>
      </c>
      <c r="AT421" s="16">
        <f ca="1">(AS$421/AS$13+MIN(ABS($C$421-AS$421/AS$13),OFFSET(Assumptions!$B$43,0,$C$1))*SIGN($C$421-AS$421/AS$13))*AT$13</f>
        <v>224.19300760433055</v>
      </c>
      <c r="AU421" s="16">
        <f ca="1">(AT$421/AT$13+MIN(ABS($C$421-AT$421/AT$13),OFFSET(Assumptions!$B$43,0,$C$1))*SIGN($C$421-AT$421/AT$13))*AU$13</f>
        <v>231.72929138727167</v>
      </c>
      <c r="AV421" s="16">
        <f ca="1">(AU$421/AU$13+MIN(ABS($C$421-AU$421/AU$13),OFFSET(Assumptions!$B$43,0,$C$1))*SIGN($C$421-AU$421/AU$13))*AV$13</f>
        <v>239.52020461050842</v>
      </c>
      <c r="AW421" s="16">
        <f ca="1">(AV$421/AV$13+MIN(ABS($C$421-AV$421/AV$13),OFFSET(Assumptions!$B$43,0,$C$1))*SIGN($C$421-AV$421/AV$13))*AW$13</f>
        <v>247.5726138769881</v>
      </c>
      <c r="AX421" s="16">
        <f ca="1">(AW$421/AW$13+MIN(ABS($C$421-AW$421/AW$13),OFFSET(Assumptions!$B$43,0,$C$1))*SIGN($C$421-AW$421/AW$13))*AX$13</f>
        <v>255.88317338987014</v>
      </c>
    </row>
    <row r="422" spans="1:50" x14ac:dyDescent="0.25">
      <c r="A422" s="9" t="s">
        <v>976</v>
      </c>
      <c r="D422" s="64">
        <f>SUM(D$419:D$421)</f>
        <v>177.625</v>
      </c>
      <c r="E422" s="64">
        <f t="shared" ref="E422:AW422" si="1437">SUM(E$419:E$421)</f>
        <v>186.50199999999998</v>
      </c>
      <c r="F422" s="64">
        <f t="shared" si="1437"/>
        <v>213.21600000000001</v>
      </c>
      <c r="G422" s="64">
        <f t="shared" si="1437"/>
        <v>249.18200000000002</v>
      </c>
      <c r="H422" s="64">
        <f t="shared" si="1437"/>
        <v>267.39</v>
      </c>
      <c r="I422" s="64">
        <f t="shared" si="1437"/>
        <v>283.78999999999996</v>
      </c>
      <c r="J422" s="65">
        <f t="shared" si="1437"/>
        <v>291.08599999999996</v>
      </c>
      <c r="K422" s="65">
        <f t="shared" si="1437"/>
        <v>302.90839999999997</v>
      </c>
      <c r="L422" s="65">
        <f t="shared" si="1437"/>
        <v>311.03548000000001</v>
      </c>
      <c r="M422" s="65">
        <f t="shared" si="1437"/>
        <v>318.11246</v>
      </c>
      <c r="N422" s="65">
        <f t="shared" si="1437"/>
        <v>323.95339999999999</v>
      </c>
      <c r="O422" s="66">
        <f t="shared" ca="1" si="1437"/>
        <v>337.49351048966963</v>
      </c>
      <c r="P422" s="66">
        <f t="shared" ca="1" si="1437"/>
        <v>350.76269549417322</v>
      </c>
      <c r="Q422" s="66">
        <f t="shared" ca="1" si="1437"/>
        <v>363.69460892743928</v>
      </c>
      <c r="R422" s="66">
        <f t="shared" ca="1" si="1437"/>
        <v>376.66075970367115</v>
      </c>
      <c r="S422" s="66">
        <f t="shared" ca="1" si="1437"/>
        <v>390.02016713957107</v>
      </c>
      <c r="T422" s="66">
        <f t="shared" ca="1" si="1437"/>
        <v>403.76305577394817</v>
      </c>
      <c r="U422" s="66">
        <f t="shared" ca="1" si="1437"/>
        <v>416.55162309271793</v>
      </c>
      <c r="V422" s="66">
        <f t="shared" ca="1" si="1437"/>
        <v>429.67105052144638</v>
      </c>
      <c r="W422" s="66">
        <f t="shared" ca="1" si="1437"/>
        <v>443.80474494298528</v>
      </c>
      <c r="X422" s="66">
        <f t="shared" ca="1" si="1437"/>
        <v>459.05828882881133</v>
      </c>
      <c r="Y422" s="66">
        <f t="shared" ca="1" si="1437"/>
        <v>474.77570170605833</v>
      </c>
      <c r="Z422" s="66">
        <f t="shared" ca="1" si="1437"/>
        <v>490.96014292751977</v>
      </c>
      <c r="AA422" s="66">
        <f t="shared" ca="1" si="1437"/>
        <v>507.67008242835158</v>
      </c>
      <c r="AB422" s="66">
        <f t="shared" ca="1" si="1437"/>
        <v>524.89088463533756</v>
      </c>
      <c r="AC422" s="66">
        <f t="shared" ca="1" si="1437"/>
        <v>542.62301487442483</v>
      </c>
      <c r="AD422" s="66">
        <f t="shared" ca="1" si="1437"/>
        <v>560.87846194920382</v>
      </c>
      <c r="AE422" s="66">
        <f t="shared" ca="1" si="1437"/>
        <v>579.65374941131722</v>
      </c>
      <c r="AF422" s="66">
        <f t="shared" ca="1" si="1437"/>
        <v>598.95364414671565</v>
      </c>
      <c r="AG422" s="66">
        <f t="shared" ca="1" si="1437"/>
        <v>618.7808947869828</v>
      </c>
      <c r="AH422" s="66">
        <f t="shared" ca="1" si="1437"/>
        <v>639.12822480733689</v>
      </c>
      <c r="AI422" s="66">
        <f t="shared" ca="1" si="1437"/>
        <v>660.01356498510143</v>
      </c>
      <c r="AJ422" s="66">
        <f t="shared" ca="1" si="1437"/>
        <v>681.45959067347121</v>
      </c>
      <c r="AK422" s="66">
        <f t="shared" ca="1" si="1437"/>
        <v>703.44221172137895</v>
      </c>
      <c r="AL422" s="66">
        <f t="shared" ca="1" si="1437"/>
        <v>725.98903899370612</v>
      </c>
      <c r="AM422" s="66">
        <f t="shared" ca="1" si="1437"/>
        <v>749.12989702056325</v>
      </c>
      <c r="AN422" s="66">
        <f t="shared" ca="1" si="1437"/>
        <v>772.8890861343823</v>
      </c>
      <c r="AO422" s="66">
        <f t="shared" ca="1" si="1437"/>
        <v>797.27641867072339</v>
      </c>
      <c r="AP422" s="66">
        <f t="shared" ca="1" si="1437"/>
        <v>822.35937505769527</v>
      </c>
      <c r="AQ422" s="66">
        <f t="shared" ca="1" si="1437"/>
        <v>848.16078523861768</v>
      </c>
      <c r="AR422" s="66">
        <f t="shared" ca="1" si="1437"/>
        <v>874.74149664924437</v>
      </c>
      <c r="AS422" s="66">
        <f t="shared" ca="1" si="1437"/>
        <v>902.12032601685007</v>
      </c>
      <c r="AT422" s="66">
        <f t="shared" ca="1" si="1437"/>
        <v>930.37419355769146</v>
      </c>
      <c r="AU422" s="66">
        <f t="shared" ca="1" si="1437"/>
        <v>959.49344348781835</v>
      </c>
      <c r="AV422" s="66">
        <f t="shared" ca="1" si="1437"/>
        <v>989.55289639943453</v>
      </c>
      <c r="AW422" s="66">
        <f t="shared" ca="1" si="1437"/>
        <v>1020.5774656030128</v>
      </c>
      <c r="AX422" s="66">
        <f ca="1">SUM(AX$419:AX$421)</f>
        <v>1052.5569208466086</v>
      </c>
    </row>
    <row r="424" spans="1:50" x14ac:dyDescent="0.25">
      <c r="A424" s="9" t="s">
        <v>550</v>
      </c>
    </row>
    <row r="425" spans="1:50" x14ac:dyDescent="0.25">
      <c r="A425" s="9" t="s">
        <v>977</v>
      </c>
      <c r="B425" s="10" t="str">
        <f t="shared" ref="B425:B426" si="1438">$B$38</f>
        <v>From Fiscal Forecasts</v>
      </c>
      <c r="C425" s="63" cm="1">
        <f t="array" aca="1" ref="C425" ca="1">SUMPRODUCT(OFFSET($N$425,0,0,1,-OFFSET(Assumptions!$B$39,0,$C$1))/OFFSET($N$13,0,0,1,-OFFSET(Assumptions!$B$39,0,$C$1)))/OFFSET(Assumptions!$B$39,0,$C$1)</f>
        <v>0.1715279862063408</v>
      </c>
      <c r="D425" s="42">
        <f>'Fiscal Forecasts'!D$187</f>
        <v>46.601999999999997</v>
      </c>
      <c r="E425" s="42">
        <f>'Fiscal Forecasts'!E$187</f>
        <v>49.604999999999997</v>
      </c>
      <c r="F425" s="42">
        <f>'Fiscal Forecasts'!F$187</f>
        <v>53.877000000000002</v>
      </c>
      <c r="G425" s="42">
        <f>'Fiscal Forecasts'!G$187</f>
        <v>57.801000000000002</v>
      </c>
      <c r="H425" s="42">
        <f>'Fiscal Forecasts'!H$187</f>
        <v>64.816999999999993</v>
      </c>
      <c r="I425" s="42">
        <f>'Fiscal Forecasts'!I$187</f>
        <v>69.174000000000007</v>
      </c>
      <c r="J425" s="43">
        <f>'Fiscal Forecasts'!J$187+Allocation!C$43</f>
        <v>76.082999999999998</v>
      </c>
      <c r="K425" s="43">
        <f>'Fiscal Forecasts'!K$187+Allocation!D$43</f>
        <v>82.648600000000002</v>
      </c>
      <c r="L425" s="43">
        <f>'Fiscal Forecasts'!L$187+Allocation!E$43</f>
        <v>88.724820000000008</v>
      </c>
      <c r="M425" s="43">
        <f>'Fiscal Forecasts'!M$187+Allocation!F$43</f>
        <v>94.23639</v>
      </c>
      <c r="N425" s="43">
        <f>'Fiscal Forecasts'!N$187+Allocation!G$43</f>
        <v>98.812100000000001</v>
      </c>
      <c r="O425" s="47">
        <f ca="1">(N$425/N$13+MIN(ABS($C$425-N$425/N$13),OFFSET(Assumptions!$B$43,0,$C$1))*SIGN($C$425-N$425/N$13))*O$13</f>
        <v>102.14980911809275</v>
      </c>
      <c r="P425" s="47">
        <f ca="1">(O$425/O$13+MIN(ABS($C$425-O$425/O$13),OFFSET(Assumptions!$B$43,0,$C$1))*SIGN($C$425-O$425/O$13))*P$13</f>
        <v>105.52067689044378</v>
      </c>
      <c r="Q425" s="47">
        <f ca="1">(P$425/P$13+MIN(ABS($C$425-P$425/P$13),OFFSET(Assumptions!$B$43,0,$C$1))*SIGN($C$425-P$425/P$13))*Q$13</f>
        <v>108.80944440485901</v>
      </c>
      <c r="R425" s="47">
        <f ca="1">(Q$425/Q$13+MIN(ABS($C$425-Q$425/Q$13),OFFSET(Assumptions!$B$43,0,$C$1))*SIGN($C$425-Q$425/Q$13))*R$13</f>
        <v>112.00079470936336</v>
      </c>
      <c r="S425" s="47">
        <f ca="1">(R$425/R$13+MIN(ABS($C$425-R$425/R$13),OFFSET(Assumptions!$B$43,0,$C$1))*SIGN($C$425-R$425/R$13))*S$13</f>
        <v>115.23363542788252</v>
      </c>
      <c r="T425" s="47">
        <f ca="1">(S$425/S$13+MIN(ABS($C$425-S$425/S$13),OFFSET(Assumptions!$B$43,0,$C$1))*SIGN($C$425-S$425/S$13))*T$13</f>
        <v>118.50115214628615</v>
      </c>
      <c r="U425" s="47">
        <f ca="1">(T$425/T$13+MIN(ABS($C$425-T$425/T$13),OFFSET(Assumptions!$B$43,0,$C$1))*SIGN($C$425-T$425/T$13))*U$13</f>
        <v>121.81690609669414</v>
      </c>
      <c r="V425" s="47">
        <f ca="1">(U$425/U$13+MIN(ABS($C$425-U$425/U$13),OFFSET(Assumptions!$B$43,0,$C$1))*SIGN($C$425-U$425/U$13))*V$13</f>
        <v>125.17697333322099</v>
      </c>
      <c r="W425" s="47">
        <f ca="1">(V$425/V$13+MIN(ABS($C$425-V$425/V$13),OFFSET(Assumptions!$B$43,0,$C$1))*SIGN($C$425-V$425/V$13))*W$13</f>
        <v>129.30481312931275</v>
      </c>
      <c r="X425" s="47">
        <f ca="1">(W$425/W$13+MIN(ABS($C$425-W$425/W$13),OFFSET(Assumptions!$B$43,0,$C$1))*SIGN($C$425-W$425/W$13))*X$13</f>
        <v>134.29221530403206</v>
      </c>
      <c r="Y425" s="47">
        <f ca="1">(X$425/X$13+MIN(ABS($C$425-X$425/X$13),OFFSET(Assumptions!$B$43,0,$C$1))*SIGN($C$425-X$425/X$13))*Y$13</f>
        <v>139.43915790162086</v>
      </c>
      <c r="Z425" s="47">
        <f ca="1">(Y$425/Y$13+MIN(ABS($C$425-Y$425/Y$13),OFFSET(Assumptions!$B$43,0,$C$1))*SIGN($C$425-Y$425/Y$13))*Z$13</f>
        <v>144.74652810497724</v>
      </c>
      <c r="AA425" s="47">
        <f ca="1">(Z$425/Z$13+MIN(ABS($C$425-Z$425/Z$13),OFFSET(Assumptions!$B$43,0,$C$1))*SIGN($C$425-Z$425/Z$13))*AA$13</f>
        <v>150.23603318611711</v>
      </c>
      <c r="AB425" s="47">
        <f ca="1">(AA$425/AA$13+MIN(ABS($C$425-AA$425/AA$13),OFFSET(Assumptions!$B$43,0,$C$1))*SIGN($C$425-AA$425/AA$13))*AB$13</f>
        <v>155.9018477729783</v>
      </c>
      <c r="AC425" s="47">
        <f ca="1">(AB$425/AB$13+MIN(ABS($C$425-AB$425/AB$13),OFFSET(Assumptions!$B$43,0,$C$1))*SIGN($C$425-AB$425/AB$13))*AC$13</f>
        <v>161.74382615444452</v>
      </c>
      <c r="AD425" s="47">
        <f ca="1">(AC$425/AC$13+MIN(ABS($C$425-AC$425/AC$13),OFFSET(Assumptions!$B$43,0,$C$1))*SIGN($C$425-AC$425/AC$13))*AD$13</f>
        <v>167.76615514513941</v>
      </c>
      <c r="AE425" s="47">
        <f ca="1">(AD$425/AD$13+MIN(ABS($C$425-AD$425/AD$13),OFFSET(Assumptions!$B$43,0,$C$1))*SIGN($C$425-AD$425/AD$13))*AE$13</f>
        <v>173.96719186935476</v>
      </c>
      <c r="AF425" s="47">
        <f ca="1">(AE$425/AE$13+MIN(ABS($C$425-AE$425/AE$13),OFFSET(Assumptions!$B$43,0,$C$1))*SIGN($C$425-AE$425/AE$13))*AF$13</f>
        <v>180.34839064285345</v>
      </c>
      <c r="AG425" s="47">
        <f ca="1">(AF$425/AF$13+MIN(ABS($C$425-AF$425/AF$13),OFFSET(Assumptions!$B$43,0,$C$1))*SIGN($C$425-AF$425/AF$13))*AG$13</f>
        <v>186.91043903521344</v>
      </c>
      <c r="AH425" s="47">
        <f ca="1">(AG$425/AG$13+MIN(ABS($C$425-AG$425/AG$13),OFFSET(Assumptions!$B$43,0,$C$1))*SIGN($C$425-AG$425/AG$13))*AH$13</f>
        <v>193.65024288845865</v>
      </c>
      <c r="AI425" s="47">
        <f ca="1">(AH$425/AH$13+MIN(ABS($C$425-AH$425/AH$13),OFFSET(Assumptions!$B$43,0,$C$1))*SIGN($C$425-AH$425/AH$13))*AI$13</f>
        <v>200.57419228356898</v>
      </c>
      <c r="AJ425" s="47">
        <f ca="1">(AI$425/AI$13+MIN(ABS($C$425-AI$425/AI$13),OFFSET(Assumptions!$B$43,0,$C$1))*SIGN($C$425-AI$425/AI$13))*AJ$13</f>
        <v>207.6904565522546</v>
      </c>
      <c r="AK425" s="47">
        <f ca="1">(AJ$425/AJ$13+MIN(ABS($C$425-AJ$425/AJ$13),OFFSET(Assumptions!$B$43,0,$C$1))*SIGN($C$425-AJ$425/AJ$13))*AK$13</f>
        <v>214.98958900117131</v>
      </c>
      <c r="AL425" s="47">
        <f ca="1">(AK$425/AK$13+MIN(ABS($C$425-AK$425/AK$13),OFFSET(Assumptions!$B$43,0,$C$1))*SIGN($C$425-AK$425/AK$13))*AL$13</f>
        <v>222.48160244121556</v>
      </c>
      <c r="AM425" s="47">
        <f ca="1">(AL$425/AL$13+MIN(ABS($C$425-AL$425/AL$13),OFFSET(Assumptions!$B$43,0,$C$1))*SIGN($C$425-AL$425/AL$13))*AM$13</f>
        <v>230.17733552580592</v>
      </c>
      <c r="AN425" s="47">
        <f ca="1">(AM$425/AM$13+MIN(ABS($C$425-AM$425/AM$13),OFFSET(Assumptions!$B$43,0,$C$1))*SIGN($C$425-AM$425/AM$13))*AN$13</f>
        <v>238.08553905382868</v>
      </c>
      <c r="AO425" s="47">
        <f ca="1">(AN$425/AN$13+MIN(ABS($C$425-AN$425/AN$13),OFFSET(Assumptions!$B$43,0,$C$1))*SIGN($C$425-AN$425/AN$13))*AO$13</f>
        <v>246.20950066675684</v>
      </c>
      <c r="AP425" s="47">
        <f ca="1">(AO$425/AO$13+MIN(ABS($C$425-AO$425/AO$13),OFFSET(Assumptions!$B$43,0,$C$1))*SIGN($C$425-AO$425/AO$13))*AP$13</f>
        <v>254.57421367847084</v>
      </c>
      <c r="AQ425" s="47">
        <f ca="1">(AP$425/AP$13+MIN(ABS($C$425-AP$425/AP$13),OFFSET(Assumptions!$B$43,0,$C$1))*SIGN($C$425-AP$425/AP$13))*AQ$13</f>
        <v>263.18785081758944</v>
      </c>
      <c r="AR425" s="47">
        <f ca="1">(AQ$425/AQ$13+MIN(ABS($C$425-AQ$425/AQ$13),OFFSET(Assumptions!$B$43,0,$C$1))*SIGN($C$425-AQ$425/AQ$13))*AR$13</f>
        <v>272.0728911002725</v>
      </c>
      <c r="AS425" s="47">
        <f ca="1">(AR$425/AR$13+MIN(ABS($C$425-AR$425/AR$13),OFFSET(Assumptions!$B$43,0,$C$1))*SIGN($C$425-AR$425/AR$13))*AS$13</f>
        <v>281.23597904842734</v>
      </c>
      <c r="AT425" s="47">
        <f ca="1">(AS$425/AS$13+MIN(ABS($C$425-AS$425/AS$13),OFFSET(Assumptions!$B$43,0,$C$1))*SIGN($C$425-AS$425/AS$13))*AT$13</f>
        <v>290.70562812552623</v>
      </c>
      <c r="AU425" s="47">
        <f ca="1">(AT$425/AT$13+MIN(ABS($C$425-AT$425/AT$13),OFFSET(Assumptions!$B$43,0,$C$1))*SIGN($C$425-AT$425/AT$13))*AU$13</f>
        <v>300.47774427786692</v>
      </c>
      <c r="AV425" s="47">
        <f ca="1">(AU$425/AU$13+MIN(ABS($C$425-AU$425/AU$13),OFFSET(Assumptions!$B$43,0,$C$1))*SIGN($C$425-AU$425/AU$13))*AV$13</f>
        <v>310.58003224141339</v>
      </c>
      <c r="AW425" s="47">
        <f ca="1">(AV$425/AV$13+MIN(ABS($C$425-AV$425/AV$13),OFFSET(Assumptions!$B$43,0,$C$1))*SIGN($C$425-AV$425/AV$13))*AW$13</f>
        <v>321.02139577344246</v>
      </c>
      <c r="AX425" s="47">
        <f ca="1">(AW$425/AW$13+MIN(ABS($C$425-AW$425/AW$13),OFFSET(Assumptions!$B$43,0,$C$1))*SIGN($C$425-AW$425/AW$13))*AX$13</f>
        <v>331.79749646044837</v>
      </c>
    </row>
    <row r="426" spans="1:50" x14ac:dyDescent="0.25">
      <c r="A426" s="9" t="s">
        <v>978</v>
      </c>
      <c r="B426" s="10" t="str">
        <f t="shared" si="1438"/>
        <v>From Fiscal Forecasts</v>
      </c>
      <c r="C426" s="63" cm="1">
        <f t="array" aca="1" ref="C426" ca="1">SUMPRODUCT(OFFSET($N$426,0,0,1,-OFFSET(Assumptions!$B$39,0,$C$1))/OFFSET($N$13,0,0,1,-OFFSET(Assumptions!$B$39,0,$C$1)))/OFFSET(Assumptions!$B$39,0,$C$1)</f>
        <v>3.998926391049424E-2</v>
      </c>
      <c r="D426" s="42">
        <f>'Fiscal Forecasts'!D$129</f>
        <v>14.65</v>
      </c>
      <c r="E426" s="42">
        <f>'Fiscal Forecasts'!E$129</f>
        <v>14.308</v>
      </c>
      <c r="F426" s="42">
        <f>'Fiscal Forecasts'!F$129</f>
        <v>14.420999999999999</v>
      </c>
      <c r="G426" s="42">
        <f>'Fiscal Forecasts'!G$129</f>
        <v>16.247</v>
      </c>
      <c r="H426" s="42">
        <f>'Fiscal Forecasts'!H$129</f>
        <v>17.033999999999999</v>
      </c>
      <c r="I426" s="42">
        <f>'Fiscal Forecasts'!I$129</f>
        <v>17.951000000000001</v>
      </c>
      <c r="J426" s="43">
        <f>'Fiscal Forecasts'!J$129</f>
        <v>18.553000000000001</v>
      </c>
      <c r="K426" s="43">
        <f>'Fiscal Forecasts'!K$129</f>
        <v>16.738</v>
      </c>
      <c r="L426" s="43">
        <f>'Fiscal Forecasts'!L$129</f>
        <v>17.015000000000001</v>
      </c>
      <c r="M426" s="43">
        <f>'Fiscal Forecasts'!M$129</f>
        <v>17.399000000000001</v>
      </c>
      <c r="N426" s="43">
        <f>'Fiscal Forecasts'!N$129</f>
        <v>17.648</v>
      </c>
      <c r="O426" s="47">
        <f ca="1">(N$426/N$13+MIN(ABS($C$426-N$426/N$13),OFFSET(Assumptions!$B$43,0,$C$1))*SIGN($C$426-N$426/N$13))*O$13</f>
        <v>19.535008478238488</v>
      </c>
      <c r="P426" s="47">
        <f ca="1">(O$426/O$13+MIN(ABS($C$426-O$426/O$13),OFFSET(Assumptions!$B$43,0,$C$1))*SIGN($C$426-O$426/O$13))*P$13</f>
        <v>21.542041615941432</v>
      </c>
      <c r="Q426" s="47">
        <f ca="1">(P$426/P$13+MIN(ABS($C$426-P$426/P$13),OFFSET(Assumptions!$B$43,0,$C$1))*SIGN($C$426-P$426/P$13))*Q$13</f>
        <v>23.649083944476587</v>
      </c>
      <c r="R426" s="47">
        <f ca="1">(Q$426/Q$13+MIN(ABS($C$426-Q$426/Q$13),OFFSET(Assumptions!$B$43,0,$C$1))*SIGN($C$426-Q$426/Q$13))*R$13</f>
        <v>24.809498238387313</v>
      </c>
      <c r="S426" s="47">
        <f ca="1">(R$426/R$13+MIN(ABS($C$426-R$426/R$13),OFFSET(Assumptions!$B$43,0,$C$1))*SIGN($C$426-R$426/R$13))*S$13</f>
        <v>25.811565699253475</v>
      </c>
      <c r="T426" s="47">
        <f ca="1">(S$426/S$13+MIN(ABS($C$426-S$426/S$13),OFFSET(Assumptions!$B$43,0,$C$1))*SIGN($C$426-S$426/S$13))*T$13</f>
        <v>26.844194389058089</v>
      </c>
      <c r="U426" s="47">
        <f ca="1">(T$426/T$13+MIN(ABS($C$426-T$426/T$13),OFFSET(Assumptions!$B$43,0,$C$1))*SIGN($C$426-T$426/T$13))*U$13</f>
        <v>27.911542194626069</v>
      </c>
      <c r="V426" s="47">
        <f ca="1">(U$426/U$13+MIN(ABS($C$426-U$426/U$13),OFFSET(Assumptions!$B$43,0,$C$1))*SIGN($C$426-U$426/U$13))*V$13</f>
        <v>29.01390703133319</v>
      </c>
      <c r="W426" s="47">
        <f ca="1">(V$426/V$13+MIN(ABS($C$426-V$426/V$13),OFFSET(Assumptions!$B$43,0,$C$1))*SIGN($C$426-V$426/V$13))*W$13</f>
        <v>30.14554307718026</v>
      </c>
      <c r="X426" s="47">
        <f ca="1">(W$426/W$13+MIN(ABS($C$426-W$426/W$13),OFFSET(Assumptions!$B$43,0,$C$1))*SIGN($C$426-W$426/W$13))*X$13</f>
        <v>31.308283608353424</v>
      </c>
      <c r="Y426" s="47">
        <f ca="1">(X$426/X$13+MIN(ABS($C$426-X$426/X$13),OFFSET(Assumptions!$B$43,0,$C$1))*SIGN($C$426-X$426/X$13))*Y$13</f>
        <v>32.50821867678912</v>
      </c>
      <c r="Z426" s="47">
        <f ca="1">(Y$426/Y$13+MIN(ABS($C$426-Y$426/Y$13),OFFSET(Assumptions!$B$43,0,$C$1))*SIGN($C$426-Y$426/Y$13))*Z$13</f>
        <v>33.745555116321491</v>
      </c>
      <c r="AA426" s="47">
        <f ca="1">(Z$426/Z$13+MIN(ABS($C$426-Z$426/Z$13),OFFSET(Assumptions!$B$43,0,$C$1))*SIGN($C$426-Z$426/Z$13))*AA$13</f>
        <v>35.025353662802573</v>
      </c>
      <c r="AB426" s="47">
        <f ca="1">(AA$426/AA$13+MIN(ABS($C$426-AA$426/AA$13),OFFSET(Assumptions!$B$43,0,$C$1))*SIGN($C$426-AA$426/AA$13))*AB$13</f>
        <v>36.346256215167195</v>
      </c>
      <c r="AC426" s="47">
        <f ca="1">(AB$426/AB$13+MIN(ABS($C$426-AB$426/AB$13),OFFSET(Assumptions!$B$43,0,$C$1))*SIGN($C$426-AB$426/AB$13))*AC$13</f>
        <v>37.7082288029805</v>
      </c>
      <c r="AD426" s="47">
        <f ca="1">(AC$426/AC$13+MIN(ABS($C$426-AC$426/AC$13),OFFSET(Assumptions!$B$43,0,$C$1))*SIGN($C$426-AC$426/AC$13))*AD$13</f>
        <v>39.112247521389591</v>
      </c>
      <c r="AE426" s="47">
        <f ca="1">(AD$426/AD$13+MIN(ABS($C$426-AD$426/AD$13),OFFSET(Assumptions!$B$43,0,$C$1))*SIGN($C$426-AD$426/AD$13))*AE$13</f>
        <v>40.55792935773443</v>
      </c>
      <c r="AF426" s="47">
        <f ca="1">(AE$426/AE$13+MIN(ABS($C$426-AE$426/AE$13),OFFSET(Assumptions!$B$43,0,$C$1))*SIGN($C$426-AE$426/AE$13))*AF$13</f>
        <v>42.045613364656724</v>
      </c>
      <c r="AG426" s="47">
        <f ca="1">(AF$426/AF$13+MIN(ABS($C$426-AF$426/AF$13),OFFSET(Assumptions!$B$43,0,$C$1))*SIGN($C$426-AF$426/AF$13))*AG$13</f>
        <v>43.575459839038153</v>
      </c>
      <c r="AH426" s="47">
        <f ca="1">(AG$426/AG$13+MIN(ABS($C$426-AG$426/AG$13),OFFSET(Assumptions!$B$43,0,$C$1))*SIGN($C$426-AG$426/AG$13))*AH$13</f>
        <v>45.14674742279238</v>
      </c>
      <c r="AI426" s="47">
        <f ca="1">(AH$426/AH$13+MIN(ABS($C$426-AH$426/AH$13),OFFSET(Assumptions!$B$43,0,$C$1))*SIGN($C$426-AH$426/AH$13))*AI$13</f>
        <v>46.760965870683997</v>
      </c>
      <c r="AJ426" s="47">
        <f ca="1">(AI$426/AI$13+MIN(ABS($C$426-AI$426/AI$13),OFFSET(Assumptions!$B$43,0,$C$1))*SIGN($C$426-AI$426/AI$13))*AJ$13</f>
        <v>48.420019743997472</v>
      </c>
      <c r="AK426" s="47">
        <f ca="1">(AJ$426/AJ$13+MIN(ABS($C$426-AJ$426/AJ$13),OFFSET(Assumptions!$B$43,0,$C$1))*SIGN($C$426-AJ$426/AJ$13))*AK$13</f>
        <v>50.121706683097045</v>
      </c>
      <c r="AL426" s="47">
        <f ca="1">(AK$426/AK$13+MIN(ABS($C$426-AK$426/AK$13),OFFSET(Assumptions!$B$43,0,$C$1))*SIGN($C$426-AK$426/AK$13))*AL$13</f>
        <v>51.868361029720653</v>
      </c>
      <c r="AM426" s="47">
        <f ca="1">(AL$426/AL$13+MIN(ABS($C$426-AL$426/AL$13),OFFSET(Assumptions!$B$43,0,$C$1))*SIGN($C$426-AL$426/AL$13))*AM$13</f>
        <v>53.662509658820738</v>
      </c>
      <c r="AN426" s="47">
        <f ca="1">(AM$426/AM$13+MIN(ABS($C$426-AM$426/AM$13),OFFSET(Assumptions!$B$43,0,$C$1))*SIGN($C$426-AM$426/AM$13))*AN$13</f>
        <v>55.506192692326287</v>
      </c>
      <c r="AO426" s="47">
        <f ca="1">(AN$426/AN$13+MIN(ABS($C$426-AN$426/AN$13),OFFSET(Assumptions!$B$43,0,$C$1))*SIGN($C$426-AN$426/AN$13))*AO$13</f>
        <v>57.400176596196658</v>
      </c>
      <c r="AP426" s="47">
        <f ca="1">(AO$426/AO$13+MIN(ABS($C$426-AO$426/AO$13),OFFSET(Assumptions!$B$43,0,$C$1))*SIGN($C$426-AO$426/AO$13))*AP$13</f>
        <v>59.350288199317731</v>
      </c>
      <c r="AQ426" s="47">
        <f ca="1">(AP$426/AP$13+MIN(ABS($C$426-AP$426/AP$13),OFFSET(Assumptions!$B$43,0,$C$1))*SIGN($C$426-AP$426/AP$13))*AQ$13</f>
        <v>61.358432854913971</v>
      </c>
      <c r="AR426" s="47">
        <f ca="1">(AQ$426/AQ$13+MIN(ABS($C$426-AQ$426/AQ$13),OFFSET(Assumptions!$B$43,0,$C$1))*SIGN($C$426-AQ$426/AQ$13))*AR$13</f>
        <v>63.429851219799147</v>
      </c>
      <c r="AS426" s="47">
        <f ca="1">(AR$426/AR$13+MIN(ABS($C$426-AR$426/AR$13),OFFSET(Assumptions!$B$43,0,$C$1))*SIGN($C$426-AR$426/AR$13))*AS$13</f>
        <v>65.566092367952308</v>
      </c>
      <c r="AT426" s="47">
        <f ca="1">(AS$426/AS$13+MIN(ABS($C$426-AS$426/AS$13),OFFSET(Assumptions!$B$43,0,$C$1))*SIGN($C$426-AS$426/AS$13))*AT$13</f>
        <v>67.77380380011671</v>
      </c>
      <c r="AU426" s="47">
        <f ca="1">(AT$426/AT$13+MIN(ABS($C$426-AT$426/AT$13),OFFSET(Assumptions!$B$43,0,$C$1))*SIGN($C$426-AT$426/AT$13))*AU$13</f>
        <v>70.052031047009606</v>
      </c>
      <c r="AV426" s="47">
        <f ca="1">(AU$426/AU$13+MIN(ABS($C$426-AU$426/AU$13),OFFSET(Assumptions!$B$43,0,$C$1))*SIGN($C$426-AU$426/AU$13))*AV$13</f>
        <v>72.407233066277144</v>
      </c>
      <c r="AW426" s="47">
        <f ca="1">(AV$426/AV$13+MIN(ABS($C$426-AV$426/AV$13),OFFSET(Assumptions!$B$43,0,$C$1))*SIGN($C$426-AV$426/AV$13))*AW$13</f>
        <v>74.841485639880133</v>
      </c>
      <c r="AX426" s="47">
        <f ca="1">(AW$426/AW$13+MIN(ABS($C$426-AW$426/AW$13),OFFSET(Assumptions!$B$43,0,$C$1))*SIGN($C$426-AW$426/AW$13))*AX$13</f>
        <v>77.353777329589292</v>
      </c>
    </row>
    <row r="428" spans="1:50" x14ac:dyDescent="0.25">
      <c r="A428" s="9" t="s">
        <v>551</v>
      </c>
    </row>
    <row r="429" spans="1:50" x14ac:dyDescent="0.25">
      <c r="A429" s="9" t="s">
        <v>1004</v>
      </c>
      <c r="B429" s="10" t="str">
        <f t="shared" ref="B429:B430" si="1439">$B$38</f>
        <v>From Fiscal Forecasts</v>
      </c>
      <c r="C429" s="63" cm="1">
        <f t="array" aca="1" ref="C429" ca="1">SUMPRODUCT(OFFSET($N$429,0,0,1,-OFFSET(Assumptions!$B$39,0,$C$1))/OFFSET($N$13,0,0,1,-OFFSET(Assumptions!$B$39,0,$C$1)))/OFFSET(Assumptions!$B$39,0,$C$1)</f>
        <v>3.961263370016125E-3</v>
      </c>
      <c r="D429" s="42">
        <f>'Fiscal Forecasts'!D$188</f>
        <v>1.681</v>
      </c>
      <c r="E429" s="42">
        <f>'Fiscal Forecasts'!E$188</f>
        <v>1.57</v>
      </c>
      <c r="F429" s="42">
        <f>'Fiscal Forecasts'!F$188</f>
        <v>1.637</v>
      </c>
      <c r="G429" s="42">
        <f>'Fiscal Forecasts'!G$188</f>
        <v>1.4650000000000001</v>
      </c>
      <c r="H429" s="42">
        <f>'Fiscal Forecasts'!H$188</f>
        <v>1.583</v>
      </c>
      <c r="I429" s="42">
        <f>'Fiscal Forecasts'!I$188</f>
        <v>1.577</v>
      </c>
      <c r="J429" s="43">
        <f>'Fiscal Forecasts'!J$188+Allocation!C$45</f>
        <v>1.7180000000000002</v>
      </c>
      <c r="K429" s="43">
        <f>'Fiscal Forecasts'!K$188+Allocation!D$45</f>
        <v>1.7656000000000001</v>
      </c>
      <c r="L429" s="43">
        <f>'Fiscal Forecasts'!L$188+Allocation!E$45</f>
        <v>1.7520199999999999</v>
      </c>
      <c r="M429" s="43">
        <f>'Fiscal Forecasts'!M$188+Allocation!F$45</f>
        <v>1.7307900000000001</v>
      </c>
      <c r="N429" s="43">
        <f>'Fiscal Forecasts'!N$188+Allocation!G$45</f>
        <v>1.7121</v>
      </c>
      <c r="O429" s="47">
        <f ca="1">(N$429/N$13+MIN(ABS($C$429-N$429/N$13),OFFSET(Assumptions!$B$43,0,$C$1))*SIGN($C$429-N$429/N$13))*O$13</f>
        <v>2.1693286120771993</v>
      </c>
      <c r="P429" s="47">
        <f ca="1">(O$429/O$13+MIN(ABS($C$429-O$429/O$13),OFFSET(Assumptions!$B$43,0,$C$1))*SIGN($C$429-O$429/O$13))*P$13</f>
        <v>2.2652028102520081</v>
      </c>
      <c r="Q429" s="47">
        <f ca="1">(P$429/P$13+MIN(ABS($C$429-P$429/P$13),OFFSET(Assumptions!$B$43,0,$C$1))*SIGN($C$429-P$429/P$13))*Q$13</f>
        <v>2.3613962788280989</v>
      </c>
      <c r="R429" s="47">
        <f ca="1">(Q$429/Q$13+MIN(ABS($C$429-Q$429/Q$13),OFFSET(Assumptions!$B$43,0,$C$1))*SIGN($C$429-Q$429/Q$13))*R$13</f>
        <v>2.4575835359253202</v>
      </c>
      <c r="S429" s="47">
        <f ca="1">(R$429/R$13+MIN(ABS($C$429-R$429/R$13),OFFSET(Assumptions!$B$43,0,$C$1))*SIGN($C$429-R$429/R$13))*S$13</f>
        <v>2.556846506504094</v>
      </c>
      <c r="T429" s="47">
        <f ca="1">(S$429/S$13+MIN(ABS($C$429-S$429/S$13),OFFSET(Assumptions!$B$43,0,$C$1))*SIGN($C$429-S$429/S$13))*T$13</f>
        <v>2.6591368165459675</v>
      </c>
      <c r="U429" s="47">
        <f ca="1">(T$429/T$13+MIN(ABS($C$429-T$429/T$13),OFFSET(Assumptions!$B$43,0,$C$1))*SIGN($C$429-T$429/T$13))*U$13</f>
        <v>2.7648663387178916</v>
      </c>
      <c r="V429" s="47">
        <f ca="1">(U$429/U$13+MIN(ABS($C$429-U$429/U$13),OFFSET(Assumptions!$B$43,0,$C$1))*SIGN($C$429-U$429/U$13))*V$13</f>
        <v>2.874064583972308</v>
      </c>
      <c r="W429" s="47">
        <f ca="1">(V$429/V$13+MIN(ABS($C$429-V$429/V$13),OFFSET(Assumptions!$B$43,0,$C$1))*SIGN($C$429-V$429/V$13))*W$13</f>
        <v>2.9861623816871465</v>
      </c>
      <c r="X429" s="47">
        <f ca="1">(W$429/W$13+MIN(ABS($C$429-W$429/W$13),OFFSET(Assumptions!$B$43,0,$C$1))*SIGN($C$429-W$429/W$13))*X$13</f>
        <v>3.1013413328496018</v>
      </c>
      <c r="Y429" s="47">
        <f ca="1">(X$429/X$13+MIN(ABS($C$429-X$429/X$13),OFFSET(Assumptions!$B$43,0,$C$1))*SIGN($C$429-X$429/X$13))*Y$13</f>
        <v>3.220204706869966</v>
      </c>
      <c r="Z429" s="47">
        <f ca="1">(Y$429/Y$13+MIN(ABS($C$429-Y$429/Y$13),OFFSET(Assumptions!$B$43,0,$C$1))*SIGN($C$429-Y$429/Y$13))*Z$13</f>
        <v>3.3427729923296914</v>
      </c>
      <c r="AA429" s="47">
        <f ca="1">(Z$429/Z$13+MIN(ABS($C$429-Z$429/Z$13),OFFSET(Assumptions!$B$43,0,$C$1))*SIGN($C$429-Z$429/Z$13))*AA$13</f>
        <v>3.4695474964696635</v>
      </c>
      <c r="AB429" s="47">
        <f ca="1">(AA$429/AA$13+MIN(ABS($C$429-AA$429/AA$13),OFFSET(Assumptions!$B$43,0,$C$1))*SIGN($C$429-AA$429/AA$13))*AB$13</f>
        <v>3.6003936882814025</v>
      </c>
      <c r="AC429" s="47">
        <f ca="1">(AB$429/AB$13+MIN(ABS($C$429-AB$429/AB$13),OFFSET(Assumptions!$B$43,0,$C$1))*SIGN($C$429-AB$429/AB$13))*AC$13</f>
        <v>3.73530820271574</v>
      </c>
      <c r="AD429" s="47">
        <f ca="1">(AC$429/AC$13+MIN(ABS($C$429-AC$429/AC$13),OFFSET(Assumptions!$B$43,0,$C$1))*SIGN($C$429-AC$429/AC$13))*AD$13</f>
        <v>3.8743877299733396</v>
      </c>
      <c r="AE429" s="47">
        <f ca="1">(AD$429/AD$13+MIN(ABS($C$429-AD$429/AD$13),OFFSET(Assumptions!$B$43,0,$C$1))*SIGN($C$429-AD$429/AD$13))*AE$13</f>
        <v>4.0175943295203647</v>
      </c>
      <c r="AF429" s="47">
        <f ca="1">(AE$429/AE$13+MIN(ABS($C$429-AE$429/AE$13),OFFSET(Assumptions!$B$43,0,$C$1))*SIGN($C$429-AE$429/AE$13))*AF$13</f>
        <v>4.1649615872916081</v>
      </c>
      <c r="AG429" s="47">
        <f ca="1">(AF$429/AF$13+MIN(ABS($C$429-AF$429/AF$13),OFFSET(Assumptions!$B$43,0,$C$1))*SIGN($C$429-AF$429/AF$13))*AG$13</f>
        <v>4.316505382003097</v>
      </c>
      <c r="AH429" s="47">
        <f ca="1">(AG$429/AG$13+MIN(ABS($C$429-AG$429/AG$13),OFFSET(Assumptions!$B$43,0,$C$1))*SIGN($C$429-AG$429/AG$13))*AH$13</f>
        <v>4.4721542572416668</v>
      </c>
      <c r="AI429" s="47">
        <f ca="1">(AH$429/AH$13+MIN(ABS($C$429-AH$429/AH$13),OFFSET(Assumptions!$B$43,0,$C$1))*SIGN($C$429-AH$429/AH$13))*AI$13</f>
        <v>4.6320557853905582</v>
      </c>
      <c r="AJ429" s="47">
        <f ca="1">(AI$429/AI$13+MIN(ABS($C$429-AI$429/AI$13),OFFSET(Assumptions!$B$43,0,$C$1))*SIGN($C$429-AI$429/AI$13))*AJ$13</f>
        <v>4.7963986288084728</v>
      </c>
      <c r="AK429" s="47">
        <f ca="1">(AJ$429/AJ$13+MIN(ABS($C$429-AJ$429/AJ$13),OFFSET(Assumptions!$B$43,0,$C$1))*SIGN($C$429-AJ$429/AJ$13))*AK$13</f>
        <v>4.9649646257765001</v>
      </c>
      <c r="AL429" s="47">
        <f ca="1">(AK$429/AK$13+MIN(ABS($C$429-AK$429/AK$13),OFFSET(Assumptions!$B$43,0,$C$1))*SIGN($C$429-AK$429/AK$13))*AL$13</f>
        <v>5.1379850119192874</v>
      </c>
      <c r="AM429" s="47">
        <f ca="1">(AL$429/AL$13+MIN(ABS($C$429-AL$429/AL$13),OFFSET(Assumptions!$B$43,0,$C$1))*SIGN($C$429-AL$429/AL$13))*AM$13</f>
        <v>5.3157100948497016</v>
      </c>
      <c r="AN429" s="47">
        <f ca="1">(AM$429/AM$13+MIN(ABS($C$429-AM$429/AM$13),OFFSET(Assumptions!$B$43,0,$C$1))*SIGN($C$429-AM$429/AM$13))*AN$13</f>
        <v>5.4983419653160439</v>
      </c>
      <c r="AO429" s="47">
        <f ca="1">(AN$429/AN$13+MIN(ABS($C$429-AN$429/AN$13),OFFSET(Assumptions!$B$43,0,$C$1))*SIGN($C$429-AN$429/AN$13))*AO$13</f>
        <v>5.6859565480349064</v>
      </c>
      <c r="AP429" s="47">
        <f ca="1">(AO$429/AO$13+MIN(ABS($C$429-AO$429/AO$13),OFFSET(Assumptions!$B$43,0,$C$1))*SIGN($C$429-AO$429/AO$13))*AP$13</f>
        <v>5.8791310380224484</v>
      </c>
      <c r="AQ429" s="47">
        <f ca="1">(AP$429/AP$13+MIN(ABS($C$429-AP$429/AP$13),OFFSET(Assumptions!$B$43,0,$C$1))*SIGN($C$429-AP$429/AP$13))*AQ$13</f>
        <v>6.0780541760854989</v>
      </c>
      <c r="AR429" s="47">
        <f ca="1">(AQ$429/AQ$13+MIN(ABS($C$429-AQ$429/AQ$13),OFFSET(Assumptions!$B$43,0,$C$1))*SIGN($C$429-AQ$429/AQ$13))*AR$13</f>
        <v>6.283245092106462</v>
      </c>
      <c r="AS429" s="47">
        <f ca="1">(AR$429/AR$13+MIN(ABS($C$429-AR$429/AR$13),OFFSET(Assumptions!$B$43,0,$C$1))*SIGN($C$429-AR$429/AR$13))*AS$13</f>
        <v>6.4948572345215059</v>
      </c>
      <c r="AT429" s="47">
        <f ca="1">(AS$429/AS$13+MIN(ABS($C$429-AS$429/AS$13),OFFSET(Assumptions!$B$43,0,$C$1))*SIGN($C$429-AS$429/AS$13))*AT$13</f>
        <v>6.7135490926005357</v>
      </c>
      <c r="AU429" s="47">
        <f ca="1">(AT$429/AT$13+MIN(ABS($C$429-AT$429/AT$13),OFFSET(Assumptions!$B$43,0,$C$1))*SIGN($C$429-AT$429/AT$13))*AU$13</f>
        <v>6.9392261183614732</v>
      </c>
      <c r="AV429" s="47">
        <f ca="1">(AU$429/AU$13+MIN(ABS($C$429-AU$429/AU$13),OFFSET(Assumptions!$B$43,0,$C$1))*SIGN($C$429-AU$429/AU$13))*AV$13</f>
        <v>7.1725281243397374</v>
      </c>
      <c r="AW429" s="47">
        <f ca="1">(AV$429/AV$13+MIN(ABS($C$429-AV$429/AV$13),OFFSET(Assumptions!$B$43,0,$C$1))*SIGN($C$429-AV$429/AV$13))*AW$13</f>
        <v>7.4136607337011835</v>
      </c>
      <c r="AX429" s="47">
        <f ca="1">(AW$429/AW$13+MIN(ABS($C$429-AW$429/AW$13),OFFSET(Assumptions!$B$43,0,$C$1))*SIGN($C$429-AW$429/AW$13))*AX$13</f>
        <v>7.6625237552240471</v>
      </c>
    </row>
    <row r="430" spans="1:50" x14ac:dyDescent="0.25">
      <c r="A430" s="11" t="s">
        <v>1342</v>
      </c>
      <c r="B430" s="10" t="str">
        <f t="shared" si="1439"/>
        <v>From Fiscal Forecasts</v>
      </c>
      <c r="D430" s="35">
        <f>SUM('Fiscal Forecasts'!D$353:D$355)</f>
        <v>2.23</v>
      </c>
      <c r="E430" s="35">
        <f>SUM('Fiscal Forecasts'!E$353:E$355)</f>
        <v>2.3220000000000001</v>
      </c>
      <c r="F430" s="35">
        <f>SUM('Fiscal Forecasts'!F$353:F$355)</f>
        <v>1.964</v>
      </c>
      <c r="G430" s="35">
        <f>SUM('Fiscal Forecasts'!G$353:G$355)</f>
        <v>2.2320000000000002</v>
      </c>
      <c r="H430" s="35">
        <f>SUM('Fiscal Forecasts'!H$353:H$355)</f>
        <v>2.3249999999999997</v>
      </c>
      <c r="I430" s="35">
        <f>SUM('Fiscal Forecasts'!I$353:I$355)</f>
        <v>2.5069999999999997</v>
      </c>
      <c r="J430" s="17">
        <f>SUM('Fiscal Forecasts'!J$353:J$355)</f>
        <v>2.4699999999999998</v>
      </c>
      <c r="K430" s="17">
        <f>SUM('Fiscal Forecasts'!K$353:K$355)</f>
        <v>2.4269999999999996</v>
      </c>
      <c r="L430" s="17">
        <f>SUM('Fiscal Forecasts'!L$353:L$355)</f>
        <v>2.3959999999999999</v>
      </c>
      <c r="M430" s="17">
        <f>SUM('Fiscal Forecasts'!M$353:M$355)</f>
        <v>2.3809999999999998</v>
      </c>
      <c r="N430" s="17">
        <f>SUM('Fiscal Forecasts'!N$353:N$355)</f>
        <v>2.4</v>
      </c>
      <c r="O430" s="16">
        <f t="shared" ref="O430:AX430" ca="1" si="1440">N$430*(1+O$14)</f>
        <v>2.5076705432263493</v>
      </c>
      <c r="P430" s="16">
        <f t="shared" ca="1" si="1440"/>
        <v>2.6184978753695431</v>
      </c>
      <c r="Q430" s="16">
        <f t="shared" ca="1" si="1440"/>
        <v>2.7296942733039509</v>
      </c>
      <c r="R430" s="16">
        <f t="shared" ca="1" si="1440"/>
        <v>2.8408834909787593</v>
      </c>
      <c r="S430" s="16">
        <f t="shared" ca="1" si="1440"/>
        <v>2.955628129466326</v>
      </c>
      <c r="T430" s="16">
        <f t="shared" ca="1" si="1440"/>
        <v>3.0738722700365644</v>
      </c>
      <c r="U430" s="16">
        <f t="shared" ca="1" si="1440"/>
        <v>3.196092023569459</v>
      </c>
      <c r="V430" s="16">
        <f t="shared" ca="1" si="1440"/>
        <v>3.3223215037284386</v>
      </c>
      <c r="W430" s="16">
        <f t="shared" ca="1" si="1440"/>
        <v>3.4519027685147265</v>
      </c>
      <c r="X430" s="16">
        <f t="shared" ca="1" si="1440"/>
        <v>3.5850457425306508</v>
      </c>
      <c r="Y430" s="16">
        <f t="shared" ca="1" si="1440"/>
        <v>3.7224477848214921</v>
      </c>
      <c r="Z430" s="16">
        <f t="shared" ca="1" si="1440"/>
        <v>3.8641325794948105</v>
      </c>
      <c r="AA430" s="16">
        <f t="shared" ca="1" si="1440"/>
        <v>4.0106796207747974</v>
      </c>
      <c r="AB430" s="16">
        <f t="shared" ca="1" si="1440"/>
        <v>4.1619333953633593</v>
      </c>
      <c r="AC430" s="16">
        <f t="shared" ca="1" si="1440"/>
        <v>4.3178900133774096</v>
      </c>
      <c r="AD430" s="16">
        <f t="shared" ca="1" si="1440"/>
        <v>4.4786612454203842</v>
      </c>
      <c r="AE430" s="16">
        <f t="shared" ca="1" si="1440"/>
        <v>4.6442032335177172</v>
      </c>
      <c r="AF430" s="16">
        <f t="shared" ca="1" si="1440"/>
        <v>4.8145548018746842</v>
      </c>
      <c r="AG430" s="16">
        <f t="shared" ca="1" si="1440"/>
        <v>4.9897343057502441</v>
      </c>
      <c r="AH430" s="16">
        <f t="shared" ca="1" si="1440"/>
        <v>5.1696591439463049</v>
      </c>
      <c r="AI430" s="16">
        <f t="shared" ca="1" si="1440"/>
        <v>5.3544999051493312</v>
      </c>
      <c r="AJ430" s="16">
        <f t="shared" ca="1" si="1440"/>
        <v>5.5444746766684103</v>
      </c>
      <c r="AK430" s="16">
        <f t="shared" ca="1" si="1440"/>
        <v>5.7393312709312534</v>
      </c>
      <c r="AL430" s="16">
        <f t="shared" ca="1" si="1440"/>
        <v>5.9393369885032277</v>
      </c>
      <c r="AM430" s="16">
        <f t="shared" ca="1" si="1440"/>
        <v>6.1447811765233693</v>
      </c>
      <c r="AN430" s="16">
        <f t="shared" ca="1" si="1440"/>
        <v>6.3558974450652039</v>
      </c>
      <c r="AO430" s="16">
        <f t="shared" ca="1" si="1440"/>
        <v>6.5727735605345412</v>
      </c>
      <c r="AP430" s="16">
        <f t="shared" ca="1" si="1440"/>
        <v>6.7960767408584699</v>
      </c>
      <c r="AQ430" s="16">
        <f t="shared" ca="1" si="1440"/>
        <v>7.0260251640294582</v>
      </c>
      <c r="AR430" s="16">
        <f t="shared" ca="1" si="1440"/>
        <v>7.2632189266428142</v>
      </c>
      <c r="AS430" s="16">
        <f t="shared" ca="1" si="1440"/>
        <v>7.5078354099035538</v>
      </c>
      <c r="AT430" s="16">
        <f t="shared" ca="1" si="1440"/>
        <v>7.7606358051480084</v>
      </c>
      <c r="AU430" s="16">
        <f t="shared" ca="1" si="1440"/>
        <v>8.0215108181050105</v>
      </c>
      <c r="AV430" s="16">
        <f t="shared" ca="1" si="1440"/>
        <v>8.2912000504371797</v>
      </c>
      <c r="AW430" s="16">
        <f t="shared" ca="1" si="1440"/>
        <v>8.5699411955733265</v>
      </c>
      <c r="AX430" s="16">
        <f t="shared" ca="1" si="1440"/>
        <v>8.8576184358479697</v>
      </c>
    </row>
    <row r="431" spans="1:50" x14ac:dyDescent="0.25">
      <c r="A431" s="9" t="s">
        <v>980</v>
      </c>
      <c r="D431" s="64">
        <f t="shared" ref="D431:AX431" si="1441">SUM(D$429:D$430)</f>
        <v>3.911</v>
      </c>
      <c r="E431" s="64">
        <f t="shared" si="1441"/>
        <v>3.8920000000000003</v>
      </c>
      <c r="F431" s="64">
        <f t="shared" si="1441"/>
        <v>3.601</v>
      </c>
      <c r="G431" s="64">
        <f t="shared" si="1441"/>
        <v>3.6970000000000001</v>
      </c>
      <c r="H431" s="64">
        <f t="shared" si="1441"/>
        <v>3.9079999999999995</v>
      </c>
      <c r="I431" s="64">
        <f t="shared" si="1441"/>
        <v>4.0839999999999996</v>
      </c>
      <c r="J431" s="65">
        <f t="shared" si="1441"/>
        <v>4.1879999999999997</v>
      </c>
      <c r="K431" s="65">
        <f t="shared" si="1441"/>
        <v>4.1925999999999997</v>
      </c>
      <c r="L431" s="65">
        <f t="shared" si="1441"/>
        <v>4.1480199999999998</v>
      </c>
      <c r="M431" s="65">
        <f t="shared" si="1441"/>
        <v>4.1117900000000001</v>
      </c>
      <c r="N431" s="65">
        <f t="shared" si="1441"/>
        <v>4.1120999999999999</v>
      </c>
      <c r="O431" s="66">
        <f t="shared" ca="1" si="1441"/>
        <v>4.6769991553035482</v>
      </c>
      <c r="P431" s="66">
        <f t="shared" ca="1" si="1441"/>
        <v>4.8837006856215517</v>
      </c>
      <c r="Q431" s="66">
        <f t="shared" ca="1" si="1441"/>
        <v>5.0910905521320498</v>
      </c>
      <c r="R431" s="66">
        <f t="shared" ca="1" si="1441"/>
        <v>5.2984670269040794</v>
      </c>
      <c r="S431" s="66">
        <f t="shared" ca="1" si="1441"/>
        <v>5.5124746359704204</v>
      </c>
      <c r="T431" s="66">
        <f t="shared" ca="1" si="1441"/>
        <v>5.7330090865825323</v>
      </c>
      <c r="U431" s="66">
        <f t="shared" ca="1" si="1441"/>
        <v>5.9609583622873501</v>
      </c>
      <c r="V431" s="66">
        <f t="shared" ca="1" si="1441"/>
        <v>6.1963860877007466</v>
      </c>
      <c r="W431" s="66">
        <f t="shared" ca="1" si="1441"/>
        <v>6.4380651502018731</v>
      </c>
      <c r="X431" s="66">
        <f t="shared" ca="1" si="1441"/>
        <v>6.686387075380253</v>
      </c>
      <c r="Y431" s="66">
        <f t="shared" ca="1" si="1441"/>
        <v>6.942652491691458</v>
      </c>
      <c r="Z431" s="66">
        <f t="shared" ca="1" si="1441"/>
        <v>7.2069055718245014</v>
      </c>
      <c r="AA431" s="66">
        <f t="shared" ca="1" si="1441"/>
        <v>7.4802271172444605</v>
      </c>
      <c r="AB431" s="66">
        <f t="shared" ca="1" si="1441"/>
        <v>7.7623270836447613</v>
      </c>
      <c r="AC431" s="66">
        <f t="shared" ca="1" si="1441"/>
        <v>8.0531982160931506</v>
      </c>
      <c r="AD431" s="66">
        <f t="shared" ca="1" si="1441"/>
        <v>8.3530489753937243</v>
      </c>
      <c r="AE431" s="66">
        <f t="shared" ca="1" si="1441"/>
        <v>8.6617975630380819</v>
      </c>
      <c r="AF431" s="66">
        <f t="shared" ca="1" si="1441"/>
        <v>8.9795163891662924</v>
      </c>
      <c r="AG431" s="66">
        <f t="shared" ca="1" si="1441"/>
        <v>9.3062396877533402</v>
      </c>
      <c r="AH431" s="66">
        <f t="shared" ca="1" si="1441"/>
        <v>9.6418134011879708</v>
      </c>
      <c r="AI431" s="66">
        <f t="shared" ca="1" si="1441"/>
        <v>9.9865556905398893</v>
      </c>
      <c r="AJ431" s="66">
        <f t="shared" ca="1" si="1441"/>
        <v>10.340873305476883</v>
      </c>
      <c r="AK431" s="66">
        <f t="shared" ca="1" si="1441"/>
        <v>10.704295896707753</v>
      </c>
      <c r="AL431" s="66">
        <f t="shared" ca="1" si="1441"/>
        <v>11.077322000422516</v>
      </c>
      <c r="AM431" s="66">
        <f t="shared" ca="1" si="1441"/>
        <v>11.460491271373071</v>
      </c>
      <c r="AN431" s="66">
        <f t="shared" ca="1" si="1441"/>
        <v>11.854239410381247</v>
      </c>
      <c r="AO431" s="66">
        <f t="shared" ca="1" si="1441"/>
        <v>12.258730108569448</v>
      </c>
      <c r="AP431" s="66">
        <f t="shared" ca="1" si="1441"/>
        <v>12.675207778880917</v>
      </c>
      <c r="AQ431" s="66">
        <f t="shared" ca="1" si="1441"/>
        <v>13.104079340114957</v>
      </c>
      <c r="AR431" s="66">
        <f t="shared" ca="1" si="1441"/>
        <v>13.546464018749276</v>
      </c>
      <c r="AS431" s="66">
        <f t="shared" ca="1" si="1441"/>
        <v>14.002692644425061</v>
      </c>
      <c r="AT431" s="66">
        <f t="shared" ca="1" si="1441"/>
        <v>14.474184897748543</v>
      </c>
      <c r="AU431" s="66">
        <f t="shared" ca="1" si="1441"/>
        <v>14.960736936466484</v>
      </c>
      <c r="AV431" s="66">
        <f t="shared" ca="1" si="1441"/>
        <v>15.463728174776918</v>
      </c>
      <c r="AW431" s="66">
        <f t="shared" ca="1" si="1441"/>
        <v>15.98360192927451</v>
      </c>
      <c r="AX431" s="66">
        <f t="shared" ca="1" si="1441"/>
        <v>16.520142191072019</v>
      </c>
    </row>
    <row r="433" spans="1:50" x14ac:dyDescent="0.25">
      <c r="A433" s="9" t="s">
        <v>555</v>
      </c>
    </row>
    <row r="434" spans="1:50" x14ac:dyDescent="0.25">
      <c r="A434" s="9" t="s">
        <v>981</v>
      </c>
      <c r="B434" s="10" t="str">
        <f t="shared" ref="B434" si="1442">$B$38</f>
        <v>From Fiscal Forecasts</v>
      </c>
      <c r="D434" s="42">
        <f>'Fiscal Forecasts'!D$134</f>
        <v>6.8129999999999997</v>
      </c>
      <c r="E434" s="42">
        <f>'Fiscal Forecasts'!E$134</f>
        <v>8.0220000000000002</v>
      </c>
      <c r="F434" s="42">
        <f>'Fiscal Forecasts'!F$134</f>
        <v>8.2560000000000002</v>
      </c>
      <c r="G434" s="42">
        <f>'Fiscal Forecasts'!G$134</f>
        <v>9.0609999999999999</v>
      </c>
      <c r="H434" s="42">
        <f>'Fiscal Forecasts'!H$134</f>
        <v>9.0020000000000007</v>
      </c>
      <c r="I434" s="42">
        <f>'Fiscal Forecasts'!I$134</f>
        <v>8.9770000000000003</v>
      </c>
      <c r="J434" s="43">
        <f>'Fiscal Forecasts'!J$134</f>
        <v>9.0660000000000007</v>
      </c>
      <c r="K434" s="43">
        <f>'Fiscal Forecasts'!K$134</f>
        <v>9.1560000000000006</v>
      </c>
      <c r="L434" s="43">
        <f>'Fiscal Forecasts'!L$134</f>
        <v>9.2479999999999993</v>
      </c>
      <c r="M434" s="43">
        <f>'Fiscal Forecasts'!M$134</f>
        <v>9.34</v>
      </c>
      <c r="N434" s="43">
        <f>'Fiscal Forecasts'!N$134</f>
        <v>9.4339999999999993</v>
      </c>
      <c r="O434" s="47">
        <f t="shared" ref="O434:AX434" ca="1" si="1443">N$434*(1+O$29)</f>
        <v>9.622679999999999</v>
      </c>
      <c r="P434" s="47">
        <f t="shared" ca="1" si="1443"/>
        <v>9.8151335999999993</v>
      </c>
      <c r="Q434" s="47">
        <f t="shared" ca="1" si="1443"/>
        <v>10.011436271999999</v>
      </c>
      <c r="R434" s="47">
        <f t="shared" ca="1" si="1443"/>
        <v>10.21166499744</v>
      </c>
      <c r="S434" s="47">
        <f t="shared" ca="1" si="1443"/>
        <v>10.4158982973888</v>
      </c>
      <c r="T434" s="47">
        <f t="shared" ca="1" si="1443"/>
        <v>10.624216263336576</v>
      </c>
      <c r="U434" s="47">
        <f t="shared" ca="1" si="1443"/>
        <v>10.836700588603309</v>
      </c>
      <c r="V434" s="47">
        <f t="shared" ca="1" si="1443"/>
        <v>11.053434600375375</v>
      </c>
      <c r="W434" s="47">
        <f t="shared" ca="1" si="1443"/>
        <v>11.274503292382883</v>
      </c>
      <c r="X434" s="47">
        <f t="shared" ca="1" si="1443"/>
        <v>11.499993358230542</v>
      </c>
      <c r="Y434" s="47">
        <f t="shared" ca="1" si="1443"/>
        <v>11.729993225395154</v>
      </c>
      <c r="Z434" s="47">
        <f t="shared" ca="1" si="1443"/>
        <v>11.964593089903056</v>
      </c>
      <c r="AA434" s="47">
        <f t="shared" ca="1" si="1443"/>
        <v>12.203884951701118</v>
      </c>
      <c r="AB434" s="47">
        <f t="shared" ca="1" si="1443"/>
        <v>12.447962650735141</v>
      </c>
      <c r="AC434" s="47">
        <f t="shared" ca="1" si="1443"/>
        <v>12.696921903749844</v>
      </c>
      <c r="AD434" s="47">
        <f t="shared" ca="1" si="1443"/>
        <v>12.950860341824841</v>
      </c>
      <c r="AE434" s="47">
        <f t="shared" ca="1" si="1443"/>
        <v>13.209877548661337</v>
      </c>
      <c r="AF434" s="47">
        <f t="shared" ca="1" si="1443"/>
        <v>13.474075099634565</v>
      </c>
      <c r="AG434" s="47">
        <f t="shared" ca="1" si="1443"/>
        <v>13.743556601627256</v>
      </c>
      <c r="AH434" s="47">
        <f t="shared" ca="1" si="1443"/>
        <v>14.018427733659802</v>
      </c>
      <c r="AI434" s="47">
        <f t="shared" ca="1" si="1443"/>
        <v>14.298796288332998</v>
      </c>
      <c r="AJ434" s="47">
        <f t="shared" ca="1" si="1443"/>
        <v>14.584772214099658</v>
      </c>
      <c r="AK434" s="47">
        <f t="shared" ca="1" si="1443"/>
        <v>14.876467658381651</v>
      </c>
      <c r="AL434" s="47">
        <f t="shared" ca="1" si="1443"/>
        <v>15.173997011549284</v>
      </c>
      <c r="AM434" s="47">
        <f t="shared" ca="1" si="1443"/>
        <v>15.47747695178027</v>
      </c>
      <c r="AN434" s="47">
        <f t="shared" ca="1" si="1443"/>
        <v>15.787026490815876</v>
      </c>
      <c r="AO434" s="47">
        <f t="shared" ca="1" si="1443"/>
        <v>16.102767020632193</v>
      </c>
      <c r="AP434" s="47">
        <f t="shared" ca="1" si="1443"/>
        <v>16.424822361044836</v>
      </c>
      <c r="AQ434" s="47">
        <f t="shared" ca="1" si="1443"/>
        <v>16.753318808265732</v>
      </c>
      <c r="AR434" s="47">
        <f t="shared" ca="1" si="1443"/>
        <v>17.088385184431047</v>
      </c>
      <c r="AS434" s="47">
        <f t="shared" ca="1" si="1443"/>
        <v>17.430152888119668</v>
      </c>
      <c r="AT434" s="47">
        <f t="shared" ca="1" si="1443"/>
        <v>17.778755945882061</v>
      </c>
      <c r="AU434" s="47">
        <f t="shared" ca="1" si="1443"/>
        <v>18.134331064799703</v>
      </c>
      <c r="AV434" s="47">
        <f t="shared" ca="1" si="1443"/>
        <v>18.497017686095699</v>
      </c>
      <c r="AW434" s="47">
        <f t="shared" ca="1" si="1443"/>
        <v>18.866958039817614</v>
      </c>
      <c r="AX434" s="47">
        <f t="shared" ca="1" si="1443"/>
        <v>19.244297200613968</v>
      </c>
    </row>
    <row r="436" spans="1:50" x14ac:dyDescent="0.25">
      <c r="A436" s="9" t="s">
        <v>556</v>
      </c>
    </row>
    <row r="437" spans="1:50" x14ac:dyDescent="0.25">
      <c r="A437" s="11" t="s">
        <v>982</v>
      </c>
      <c r="D437" s="35">
        <f t="shared" ref="D437:AX437" si="1444">D$386-D$73</f>
        <v>1.0880000000000001</v>
      </c>
      <c r="E437" s="35">
        <f t="shared" si="1444"/>
        <v>1.5510000000000002</v>
      </c>
      <c r="F437" s="35">
        <f t="shared" si="1444"/>
        <v>2.7319999999999998</v>
      </c>
      <c r="G437" s="35">
        <f t="shared" si="1444"/>
        <v>-0.8879999999999999</v>
      </c>
      <c r="H437" s="35">
        <f t="shared" si="1444"/>
        <v>0.40799999999999992</v>
      </c>
      <c r="I437" s="35">
        <f t="shared" si="1444"/>
        <v>1.4810000000000003</v>
      </c>
      <c r="J437" s="17">
        <f t="shared" si="1444"/>
        <v>1.3769999999999998</v>
      </c>
      <c r="K437" s="17">
        <f t="shared" si="1444"/>
        <v>0.48899999999999988</v>
      </c>
      <c r="L437" s="17">
        <f t="shared" si="1444"/>
        <v>0.53200000000000003</v>
      </c>
      <c r="M437" s="17">
        <f t="shared" si="1444"/>
        <v>0.57600000000000051</v>
      </c>
      <c r="N437" s="17">
        <f t="shared" si="1444"/>
        <v>0.59400000000000031</v>
      </c>
      <c r="O437" s="16">
        <f t="shared" ca="1" si="1444"/>
        <v>3.3543930119338654</v>
      </c>
      <c r="P437" s="16">
        <f t="shared" ca="1" si="1444"/>
        <v>3.5700239325989687</v>
      </c>
      <c r="Q437" s="16">
        <f t="shared" ca="1" si="1444"/>
        <v>3.7961526294121031</v>
      </c>
      <c r="R437" s="16">
        <f t="shared" ca="1" si="1444"/>
        <v>4.032000305342069</v>
      </c>
      <c r="S437" s="16">
        <f t="shared" ca="1" si="1444"/>
        <v>4.2775312256238065</v>
      </c>
      <c r="T437" s="16">
        <f t="shared" ca="1" si="1444"/>
        <v>4.533925465409391</v>
      </c>
      <c r="U437" s="16">
        <f t="shared" ca="1" si="1444"/>
        <v>4.8002970344900522</v>
      </c>
      <c r="V437" s="16">
        <f t="shared" ca="1" si="1444"/>
        <v>5.0784207020960368</v>
      </c>
      <c r="W437" s="16">
        <f t="shared" ca="1" si="1444"/>
        <v>5.3710959428966589</v>
      </c>
      <c r="X437" s="16">
        <f t="shared" ca="1" si="1444"/>
        <v>5.681330896920656</v>
      </c>
      <c r="Y437" s="16">
        <f t="shared" ca="1" si="1444"/>
        <v>6.0130992473020459</v>
      </c>
      <c r="Z437" s="16">
        <f t="shared" ca="1" si="1444"/>
        <v>6.3700429159462839</v>
      </c>
      <c r="AA437" s="16">
        <f t="shared" ca="1" si="1444"/>
        <v>6.7540958537298827</v>
      </c>
      <c r="AB437" s="16">
        <f t="shared" ca="1" si="1444"/>
        <v>7.1684433669332517</v>
      </c>
      <c r="AC437" s="16">
        <f t="shared" ca="1" si="1444"/>
        <v>7.6133687850042175</v>
      </c>
      <c r="AD437" s="16">
        <f t="shared" ca="1" si="1444"/>
        <v>8.0884341984942463</v>
      </c>
      <c r="AE437" s="16">
        <f t="shared" ca="1" si="1444"/>
        <v>8.5941404924435574</v>
      </c>
      <c r="AF437" s="16">
        <f t="shared" ca="1" si="1444"/>
        <v>9.1305682407820097</v>
      </c>
      <c r="AG437" s="16">
        <f t="shared" ca="1" si="1444"/>
        <v>9.6968739650744524</v>
      </c>
      <c r="AH437" s="16">
        <f t="shared" ca="1" si="1444"/>
        <v>10.293005202183304</v>
      </c>
      <c r="AI437" s="16">
        <f t="shared" ca="1" si="1444"/>
        <v>10.918358877645712</v>
      </c>
      <c r="AJ437" s="16">
        <f t="shared" ca="1" si="1444"/>
        <v>11.572312329091005</v>
      </c>
      <c r="AK437" s="16">
        <f t="shared" ca="1" si="1444"/>
        <v>12.251051132808538</v>
      </c>
      <c r="AL437" s="16">
        <f t="shared" ca="1" si="1444"/>
        <v>12.950605969244567</v>
      </c>
      <c r="AM437" s="16">
        <f t="shared" ca="1" si="1444"/>
        <v>13.668855603787506</v>
      </c>
      <c r="AN437" s="16">
        <f t="shared" ca="1" si="1444"/>
        <v>14.400610219187637</v>
      </c>
      <c r="AO437" s="16">
        <f t="shared" ca="1" si="1444"/>
        <v>15.143011690962592</v>
      </c>
      <c r="AP437" s="16">
        <f t="shared" ca="1" si="1444"/>
        <v>15.895662019899827</v>
      </c>
      <c r="AQ437" s="16">
        <f t="shared" ca="1" si="1444"/>
        <v>16.659833445634515</v>
      </c>
      <c r="AR437" s="16">
        <f t="shared" ca="1" si="1444"/>
        <v>17.438732133097528</v>
      </c>
      <c r="AS437" s="16">
        <f t="shared" ca="1" si="1444"/>
        <v>18.233023874861555</v>
      </c>
      <c r="AT437" s="16">
        <f t="shared" ca="1" si="1444"/>
        <v>19.045466950589752</v>
      </c>
      <c r="AU437" s="16">
        <f t="shared" ca="1" si="1444"/>
        <v>19.878764458542946</v>
      </c>
      <c r="AV437" s="16">
        <f t="shared" ca="1" si="1444"/>
        <v>20.734532779628353</v>
      </c>
      <c r="AW437" s="16">
        <f t="shared" ca="1" si="1444"/>
        <v>21.616599435086393</v>
      </c>
      <c r="AX437" s="16">
        <f t="shared" ca="1" si="1444"/>
        <v>22.520902693259266</v>
      </c>
    </row>
    <row r="438" spans="1:50" x14ac:dyDescent="0.25">
      <c r="A438" s="11" t="s">
        <v>712</v>
      </c>
      <c r="B438" s="10" t="str">
        <f t="shared" ref="B438:B441" si="1445">$B$38</f>
        <v>From Fiscal Forecasts</v>
      </c>
      <c r="D438" s="35">
        <f>'Fiscal Forecasts'!D$371</f>
        <v>6.2930000000000001</v>
      </c>
      <c r="E438" s="35">
        <f>'Fiscal Forecasts'!E$371</f>
        <v>5.0430000000000001</v>
      </c>
      <c r="F438" s="35">
        <f>'Fiscal Forecasts'!F$371</f>
        <v>5.3979999999999997</v>
      </c>
      <c r="G438" s="35">
        <f>'Fiscal Forecasts'!G$371</f>
        <v>5.4870000000000001</v>
      </c>
      <c r="H438" s="35">
        <f>'Fiscal Forecasts'!H$371</f>
        <v>6.2060000000000004</v>
      </c>
      <c r="I438" s="35">
        <f>'Fiscal Forecasts'!I$371</f>
        <v>6.65</v>
      </c>
      <c r="J438" s="17">
        <f>'Fiscal Forecasts'!J$371</f>
        <v>7.2039999999999997</v>
      </c>
      <c r="K438" s="17">
        <f>'Fiscal Forecasts'!K$371</f>
        <v>7.3639999999999999</v>
      </c>
      <c r="L438" s="17">
        <f>'Fiscal Forecasts'!L$371</f>
        <v>6.9560000000000004</v>
      </c>
      <c r="M438" s="17">
        <f>'Fiscal Forecasts'!M$371</f>
        <v>7.1340000000000003</v>
      </c>
      <c r="N438" s="17">
        <f>'Fiscal Forecasts'!N$371</f>
        <v>7.3280000000000003</v>
      </c>
      <c r="O438" s="16">
        <f t="shared" ref="O438:AX438" ca="1" si="1446">N$438*O$140/N$140</f>
        <v>7.62133865197716</v>
      </c>
      <c r="P438" s="16">
        <f t="shared" ca="1" si="1446"/>
        <v>7.9459164653333296</v>
      </c>
      <c r="Q438" s="16">
        <f t="shared" ca="1" si="1446"/>
        <v>8.2806000693341133</v>
      </c>
      <c r="R438" s="16">
        <f t="shared" ca="1" si="1446"/>
        <v>8.6162967324439794</v>
      </c>
      <c r="S438" s="16">
        <f t="shared" ca="1" si="1446"/>
        <v>8.9626878123362275</v>
      </c>
      <c r="T438" s="16">
        <f t="shared" ca="1" si="1446"/>
        <v>9.319544676017431</v>
      </c>
      <c r="U438" s="16">
        <f t="shared" ca="1" si="1446"/>
        <v>9.6883691079792005</v>
      </c>
      <c r="V438" s="16">
        <f t="shared" ca="1" si="1446"/>
        <v>10.069208177445516</v>
      </c>
      <c r="W438" s="16">
        <f t="shared" ca="1" si="1446"/>
        <v>10.459947908624155</v>
      </c>
      <c r="X438" s="16">
        <f t="shared" ca="1" si="1446"/>
        <v>10.86138579565308</v>
      </c>
      <c r="Y438" s="16">
        <f t="shared" ca="1" si="1446"/>
        <v>11.275653483937475</v>
      </c>
      <c r="Z438" s="16">
        <f t="shared" ca="1" si="1446"/>
        <v>11.702770318650771</v>
      </c>
      <c r="AA438" s="16">
        <f t="shared" ca="1" si="1446"/>
        <v>12.144464956321116</v>
      </c>
      <c r="AB438" s="16">
        <f t="shared" ca="1" si="1446"/>
        <v>12.600269601417798</v>
      </c>
      <c r="AC438" s="16">
        <f t="shared" ca="1" si="1446"/>
        <v>13.070180270219083</v>
      </c>
      <c r="AD438" s="16">
        <f t="shared" ca="1" si="1446"/>
        <v>13.554531299191503</v>
      </c>
      <c r="AE438" s="16">
        <f t="shared" ca="1" si="1446"/>
        <v>14.053199718130093</v>
      </c>
      <c r="AF438" s="16">
        <f t="shared" ca="1" si="1446"/>
        <v>14.566301769657523</v>
      </c>
      <c r="AG438" s="16">
        <f t="shared" ca="1" si="1446"/>
        <v>15.093905270132151</v>
      </c>
      <c r="AH438" s="16">
        <f t="shared" ca="1" si="1446"/>
        <v>15.635762498712513</v>
      </c>
      <c r="AI438" s="16">
        <f t="shared" ca="1" si="1446"/>
        <v>16.192403528172314</v>
      </c>
      <c r="AJ438" s="16">
        <f t="shared" ca="1" si="1446"/>
        <v>16.7644735548296</v>
      </c>
      <c r="AK438" s="16">
        <f t="shared" ca="1" si="1446"/>
        <v>17.351243853793093</v>
      </c>
      <c r="AL438" s="16">
        <f t="shared" ca="1" si="1446"/>
        <v>17.953513728486246</v>
      </c>
      <c r="AM438" s="16">
        <f t="shared" ca="1" si="1446"/>
        <v>18.572148689158471</v>
      </c>
      <c r="AN438" s="16">
        <f t="shared" ca="1" si="1446"/>
        <v>19.207856674543404</v>
      </c>
      <c r="AO438" s="16">
        <f t="shared" ca="1" si="1446"/>
        <v>19.860895732616815</v>
      </c>
      <c r="AP438" s="16">
        <f t="shared" ca="1" si="1446"/>
        <v>20.53326609590539</v>
      </c>
      <c r="AQ438" s="16">
        <f t="shared" ca="1" si="1446"/>
        <v>21.225601722088555</v>
      </c>
      <c r="AR438" s="16">
        <f t="shared" ca="1" si="1446"/>
        <v>21.939709840254874</v>
      </c>
      <c r="AS438" s="16">
        <f t="shared" ca="1" si="1446"/>
        <v>22.676096184320595</v>
      </c>
      <c r="AT438" s="16">
        <f t="shared" ca="1" si="1446"/>
        <v>23.43702420522731</v>
      </c>
      <c r="AU438" s="16">
        <f t="shared" ca="1" si="1446"/>
        <v>24.222189732367291</v>
      </c>
      <c r="AV438" s="16">
        <f t="shared" ca="1" si="1446"/>
        <v>25.033767917960756</v>
      </c>
      <c r="AW438" s="16">
        <f t="shared" ca="1" si="1446"/>
        <v>25.872480721117846</v>
      </c>
      <c r="AX438" s="16">
        <f t="shared" ca="1" si="1446"/>
        <v>26.737972667101385</v>
      </c>
    </row>
    <row r="439" spans="1:50" x14ac:dyDescent="0.25">
      <c r="A439" s="11" t="s">
        <v>983</v>
      </c>
      <c r="B439" s="10" t="str">
        <f t="shared" si="1445"/>
        <v>From Fiscal Forecasts</v>
      </c>
      <c r="D439" s="35">
        <f>'Fiscal Forecasts'!D$192-SUM(D$437:D$438)</f>
        <v>3.0849999999999991</v>
      </c>
      <c r="E439" s="35">
        <f>'Fiscal Forecasts'!E$192-SUM(E$437:E$438)</f>
        <v>4.2559999999999993</v>
      </c>
      <c r="F439" s="35">
        <f>'Fiscal Forecasts'!F$192-SUM(F$437:F$438)</f>
        <v>3.9080000000000013</v>
      </c>
      <c r="G439" s="35">
        <f>'Fiscal Forecasts'!G$192-SUM(G$437:G$438)</f>
        <v>11.707999999999998</v>
      </c>
      <c r="H439" s="35">
        <f>'Fiscal Forecasts'!H$192-SUM(H$437:H$438)</f>
        <v>5.7219999999999995</v>
      </c>
      <c r="I439" s="35">
        <f>'Fiscal Forecasts'!I$192-SUM(I$437:I$438)</f>
        <v>4.6649999999999991</v>
      </c>
      <c r="J439" s="17">
        <f>'Fiscal Forecasts'!J$192-SUM(J$437:J$438)</f>
        <v>8.5300000000000011</v>
      </c>
      <c r="K439" s="17">
        <f>'Fiscal Forecasts'!K$192-SUM(K$437:K$438)</f>
        <v>8.9429999999999996</v>
      </c>
      <c r="L439" s="17">
        <f>'Fiscal Forecasts'!L$192-SUM(L$437:L$438)</f>
        <v>10.146000000000001</v>
      </c>
      <c r="M439" s="17">
        <f>'Fiscal Forecasts'!M$192-SUM(M$437:M$438)</f>
        <v>9.6720000000000006</v>
      </c>
      <c r="N439" s="17">
        <f>'Fiscal Forecasts'!N$192-SUM(N$437:N$438)</f>
        <v>9.4719999999999978</v>
      </c>
      <c r="O439" s="16">
        <f t="shared" ref="O439:AX439" ca="1" si="1447">N$439*(1+O$29)</f>
        <v>9.6614399999999971</v>
      </c>
      <c r="P439" s="16">
        <f t="shared" ca="1" si="1447"/>
        <v>9.8546687999999971</v>
      </c>
      <c r="Q439" s="16">
        <f t="shared" ca="1" si="1447"/>
        <v>10.051762175999997</v>
      </c>
      <c r="R439" s="16">
        <f t="shared" ca="1" si="1447"/>
        <v>10.252797419519997</v>
      </c>
      <c r="S439" s="16">
        <f t="shared" ca="1" si="1447"/>
        <v>10.457853367910397</v>
      </c>
      <c r="T439" s="16">
        <f t="shared" ca="1" si="1447"/>
        <v>10.667010435268605</v>
      </c>
      <c r="U439" s="16">
        <f t="shared" ca="1" si="1447"/>
        <v>10.880350643973976</v>
      </c>
      <c r="V439" s="16">
        <f t="shared" ca="1" si="1447"/>
        <v>11.097957656853456</v>
      </c>
      <c r="W439" s="16">
        <f t="shared" ca="1" si="1447"/>
        <v>11.319916809990525</v>
      </c>
      <c r="X439" s="16">
        <f t="shared" ca="1" si="1447"/>
        <v>11.546315146190336</v>
      </c>
      <c r="Y439" s="16">
        <f t="shared" ca="1" si="1447"/>
        <v>11.777241449114143</v>
      </c>
      <c r="Z439" s="16">
        <f t="shared" ca="1" si="1447"/>
        <v>12.012786278096426</v>
      </c>
      <c r="AA439" s="16">
        <f t="shared" ca="1" si="1447"/>
        <v>12.253042003658354</v>
      </c>
      <c r="AB439" s="16">
        <f t="shared" ca="1" si="1447"/>
        <v>12.498102843731521</v>
      </c>
      <c r="AC439" s="16">
        <f t="shared" ca="1" si="1447"/>
        <v>12.748064900606153</v>
      </c>
      <c r="AD439" s="16">
        <f t="shared" ca="1" si="1447"/>
        <v>13.003026198618276</v>
      </c>
      <c r="AE439" s="16">
        <f t="shared" ca="1" si="1447"/>
        <v>13.263086722590641</v>
      </c>
      <c r="AF439" s="16">
        <f t="shared" ca="1" si="1447"/>
        <v>13.528348457042455</v>
      </c>
      <c r="AG439" s="16">
        <f t="shared" ca="1" si="1447"/>
        <v>13.798915426183305</v>
      </c>
      <c r="AH439" s="16">
        <f t="shared" ca="1" si="1447"/>
        <v>14.07489373470697</v>
      </c>
      <c r="AI439" s="16">
        <f t="shared" ca="1" si="1447"/>
        <v>14.356391609401109</v>
      </c>
      <c r="AJ439" s="16">
        <f t="shared" ca="1" si="1447"/>
        <v>14.643519441589133</v>
      </c>
      <c r="AK439" s="16">
        <f t="shared" ca="1" si="1447"/>
        <v>14.936389830420916</v>
      </c>
      <c r="AL439" s="16">
        <f t="shared" ca="1" si="1447"/>
        <v>15.235117627029334</v>
      </c>
      <c r="AM439" s="16">
        <f t="shared" ca="1" si="1447"/>
        <v>15.539819979569922</v>
      </c>
      <c r="AN439" s="16">
        <f t="shared" ca="1" si="1447"/>
        <v>15.85061637916132</v>
      </c>
      <c r="AO439" s="16">
        <f t="shared" ca="1" si="1447"/>
        <v>16.167628706744548</v>
      </c>
      <c r="AP439" s="16">
        <f t="shared" ca="1" si="1447"/>
        <v>16.490981280879438</v>
      </c>
      <c r="AQ439" s="16">
        <f t="shared" ca="1" si="1447"/>
        <v>16.820800906497027</v>
      </c>
      <c r="AR439" s="16">
        <f t="shared" ca="1" si="1447"/>
        <v>17.157216924626969</v>
      </c>
      <c r="AS439" s="16">
        <f t="shared" ca="1" si="1447"/>
        <v>17.500361263119508</v>
      </c>
      <c r="AT439" s="16">
        <f t="shared" ca="1" si="1447"/>
        <v>17.8503684883819</v>
      </c>
      <c r="AU439" s="16">
        <f t="shared" ca="1" si="1447"/>
        <v>18.20737585814954</v>
      </c>
      <c r="AV439" s="16">
        <f t="shared" ca="1" si="1447"/>
        <v>18.57152337531253</v>
      </c>
      <c r="AW439" s="16">
        <f t="shared" ca="1" si="1447"/>
        <v>18.942953842818781</v>
      </c>
      <c r="AX439" s="16">
        <f t="shared" ca="1" si="1447"/>
        <v>19.321812919675157</v>
      </c>
    </row>
    <row r="440" spans="1:50" x14ac:dyDescent="0.25">
      <c r="A440" s="9" t="s">
        <v>984</v>
      </c>
      <c r="D440" s="64">
        <f t="shared" ref="D440:AX440" si="1448">SUM(D$437:D$439)</f>
        <v>10.465999999999999</v>
      </c>
      <c r="E440" s="64">
        <f t="shared" si="1448"/>
        <v>10.85</v>
      </c>
      <c r="F440" s="64">
        <f t="shared" si="1448"/>
        <v>12.038</v>
      </c>
      <c r="G440" s="64">
        <f t="shared" si="1448"/>
        <v>16.306999999999999</v>
      </c>
      <c r="H440" s="64">
        <f t="shared" si="1448"/>
        <v>12.336</v>
      </c>
      <c r="I440" s="64">
        <f t="shared" si="1448"/>
        <v>12.795999999999999</v>
      </c>
      <c r="J440" s="65">
        <f t="shared" si="1448"/>
        <v>17.111000000000001</v>
      </c>
      <c r="K440" s="65">
        <f t="shared" si="1448"/>
        <v>16.795999999999999</v>
      </c>
      <c r="L440" s="65">
        <f t="shared" si="1448"/>
        <v>17.634</v>
      </c>
      <c r="M440" s="65">
        <f t="shared" si="1448"/>
        <v>17.382000000000001</v>
      </c>
      <c r="N440" s="65">
        <f t="shared" si="1448"/>
        <v>17.393999999999998</v>
      </c>
      <c r="O440" s="66">
        <f t="shared" ca="1" si="1448"/>
        <v>20.637171663911023</v>
      </c>
      <c r="P440" s="66">
        <f t="shared" ca="1" si="1448"/>
        <v>21.370609197932296</v>
      </c>
      <c r="Q440" s="66">
        <f t="shared" ca="1" si="1448"/>
        <v>22.128514874746212</v>
      </c>
      <c r="R440" s="66">
        <f t="shared" ca="1" si="1448"/>
        <v>22.901094457306044</v>
      </c>
      <c r="S440" s="66">
        <f t="shared" ca="1" si="1448"/>
        <v>23.698072405870434</v>
      </c>
      <c r="T440" s="66">
        <f t="shared" ca="1" si="1448"/>
        <v>24.520480576695427</v>
      </c>
      <c r="U440" s="66">
        <f t="shared" ca="1" si="1448"/>
        <v>25.369016786443229</v>
      </c>
      <c r="V440" s="66">
        <f t="shared" ca="1" si="1448"/>
        <v>26.24558653639501</v>
      </c>
      <c r="W440" s="66">
        <f t="shared" ca="1" si="1448"/>
        <v>27.150960661511341</v>
      </c>
      <c r="X440" s="66">
        <f t="shared" ca="1" si="1448"/>
        <v>28.089031838764072</v>
      </c>
      <c r="Y440" s="66">
        <f t="shared" ca="1" si="1448"/>
        <v>29.065994180353663</v>
      </c>
      <c r="Z440" s="66">
        <f t="shared" ca="1" si="1448"/>
        <v>30.085599512693484</v>
      </c>
      <c r="AA440" s="66">
        <f t="shared" ca="1" si="1448"/>
        <v>31.151602813709353</v>
      </c>
      <c r="AB440" s="66">
        <f t="shared" ca="1" si="1448"/>
        <v>32.266815812082569</v>
      </c>
      <c r="AC440" s="66">
        <f t="shared" ca="1" si="1448"/>
        <v>33.431613955829455</v>
      </c>
      <c r="AD440" s="66">
        <f t="shared" ca="1" si="1448"/>
        <v>34.645991696304023</v>
      </c>
      <c r="AE440" s="66">
        <f t="shared" ca="1" si="1448"/>
        <v>35.910426933164295</v>
      </c>
      <c r="AF440" s="66">
        <f t="shared" ca="1" si="1448"/>
        <v>37.225218467481987</v>
      </c>
      <c r="AG440" s="66">
        <f t="shared" ca="1" si="1448"/>
        <v>38.589694661389906</v>
      </c>
      <c r="AH440" s="66">
        <f t="shared" ca="1" si="1448"/>
        <v>40.003661435602787</v>
      </c>
      <c r="AI440" s="66">
        <f t="shared" ca="1" si="1448"/>
        <v>41.467154015219137</v>
      </c>
      <c r="AJ440" s="66">
        <f t="shared" ca="1" si="1448"/>
        <v>42.98030532550974</v>
      </c>
      <c r="AK440" s="66">
        <f t="shared" ca="1" si="1448"/>
        <v>44.538684817022549</v>
      </c>
      <c r="AL440" s="66">
        <f t="shared" ca="1" si="1448"/>
        <v>46.139237324760145</v>
      </c>
      <c r="AM440" s="66">
        <f t="shared" ca="1" si="1448"/>
        <v>47.780824272515893</v>
      </c>
      <c r="AN440" s="66">
        <f t="shared" ca="1" si="1448"/>
        <v>49.459083272892357</v>
      </c>
      <c r="AO440" s="66">
        <f t="shared" ca="1" si="1448"/>
        <v>51.171536130323958</v>
      </c>
      <c r="AP440" s="66">
        <f t="shared" ca="1" si="1448"/>
        <v>52.919909396684659</v>
      </c>
      <c r="AQ440" s="66">
        <f t="shared" ca="1" si="1448"/>
        <v>54.706236074220101</v>
      </c>
      <c r="AR440" s="66">
        <f t="shared" ca="1" si="1448"/>
        <v>56.535658897979374</v>
      </c>
      <c r="AS440" s="66">
        <f t="shared" ca="1" si="1448"/>
        <v>58.409481322301659</v>
      </c>
      <c r="AT440" s="66">
        <f t="shared" ca="1" si="1448"/>
        <v>60.332859644198962</v>
      </c>
      <c r="AU440" s="66">
        <f t="shared" ca="1" si="1448"/>
        <v>62.308330049059776</v>
      </c>
      <c r="AV440" s="66">
        <f t="shared" ca="1" si="1448"/>
        <v>64.339824072901649</v>
      </c>
      <c r="AW440" s="66">
        <f t="shared" ca="1" si="1448"/>
        <v>66.43203399902302</v>
      </c>
      <c r="AX440" s="66">
        <f t="shared" ca="1" si="1448"/>
        <v>68.580688280035801</v>
      </c>
    </row>
    <row r="441" spans="1:50" x14ac:dyDescent="0.25">
      <c r="A441" s="9" t="s">
        <v>985</v>
      </c>
      <c r="B441" s="10" t="str">
        <f t="shared" si="1445"/>
        <v>From Fiscal Forecasts</v>
      </c>
      <c r="D441" s="42">
        <f>'Fiscal Forecasts'!D$135</f>
        <v>16.742000000000001</v>
      </c>
      <c r="E441" s="42">
        <f>'Fiscal Forecasts'!E$135</f>
        <v>16.971</v>
      </c>
      <c r="F441" s="42">
        <f>'Fiscal Forecasts'!F$135</f>
        <v>17.577000000000002</v>
      </c>
      <c r="G441" s="42">
        <f>'Fiscal Forecasts'!G$135</f>
        <v>21.42</v>
      </c>
      <c r="H441" s="42">
        <f>'Fiscal Forecasts'!H$135</f>
        <v>18.725999999999999</v>
      </c>
      <c r="I441" s="42">
        <f>'Fiscal Forecasts'!I$135</f>
        <v>19.863</v>
      </c>
      <c r="J441" s="43">
        <f>'Fiscal Forecasts'!J$135</f>
        <v>26.414999999999999</v>
      </c>
      <c r="K441" s="43">
        <f>'Fiscal Forecasts'!K$135</f>
        <v>26.925000000000001</v>
      </c>
      <c r="L441" s="43">
        <f>'Fiscal Forecasts'!L$135</f>
        <v>28.08</v>
      </c>
      <c r="M441" s="43">
        <f>'Fiscal Forecasts'!M$135</f>
        <v>28.029</v>
      </c>
      <c r="N441" s="43">
        <f>'Fiscal Forecasts'!N$135</f>
        <v>28.588999999999999</v>
      </c>
      <c r="O441" s="47">
        <f t="shared" ref="O441:AX441" ca="1" si="1449">O$440+(N$441-N$440)*(1+O$29)</f>
        <v>32.056071663911027</v>
      </c>
      <c r="P441" s="47">
        <f t="shared" ca="1" si="1449"/>
        <v>33.017887197932303</v>
      </c>
      <c r="Q441" s="47">
        <f t="shared" ca="1" si="1449"/>
        <v>34.00873843474622</v>
      </c>
      <c r="R441" s="47">
        <f t="shared" ca="1" si="1449"/>
        <v>35.01892248850605</v>
      </c>
      <c r="S441" s="47">
        <f t="shared" ca="1" si="1449"/>
        <v>36.058256997694443</v>
      </c>
      <c r="T441" s="47">
        <f t="shared" ca="1" si="1449"/>
        <v>37.127868860355917</v>
      </c>
      <c r="U441" s="47">
        <f t="shared" ca="1" si="1449"/>
        <v>38.228552835776931</v>
      </c>
      <c r="V441" s="47">
        <f t="shared" ca="1" si="1449"/>
        <v>39.362313306715386</v>
      </c>
      <c r="W441" s="47">
        <f t="shared" ca="1" si="1449"/>
        <v>40.530021967238127</v>
      </c>
      <c r="X441" s="47">
        <f t="shared" ca="1" si="1449"/>
        <v>41.735674370605395</v>
      </c>
      <c r="Y441" s="47">
        <f t="shared" ca="1" si="1449"/>
        <v>42.985569562831813</v>
      </c>
      <c r="Z441" s="47">
        <f t="shared" ca="1" si="1449"/>
        <v>44.283566402821194</v>
      </c>
      <c r="AA441" s="47">
        <f t="shared" ca="1" si="1449"/>
        <v>45.633529041639619</v>
      </c>
      <c r="AB441" s="47">
        <f t="shared" ca="1" si="1449"/>
        <v>47.03838056457144</v>
      </c>
      <c r="AC441" s="47">
        <f t="shared" ca="1" si="1449"/>
        <v>48.4986100033681</v>
      </c>
      <c r="AD441" s="47">
        <f t="shared" ca="1" si="1449"/>
        <v>50.014327664793441</v>
      </c>
      <c r="AE441" s="47">
        <f t="shared" ca="1" si="1449"/>
        <v>51.586129621023503</v>
      </c>
      <c r="AF441" s="47">
        <f t="shared" ca="1" si="1449"/>
        <v>53.214435209098383</v>
      </c>
      <c r="AG441" s="47">
        <f t="shared" ca="1" si="1449"/>
        <v>54.898695737838629</v>
      </c>
      <c r="AH441" s="47">
        <f t="shared" ca="1" si="1449"/>
        <v>56.638842533580487</v>
      </c>
      <c r="AI441" s="47">
        <f t="shared" ca="1" si="1449"/>
        <v>58.43503873515639</v>
      </c>
      <c r="AJ441" s="47">
        <f t="shared" ca="1" si="1449"/>
        <v>60.287547739845735</v>
      </c>
      <c r="AK441" s="47">
        <f t="shared" ca="1" si="1449"/>
        <v>62.192072079645264</v>
      </c>
      <c r="AL441" s="47">
        <f t="shared" ca="1" si="1449"/>
        <v>64.145692332635321</v>
      </c>
      <c r="AM441" s="47">
        <f t="shared" ca="1" si="1449"/>
        <v>66.147408380548569</v>
      </c>
      <c r="AN441" s="47">
        <f t="shared" ca="1" si="1449"/>
        <v>68.192999063085693</v>
      </c>
      <c r="AO441" s="47">
        <f t="shared" ca="1" si="1449"/>
        <v>70.280130236321156</v>
      </c>
      <c r="AP441" s="47">
        <f t="shared" ca="1" si="1449"/>
        <v>72.410675384801806</v>
      </c>
      <c r="AQ441" s="47">
        <f t="shared" ca="1" si="1449"/>
        <v>74.586817382099582</v>
      </c>
      <c r="AR441" s="47">
        <f t="shared" ca="1" si="1449"/>
        <v>76.813851832016439</v>
      </c>
      <c r="AS441" s="47">
        <f t="shared" ca="1" si="1449"/>
        <v>79.09323811501946</v>
      </c>
      <c r="AT441" s="47">
        <f t="shared" ca="1" si="1449"/>
        <v>81.430291572771125</v>
      </c>
      <c r="AU441" s="47">
        <f t="shared" ca="1" si="1449"/>
        <v>83.827710616203376</v>
      </c>
      <c r="AV441" s="47">
        <f t="shared" ca="1" si="1449"/>
        <v>86.289592251388115</v>
      </c>
      <c r="AW441" s="47">
        <f t="shared" ca="1" si="1449"/>
        <v>88.820797541079216</v>
      </c>
      <c r="AX441" s="47">
        <f t="shared" ca="1" si="1449"/>
        <v>91.417227092933118</v>
      </c>
    </row>
    <row r="443" spans="1:50" x14ac:dyDescent="0.25">
      <c r="A443" s="9" t="s">
        <v>557</v>
      </c>
    </row>
    <row r="444" spans="1:50" x14ac:dyDescent="0.25">
      <c r="A444" s="9" t="s">
        <v>986</v>
      </c>
      <c r="B444" s="10" t="str">
        <f t="shared" ref="B444:B445" si="1450">$B$38</f>
        <v>From Fiscal Forecasts</v>
      </c>
      <c r="D444" s="42">
        <f>'Fiscal Forecasts'!D$193</f>
        <v>0.44900000000000001</v>
      </c>
      <c r="E444" s="42">
        <f>'Fiscal Forecasts'!E$193</f>
        <v>0.39800000000000002</v>
      </c>
      <c r="F444" s="42">
        <f>'Fiscal Forecasts'!F$193</f>
        <v>0.505</v>
      </c>
      <c r="G444" s="42">
        <f>'Fiscal Forecasts'!G$193</f>
        <v>0.56999999999999995</v>
      </c>
      <c r="H444" s="42">
        <f>'Fiscal Forecasts'!H$193</f>
        <v>0.504</v>
      </c>
      <c r="I444" s="42">
        <f>'Fiscal Forecasts'!I$193</f>
        <v>0.498</v>
      </c>
      <c r="J444" s="43">
        <f>'Fiscal Forecasts'!J$193</f>
        <v>0.47199999999999998</v>
      </c>
      <c r="K444" s="43">
        <f>'Fiscal Forecasts'!K$193</f>
        <v>0.47</v>
      </c>
      <c r="L444" s="43">
        <f>'Fiscal Forecasts'!L$193</f>
        <v>0.47</v>
      </c>
      <c r="M444" s="43">
        <f>'Fiscal Forecasts'!M$193</f>
        <v>0.47</v>
      </c>
      <c r="N444" s="43">
        <f>'Fiscal Forecasts'!N$193</f>
        <v>0.47</v>
      </c>
      <c r="O444" s="47">
        <f t="shared" ref="O444:AX444" ca="1" si="1451">SUM(N$444,O$411-N$411,O$415-N$415)</f>
        <v>0.55481999999999987</v>
      </c>
      <c r="P444" s="47">
        <f t="shared" ca="1" si="1451"/>
        <v>0.64133639999999992</v>
      </c>
      <c r="Q444" s="47">
        <f t="shared" ca="1" si="1451"/>
        <v>0.72958312800000025</v>
      </c>
      <c r="R444" s="47">
        <f t="shared" ca="1" si="1451"/>
        <v>0.81959479056000006</v>
      </c>
      <c r="S444" s="47">
        <f t="shared" ca="1" si="1451"/>
        <v>0.91140668637120026</v>
      </c>
      <c r="T444" s="47">
        <f t="shared" ca="1" si="1451"/>
        <v>1.0050548200986242</v>
      </c>
      <c r="U444" s="47">
        <f t="shared" ca="1" si="1451"/>
        <v>1.1005759165005968</v>
      </c>
      <c r="V444" s="47">
        <f t="shared" ca="1" si="1451"/>
        <v>1.1980074348306089</v>
      </c>
      <c r="W444" s="47">
        <f t="shared" ca="1" si="1451"/>
        <v>1.2973875835272213</v>
      </c>
      <c r="X444" s="47">
        <f t="shared" ca="1" si="1451"/>
        <v>1.3987553351977657</v>
      </c>
      <c r="Y444" s="47">
        <f t="shared" ca="1" si="1451"/>
        <v>1.5021504419017211</v>
      </c>
      <c r="Z444" s="47">
        <f t="shared" ca="1" si="1451"/>
        <v>1.6076134507397557</v>
      </c>
      <c r="AA444" s="47">
        <f t="shared" ca="1" si="1451"/>
        <v>1.7151857197545508</v>
      </c>
      <c r="AB444" s="47">
        <f t="shared" ca="1" si="1451"/>
        <v>1.8249094341496421</v>
      </c>
      <c r="AC444" s="47">
        <f t="shared" ca="1" si="1451"/>
        <v>1.9368276228326351</v>
      </c>
      <c r="AD444" s="47">
        <f t="shared" ca="1" si="1451"/>
        <v>2.0509841752892877</v>
      </c>
      <c r="AE444" s="47">
        <f t="shared" ca="1" si="1451"/>
        <v>2.1674238587950736</v>
      </c>
      <c r="AF444" s="47">
        <f t="shared" ca="1" si="1451"/>
        <v>2.2861923359709753</v>
      </c>
      <c r="AG444" s="47">
        <f t="shared" ca="1" si="1451"/>
        <v>2.4073361826903947</v>
      </c>
      <c r="AH444" s="47">
        <f t="shared" ca="1" si="1451"/>
        <v>2.5309029063442026</v>
      </c>
      <c r="AI444" s="47">
        <f t="shared" ca="1" si="1451"/>
        <v>2.6569409644710866</v>
      </c>
      <c r="AJ444" s="47">
        <f t="shared" ca="1" si="1451"/>
        <v>2.7854997837605082</v>
      </c>
      <c r="AK444" s="47">
        <f t="shared" ca="1" si="1451"/>
        <v>2.9166297794357186</v>
      </c>
      <c r="AL444" s="47">
        <f t="shared" ca="1" si="1451"/>
        <v>3.0503823750244332</v>
      </c>
      <c r="AM444" s="47">
        <f t="shared" ca="1" si="1451"/>
        <v>3.1868100225249223</v>
      </c>
      <c r="AN444" s="47">
        <f t="shared" ca="1" si="1451"/>
        <v>3.325966222975421</v>
      </c>
      <c r="AO444" s="47">
        <f t="shared" ca="1" si="1451"/>
        <v>3.4679055474349294</v>
      </c>
      <c r="AP444" s="47">
        <f t="shared" ca="1" si="1451"/>
        <v>3.6126836583836286</v>
      </c>
      <c r="AQ444" s="47">
        <f t="shared" ca="1" si="1451"/>
        <v>3.760357331551301</v>
      </c>
      <c r="AR444" s="47">
        <f t="shared" ca="1" si="1451"/>
        <v>3.9109844781823271</v>
      </c>
      <c r="AS444" s="47">
        <f t="shared" ca="1" si="1451"/>
        <v>4.0646241677459738</v>
      </c>
      <c r="AT444" s="47">
        <f t="shared" ca="1" si="1451"/>
        <v>4.2213366511008932</v>
      </c>
      <c r="AU444" s="47">
        <f t="shared" ca="1" si="1451"/>
        <v>4.3811833841229113</v>
      </c>
      <c r="AV444" s="47">
        <f t="shared" ca="1" si="1451"/>
        <v>4.54422705180537</v>
      </c>
      <c r="AW444" s="47">
        <f t="shared" ca="1" si="1451"/>
        <v>4.7105315928414777</v>
      </c>
      <c r="AX444" s="47">
        <f t="shared" ca="1" si="1451"/>
        <v>4.8801622246983074</v>
      </c>
    </row>
    <row r="445" spans="1:50" x14ac:dyDescent="0.25">
      <c r="A445" s="9" t="s">
        <v>987</v>
      </c>
      <c r="B445" s="10" t="str">
        <f t="shared" si="1450"/>
        <v>From Fiscal Forecasts</v>
      </c>
      <c r="D445" s="42">
        <f>'Fiscal Forecasts'!D$136</f>
        <v>2.5230000000000001</v>
      </c>
      <c r="E445" s="42">
        <f>'Fiscal Forecasts'!E$136</f>
        <v>2.59</v>
      </c>
      <c r="F445" s="42">
        <f>'Fiscal Forecasts'!F$136</f>
        <v>2.5489999999999999</v>
      </c>
      <c r="G445" s="42">
        <f>'Fiscal Forecasts'!G$136</f>
        <v>3.3679999999999999</v>
      </c>
      <c r="H445" s="42">
        <f>'Fiscal Forecasts'!H$136</f>
        <v>3.61</v>
      </c>
      <c r="I445" s="42">
        <f>'Fiscal Forecasts'!I$136</f>
        <v>3.4529999999999998</v>
      </c>
      <c r="J445" s="43">
        <f>'Fiscal Forecasts'!J$136</f>
        <v>3.6360000000000001</v>
      </c>
      <c r="K445" s="43">
        <f>'Fiscal Forecasts'!K$136</f>
        <v>3.6429999999999998</v>
      </c>
      <c r="L445" s="43">
        <f>'Fiscal Forecasts'!L$136</f>
        <v>3.734</v>
      </c>
      <c r="M445" s="43">
        <f>'Fiscal Forecasts'!M$136</f>
        <v>3.758</v>
      </c>
      <c r="N445" s="43">
        <f>'Fiscal Forecasts'!N$136</f>
        <v>3.8220000000000001</v>
      </c>
      <c r="O445" s="47">
        <f t="shared" ref="O445:AX445" ca="1" si="1452">SUM(N$445,O$412-N$412,O$416-N$416)</f>
        <v>3.9965800000000002</v>
      </c>
      <c r="P445" s="47">
        <f t="shared" ca="1" si="1452"/>
        <v>4.1746516000000007</v>
      </c>
      <c r="Q445" s="47">
        <f t="shared" ca="1" si="1452"/>
        <v>4.3562846320000004</v>
      </c>
      <c r="R445" s="47">
        <f t="shared" ca="1" si="1452"/>
        <v>4.5415503246400002</v>
      </c>
      <c r="S445" s="47">
        <f t="shared" ca="1" si="1452"/>
        <v>4.7305213311328007</v>
      </c>
      <c r="T445" s="47">
        <f t="shared" ca="1" si="1452"/>
        <v>4.9232717577554563</v>
      </c>
      <c r="U445" s="47">
        <f t="shared" ca="1" si="1452"/>
        <v>5.1198771929105655</v>
      </c>
      <c r="V445" s="47">
        <f t="shared" ca="1" si="1452"/>
        <v>5.320414736768778</v>
      </c>
      <c r="W445" s="47">
        <f t="shared" ca="1" si="1452"/>
        <v>5.5249630315041536</v>
      </c>
      <c r="X445" s="47">
        <f t="shared" ca="1" si="1452"/>
        <v>5.7336022921342371</v>
      </c>
      <c r="Y445" s="47">
        <f t="shared" ca="1" si="1452"/>
        <v>5.9464143379769219</v>
      </c>
      <c r="Z445" s="47">
        <f t="shared" ca="1" si="1452"/>
        <v>6.16348262473646</v>
      </c>
      <c r="AA445" s="47">
        <f t="shared" ca="1" si="1452"/>
        <v>6.3848922772311898</v>
      </c>
      <c r="AB445" s="47">
        <f t="shared" ca="1" si="1452"/>
        <v>6.6107301227758146</v>
      </c>
      <c r="AC445" s="47">
        <f t="shared" ca="1" si="1452"/>
        <v>6.8410847252313314</v>
      </c>
      <c r="AD445" s="47">
        <f t="shared" ca="1" si="1452"/>
        <v>7.0760464197359587</v>
      </c>
      <c r="AE445" s="47">
        <f t="shared" ca="1" si="1452"/>
        <v>7.3157073481306787</v>
      </c>
      <c r="AF445" s="47">
        <f t="shared" ca="1" si="1452"/>
        <v>7.5601614950932925</v>
      </c>
      <c r="AG445" s="47">
        <f t="shared" ca="1" si="1452"/>
        <v>7.8095047249951595</v>
      </c>
      <c r="AH445" s="47">
        <f t="shared" ca="1" si="1452"/>
        <v>8.0638348194950638</v>
      </c>
      <c r="AI445" s="47">
        <f t="shared" ca="1" si="1452"/>
        <v>8.3232515158849658</v>
      </c>
      <c r="AJ445" s="47">
        <f t="shared" ca="1" si="1452"/>
        <v>8.5878565462026657</v>
      </c>
      <c r="AK445" s="47">
        <f t="shared" ca="1" si="1452"/>
        <v>8.8577536771267198</v>
      </c>
      <c r="AL445" s="47">
        <f t="shared" ca="1" si="1452"/>
        <v>9.1330487506692553</v>
      </c>
      <c r="AM445" s="47">
        <f t="shared" ca="1" si="1452"/>
        <v>9.4138497256826401</v>
      </c>
      <c r="AN445" s="47">
        <f t="shared" ca="1" si="1452"/>
        <v>9.7002667201962929</v>
      </c>
      <c r="AO445" s="47">
        <f t="shared" ca="1" si="1452"/>
        <v>9.9924120546002193</v>
      </c>
      <c r="AP445" s="47">
        <f t="shared" ca="1" si="1452"/>
        <v>10.290400295692226</v>
      </c>
      <c r="AQ445" s="47">
        <f t="shared" ca="1" si="1452"/>
        <v>10.59434830160607</v>
      </c>
      <c r="AR445" s="47">
        <f t="shared" ca="1" si="1452"/>
        <v>10.904375267638192</v>
      </c>
      <c r="AS445" s="47">
        <f t="shared" ca="1" si="1452"/>
        <v>11.220602772990954</v>
      </c>
      <c r="AT445" s="47">
        <f t="shared" ca="1" si="1452"/>
        <v>11.543154828450772</v>
      </c>
      <c r="AU445" s="47">
        <f t="shared" ca="1" si="1452"/>
        <v>11.872157925019788</v>
      </c>
      <c r="AV445" s="47">
        <f t="shared" ca="1" si="1452"/>
        <v>12.207741083520185</v>
      </c>
      <c r="AW445" s="47">
        <f t="shared" ca="1" si="1452"/>
        <v>12.550035905190589</v>
      </c>
      <c r="AX445" s="47">
        <f t="shared" ca="1" si="1452"/>
        <v>12.899176623294402</v>
      </c>
    </row>
    <row r="447" spans="1:50" x14ac:dyDescent="0.25">
      <c r="A447" s="9" t="s">
        <v>988</v>
      </c>
    </row>
    <row r="448" spans="1:50" x14ac:dyDescent="0.25">
      <c r="A448" s="9" t="s">
        <v>989</v>
      </c>
      <c r="B448" s="10" t="str">
        <f t="shared" ref="B448:B449" si="1453">$B$38</f>
        <v>From Fiscal Forecasts</v>
      </c>
      <c r="D448" s="42">
        <f>'Fiscal Forecasts'!D$194</f>
        <v>2.8839999999999999</v>
      </c>
      <c r="E448" s="42">
        <f>'Fiscal Forecasts'!E$194</f>
        <v>3.8039999999999998</v>
      </c>
      <c r="F448" s="42">
        <f>'Fiscal Forecasts'!F$194</f>
        <v>5.8239999999999998</v>
      </c>
      <c r="G448" s="42">
        <f>'Fiscal Forecasts'!G$194</f>
        <v>11.461</v>
      </c>
      <c r="H448" s="42">
        <f>'Fiscal Forecasts'!H$194</f>
        <v>6.093</v>
      </c>
      <c r="I448" s="42">
        <f>'Fiscal Forecasts'!I$194</f>
        <v>6.8659999999999997</v>
      </c>
      <c r="J448" s="43">
        <f>'Fiscal Forecasts'!J$194</f>
        <v>6.77</v>
      </c>
      <c r="K448" s="43">
        <f>'Fiscal Forecasts'!K$194</f>
        <v>5.9660000000000002</v>
      </c>
      <c r="L448" s="43">
        <f>'Fiscal Forecasts'!L$194</f>
        <v>5.4269999999999996</v>
      </c>
      <c r="M448" s="43">
        <f>'Fiscal Forecasts'!M$194</f>
        <v>4.952</v>
      </c>
      <c r="N448" s="43">
        <f>'Fiscal Forecasts'!N$194</f>
        <v>4.4619999999999997</v>
      </c>
      <c r="O448" s="47">
        <f t="shared" ref="O448:AX448" ca="1" si="1454">SUM(N$448,-O$143,O$149,O$314)</f>
        <v>4.0529599999999997</v>
      </c>
      <c r="P448" s="47">
        <f t="shared" ca="1" si="1454"/>
        <v>3.6734591999999999</v>
      </c>
      <c r="Q448" s="47">
        <f t="shared" ca="1" si="1454"/>
        <v>3.324088384</v>
      </c>
      <c r="R448" s="47">
        <f t="shared" ca="1" si="1454"/>
        <v>3.0054501516799998</v>
      </c>
      <c r="S448" s="47">
        <f t="shared" ca="1" si="1454"/>
        <v>2.7181591547136001</v>
      </c>
      <c r="T448" s="47">
        <f t="shared" ca="1" si="1454"/>
        <v>2.4628423378078725</v>
      </c>
      <c r="U448" s="47">
        <f t="shared" ca="1" si="1454"/>
        <v>2.2401391845640299</v>
      </c>
      <c r="V448" s="47">
        <f t="shared" ca="1" si="1454"/>
        <v>2.0507019682553107</v>
      </c>
      <c r="W448" s="47">
        <f t="shared" ca="1" si="1454"/>
        <v>1.8951960076204171</v>
      </c>
      <c r="X448" s="47">
        <f t="shared" ca="1" si="1454"/>
        <v>1.7742999277728255</v>
      </c>
      <c r="Y448" s="47">
        <f t="shared" ca="1" si="1454"/>
        <v>1.6887059263282822</v>
      </c>
      <c r="Z448" s="47">
        <f t="shared" ca="1" si="1454"/>
        <v>1.639120044854848</v>
      </c>
      <c r="AA448" s="47">
        <f t="shared" ca="1" si="1454"/>
        <v>1.626262445751945</v>
      </c>
      <c r="AB448" s="47">
        <f t="shared" ca="1" si="1454"/>
        <v>1.650867694666984</v>
      </c>
      <c r="AC448" s="47">
        <f t="shared" ca="1" si="1454"/>
        <v>1.7136850485603239</v>
      </c>
      <c r="AD448" s="47">
        <f t="shared" ca="1" si="1454"/>
        <v>1.8154787495315305</v>
      </c>
      <c r="AE448" s="47">
        <f t="shared" ca="1" si="1454"/>
        <v>1.9570283245221616</v>
      </c>
      <c r="AF448" s="47">
        <f t="shared" ca="1" si="1454"/>
        <v>2.1391288910126049</v>
      </c>
      <c r="AG448" s="47">
        <f t="shared" ca="1" si="1454"/>
        <v>2.3625914688328575</v>
      </c>
      <c r="AH448" s="47">
        <f t="shared" ca="1" si="1454"/>
        <v>2.6282432982095152</v>
      </c>
      <c r="AI448" s="47">
        <f t="shared" ca="1" si="1454"/>
        <v>2.9369281641737062</v>
      </c>
      <c r="AJ448" s="47">
        <f t="shared" ca="1" si="1454"/>
        <v>3.289506727457181</v>
      </c>
      <c r="AK448" s="47">
        <f t="shared" ca="1" si="1454"/>
        <v>3.6868568620063251</v>
      </c>
      <c r="AL448" s="47">
        <f t="shared" ca="1" si="1454"/>
        <v>4.1298739992464526</v>
      </c>
      <c r="AM448" s="47">
        <f t="shared" ca="1" si="1454"/>
        <v>4.6194714792313825</v>
      </c>
      <c r="AN448" s="47">
        <f t="shared" ca="1" si="1454"/>
        <v>5.1565809088160108</v>
      </c>
      <c r="AO448" s="47">
        <f t="shared" ca="1" si="1454"/>
        <v>5.7421525269923315</v>
      </c>
      <c r="AP448" s="47">
        <f t="shared" ca="1" si="1454"/>
        <v>6.3771555775321787</v>
      </c>
      <c r="AQ448" s="47">
        <f t="shared" ca="1" si="1454"/>
        <v>7.0625786890828222</v>
      </c>
      <c r="AR448" s="47">
        <f t="shared" ca="1" si="1454"/>
        <v>7.7994302628644796</v>
      </c>
      <c r="AS448" s="47">
        <f t="shared" ca="1" si="1454"/>
        <v>8.5887388681217693</v>
      </c>
      <c r="AT448" s="47">
        <f t="shared" ca="1" si="1454"/>
        <v>9.4315536454842039</v>
      </c>
      <c r="AU448" s="47">
        <f t="shared" ca="1" si="1454"/>
        <v>10.328944718393888</v>
      </c>
      <c r="AV448" s="47">
        <f t="shared" ca="1" si="1454"/>
        <v>11.282003612761766</v>
      </c>
      <c r="AW448" s="47">
        <f t="shared" ca="1" si="1454"/>
        <v>12.291843685017001</v>
      </c>
      <c r="AX448" s="47">
        <f t="shared" ca="1" si="1454"/>
        <v>13.359600558717341</v>
      </c>
    </row>
    <row r="449" spans="1:50" x14ac:dyDescent="0.25">
      <c r="A449" s="9" t="s">
        <v>990</v>
      </c>
      <c r="B449" s="10" t="str">
        <f t="shared" si="1453"/>
        <v>From Fiscal Forecasts</v>
      </c>
      <c r="D449" s="42">
        <f>'Fiscal Forecasts'!D$138</f>
        <v>2.8839999999999999</v>
      </c>
      <c r="E449" s="42">
        <f>'Fiscal Forecasts'!E$138</f>
        <v>3.8039999999999998</v>
      </c>
      <c r="F449" s="42">
        <f>'Fiscal Forecasts'!F$138</f>
        <v>5.8239999999999998</v>
      </c>
      <c r="G449" s="42">
        <f>'Fiscal Forecasts'!G$138</f>
        <v>11.308</v>
      </c>
      <c r="H449" s="42">
        <f>'Fiscal Forecasts'!H$138</f>
        <v>6.125</v>
      </c>
      <c r="I449" s="42">
        <f>'Fiscal Forecasts'!I$138</f>
        <v>6.6260000000000003</v>
      </c>
      <c r="J449" s="43">
        <f>'Fiscal Forecasts'!J$138</f>
        <v>6.556</v>
      </c>
      <c r="K449" s="43">
        <f>'Fiscal Forecasts'!K$138</f>
        <v>5.7409999999999997</v>
      </c>
      <c r="L449" s="43">
        <f>'Fiscal Forecasts'!L$138</f>
        <v>5.1379999999999999</v>
      </c>
      <c r="M449" s="43">
        <f>'Fiscal Forecasts'!M$138</f>
        <v>4.7249999999999996</v>
      </c>
      <c r="N449" s="43">
        <f>'Fiscal Forecasts'!N$138</f>
        <v>4.2530000000000001</v>
      </c>
      <c r="O449" s="47">
        <f t="shared" ref="O449:AX449" ca="1" si="1455">SUM(N$449,-O$143,O$149,O$314)</f>
        <v>3.84396</v>
      </c>
      <c r="P449" s="47">
        <f t="shared" ca="1" si="1455"/>
        <v>3.4644592000000003</v>
      </c>
      <c r="Q449" s="47">
        <f t="shared" ca="1" si="1455"/>
        <v>3.1150883840000003</v>
      </c>
      <c r="R449" s="47">
        <f t="shared" ca="1" si="1455"/>
        <v>2.7964501516800002</v>
      </c>
      <c r="S449" s="47">
        <f t="shared" ca="1" si="1455"/>
        <v>2.5091591547136005</v>
      </c>
      <c r="T449" s="47">
        <f t="shared" ca="1" si="1455"/>
        <v>2.2538423378078729</v>
      </c>
      <c r="U449" s="47">
        <f t="shared" ca="1" si="1455"/>
        <v>2.0311391845640303</v>
      </c>
      <c r="V449" s="47">
        <f t="shared" ca="1" si="1455"/>
        <v>1.8417019682553111</v>
      </c>
      <c r="W449" s="47">
        <f t="shared" ca="1" si="1455"/>
        <v>1.6861960076204174</v>
      </c>
      <c r="X449" s="47">
        <f t="shared" ca="1" si="1455"/>
        <v>1.5652999277728259</v>
      </c>
      <c r="Y449" s="47">
        <f t="shared" ca="1" si="1455"/>
        <v>1.4797059263282826</v>
      </c>
      <c r="Z449" s="47">
        <f t="shared" ca="1" si="1455"/>
        <v>1.4301200448548483</v>
      </c>
      <c r="AA449" s="47">
        <f t="shared" ca="1" si="1455"/>
        <v>1.4172624457519454</v>
      </c>
      <c r="AB449" s="47">
        <f t="shared" ca="1" si="1455"/>
        <v>1.4418676946669844</v>
      </c>
      <c r="AC449" s="47">
        <f t="shared" ca="1" si="1455"/>
        <v>1.5046850485603243</v>
      </c>
      <c r="AD449" s="47">
        <f t="shared" ca="1" si="1455"/>
        <v>1.6064787495315309</v>
      </c>
      <c r="AE449" s="47">
        <f t="shared" ca="1" si="1455"/>
        <v>1.7480283245221619</v>
      </c>
      <c r="AF449" s="47">
        <f t="shared" ca="1" si="1455"/>
        <v>1.9301288910126055</v>
      </c>
      <c r="AG449" s="47">
        <f t="shared" ca="1" si="1455"/>
        <v>2.1535914688328579</v>
      </c>
      <c r="AH449" s="47">
        <f t="shared" ca="1" si="1455"/>
        <v>2.4192432982095156</v>
      </c>
      <c r="AI449" s="47">
        <f t="shared" ca="1" si="1455"/>
        <v>2.7279281641737065</v>
      </c>
      <c r="AJ449" s="47">
        <f t="shared" ca="1" si="1455"/>
        <v>3.0805067274571813</v>
      </c>
      <c r="AK449" s="47">
        <f t="shared" ca="1" si="1455"/>
        <v>3.4778568620063255</v>
      </c>
      <c r="AL449" s="47">
        <f t="shared" ca="1" si="1455"/>
        <v>3.9208739992464525</v>
      </c>
      <c r="AM449" s="47">
        <f t="shared" ca="1" si="1455"/>
        <v>4.4104714792313819</v>
      </c>
      <c r="AN449" s="47">
        <f t="shared" ca="1" si="1455"/>
        <v>4.9475809088160094</v>
      </c>
      <c r="AO449" s="47">
        <f t="shared" ca="1" si="1455"/>
        <v>5.5331525269923301</v>
      </c>
      <c r="AP449" s="47">
        <f t="shared" ca="1" si="1455"/>
        <v>6.1681555775321772</v>
      </c>
      <c r="AQ449" s="47">
        <f t="shared" ca="1" si="1455"/>
        <v>6.8535786890828208</v>
      </c>
      <c r="AR449" s="47">
        <f t="shared" ca="1" si="1455"/>
        <v>7.5904302628644782</v>
      </c>
      <c r="AS449" s="47">
        <f t="shared" ca="1" si="1455"/>
        <v>8.3797388681217679</v>
      </c>
      <c r="AT449" s="47">
        <f t="shared" ca="1" si="1455"/>
        <v>9.2225536454842043</v>
      </c>
      <c r="AU449" s="47">
        <f t="shared" ca="1" si="1455"/>
        <v>10.119944718393889</v>
      </c>
      <c r="AV449" s="47">
        <f t="shared" ca="1" si="1455"/>
        <v>11.073003612761767</v>
      </c>
      <c r="AW449" s="47">
        <f t="shared" ca="1" si="1455"/>
        <v>12.082843685017002</v>
      </c>
      <c r="AX449" s="47">
        <f t="shared" ca="1" si="1455"/>
        <v>13.150600558717342</v>
      </c>
    </row>
    <row r="451" spans="1:50" x14ac:dyDescent="0.25">
      <c r="A451" s="9" t="s">
        <v>560</v>
      </c>
    </row>
    <row r="452" spans="1:50" x14ac:dyDescent="0.25">
      <c r="A452" s="9" t="s">
        <v>991</v>
      </c>
      <c r="B452" s="10" t="str">
        <f t="shared" ref="B452:B454" si="1456">$B$38</f>
        <v>From Fiscal Forecasts</v>
      </c>
      <c r="D452" s="42">
        <f>'Fiscal Forecasts'!D$195</f>
        <v>4.0000000000000001E-3</v>
      </c>
      <c r="E452" s="42">
        <f>'Fiscal Forecasts'!E$195</f>
        <v>5.0000000000000001E-3</v>
      </c>
      <c r="F452" s="42">
        <f>'Fiscal Forecasts'!F$195</f>
        <v>4.0000000000000001E-3</v>
      </c>
      <c r="G452" s="42">
        <f>'Fiscal Forecasts'!G$195</f>
        <v>2E-3</v>
      </c>
      <c r="H452" s="42">
        <f>'Fiscal Forecasts'!H$195</f>
        <v>3.0000000000000001E-3</v>
      </c>
      <c r="I452" s="42">
        <f>'Fiscal Forecasts'!I$195</f>
        <v>2E-3</v>
      </c>
      <c r="J452" s="43">
        <f>'Fiscal Forecasts'!J$195</f>
        <v>2E-3</v>
      </c>
      <c r="K452" s="43">
        <f>'Fiscal Forecasts'!K$195</f>
        <v>2E-3</v>
      </c>
      <c r="L452" s="43">
        <f>'Fiscal Forecasts'!L$195</f>
        <v>2E-3</v>
      </c>
      <c r="M452" s="43">
        <f>'Fiscal Forecasts'!M$195</f>
        <v>2E-3</v>
      </c>
      <c r="N452" s="43">
        <f>'Fiscal Forecasts'!N$195</f>
        <v>2E-3</v>
      </c>
      <c r="O452" s="47">
        <f ca="1">IF(O$6=OFFSET(Assumptions!$B$8,0,$C$1),OFFSET(Assumptions!$B$9,0,$C$1),N$452)</f>
        <v>0</v>
      </c>
      <c r="P452" s="47">
        <f ca="1">IF(P$6=OFFSET(Assumptions!$B$8,0,$C$1),OFFSET(Assumptions!$B$9,0,$C$1),O$452)</f>
        <v>0</v>
      </c>
      <c r="Q452" s="47">
        <f ca="1">IF(Q$6=OFFSET(Assumptions!$B$8,0,$C$1),OFFSET(Assumptions!$B$9,0,$C$1),P$452)</f>
        <v>0</v>
      </c>
      <c r="R452" s="47">
        <f ca="1">IF(R$6=OFFSET(Assumptions!$B$8,0,$C$1),OFFSET(Assumptions!$B$9,0,$C$1),Q$452)</f>
        <v>0</v>
      </c>
      <c r="S452" s="47">
        <f ca="1">IF(S$6=OFFSET(Assumptions!$B$8,0,$C$1),OFFSET(Assumptions!$B$9,0,$C$1),R$452)</f>
        <v>0</v>
      </c>
      <c r="T452" s="47">
        <f ca="1">IF(T$6=OFFSET(Assumptions!$B$8,0,$C$1),OFFSET(Assumptions!$B$9,0,$C$1),S$452)</f>
        <v>0</v>
      </c>
      <c r="U452" s="47">
        <f ca="1">IF(U$6=OFFSET(Assumptions!$B$8,0,$C$1),OFFSET(Assumptions!$B$9,0,$C$1),T$452)</f>
        <v>0</v>
      </c>
      <c r="V452" s="47">
        <f ca="1">IF(V$6=OFFSET(Assumptions!$B$8,0,$C$1),OFFSET(Assumptions!$B$9,0,$C$1),U$452)</f>
        <v>0</v>
      </c>
      <c r="W452" s="47">
        <f ca="1">IF(W$6=OFFSET(Assumptions!$B$8,0,$C$1),OFFSET(Assumptions!$B$9,0,$C$1),V$452)</f>
        <v>0</v>
      </c>
      <c r="X452" s="47">
        <f ca="1">IF(X$6=OFFSET(Assumptions!$B$8,0,$C$1),OFFSET(Assumptions!$B$9,0,$C$1),W$452)</f>
        <v>0</v>
      </c>
      <c r="Y452" s="47">
        <f ca="1">IF(Y$6=OFFSET(Assumptions!$B$8,0,$C$1),OFFSET(Assumptions!$B$9,0,$C$1),X$452)</f>
        <v>0</v>
      </c>
      <c r="Z452" s="47">
        <f ca="1">IF(Z$6=OFFSET(Assumptions!$B$8,0,$C$1),OFFSET(Assumptions!$B$9,0,$C$1),Y$452)</f>
        <v>0</v>
      </c>
      <c r="AA452" s="47">
        <f ca="1">IF(AA$6=OFFSET(Assumptions!$B$8,0,$C$1),OFFSET(Assumptions!$B$9,0,$C$1),Z$452)</f>
        <v>0</v>
      </c>
      <c r="AB452" s="47">
        <f ca="1">IF(AB$6=OFFSET(Assumptions!$B$8,0,$C$1),OFFSET(Assumptions!$B$9,0,$C$1),AA$452)</f>
        <v>0</v>
      </c>
      <c r="AC452" s="47">
        <f ca="1">IF(AC$6=OFFSET(Assumptions!$B$8,0,$C$1),OFFSET(Assumptions!$B$9,0,$C$1),AB$452)</f>
        <v>0</v>
      </c>
      <c r="AD452" s="47">
        <f ca="1">IF(AD$6=OFFSET(Assumptions!$B$8,0,$C$1),OFFSET(Assumptions!$B$9,0,$C$1),AC$452)</f>
        <v>0</v>
      </c>
      <c r="AE452" s="47">
        <f ca="1">IF(AE$6=OFFSET(Assumptions!$B$8,0,$C$1),OFFSET(Assumptions!$B$9,0,$C$1),AD$452)</f>
        <v>0</v>
      </c>
      <c r="AF452" s="47">
        <f ca="1">IF(AF$6=OFFSET(Assumptions!$B$8,0,$C$1),OFFSET(Assumptions!$B$9,0,$C$1),AE$452)</f>
        <v>0</v>
      </c>
      <c r="AG452" s="47">
        <f ca="1">IF(AG$6=OFFSET(Assumptions!$B$8,0,$C$1),OFFSET(Assumptions!$B$9,0,$C$1),AF$452)</f>
        <v>0</v>
      </c>
      <c r="AH452" s="47">
        <f ca="1">IF(AH$6=OFFSET(Assumptions!$B$8,0,$C$1),OFFSET(Assumptions!$B$9,0,$C$1),AG$452)</f>
        <v>0</v>
      </c>
      <c r="AI452" s="47">
        <f ca="1">IF(AI$6=OFFSET(Assumptions!$B$8,0,$C$1),OFFSET(Assumptions!$B$9,0,$C$1),AH$452)</f>
        <v>0</v>
      </c>
      <c r="AJ452" s="47">
        <f ca="1">IF(AJ$6=OFFSET(Assumptions!$B$8,0,$C$1),OFFSET(Assumptions!$B$9,0,$C$1),AI$452)</f>
        <v>0</v>
      </c>
      <c r="AK452" s="47">
        <f ca="1">IF(AK$6=OFFSET(Assumptions!$B$8,0,$C$1),OFFSET(Assumptions!$B$9,0,$C$1),AJ$452)</f>
        <v>0</v>
      </c>
      <c r="AL452" s="47">
        <f ca="1">IF(AL$6=OFFSET(Assumptions!$B$8,0,$C$1),OFFSET(Assumptions!$B$9,0,$C$1),AK$452)</f>
        <v>0</v>
      </c>
      <c r="AM452" s="47">
        <f ca="1">IF(AM$6=OFFSET(Assumptions!$B$8,0,$C$1),OFFSET(Assumptions!$B$9,0,$C$1),AL$452)</f>
        <v>0</v>
      </c>
      <c r="AN452" s="47">
        <f ca="1">IF(AN$6=OFFSET(Assumptions!$B$8,0,$C$1),OFFSET(Assumptions!$B$9,0,$C$1),AM$452)</f>
        <v>0</v>
      </c>
      <c r="AO452" s="47">
        <f ca="1">IF(AO$6=OFFSET(Assumptions!$B$8,0,$C$1),OFFSET(Assumptions!$B$9,0,$C$1),AN$452)</f>
        <v>0</v>
      </c>
      <c r="AP452" s="47">
        <f ca="1">IF(AP$6=OFFSET(Assumptions!$B$8,0,$C$1),OFFSET(Assumptions!$B$9,0,$C$1),AO$452)</f>
        <v>0</v>
      </c>
      <c r="AQ452" s="47">
        <f ca="1">IF(AQ$6=OFFSET(Assumptions!$B$8,0,$C$1),OFFSET(Assumptions!$B$9,0,$C$1),AP$452)</f>
        <v>0</v>
      </c>
      <c r="AR452" s="47">
        <f ca="1">IF(AR$6=OFFSET(Assumptions!$B$8,0,$C$1),OFFSET(Assumptions!$B$9,0,$C$1),AQ$452)</f>
        <v>0</v>
      </c>
      <c r="AS452" s="47">
        <f ca="1">IF(AS$6=OFFSET(Assumptions!$B$8,0,$C$1),OFFSET(Assumptions!$B$9,0,$C$1),AR$452)</f>
        <v>0</v>
      </c>
      <c r="AT452" s="47">
        <f ca="1">IF(AT$6=OFFSET(Assumptions!$B$8,0,$C$1),OFFSET(Assumptions!$B$9,0,$C$1),AS$452)</f>
        <v>0</v>
      </c>
      <c r="AU452" s="47">
        <f ca="1">IF(AU$6=OFFSET(Assumptions!$B$8,0,$C$1),OFFSET(Assumptions!$B$9,0,$C$1),AT$452)</f>
        <v>0</v>
      </c>
      <c r="AV452" s="47">
        <f ca="1">IF(AV$6=OFFSET(Assumptions!$B$8,0,$C$1),OFFSET(Assumptions!$B$9,0,$C$1),AU$452)</f>
        <v>0</v>
      </c>
      <c r="AW452" s="47">
        <f ca="1">IF(AW$6=OFFSET(Assumptions!$B$8,0,$C$1),OFFSET(Assumptions!$B$9,0,$C$1),AV$452)</f>
        <v>0</v>
      </c>
      <c r="AX452" s="47">
        <f ca="1">IF(AX$6=OFFSET(Assumptions!$B$8,0,$C$1),OFFSET(Assumptions!$B$9,0,$C$1),AW$452)</f>
        <v>0</v>
      </c>
    </row>
    <row r="453" spans="1:50" x14ac:dyDescent="0.25">
      <c r="A453" s="11" t="s">
        <v>992</v>
      </c>
      <c r="B453" s="10" t="str">
        <f t="shared" si="1456"/>
        <v>From Fiscal Forecasts</v>
      </c>
      <c r="D453" s="35">
        <f>'Fiscal Forecasts'!D$381</f>
        <v>56.610999999999997</v>
      </c>
      <c r="E453" s="35">
        <f>'Fiscal Forecasts'!E$381</f>
        <v>64.945999999999998</v>
      </c>
      <c r="F453" s="35">
        <f>'Fiscal Forecasts'!F$381</f>
        <v>59.133000000000003</v>
      </c>
      <c r="G453" s="35">
        <f>'Fiscal Forecasts'!G$381</f>
        <v>54.115000000000002</v>
      </c>
      <c r="H453" s="35">
        <f>'Fiscal Forecasts'!H$381</f>
        <v>55.664000000000001</v>
      </c>
      <c r="I453" s="35">
        <f>'Fiscal Forecasts'!I$381</f>
        <v>65.049000000000007</v>
      </c>
      <c r="J453" s="17">
        <f>'Fiscal Forecasts'!J$381</f>
        <v>68.626999999999995</v>
      </c>
      <c r="K453" s="17">
        <f>'Fiscal Forecasts'!K$381</f>
        <v>71.796999999999997</v>
      </c>
      <c r="L453" s="17">
        <f>'Fiscal Forecasts'!L$381</f>
        <v>75.256</v>
      </c>
      <c r="M453" s="17">
        <f>'Fiscal Forecasts'!M$381</f>
        <v>79.001999999999995</v>
      </c>
      <c r="N453" s="17">
        <f>'Fiscal Forecasts'!N$381</f>
        <v>82.98</v>
      </c>
      <c r="O453" s="16">
        <f>N$453*Exogenous!Z$31/Exogenous!Y$31</f>
        <v>87.232633748189329</v>
      </c>
      <c r="P453" s="16">
        <f>O$453*Exogenous!AA$31/Exogenous!Z$31</f>
        <v>91.859921600249137</v>
      </c>
      <c r="Q453" s="16">
        <f>P$453*Exogenous!AB$31/Exogenous!AA$31</f>
        <v>96.802667925117291</v>
      </c>
      <c r="R453" s="16">
        <f>Q$453*Exogenous!AC$31/Exogenous!AB$31</f>
        <v>102.02138967233698</v>
      </c>
      <c r="S453" s="16">
        <f>R$453*Exogenous!AD$31/Exogenous!AC$31</f>
        <v>107.5116608182833</v>
      </c>
      <c r="T453" s="16">
        <f>S$453*Exogenous!AE$31/Exogenous!AD$31</f>
        <v>113.29291750429732</v>
      </c>
      <c r="U453" s="16">
        <f>T$453*Exogenous!AF$31/Exogenous!AE$31</f>
        <v>119.32125172654598</v>
      </c>
      <c r="V453" s="16">
        <f>U$453*Exogenous!AG$31/Exogenous!AF$31</f>
        <v>125.57045233176501</v>
      </c>
      <c r="W453" s="16">
        <f>V$453*Exogenous!AH$31/Exogenous!AG$31</f>
        <v>132.05084530239904</v>
      </c>
      <c r="X453" s="16">
        <f>W$453*Exogenous!AI$31/Exogenous!AH$31</f>
        <v>138.76543147139884</v>
      </c>
      <c r="Y453" s="16">
        <f>X$453*Exogenous!AJ$31/Exogenous!AI$31</f>
        <v>145.75877323342297</v>
      </c>
      <c r="Z453" s="16">
        <f>Y$453*Exogenous!AK$31/Exogenous!AJ$31</f>
        <v>153.03294059082228</v>
      </c>
      <c r="AA453" s="16">
        <f>Z$453*Exogenous!AL$31/Exogenous!AK$31</f>
        <v>160.60740845240463</v>
      </c>
      <c r="AB453" s="16">
        <f>AA$453*Exogenous!AM$31/Exogenous!AL$31</f>
        <v>168.50577582642768</v>
      </c>
      <c r="AC453" s="16">
        <f>AB$453*Exogenous!AN$31/Exogenous!AM$31</f>
        <v>176.7359160728908</v>
      </c>
      <c r="AD453" s="16">
        <f>AC$453*Exogenous!AO$31/Exogenous!AN$31</f>
        <v>185.34878625716058</v>
      </c>
      <c r="AE453" s="16">
        <f>AD$453*Exogenous!AP$31/Exogenous!AO$31</f>
        <v>194.36417391240425</v>
      </c>
      <c r="AF453" s="16">
        <f>AE$453*Exogenous!AQ$31/Exogenous!AP$31</f>
        <v>203.80509460223578</v>
      </c>
      <c r="AG453" s="16">
        <f>AF$453*Exogenous!AR$31/Exogenous!AQ$31</f>
        <v>213.70817251131734</v>
      </c>
      <c r="AH453" s="16">
        <f>AG$453*Exogenous!AS$31/Exogenous!AR$31</f>
        <v>224.09776527988566</v>
      </c>
      <c r="AI453" s="16">
        <f>AH$453*Exogenous!AT$31/Exogenous!AS$31</f>
        <v>235.02966600466644</v>
      </c>
      <c r="AJ453" s="16">
        <f>AI$453*Exogenous!AU$31/Exogenous!AT$31</f>
        <v>246.54065112002414</v>
      </c>
      <c r="AK453" s="16">
        <f>AJ$453*Exogenous!AV$31/Exogenous!AU$31</f>
        <v>258.67351535926178</v>
      </c>
      <c r="AL453" s="16">
        <f>AK$453*Exogenous!AW$31/Exogenous!AV$31</f>
        <v>271.4822984274075</v>
      </c>
      <c r="AM453" s="16">
        <f>AL$453*Exogenous!AX$31/Exogenous!AW$31</f>
        <v>285.02420881608481</v>
      </c>
      <c r="AN453" s="16">
        <f>AM$453*Exogenous!AY$31/Exogenous!AX$31</f>
        <v>299.12426058847444</v>
      </c>
      <c r="AO453" s="16">
        <f>AN$453*Exogenous!AZ$31/Exogenous!AY$31</f>
        <v>313.63245378119979</v>
      </c>
      <c r="AP453" s="16">
        <f>AO$453*Exogenous!BA$31/Exogenous!AZ$31</f>
        <v>328.50418837895734</v>
      </c>
      <c r="AQ453" s="16">
        <f>AP$453*Exogenous!BB$31/Exogenous!BA$31</f>
        <v>344.56692238969009</v>
      </c>
      <c r="AR453" s="16">
        <f>AQ$453*Exogenous!BC$31/Exogenous!BB$31</f>
        <v>361.41506929020284</v>
      </c>
      <c r="AS453" s="16">
        <f>AR$453*Exogenous!BD$31/Exogenous!BC$31</f>
        <v>379.08703309110928</v>
      </c>
      <c r="AT453" s="16">
        <f>AS$453*Exogenous!BE$31/Exogenous!BD$31</f>
        <v>397.62309562811402</v>
      </c>
      <c r="AU453" s="16">
        <f>AT$453*Exogenous!BF$31/Exogenous!BE$31</f>
        <v>417.06550838125281</v>
      </c>
      <c r="AV453" s="16">
        <f>AU$453*Exogenous!BG$31/Exogenous!BF$31</f>
        <v>437.45858878378021</v>
      </c>
      <c r="AW453" s="16">
        <f>AV$453*Exogenous!BH$31/Exogenous!BG$31</f>
        <v>458.84882124023329</v>
      </c>
      <c r="AX453" s="16">
        <f>AW$453*Exogenous!BI$31/Exogenous!BH$31</f>
        <v>481.2849630839342</v>
      </c>
    </row>
    <row r="454" spans="1:50" x14ac:dyDescent="0.25">
      <c r="A454" s="11" t="s">
        <v>993</v>
      </c>
      <c r="B454" s="10" t="str">
        <f t="shared" si="1456"/>
        <v>From Fiscal Forecasts</v>
      </c>
      <c r="D454" s="35">
        <f>SUM('Fiscal Forecasts'!D$382:D$383)-D$452</f>
        <v>1.601</v>
      </c>
      <c r="E454" s="35">
        <f>SUM('Fiscal Forecasts'!E$382:E$383)-E$452</f>
        <v>1.7390000000000001</v>
      </c>
      <c r="F454" s="35">
        <f>SUM('Fiscal Forecasts'!F$382:F$383)-F$452</f>
        <v>1.1990000000000001</v>
      </c>
      <c r="G454" s="35">
        <f>SUM('Fiscal Forecasts'!G$382:G$383)-G$452</f>
        <v>1.1839999999999999</v>
      </c>
      <c r="H454" s="35">
        <f>SUM('Fiscal Forecasts'!H$382:H$383)-H$452</f>
        <v>1.8440000000000001</v>
      </c>
      <c r="I454" s="35">
        <f>SUM('Fiscal Forecasts'!I$382:I$383)-I$452</f>
        <v>1.524</v>
      </c>
      <c r="J454" s="17">
        <f>SUM('Fiscal Forecasts'!J$382:J$383)-J$452</f>
        <v>1.2989999999999999</v>
      </c>
      <c r="K454" s="17">
        <f>SUM('Fiscal Forecasts'!K$382:K$383)-K$452</f>
        <v>1.165</v>
      </c>
      <c r="L454" s="17">
        <f>SUM('Fiscal Forecasts'!L$382:L$383)-L$452</f>
        <v>1.03</v>
      </c>
      <c r="M454" s="17">
        <f>SUM('Fiscal Forecasts'!M$382:M$383)-M$452</f>
        <v>0.97499999999999998</v>
      </c>
      <c r="N454" s="17">
        <f>SUM('Fiscal Forecasts'!N$382:N$383)-N$452</f>
        <v>0.84699999999999998</v>
      </c>
      <c r="O454" s="16">
        <f>N$454*O$453/N$453</f>
        <v>0.89040781856732165</v>
      </c>
      <c r="P454" s="16">
        <f t="shared" ref="P454" si="1457">O$454*P$453/O$453</f>
        <v>0.93763983604978329</v>
      </c>
      <c r="Q454" s="16">
        <f t="shared" ref="Q454" si="1458">P$454*Q$453/P$453</f>
        <v>0.98809182613369895</v>
      </c>
      <c r="R454" s="16">
        <f t="shared" ref="R454" si="1459">Q$454*R$453/Q$453</f>
        <v>1.0413607743127189</v>
      </c>
      <c r="S454" s="16">
        <f t="shared" ref="S454" si="1460">R$454*S$453/R$453</f>
        <v>1.0974015029294522</v>
      </c>
      <c r="T454" s="16">
        <f t="shared" ref="T454" si="1461">S$454*T$453/S$453</f>
        <v>1.1564124020985755</v>
      </c>
      <c r="U454" s="16">
        <f t="shared" ref="U454" si="1462">T$454*U$453/T$453</f>
        <v>1.2179452905806749</v>
      </c>
      <c r="V454" s="16">
        <f t="shared" ref="V454" si="1463">U$454*V$453/U$453</f>
        <v>1.2817326238250772</v>
      </c>
      <c r="W454" s="16">
        <f t="shared" ref="W454" si="1464">V$454*W$453/V$453</f>
        <v>1.3478798020141229</v>
      </c>
      <c r="X454" s="16">
        <f t="shared" ref="X454" si="1465">W$454*X$453/W$453</f>
        <v>1.4164174554865601</v>
      </c>
      <c r="Y454" s="16">
        <f t="shared" ref="Y454" si="1466">X$454*Y$453/X$453</f>
        <v>1.4878004450314437</v>
      </c>
      <c r="Z454" s="16">
        <f t="shared" ref="Z454" si="1467">Y$454*Z$453/Y$453</f>
        <v>1.5620498997400147</v>
      </c>
      <c r="AA454" s="16">
        <f t="shared" ref="AA454" si="1468">Z$454*AA$453/Z$453</f>
        <v>1.6393646054372941</v>
      </c>
      <c r="AB454" s="16">
        <f t="shared" ref="AB454" si="1469">AA$454*AB$453/AA$453</f>
        <v>1.7199854437814435</v>
      </c>
      <c r="AC454" s="16">
        <f t="shared" ref="AC454" si="1470">AB$454*AC$453/AB$453</f>
        <v>1.8039927803535603</v>
      </c>
      <c r="AD454" s="16">
        <f t="shared" ref="AD454" si="1471">AC$454*AD$453/AC$453</f>
        <v>1.8919067481298497</v>
      </c>
      <c r="AE454" s="16">
        <f t="shared" ref="AE454" si="1472">AD$454*AE$453/AD$453</f>
        <v>1.9839293239793483</v>
      </c>
      <c r="AF454" s="16">
        <f t="shared" ref="AF454" si="1473">AE$454*AF$453/AE$453</f>
        <v>2.0802954341780384</v>
      </c>
      <c r="AG454" s="16">
        <f t="shared" ref="AG454" si="1474">AF$454*AG$453/AF$453</f>
        <v>2.1813789119918741</v>
      </c>
      <c r="AH454" s="16">
        <f t="shared" ref="AH454" si="1475">AG$454*AH$453/AG$453</f>
        <v>2.2874283826471808</v>
      </c>
      <c r="AI454" s="16">
        <f t="shared" ref="AI454" si="1476">AH$454*AI$453/AH$453</f>
        <v>2.3990133418408335</v>
      </c>
      <c r="AJ454" s="16">
        <f t="shared" ref="AJ454" si="1477">AI$454*AJ$453/AI$453</f>
        <v>2.5165091768939543</v>
      </c>
      <c r="AK454" s="16">
        <f t="shared" ref="AK454" si="1478">AJ$454*AK$453/AJ$453</f>
        <v>2.6403527055832079</v>
      </c>
      <c r="AL454" s="16">
        <f t="shared" ref="AL454" si="1479">AK$454*AL$453/AK$453</f>
        <v>2.771095526247457</v>
      </c>
      <c r="AM454" s="16">
        <f t="shared" ref="AM454" si="1480">AL$454*AM$453/AL$453</f>
        <v>2.909321581913999</v>
      </c>
      <c r="AN454" s="16">
        <f t="shared" ref="AN454" si="1481">AM$454*AN$453/AM$453</f>
        <v>3.0532447423287254</v>
      </c>
      <c r="AO454" s="16">
        <f t="shared" ref="AO454" si="1482">AN$454*AO$453/AN$453</f>
        <v>3.2013339160361047</v>
      </c>
      <c r="AP454" s="16">
        <f t="shared" ref="AP454" si="1483">AO$454*AP$453/AO$453</f>
        <v>3.3531338582426682</v>
      </c>
      <c r="AQ454" s="16">
        <f t="shared" ref="AQ454" si="1484">AP$454*AQ$453/AP$453</f>
        <v>3.5170906635823966</v>
      </c>
      <c r="AR454" s="16">
        <f t="shared" ref="AR454" si="1485">AQ$454*AR$453/AQ$453</f>
        <v>3.6890643973102137</v>
      </c>
      <c r="AS454" s="16">
        <f t="shared" ref="AS454" si="1486">AR$454*AS$453/AR$453</f>
        <v>3.869447059871888</v>
      </c>
      <c r="AT454" s="16">
        <f t="shared" ref="AT454" si="1487">AS$454*AT$453/AS$453</f>
        <v>4.0586498191975444</v>
      </c>
      <c r="AU454" s="16">
        <f t="shared" ref="AU454" si="1488">AT$454*AU$453/AT$453</f>
        <v>4.2571039479262565</v>
      </c>
      <c r="AV454" s="16">
        <f t="shared" ref="AV454" si="1489">AU$454*AV$453/AU$453</f>
        <v>4.4652618064577183</v>
      </c>
      <c r="AW454" s="16">
        <f t="shared" ref="AW454" si="1490">AV$454*AW$453/AV$453</f>
        <v>4.6835978740717907</v>
      </c>
      <c r="AX454" s="16">
        <f t="shared" ref="AX454" si="1491">AW$454*AX$453/AW$453</f>
        <v>4.9126098304662786</v>
      </c>
    </row>
    <row r="455" spans="1:50" x14ac:dyDescent="0.25">
      <c r="A455" s="9" t="s">
        <v>994</v>
      </c>
      <c r="D455" s="64">
        <f t="shared" ref="D455:AX455" si="1492">SUM(D$452:D$454)</f>
        <v>58.215999999999994</v>
      </c>
      <c r="E455" s="64">
        <f t="shared" si="1492"/>
        <v>66.69</v>
      </c>
      <c r="F455" s="64">
        <f t="shared" si="1492"/>
        <v>60.335999999999999</v>
      </c>
      <c r="G455" s="64">
        <f t="shared" si="1492"/>
        <v>55.301000000000002</v>
      </c>
      <c r="H455" s="64">
        <f t="shared" si="1492"/>
        <v>57.511000000000003</v>
      </c>
      <c r="I455" s="64">
        <f t="shared" si="1492"/>
        <v>66.575000000000003</v>
      </c>
      <c r="J455" s="65">
        <f t="shared" si="1492"/>
        <v>69.927999999999997</v>
      </c>
      <c r="K455" s="65">
        <f t="shared" si="1492"/>
        <v>72.963999999999999</v>
      </c>
      <c r="L455" s="65">
        <f t="shared" si="1492"/>
        <v>76.287999999999997</v>
      </c>
      <c r="M455" s="65">
        <f t="shared" si="1492"/>
        <v>79.978999999999985</v>
      </c>
      <c r="N455" s="65">
        <f t="shared" si="1492"/>
        <v>83.828999999999994</v>
      </c>
      <c r="O455" s="66">
        <f t="shared" ca="1" si="1492"/>
        <v>88.123041566756655</v>
      </c>
      <c r="P455" s="66">
        <f t="shared" ca="1" si="1492"/>
        <v>92.797561436298921</v>
      </c>
      <c r="Q455" s="66">
        <f t="shared" ca="1" si="1492"/>
        <v>97.790759751250988</v>
      </c>
      <c r="R455" s="66">
        <f t="shared" ca="1" si="1492"/>
        <v>103.0627504466497</v>
      </c>
      <c r="S455" s="66">
        <f t="shared" ca="1" si="1492"/>
        <v>108.60906232121276</v>
      </c>
      <c r="T455" s="66">
        <f t="shared" ca="1" si="1492"/>
        <v>114.4493299063959</v>
      </c>
      <c r="U455" s="66">
        <f t="shared" ca="1" si="1492"/>
        <v>120.53919701712665</v>
      </c>
      <c r="V455" s="66">
        <f t="shared" ca="1" si="1492"/>
        <v>126.85218495559009</v>
      </c>
      <c r="W455" s="66">
        <f t="shared" ca="1" si="1492"/>
        <v>133.39872510441316</v>
      </c>
      <c r="X455" s="66">
        <f t="shared" ca="1" si="1492"/>
        <v>140.18184892688541</v>
      </c>
      <c r="Y455" s="66">
        <f t="shared" ca="1" si="1492"/>
        <v>147.24657367845441</v>
      </c>
      <c r="Z455" s="66">
        <f t="shared" ca="1" si="1492"/>
        <v>154.59499049056228</v>
      </c>
      <c r="AA455" s="66">
        <f t="shared" ca="1" si="1492"/>
        <v>162.24677305784192</v>
      </c>
      <c r="AB455" s="66">
        <f t="shared" ca="1" si="1492"/>
        <v>170.22576127020912</v>
      </c>
      <c r="AC455" s="66">
        <f t="shared" ca="1" si="1492"/>
        <v>178.53990885324436</v>
      </c>
      <c r="AD455" s="66">
        <f t="shared" ca="1" si="1492"/>
        <v>187.24069300529044</v>
      </c>
      <c r="AE455" s="66">
        <f t="shared" ca="1" si="1492"/>
        <v>196.34810323638359</v>
      </c>
      <c r="AF455" s="66">
        <f t="shared" ca="1" si="1492"/>
        <v>205.88539003641381</v>
      </c>
      <c r="AG455" s="66">
        <f t="shared" ca="1" si="1492"/>
        <v>215.88955142330923</v>
      </c>
      <c r="AH455" s="66">
        <f t="shared" ca="1" si="1492"/>
        <v>226.38519366253286</v>
      </c>
      <c r="AI455" s="66">
        <f t="shared" ca="1" si="1492"/>
        <v>237.42867934650727</v>
      </c>
      <c r="AJ455" s="66">
        <f t="shared" ca="1" si="1492"/>
        <v>249.05716029691808</v>
      </c>
      <c r="AK455" s="66">
        <f t="shared" ca="1" si="1492"/>
        <v>261.313868064845</v>
      </c>
      <c r="AL455" s="66">
        <f t="shared" ca="1" si="1492"/>
        <v>274.25339395365495</v>
      </c>
      <c r="AM455" s="66">
        <f t="shared" ca="1" si="1492"/>
        <v>287.93353039799882</v>
      </c>
      <c r="AN455" s="66">
        <f t="shared" ca="1" si="1492"/>
        <v>302.17750533080317</v>
      </c>
      <c r="AO455" s="66">
        <f t="shared" ca="1" si="1492"/>
        <v>316.83378769723589</v>
      </c>
      <c r="AP455" s="66">
        <f t="shared" ca="1" si="1492"/>
        <v>331.85732223719998</v>
      </c>
      <c r="AQ455" s="66">
        <f t="shared" ca="1" si="1492"/>
        <v>348.08401305327249</v>
      </c>
      <c r="AR455" s="66">
        <f t="shared" ca="1" si="1492"/>
        <v>365.10413368751307</v>
      </c>
      <c r="AS455" s="66">
        <f t="shared" ca="1" si="1492"/>
        <v>382.95648015098118</v>
      </c>
      <c r="AT455" s="66">
        <f t="shared" ca="1" si="1492"/>
        <v>401.68174544731158</v>
      </c>
      <c r="AU455" s="66">
        <f t="shared" ca="1" si="1492"/>
        <v>421.32261232917909</v>
      </c>
      <c r="AV455" s="66">
        <f t="shared" ca="1" si="1492"/>
        <v>441.92385059023792</v>
      </c>
      <c r="AW455" s="66">
        <f t="shared" ca="1" si="1492"/>
        <v>463.53241911430507</v>
      </c>
      <c r="AX455" s="66">
        <f t="shared" ca="1" si="1492"/>
        <v>486.1975729144005</v>
      </c>
    </row>
    <row r="457" spans="1:50" x14ac:dyDescent="0.25">
      <c r="A457" s="9" t="s">
        <v>1006</v>
      </c>
    </row>
    <row r="458" spans="1:50" x14ac:dyDescent="0.25">
      <c r="A458" s="9" t="s">
        <v>1007</v>
      </c>
      <c r="B458" s="10" t="str">
        <f t="shared" ref="B458:B459" si="1493">$B$38</f>
        <v>From Fiscal Forecasts</v>
      </c>
      <c r="D458" s="42">
        <f>'Fiscal Forecasts'!D$196</f>
        <v>13.164999999999999</v>
      </c>
      <c r="E458" s="42">
        <f>'Fiscal Forecasts'!E$196</f>
        <v>13.976000000000001</v>
      </c>
      <c r="F458" s="42">
        <f>'Fiscal Forecasts'!F$196</f>
        <v>11.039</v>
      </c>
      <c r="G458" s="42">
        <f>'Fiscal Forecasts'!G$196</f>
        <v>8.7650000000000006</v>
      </c>
      <c r="H458" s="42">
        <f>'Fiscal Forecasts'!H$196</f>
        <v>8.0380000000000003</v>
      </c>
      <c r="I458" s="42">
        <f>'Fiscal Forecasts'!I$196</f>
        <v>7.3339999999999996</v>
      </c>
      <c r="J458" s="43">
        <f>'Fiscal Forecasts'!J$196</f>
        <v>6.532</v>
      </c>
      <c r="K458" s="43">
        <f>'Fiscal Forecasts'!K$196</f>
        <v>6.0250000000000004</v>
      </c>
      <c r="L458" s="43">
        <f>'Fiscal Forecasts'!L$196</f>
        <v>5.5129999999999999</v>
      </c>
      <c r="M458" s="43">
        <f>'Fiscal Forecasts'!M$196</f>
        <v>5.0270000000000001</v>
      </c>
      <c r="N458" s="43">
        <f>'Fiscal Forecasts'!N$196</f>
        <v>4.5670000000000002</v>
      </c>
      <c r="O458" s="16">
        <f>N$458*Exogenous!Z$35/Exogenous!Y$35</f>
        <v>4.3797723516949159</v>
      </c>
      <c r="P458" s="16">
        <f>O$458*Exogenous!AA$35/Exogenous!Z$35</f>
        <v>4.187706779661017</v>
      </c>
      <c r="Q458" s="16">
        <f>P$458*Exogenous!AB$35/Exogenous!AA$35</f>
        <v>3.9932222457627118</v>
      </c>
      <c r="R458" s="16">
        <f>Q$458*Exogenous!AC$35/Exogenous!AB$35</f>
        <v>3.7943835805084745</v>
      </c>
      <c r="S458" s="16">
        <f>R$458*Exogenous!AD$35/Exogenous!AC$35</f>
        <v>3.5940935381355934</v>
      </c>
      <c r="T458" s="16">
        <f>S$458*Exogenous!AE$35/Exogenous!AD$35</f>
        <v>3.3933197033898308</v>
      </c>
      <c r="U458" s="16">
        <f>T$458*Exogenous!AF$35/Exogenous!AE$35</f>
        <v>3.1993189618644076</v>
      </c>
      <c r="V458" s="16">
        <f>U$458*Exogenous!AG$35/Exogenous!AF$35</f>
        <v>3.0077371822033903</v>
      </c>
      <c r="W458" s="16">
        <f>V$458*Exogenous!AH$35/Exogenous!AG$35</f>
        <v>2.8190581567796613</v>
      </c>
      <c r="X458" s="16">
        <f>W$458*Exogenous!AI$35/Exogenous!AH$35</f>
        <v>2.6337656779661018</v>
      </c>
      <c r="Y458" s="16">
        <f>X$458*Exogenous!AJ$35/Exogenous!AI$35</f>
        <v>2.453311122881356</v>
      </c>
      <c r="Z458" s="16">
        <f>Y$458*Exogenous!AK$35/Exogenous!AJ$35</f>
        <v>2.2772106991525423</v>
      </c>
      <c r="AA458" s="16">
        <f>Z$458*Exogenous!AL$35/Exogenous!AK$35</f>
        <v>2.1069157838983052</v>
      </c>
      <c r="AB458" s="16">
        <f>AA$458*Exogenous!AM$35/Exogenous!AL$35</f>
        <v>1.9429101694915254</v>
      </c>
      <c r="AC458" s="16">
        <f>AB$458*Exogenous!AN$35/Exogenous!AM$35</f>
        <v>1.7856776483050847</v>
      </c>
      <c r="AD458" s="16">
        <f>AC$458*Exogenous!AO$35/Exogenous!AN$35</f>
        <v>1.6347344279661018</v>
      </c>
      <c r="AE458" s="16">
        <f>AD$458*Exogenous!AP$35/Exogenous!AO$35</f>
        <v>1.4915318855932207</v>
      </c>
      <c r="AF458" s="16">
        <f>AE$458*Exogenous!AQ$35/Exogenous!AP$35</f>
        <v>1.3551024364406783</v>
      </c>
      <c r="AG458" s="16">
        <f>AF$458*Exogenous!AR$35/Exogenous!AQ$35</f>
        <v>1.2268974576271188</v>
      </c>
      <c r="AH458" s="16">
        <f>AG$458*Exogenous!AS$35/Exogenous!AR$35</f>
        <v>1.106433156779661</v>
      </c>
      <c r="AI458" s="16">
        <f>AH$458*Exogenous!AT$35/Exogenous!AS$35</f>
        <v>0.99370953389830508</v>
      </c>
      <c r="AJ458" s="16">
        <f>AI$458*Exogenous!AU$35/Exogenous!AT$35</f>
        <v>0.88921038135593233</v>
      </c>
      <c r="AK458" s="16">
        <f>AJ$458*Exogenous!AV$35/Exogenous!AU$35</f>
        <v>0.79196811440677972</v>
      </c>
      <c r="AL458" s="16">
        <f>AK$458*Exogenous!AW$35/Exogenous!AV$35</f>
        <v>0.70246652542372878</v>
      </c>
      <c r="AM458" s="16">
        <f>AL$458*Exogenous!AX$35/Exogenous!AW$35</f>
        <v>0.62022182203389831</v>
      </c>
      <c r="AN458" s="16">
        <f>AM$458*Exogenous!AY$35/Exogenous!AX$35</f>
        <v>0.54475021186440675</v>
      </c>
      <c r="AO458" s="16">
        <f>AN$458*Exogenous!AZ$35/Exogenous!AY$35</f>
        <v>0.47605169491525429</v>
      </c>
      <c r="AP458" s="16">
        <f>AO$458*Exogenous!BA$35/Exogenous!AZ$35</f>
        <v>0.41412627118644074</v>
      </c>
      <c r="AQ458" s="16">
        <f>AP$458*Exogenous!BB$35/Exogenous!BA$35</f>
        <v>0.3584901483050848</v>
      </c>
      <c r="AR458" s="16">
        <f>AQ$458*Exogenous!BC$35/Exogenous!BB$35</f>
        <v>0.30914332627118651</v>
      </c>
      <c r="AS458" s="16">
        <f>AR$458*Exogenous!BD$35/Exogenous!BC$35</f>
        <v>0.26511822033898313</v>
      </c>
      <c r="AT458" s="16">
        <f>AS$458*Exogenous!BE$35/Exogenous!BD$35</f>
        <v>0.22641483050847463</v>
      </c>
      <c r="AU458" s="16">
        <f>AT$458*Exogenous!BF$35/Exogenous!BE$35</f>
        <v>0.19013040254237293</v>
      </c>
      <c r="AV458" s="16">
        <f>AU$458*Exogenous!BG$35/Exogenous!BF$35</f>
        <v>0.15626493644067799</v>
      </c>
      <c r="AW458" s="16">
        <f>AV$458*Exogenous!BH$35/Exogenous!BG$35</f>
        <v>0.12481843220338985</v>
      </c>
      <c r="AX458" s="16">
        <f>AW$458*Exogenous!BI$35/Exogenous!BH$35</f>
        <v>9.5790889830508499E-2</v>
      </c>
    </row>
    <row r="459" spans="1:50" x14ac:dyDescent="0.25">
      <c r="A459" s="11" t="s">
        <v>1008</v>
      </c>
      <c r="B459" s="10" t="str">
        <f t="shared" si="1493"/>
        <v>From Fiscal Forecasts</v>
      </c>
      <c r="D459" s="35">
        <f>'Fiscal Forecasts'!D$140-D$458</f>
        <v>1.4000000000001123E-2</v>
      </c>
      <c r="E459" s="35">
        <f>'Fiscal Forecasts'!E$140-E$458</f>
        <v>6.9999999999996732E-3</v>
      </c>
      <c r="F459" s="35">
        <f>'Fiscal Forecasts'!F$140-F$458</f>
        <v>-9.9999999999944578E-4</v>
      </c>
      <c r="G459" s="35">
        <f>'Fiscal Forecasts'!G$140-G$458</f>
        <v>3.9999999999995595E-3</v>
      </c>
      <c r="H459" s="35">
        <f>'Fiscal Forecasts'!H$140-H$458</f>
        <v>9.9999999999944578E-4</v>
      </c>
      <c r="I459" s="35">
        <f>'Fiscal Forecasts'!I$140-I$458</f>
        <v>3.0000000000001137E-3</v>
      </c>
      <c r="J459" s="17">
        <f>'Fiscal Forecasts'!J$140-J$458</f>
        <v>3.0000000000001137E-3</v>
      </c>
      <c r="K459" s="17">
        <f>'Fiscal Forecasts'!K$140-K$458</f>
        <v>2.9999999999992255E-3</v>
      </c>
      <c r="L459" s="17">
        <f>'Fiscal Forecasts'!L$140-L$458</f>
        <v>3.0000000000001137E-3</v>
      </c>
      <c r="M459" s="17">
        <f>'Fiscal Forecasts'!M$140-M$458</f>
        <v>3.0000000000001137E-3</v>
      </c>
      <c r="N459" s="17">
        <f>'Fiscal Forecasts'!N$140-N$458</f>
        <v>3.0000000000001137E-3</v>
      </c>
      <c r="O459" s="16">
        <f ca="1">IF(O$6=OFFSET(Assumptions!$B$8,0,$C$1),OFFSET(Assumptions!$B$9,0,$C$1),N$459)</f>
        <v>0</v>
      </c>
      <c r="P459" s="16">
        <f ca="1">IF(P$6=OFFSET(Assumptions!$B$8,0,$C$1),OFFSET(Assumptions!$B$9,0,$C$1),O$459)</f>
        <v>0</v>
      </c>
      <c r="Q459" s="16">
        <f ca="1">IF(Q$6=OFFSET(Assumptions!$B$8,0,$C$1),OFFSET(Assumptions!$B$9,0,$C$1),P$459)</f>
        <v>0</v>
      </c>
      <c r="R459" s="16">
        <f ca="1">IF(R$6=OFFSET(Assumptions!$B$8,0,$C$1),OFFSET(Assumptions!$B$9,0,$C$1),Q$459)</f>
        <v>0</v>
      </c>
      <c r="S459" s="16">
        <f ca="1">IF(S$6=OFFSET(Assumptions!$B$8,0,$C$1),OFFSET(Assumptions!$B$9,0,$C$1),R$459)</f>
        <v>0</v>
      </c>
      <c r="T459" s="16">
        <f ca="1">IF(T$6=OFFSET(Assumptions!$B$8,0,$C$1),OFFSET(Assumptions!$B$9,0,$C$1),S$459)</f>
        <v>0</v>
      </c>
      <c r="U459" s="16">
        <f ca="1">IF(U$6=OFFSET(Assumptions!$B$8,0,$C$1),OFFSET(Assumptions!$B$9,0,$C$1),T$459)</f>
        <v>0</v>
      </c>
      <c r="V459" s="16">
        <f ca="1">IF(V$6=OFFSET(Assumptions!$B$8,0,$C$1),OFFSET(Assumptions!$B$9,0,$C$1),U$459)</f>
        <v>0</v>
      </c>
      <c r="W459" s="16">
        <f ca="1">IF(W$6=OFFSET(Assumptions!$B$8,0,$C$1),OFFSET(Assumptions!$B$9,0,$C$1),V$459)</f>
        <v>0</v>
      </c>
      <c r="X459" s="16">
        <f ca="1">IF(X$6=OFFSET(Assumptions!$B$8,0,$C$1),OFFSET(Assumptions!$B$9,0,$C$1),W$459)</f>
        <v>0</v>
      </c>
      <c r="Y459" s="16">
        <f ca="1">IF(Y$6=OFFSET(Assumptions!$B$8,0,$C$1),OFFSET(Assumptions!$B$9,0,$C$1),X$459)</f>
        <v>0</v>
      </c>
      <c r="Z459" s="16">
        <f ca="1">IF(Z$6=OFFSET(Assumptions!$B$8,0,$C$1),OFFSET(Assumptions!$B$9,0,$C$1),Y$459)</f>
        <v>0</v>
      </c>
      <c r="AA459" s="16">
        <f ca="1">IF(AA$6=OFFSET(Assumptions!$B$8,0,$C$1),OFFSET(Assumptions!$B$9,0,$C$1),Z$459)</f>
        <v>0</v>
      </c>
      <c r="AB459" s="16">
        <f ca="1">IF(AB$6=OFFSET(Assumptions!$B$8,0,$C$1),OFFSET(Assumptions!$B$9,0,$C$1),AA$459)</f>
        <v>0</v>
      </c>
      <c r="AC459" s="16">
        <f ca="1">IF(AC$6=OFFSET(Assumptions!$B$8,0,$C$1),OFFSET(Assumptions!$B$9,0,$C$1),AB$459)</f>
        <v>0</v>
      </c>
      <c r="AD459" s="16">
        <f ca="1">IF(AD$6=OFFSET(Assumptions!$B$8,0,$C$1),OFFSET(Assumptions!$B$9,0,$C$1),AC$459)</f>
        <v>0</v>
      </c>
      <c r="AE459" s="16">
        <f ca="1">IF(AE$6=OFFSET(Assumptions!$B$8,0,$C$1),OFFSET(Assumptions!$B$9,0,$C$1),AD$459)</f>
        <v>0</v>
      </c>
      <c r="AF459" s="16">
        <f ca="1">IF(AF$6=OFFSET(Assumptions!$B$8,0,$C$1),OFFSET(Assumptions!$B$9,0,$C$1),AE$459)</f>
        <v>0</v>
      </c>
      <c r="AG459" s="16">
        <f ca="1">IF(AG$6=OFFSET(Assumptions!$B$8,0,$C$1),OFFSET(Assumptions!$B$9,0,$C$1),AF$459)</f>
        <v>0</v>
      </c>
      <c r="AH459" s="16">
        <f ca="1">IF(AH$6=OFFSET(Assumptions!$B$8,0,$C$1),OFFSET(Assumptions!$B$9,0,$C$1),AG$459)</f>
        <v>0</v>
      </c>
      <c r="AI459" s="16">
        <f ca="1">IF(AI$6=OFFSET(Assumptions!$B$8,0,$C$1),OFFSET(Assumptions!$B$9,0,$C$1),AH$459)</f>
        <v>0</v>
      </c>
      <c r="AJ459" s="16">
        <f ca="1">IF(AJ$6=OFFSET(Assumptions!$B$8,0,$C$1),OFFSET(Assumptions!$B$9,0,$C$1),AI$459)</f>
        <v>0</v>
      </c>
      <c r="AK459" s="16">
        <f ca="1">IF(AK$6=OFFSET(Assumptions!$B$8,0,$C$1),OFFSET(Assumptions!$B$9,0,$C$1),AJ$459)</f>
        <v>0</v>
      </c>
      <c r="AL459" s="16">
        <f ca="1">IF(AL$6=OFFSET(Assumptions!$B$8,0,$C$1),OFFSET(Assumptions!$B$9,0,$C$1),AK$459)</f>
        <v>0</v>
      </c>
      <c r="AM459" s="16">
        <f ca="1">IF(AM$6=OFFSET(Assumptions!$B$8,0,$C$1),OFFSET(Assumptions!$B$9,0,$C$1),AL$459)</f>
        <v>0</v>
      </c>
      <c r="AN459" s="16">
        <f ca="1">IF(AN$6=OFFSET(Assumptions!$B$8,0,$C$1),OFFSET(Assumptions!$B$9,0,$C$1),AM$459)</f>
        <v>0</v>
      </c>
      <c r="AO459" s="16">
        <f ca="1">IF(AO$6=OFFSET(Assumptions!$B$8,0,$C$1),OFFSET(Assumptions!$B$9,0,$C$1),AN$459)</f>
        <v>0</v>
      </c>
      <c r="AP459" s="16">
        <f ca="1">IF(AP$6=OFFSET(Assumptions!$B$8,0,$C$1),OFFSET(Assumptions!$B$9,0,$C$1),AO$459)</f>
        <v>0</v>
      </c>
      <c r="AQ459" s="16">
        <f ca="1">IF(AQ$6=OFFSET(Assumptions!$B$8,0,$C$1),OFFSET(Assumptions!$B$9,0,$C$1),AP$459)</f>
        <v>0</v>
      </c>
      <c r="AR459" s="16">
        <f ca="1">IF(AR$6=OFFSET(Assumptions!$B$8,0,$C$1),OFFSET(Assumptions!$B$9,0,$C$1),AQ$459)</f>
        <v>0</v>
      </c>
      <c r="AS459" s="16">
        <f ca="1">IF(AS$6=OFFSET(Assumptions!$B$8,0,$C$1),OFFSET(Assumptions!$B$9,0,$C$1),AR$459)</f>
        <v>0</v>
      </c>
      <c r="AT459" s="16">
        <f ca="1">IF(AT$6=OFFSET(Assumptions!$B$8,0,$C$1),OFFSET(Assumptions!$B$9,0,$C$1),AS$459)</f>
        <v>0</v>
      </c>
      <c r="AU459" s="16">
        <f ca="1">IF(AU$6=OFFSET(Assumptions!$B$8,0,$C$1),OFFSET(Assumptions!$B$9,0,$C$1),AT$459)</f>
        <v>0</v>
      </c>
      <c r="AV459" s="16">
        <f ca="1">IF(AV$6=OFFSET(Assumptions!$B$8,0,$C$1),OFFSET(Assumptions!$B$9,0,$C$1),AU$459)</f>
        <v>0</v>
      </c>
      <c r="AW459" s="16">
        <f ca="1">IF(AW$6=OFFSET(Assumptions!$B$8,0,$C$1),OFFSET(Assumptions!$B$9,0,$C$1),AV$459)</f>
        <v>0</v>
      </c>
      <c r="AX459" s="16">
        <f ca="1">IF(AX$6=OFFSET(Assumptions!$B$8,0,$C$1),OFFSET(Assumptions!$B$9,0,$C$1),AW$459)</f>
        <v>0</v>
      </c>
    </row>
    <row r="460" spans="1:50" x14ac:dyDescent="0.25">
      <c r="A460" s="9" t="s">
        <v>1009</v>
      </c>
      <c r="D460" s="64">
        <f t="shared" ref="D460:AX460" si="1494">SUM(D$458:D$459)</f>
        <v>13.179</v>
      </c>
      <c r="E460" s="64">
        <f t="shared" si="1494"/>
        <v>13.983000000000001</v>
      </c>
      <c r="F460" s="64">
        <f t="shared" si="1494"/>
        <v>11.038</v>
      </c>
      <c r="G460" s="64">
        <f t="shared" si="1494"/>
        <v>8.7690000000000001</v>
      </c>
      <c r="H460" s="64">
        <f t="shared" si="1494"/>
        <v>8.0389999999999997</v>
      </c>
      <c r="I460" s="64">
        <f t="shared" si="1494"/>
        <v>7.3369999999999997</v>
      </c>
      <c r="J460" s="65">
        <f t="shared" si="1494"/>
        <v>6.5350000000000001</v>
      </c>
      <c r="K460" s="65">
        <f t="shared" si="1494"/>
        <v>6.0279999999999996</v>
      </c>
      <c r="L460" s="65">
        <f t="shared" si="1494"/>
        <v>5.516</v>
      </c>
      <c r="M460" s="65">
        <f t="shared" si="1494"/>
        <v>5.03</v>
      </c>
      <c r="N460" s="65">
        <f t="shared" si="1494"/>
        <v>4.57</v>
      </c>
      <c r="O460" s="66">
        <f t="shared" ca="1" si="1494"/>
        <v>4.3797723516949159</v>
      </c>
      <c r="P460" s="66">
        <f t="shared" ca="1" si="1494"/>
        <v>4.187706779661017</v>
      </c>
      <c r="Q460" s="66">
        <f t="shared" ca="1" si="1494"/>
        <v>3.9932222457627118</v>
      </c>
      <c r="R460" s="66">
        <f t="shared" ca="1" si="1494"/>
        <v>3.7943835805084745</v>
      </c>
      <c r="S460" s="66">
        <f t="shared" ca="1" si="1494"/>
        <v>3.5940935381355934</v>
      </c>
      <c r="T460" s="66">
        <f t="shared" ca="1" si="1494"/>
        <v>3.3933197033898308</v>
      </c>
      <c r="U460" s="66">
        <f t="shared" ca="1" si="1494"/>
        <v>3.1993189618644076</v>
      </c>
      <c r="V460" s="66">
        <f t="shared" ca="1" si="1494"/>
        <v>3.0077371822033903</v>
      </c>
      <c r="W460" s="66">
        <f t="shared" ca="1" si="1494"/>
        <v>2.8190581567796613</v>
      </c>
      <c r="X460" s="66">
        <f t="shared" ca="1" si="1494"/>
        <v>2.6337656779661018</v>
      </c>
      <c r="Y460" s="66">
        <f t="shared" ca="1" si="1494"/>
        <v>2.453311122881356</v>
      </c>
      <c r="Z460" s="66">
        <f t="shared" ca="1" si="1494"/>
        <v>2.2772106991525423</v>
      </c>
      <c r="AA460" s="66">
        <f t="shared" ca="1" si="1494"/>
        <v>2.1069157838983052</v>
      </c>
      <c r="AB460" s="66">
        <f t="shared" ca="1" si="1494"/>
        <v>1.9429101694915254</v>
      </c>
      <c r="AC460" s="66">
        <f t="shared" ca="1" si="1494"/>
        <v>1.7856776483050847</v>
      </c>
      <c r="AD460" s="66">
        <f t="shared" ca="1" si="1494"/>
        <v>1.6347344279661018</v>
      </c>
      <c r="AE460" s="66">
        <f t="shared" ca="1" si="1494"/>
        <v>1.4915318855932207</v>
      </c>
      <c r="AF460" s="66">
        <f t="shared" ca="1" si="1494"/>
        <v>1.3551024364406783</v>
      </c>
      <c r="AG460" s="66">
        <f t="shared" ca="1" si="1494"/>
        <v>1.2268974576271188</v>
      </c>
      <c r="AH460" s="66">
        <f t="shared" ca="1" si="1494"/>
        <v>1.106433156779661</v>
      </c>
      <c r="AI460" s="66">
        <f t="shared" ca="1" si="1494"/>
        <v>0.99370953389830508</v>
      </c>
      <c r="AJ460" s="66">
        <f t="shared" ca="1" si="1494"/>
        <v>0.88921038135593233</v>
      </c>
      <c r="AK460" s="66">
        <f t="shared" ca="1" si="1494"/>
        <v>0.79196811440677972</v>
      </c>
      <c r="AL460" s="66">
        <f t="shared" ca="1" si="1494"/>
        <v>0.70246652542372878</v>
      </c>
      <c r="AM460" s="66">
        <f t="shared" ca="1" si="1494"/>
        <v>0.62022182203389831</v>
      </c>
      <c r="AN460" s="66">
        <f t="shared" ca="1" si="1494"/>
        <v>0.54475021186440675</v>
      </c>
      <c r="AO460" s="66">
        <f t="shared" ca="1" si="1494"/>
        <v>0.47605169491525429</v>
      </c>
      <c r="AP460" s="66">
        <f t="shared" ca="1" si="1494"/>
        <v>0.41412627118644074</v>
      </c>
      <c r="AQ460" s="66">
        <f t="shared" ca="1" si="1494"/>
        <v>0.3584901483050848</v>
      </c>
      <c r="AR460" s="66">
        <f t="shared" ca="1" si="1494"/>
        <v>0.30914332627118651</v>
      </c>
      <c r="AS460" s="66">
        <f t="shared" ca="1" si="1494"/>
        <v>0.26511822033898313</v>
      </c>
      <c r="AT460" s="66">
        <f t="shared" ca="1" si="1494"/>
        <v>0.22641483050847463</v>
      </c>
      <c r="AU460" s="66">
        <f t="shared" ca="1" si="1494"/>
        <v>0.19013040254237293</v>
      </c>
      <c r="AV460" s="66">
        <f t="shared" ca="1" si="1494"/>
        <v>0.15626493644067799</v>
      </c>
      <c r="AW460" s="66">
        <f t="shared" ca="1" si="1494"/>
        <v>0.12481843220338985</v>
      </c>
      <c r="AX460" s="66">
        <f t="shared" ca="1" si="1494"/>
        <v>9.5790889830508499E-2</v>
      </c>
    </row>
    <row r="462" spans="1:50" x14ac:dyDescent="0.25">
      <c r="A462" s="9" t="s">
        <v>562</v>
      </c>
    </row>
    <row r="463" spans="1:50" x14ac:dyDescent="0.25">
      <c r="A463" s="11" t="s">
        <v>1010</v>
      </c>
      <c r="D463" s="35">
        <f t="shared" ref="D463:N463" si="1495">-D$387</f>
        <v>0</v>
      </c>
      <c r="E463" s="35">
        <f t="shared" si="1495"/>
        <v>-2E-3</v>
      </c>
      <c r="F463" s="35">
        <f t="shared" si="1495"/>
        <v>-2E-3</v>
      </c>
      <c r="G463" s="35">
        <f t="shared" si="1495"/>
        <v>9.9000000000000005E-2</v>
      </c>
      <c r="H463" s="35">
        <f t="shared" si="1495"/>
        <v>0.06</v>
      </c>
      <c r="I463" s="35">
        <f t="shared" si="1495"/>
        <v>4.0000000000000001E-3</v>
      </c>
      <c r="J463" s="17">
        <f t="shared" si="1495"/>
        <v>2.4E-2</v>
      </c>
      <c r="K463" s="17">
        <f t="shared" si="1495"/>
        <v>5.5E-2</v>
      </c>
      <c r="L463" s="17">
        <f t="shared" si="1495"/>
        <v>4.4999999999999998E-2</v>
      </c>
      <c r="M463" s="17">
        <f t="shared" si="1495"/>
        <v>5.1999999999999998E-2</v>
      </c>
      <c r="N463" s="17">
        <f t="shared" si="1495"/>
        <v>0.06</v>
      </c>
      <c r="O463" s="16">
        <f ca="1">IF(O$6=OFFSET(Assumptions!$B$8,0,$C$1),OFFSET(Assumptions!$B$9,0,$C$1),N$463)</f>
        <v>0</v>
      </c>
      <c r="P463" s="16">
        <f ca="1">IF(P$6=OFFSET(Assumptions!$B$8,0,$C$1),OFFSET(Assumptions!$B$9,0,$C$1),O$463)</f>
        <v>0</v>
      </c>
      <c r="Q463" s="16">
        <f ca="1">IF(Q$6=OFFSET(Assumptions!$B$8,0,$C$1),OFFSET(Assumptions!$B$9,0,$C$1),P$463)</f>
        <v>0</v>
      </c>
      <c r="R463" s="16">
        <f ca="1">IF(R$6=OFFSET(Assumptions!$B$8,0,$C$1),OFFSET(Assumptions!$B$9,0,$C$1),Q$463)</f>
        <v>0</v>
      </c>
      <c r="S463" s="16">
        <f ca="1">IF(S$6=OFFSET(Assumptions!$B$8,0,$C$1),OFFSET(Assumptions!$B$9,0,$C$1),R$463)</f>
        <v>0</v>
      </c>
      <c r="T463" s="16">
        <f ca="1">IF(T$6=OFFSET(Assumptions!$B$8,0,$C$1),OFFSET(Assumptions!$B$9,0,$C$1),S$463)</f>
        <v>0</v>
      </c>
      <c r="U463" s="16">
        <f ca="1">IF(U$6=OFFSET(Assumptions!$B$8,0,$C$1),OFFSET(Assumptions!$B$9,0,$C$1),T$463)</f>
        <v>0</v>
      </c>
      <c r="V463" s="16">
        <f ca="1">IF(V$6=OFFSET(Assumptions!$B$8,0,$C$1),OFFSET(Assumptions!$B$9,0,$C$1),U$463)</f>
        <v>0</v>
      </c>
      <c r="W463" s="16">
        <f ca="1">IF(W$6=OFFSET(Assumptions!$B$8,0,$C$1),OFFSET(Assumptions!$B$9,0,$C$1),V$463)</f>
        <v>0</v>
      </c>
      <c r="X463" s="16">
        <f ca="1">IF(X$6=OFFSET(Assumptions!$B$8,0,$C$1),OFFSET(Assumptions!$B$9,0,$C$1),W$463)</f>
        <v>0</v>
      </c>
      <c r="Y463" s="16">
        <f ca="1">IF(Y$6=OFFSET(Assumptions!$B$8,0,$C$1),OFFSET(Assumptions!$B$9,0,$C$1),X$463)</f>
        <v>0</v>
      </c>
      <c r="Z463" s="16">
        <f ca="1">IF(Z$6=OFFSET(Assumptions!$B$8,0,$C$1),OFFSET(Assumptions!$B$9,0,$C$1),Y$463)</f>
        <v>0</v>
      </c>
      <c r="AA463" s="16">
        <f ca="1">IF(AA$6=OFFSET(Assumptions!$B$8,0,$C$1),OFFSET(Assumptions!$B$9,0,$C$1),Z$463)</f>
        <v>0</v>
      </c>
      <c r="AB463" s="16">
        <f ca="1">IF(AB$6=OFFSET(Assumptions!$B$8,0,$C$1),OFFSET(Assumptions!$B$9,0,$C$1),AA$463)</f>
        <v>0</v>
      </c>
      <c r="AC463" s="16">
        <f ca="1">IF(AC$6=OFFSET(Assumptions!$B$8,0,$C$1),OFFSET(Assumptions!$B$9,0,$C$1),AB$463)</f>
        <v>0</v>
      </c>
      <c r="AD463" s="16">
        <f ca="1">IF(AD$6=OFFSET(Assumptions!$B$8,0,$C$1),OFFSET(Assumptions!$B$9,0,$C$1),AC$463)</f>
        <v>0</v>
      </c>
      <c r="AE463" s="16">
        <f ca="1">IF(AE$6=OFFSET(Assumptions!$B$8,0,$C$1),OFFSET(Assumptions!$B$9,0,$C$1),AD$463)</f>
        <v>0</v>
      </c>
      <c r="AF463" s="16">
        <f ca="1">IF(AF$6=OFFSET(Assumptions!$B$8,0,$C$1),OFFSET(Assumptions!$B$9,0,$C$1),AE$463)</f>
        <v>0</v>
      </c>
      <c r="AG463" s="16">
        <f ca="1">IF(AG$6=OFFSET(Assumptions!$B$8,0,$C$1),OFFSET(Assumptions!$B$9,0,$C$1),AF$463)</f>
        <v>0</v>
      </c>
      <c r="AH463" s="16">
        <f ca="1">IF(AH$6=OFFSET(Assumptions!$B$8,0,$C$1),OFFSET(Assumptions!$B$9,0,$C$1),AG$463)</f>
        <v>0</v>
      </c>
      <c r="AI463" s="16">
        <f ca="1">IF(AI$6=OFFSET(Assumptions!$B$8,0,$C$1),OFFSET(Assumptions!$B$9,0,$C$1),AH$463)</f>
        <v>0</v>
      </c>
      <c r="AJ463" s="16">
        <f ca="1">IF(AJ$6=OFFSET(Assumptions!$B$8,0,$C$1),OFFSET(Assumptions!$B$9,0,$C$1),AI$463)</f>
        <v>0</v>
      </c>
      <c r="AK463" s="16">
        <f ca="1">IF(AK$6=OFFSET(Assumptions!$B$8,0,$C$1),OFFSET(Assumptions!$B$9,0,$C$1),AJ$463)</f>
        <v>0</v>
      </c>
      <c r="AL463" s="16">
        <f ca="1">IF(AL$6=OFFSET(Assumptions!$B$8,0,$C$1),OFFSET(Assumptions!$B$9,0,$C$1),AK$463)</f>
        <v>0</v>
      </c>
      <c r="AM463" s="16">
        <f ca="1">IF(AM$6=OFFSET(Assumptions!$B$8,0,$C$1),OFFSET(Assumptions!$B$9,0,$C$1),AL$463)</f>
        <v>0</v>
      </c>
      <c r="AN463" s="16">
        <f ca="1">IF(AN$6=OFFSET(Assumptions!$B$8,0,$C$1),OFFSET(Assumptions!$B$9,0,$C$1),AM$463)</f>
        <v>0</v>
      </c>
      <c r="AO463" s="16">
        <f ca="1">IF(AO$6=OFFSET(Assumptions!$B$8,0,$C$1),OFFSET(Assumptions!$B$9,0,$C$1),AN$463)</f>
        <v>0</v>
      </c>
      <c r="AP463" s="16">
        <f ca="1">IF(AP$6=OFFSET(Assumptions!$B$8,0,$C$1),OFFSET(Assumptions!$B$9,0,$C$1),AO$463)</f>
        <v>0</v>
      </c>
      <c r="AQ463" s="16">
        <f ca="1">IF(AQ$6=OFFSET(Assumptions!$B$8,0,$C$1),OFFSET(Assumptions!$B$9,0,$C$1),AP$463)</f>
        <v>0</v>
      </c>
      <c r="AR463" s="16">
        <f ca="1">IF(AR$6=OFFSET(Assumptions!$B$8,0,$C$1),OFFSET(Assumptions!$B$9,0,$C$1),AQ$463)</f>
        <v>0</v>
      </c>
      <c r="AS463" s="16">
        <f ca="1">IF(AS$6=OFFSET(Assumptions!$B$8,0,$C$1),OFFSET(Assumptions!$B$9,0,$C$1),AR$463)</f>
        <v>0</v>
      </c>
      <c r="AT463" s="16">
        <f ca="1">IF(AT$6=OFFSET(Assumptions!$B$8,0,$C$1),OFFSET(Assumptions!$B$9,0,$C$1),AS$463)</f>
        <v>0</v>
      </c>
      <c r="AU463" s="16">
        <f ca="1">IF(AU$6=OFFSET(Assumptions!$B$8,0,$C$1),OFFSET(Assumptions!$B$9,0,$C$1),AT$463)</f>
        <v>0</v>
      </c>
      <c r="AV463" s="16">
        <f ca="1">IF(AV$6=OFFSET(Assumptions!$B$8,0,$C$1),OFFSET(Assumptions!$B$9,0,$C$1),AU$463)</f>
        <v>0</v>
      </c>
      <c r="AW463" s="16">
        <f ca="1">IF(AW$6=OFFSET(Assumptions!$B$8,0,$C$1),OFFSET(Assumptions!$B$9,0,$C$1),AV$463)</f>
        <v>0</v>
      </c>
      <c r="AX463" s="16">
        <f ca="1">IF(AX$6=OFFSET(Assumptions!$B$8,0,$C$1),OFFSET(Assumptions!$B$9,0,$C$1),AW$463)</f>
        <v>0</v>
      </c>
    </row>
    <row r="464" spans="1:50" x14ac:dyDescent="0.25">
      <c r="A464" s="11" t="s">
        <v>1011</v>
      </c>
      <c r="B464" s="10" t="str">
        <f t="shared" ref="B464:B466" si="1496">$B$38</f>
        <v>From Fiscal Forecasts</v>
      </c>
      <c r="D464" s="35">
        <f>'Fiscal Forecasts'!D$197-D$463</f>
        <v>7.5890000000000004</v>
      </c>
      <c r="E464" s="35">
        <f>'Fiscal Forecasts'!E$197-E$463</f>
        <v>9.3109999999999999</v>
      </c>
      <c r="F464" s="35">
        <f>'Fiscal Forecasts'!F$197-F$463</f>
        <v>8.6100000000000012</v>
      </c>
      <c r="G464" s="35">
        <f>'Fiscal Forecasts'!G$197-G$463</f>
        <v>8.7850000000000001</v>
      </c>
      <c r="H464" s="35">
        <f>'Fiscal Forecasts'!H$197-H$463</f>
        <v>8.2880000000000003</v>
      </c>
      <c r="I464" s="35">
        <f>'Fiscal Forecasts'!I$197-I$463</f>
        <v>8.875</v>
      </c>
      <c r="J464" s="17">
        <f>'Fiscal Forecasts'!J$197-J$463</f>
        <v>11.777000000000001</v>
      </c>
      <c r="K464" s="17">
        <f>'Fiscal Forecasts'!K$197-K$463</f>
        <v>11.204000000000001</v>
      </c>
      <c r="L464" s="17">
        <f>'Fiscal Forecasts'!L$197-L$463</f>
        <v>11.087</v>
      </c>
      <c r="M464" s="17">
        <f>'Fiscal Forecasts'!M$197-M$463</f>
        <v>10.794</v>
      </c>
      <c r="N464" s="17">
        <f>'Fiscal Forecasts'!N$197-N$463</f>
        <v>10.699</v>
      </c>
      <c r="O464" s="16">
        <f t="shared" ref="O464:AX464" ca="1" si="1497">N$464*(1+O$29)</f>
        <v>10.912979999999999</v>
      </c>
      <c r="P464" s="16">
        <f t="shared" ca="1" si="1497"/>
        <v>11.131239599999999</v>
      </c>
      <c r="Q464" s="16">
        <f t="shared" ca="1" si="1497"/>
        <v>11.353864391999998</v>
      </c>
      <c r="R464" s="16">
        <f t="shared" ca="1" si="1497"/>
        <v>11.580941679839999</v>
      </c>
      <c r="S464" s="16">
        <f t="shared" ca="1" si="1497"/>
        <v>11.812560513436798</v>
      </c>
      <c r="T464" s="16">
        <f t="shared" ca="1" si="1497"/>
        <v>12.048811723705535</v>
      </c>
      <c r="U464" s="16">
        <f t="shared" ca="1" si="1497"/>
        <v>12.289787958179646</v>
      </c>
      <c r="V464" s="16">
        <f t="shared" ca="1" si="1497"/>
        <v>12.53558371734324</v>
      </c>
      <c r="W464" s="16">
        <f t="shared" ca="1" si="1497"/>
        <v>12.786295391690105</v>
      </c>
      <c r="X464" s="16">
        <f t="shared" ca="1" si="1497"/>
        <v>13.042021299523908</v>
      </c>
      <c r="Y464" s="16">
        <f t="shared" ca="1" si="1497"/>
        <v>13.302861725514386</v>
      </c>
      <c r="Z464" s="16">
        <f t="shared" ca="1" si="1497"/>
        <v>13.568918960024675</v>
      </c>
      <c r="AA464" s="16">
        <f t="shared" ca="1" si="1497"/>
        <v>13.840297339225168</v>
      </c>
      <c r="AB464" s="16">
        <f t="shared" ca="1" si="1497"/>
        <v>14.117103286009671</v>
      </c>
      <c r="AC464" s="16">
        <f t="shared" ca="1" si="1497"/>
        <v>14.399445351729865</v>
      </c>
      <c r="AD464" s="16">
        <f t="shared" ca="1" si="1497"/>
        <v>14.687434258764462</v>
      </c>
      <c r="AE464" s="16">
        <f t="shared" ca="1" si="1497"/>
        <v>14.981182943939752</v>
      </c>
      <c r="AF464" s="16">
        <f t="shared" ca="1" si="1497"/>
        <v>15.280806602818547</v>
      </c>
      <c r="AG464" s="16">
        <f t="shared" ca="1" si="1497"/>
        <v>15.586422734874919</v>
      </c>
      <c r="AH464" s="16">
        <f t="shared" ca="1" si="1497"/>
        <v>15.898151189572417</v>
      </c>
      <c r="AI464" s="16">
        <f t="shared" ca="1" si="1497"/>
        <v>16.216114213363866</v>
      </c>
      <c r="AJ464" s="16">
        <f t="shared" ca="1" si="1497"/>
        <v>16.540436497631145</v>
      </c>
      <c r="AK464" s="16">
        <f t="shared" ca="1" si="1497"/>
        <v>16.871245227583767</v>
      </c>
      <c r="AL464" s="16">
        <f t="shared" ca="1" si="1497"/>
        <v>17.208670132135442</v>
      </c>
      <c r="AM464" s="16">
        <f t="shared" ca="1" si="1497"/>
        <v>17.552843534778152</v>
      </c>
      <c r="AN464" s="16">
        <f t="shared" ca="1" si="1497"/>
        <v>17.903900405473713</v>
      </c>
      <c r="AO464" s="16">
        <f t="shared" ca="1" si="1497"/>
        <v>18.261978413583186</v>
      </c>
      <c r="AP464" s="16">
        <f t="shared" ca="1" si="1497"/>
        <v>18.627217981854852</v>
      </c>
      <c r="AQ464" s="16">
        <f t="shared" ca="1" si="1497"/>
        <v>18.999762341491948</v>
      </c>
      <c r="AR464" s="16">
        <f t="shared" ca="1" si="1497"/>
        <v>19.379757588321787</v>
      </c>
      <c r="AS464" s="16">
        <f t="shared" ca="1" si="1497"/>
        <v>19.767352740088224</v>
      </c>
      <c r="AT464" s="16">
        <f t="shared" ca="1" si="1497"/>
        <v>20.162699794889988</v>
      </c>
      <c r="AU464" s="16">
        <f t="shared" ca="1" si="1497"/>
        <v>20.565953790787788</v>
      </c>
      <c r="AV464" s="16">
        <f t="shared" ca="1" si="1497"/>
        <v>20.977272866603546</v>
      </c>
      <c r="AW464" s="16">
        <f t="shared" ca="1" si="1497"/>
        <v>21.396818323935616</v>
      </c>
      <c r="AX464" s="16">
        <f t="shared" ca="1" si="1497"/>
        <v>21.824754690414327</v>
      </c>
    </row>
    <row r="465" spans="1:50" x14ac:dyDescent="0.25">
      <c r="A465" s="9" t="s">
        <v>1012</v>
      </c>
      <c r="D465" s="64">
        <f t="shared" ref="D465:AX465" si="1498">SUM(D$463:D$464)</f>
        <v>7.5890000000000004</v>
      </c>
      <c r="E465" s="64">
        <f t="shared" si="1498"/>
        <v>9.3089999999999993</v>
      </c>
      <c r="F465" s="64">
        <f t="shared" si="1498"/>
        <v>8.6080000000000005</v>
      </c>
      <c r="G465" s="64">
        <f t="shared" si="1498"/>
        <v>8.8840000000000003</v>
      </c>
      <c r="H465" s="64">
        <f t="shared" si="1498"/>
        <v>8.3480000000000008</v>
      </c>
      <c r="I465" s="64">
        <f t="shared" si="1498"/>
        <v>8.8789999999999996</v>
      </c>
      <c r="J465" s="65">
        <f t="shared" si="1498"/>
        <v>11.801</v>
      </c>
      <c r="K465" s="65">
        <f t="shared" si="1498"/>
        <v>11.259</v>
      </c>
      <c r="L465" s="65">
        <f t="shared" si="1498"/>
        <v>11.132</v>
      </c>
      <c r="M465" s="65">
        <f t="shared" si="1498"/>
        <v>10.846</v>
      </c>
      <c r="N465" s="65">
        <f t="shared" si="1498"/>
        <v>10.759</v>
      </c>
      <c r="O465" s="66">
        <f t="shared" ca="1" si="1498"/>
        <v>10.912979999999999</v>
      </c>
      <c r="P465" s="66">
        <f t="shared" ca="1" si="1498"/>
        <v>11.131239599999999</v>
      </c>
      <c r="Q465" s="66">
        <f t="shared" ca="1" si="1498"/>
        <v>11.353864391999998</v>
      </c>
      <c r="R465" s="66">
        <f t="shared" ca="1" si="1498"/>
        <v>11.580941679839999</v>
      </c>
      <c r="S465" s="66">
        <f t="shared" ca="1" si="1498"/>
        <v>11.812560513436798</v>
      </c>
      <c r="T465" s="66">
        <f t="shared" ca="1" si="1498"/>
        <v>12.048811723705535</v>
      </c>
      <c r="U465" s="66">
        <f t="shared" ca="1" si="1498"/>
        <v>12.289787958179646</v>
      </c>
      <c r="V465" s="66">
        <f t="shared" ca="1" si="1498"/>
        <v>12.53558371734324</v>
      </c>
      <c r="W465" s="66">
        <f t="shared" ca="1" si="1498"/>
        <v>12.786295391690105</v>
      </c>
      <c r="X465" s="66">
        <f t="shared" ca="1" si="1498"/>
        <v>13.042021299523908</v>
      </c>
      <c r="Y465" s="66">
        <f t="shared" ca="1" si="1498"/>
        <v>13.302861725514386</v>
      </c>
      <c r="Z465" s="66">
        <f t="shared" ca="1" si="1498"/>
        <v>13.568918960024675</v>
      </c>
      <c r="AA465" s="66">
        <f t="shared" ca="1" si="1498"/>
        <v>13.840297339225168</v>
      </c>
      <c r="AB465" s="66">
        <f t="shared" ca="1" si="1498"/>
        <v>14.117103286009671</v>
      </c>
      <c r="AC465" s="66">
        <f t="shared" ca="1" si="1498"/>
        <v>14.399445351729865</v>
      </c>
      <c r="AD465" s="66">
        <f t="shared" ca="1" si="1498"/>
        <v>14.687434258764462</v>
      </c>
      <c r="AE465" s="66">
        <f t="shared" ca="1" si="1498"/>
        <v>14.981182943939752</v>
      </c>
      <c r="AF465" s="66">
        <f t="shared" ca="1" si="1498"/>
        <v>15.280806602818547</v>
      </c>
      <c r="AG465" s="66">
        <f t="shared" ca="1" si="1498"/>
        <v>15.586422734874919</v>
      </c>
      <c r="AH465" s="66">
        <f t="shared" ca="1" si="1498"/>
        <v>15.898151189572417</v>
      </c>
      <c r="AI465" s="66">
        <f t="shared" ca="1" si="1498"/>
        <v>16.216114213363866</v>
      </c>
      <c r="AJ465" s="66">
        <f t="shared" ca="1" si="1498"/>
        <v>16.540436497631145</v>
      </c>
      <c r="AK465" s="66">
        <f t="shared" ca="1" si="1498"/>
        <v>16.871245227583767</v>
      </c>
      <c r="AL465" s="66">
        <f t="shared" ca="1" si="1498"/>
        <v>17.208670132135442</v>
      </c>
      <c r="AM465" s="66">
        <f t="shared" ca="1" si="1498"/>
        <v>17.552843534778152</v>
      </c>
      <c r="AN465" s="66">
        <f t="shared" ca="1" si="1498"/>
        <v>17.903900405473713</v>
      </c>
      <c r="AO465" s="66">
        <f t="shared" ca="1" si="1498"/>
        <v>18.261978413583186</v>
      </c>
      <c r="AP465" s="66">
        <f t="shared" ca="1" si="1498"/>
        <v>18.627217981854852</v>
      </c>
      <c r="AQ465" s="66">
        <f t="shared" ca="1" si="1498"/>
        <v>18.999762341491948</v>
      </c>
      <c r="AR465" s="66">
        <f t="shared" ca="1" si="1498"/>
        <v>19.379757588321787</v>
      </c>
      <c r="AS465" s="66">
        <f t="shared" ca="1" si="1498"/>
        <v>19.767352740088224</v>
      </c>
      <c r="AT465" s="66">
        <f t="shared" ca="1" si="1498"/>
        <v>20.162699794889988</v>
      </c>
      <c r="AU465" s="66">
        <f t="shared" ca="1" si="1498"/>
        <v>20.565953790787788</v>
      </c>
      <c r="AV465" s="66">
        <f t="shared" ca="1" si="1498"/>
        <v>20.977272866603546</v>
      </c>
      <c r="AW465" s="66">
        <f t="shared" ca="1" si="1498"/>
        <v>21.396818323935616</v>
      </c>
      <c r="AX465" s="66">
        <f t="shared" ca="1" si="1498"/>
        <v>21.824754690414327</v>
      </c>
    </row>
    <row r="466" spans="1:50" x14ac:dyDescent="0.25">
      <c r="A466" s="9" t="s">
        <v>1013</v>
      </c>
      <c r="B466" s="10" t="str">
        <f t="shared" si="1496"/>
        <v>From Fiscal Forecasts</v>
      </c>
      <c r="D466" s="42">
        <f>'Fiscal Forecasts'!D$141</f>
        <v>10.708</v>
      </c>
      <c r="E466" s="42">
        <f>'Fiscal Forecasts'!E$141</f>
        <v>12.68</v>
      </c>
      <c r="F466" s="42">
        <f>'Fiscal Forecasts'!F$141</f>
        <v>13.263</v>
      </c>
      <c r="G466" s="42">
        <f>'Fiscal Forecasts'!G$141</f>
        <v>14.333</v>
      </c>
      <c r="H466" s="42">
        <f>'Fiscal Forecasts'!H$141</f>
        <v>15.426</v>
      </c>
      <c r="I466" s="42">
        <f>'Fiscal Forecasts'!I$141</f>
        <v>16.045000000000002</v>
      </c>
      <c r="J466" s="43">
        <f>'Fiscal Forecasts'!J$141</f>
        <v>17.672000000000001</v>
      </c>
      <c r="K466" s="43">
        <f>'Fiscal Forecasts'!K$141</f>
        <v>16.707000000000001</v>
      </c>
      <c r="L466" s="43">
        <f>'Fiscal Forecasts'!L$141</f>
        <v>16.04</v>
      </c>
      <c r="M466" s="43">
        <f>'Fiscal Forecasts'!M$141</f>
        <v>15.742000000000001</v>
      </c>
      <c r="N466" s="43">
        <f>'Fiscal Forecasts'!N$141</f>
        <v>15.646000000000001</v>
      </c>
      <c r="O466" s="47">
        <f t="shared" ref="O466:AX466" ca="1" si="1499">O$465+(N$466-N$465)*(1+O$29)</f>
        <v>15.89772</v>
      </c>
      <c r="P466" s="47">
        <f t="shared" ca="1" si="1499"/>
        <v>16.215674399999997</v>
      </c>
      <c r="Q466" s="47">
        <f t="shared" ca="1" si="1499"/>
        <v>16.539987887999999</v>
      </c>
      <c r="R466" s="47">
        <f t="shared" ca="1" si="1499"/>
        <v>16.87078764576</v>
      </c>
      <c r="S466" s="47">
        <f t="shared" ca="1" si="1499"/>
        <v>17.208203398675199</v>
      </c>
      <c r="T466" s="47">
        <f t="shared" ca="1" si="1499"/>
        <v>17.552367466648704</v>
      </c>
      <c r="U466" s="47">
        <f t="shared" ca="1" si="1499"/>
        <v>17.903414815981677</v>
      </c>
      <c r="V466" s="47">
        <f t="shared" ca="1" si="1499"/>
        <v>18.26148311230131</v>
      </c>
      <c r="W466" s="47">
        <f t="shared" ca="1" si="1499"/>
        <v>18.626712774547336</v>
      </c>
      <c r="X466" s="47">
        <f t="shared" ca="1" si="1499"/>
        <v>18.999247030038283</v>
      </c>
      <c r="Y466" s="47">
        <f t="shared" ca="1" si="1499"/>
        <v>19.379231970639047</v>
      </c>
      <c r="Z466" s="47">
        <f t="shared" ca="1" si="1499"/>
        <v>19.76681661005183</v>
      </c>
      <c r="AA466" s="47">
        <f t="shared" ca="1" si="1499"/>
        <v>20.162152942252867</v>
      </c>
      <c r="AB466" s="47">
        <f t="shared" ca="1" si="1499"/>
        <v>20.565396001097923</v>
      </c>
      <c r="AC466" s="47">
        <f t="shared" ca="1" si="1499"/>
        <v>20.976703921119881</v>
      </c>
      <c r="AD466" s="47">
        <f t="shared" ca="1" si="1499"/>
        <v>21.396237999542279</v>
      </c>
      <c r="AE466" s="47">
        <f t="shared" ca="1" si="1499"/>
        <v>21.824162759533124</v>
      </c>
      <c r="AF466" s="47">
        <f t="shared" ca="1" si="1499"/>
        <v>22.260646014723786</v>
      </c>
      <c r="AG466" s="47">
        <f t="shared" ca="1" si="1499"/>
        <v>22.705858935018263</v>
      </c>
      <c r="AH466" s="47">
        <f t="shared" ca="1" si="1499"/>
        <v>23.159976113718628</v>
      </c>
      <c r="AI466" s="47">
        <f t="shared" ca="1" si="1499"/>
        <v>23.623175635993</v>
      </c>
      <c r="AJ466" s="47">
        <f t="shared" ca="1" si="1499"/>
        <v>24.095639148712863</v>
      </c>
      <c r="AK466" s="47">
        <f t="shared" ca="1" si="1499"/>
        <v>24.577551931687118</v>
      </c>
      <c r="AL466" s="47">
        <f t="shared" ca="1" si="1499"/>
        <v>25.069102970320859</v>
      </c>
      <c r="AM466" s="47">
        <f t="shared" ca="1" si="1499"/>
        <v>25.57048502972728</v>
      </c>
      <c r="AN466" s="47">
        <f t="shared" ca="1" si="1499"/>
        <v>26.081894730321824</v>
      </c>
      <c r="AO466" s="47">
        <f t="shared" ca="1" si="1499"/>
        <v>26.60353262492826</v>
      </c>
      <c r="AP466" s="47">
        <f t="shared" ca="1" si="1499"/>
        <v>27.135603277426824</v>
      </c>
      <c r="AQ466" s="47">
        <f t="shared" ca="1" si="1499"/>
        <v>27.67831534297536</v>
      </c>
      <c r="AR466" s="47">
        <f t="shared" ca="1" si="1499"/>
        <v>28.231881649834868</v>
      </c>
      <c r="AS466" s="47">
        <f t="shared" ca="1" si="1499"/>
        <v>28.796519282831568</v>
      </c>
      <c r="AT466" s="47">
        <f t="shared" ca="1" si="1499"/>
        <v>29.372449668488201</v>
      </c>
      <c r="AU466" s="47">
        <f t="shared" ca="1" si="1499"/>
        <v>29.959898661857963</v>
      </c>
      <c r="AV466" s="47">
        <f t="shared" ca="1" si="1499"/>
        <v>30.559096635095123</v>
      </c>
      <c r="AW466" s="47">
        <f t="shared" ca="1" si="1499"/>
        <v>31.170278567797027</v>
      </c>
      <c r="AX466" s="47">
        <f t="shared" ca="1" si="1499"/>
        <v>31.793684139152965</v>
      </c>
    </row>
    <row r="468" spans="1:50" x14ac:dyDescent="0.25">
      <c r="A468" s="9" t="s">
        <v>1014</v>
      </c>
    </row>
    <row r="469" spans="1:50" x14ac:dyDescent="0.25">
      <c r="A469" s="11" t="s">
        <v>724</v>
      </c>
      <c r="B469" s="10" t="str">
        <f t="shared" ref="B469:B475" si="1500">$B$38</f>
        <v>From Fiscal Forecasts</v>
      </c>
      <c r="D469" s="35">
        <f>'Fiscal Forecasts'!D$387</f>
        <v>83.715999999999994</v>
      </c>
      <c r="E469" s="35">
        <f>'Fiscal Forecasts'!E$387</f>
        <v>84.31</v>
      </c>
      <c r="F469" s="35">
        <f>'Fiscal Forecasts'!F$387</f>
        <v>96.551000000000002</v>
      </c>
      <c r="G469" s="35">
        <f>'Fiscal Forecasts'!G$387</f>
        <v>105.48699999999999</v>
      </c>
      <c r="H469" s="35">
        <f>'Fiscal Forecasts'!H$387</f>
        <v>111.292</v>
      </c>
      <c r="I469" s="35">
        <f>'Fiscal Forecasts'!I$387</f>
        <v>116.73699999999999</v>
      </c>
      <c r="J469" s="17">
        <f>'Fiscal Forecasts'!J$387</f>
        <v>123.553</v>
      </c>
      <c r="K469" s="17">
        <f>'Fiscal Forecasts'!K$387</f>
        <v>125.956</v>
      </c>
      <c r="L469" s="17">
        <f>'Fiscal Forecasts'!L$387</f>
        <v>133.53399999999999</v>
      </c>
      <c r="M469" s="17">
        <f>'Fiscal Forecasts'!M$387</f>
        <v>140.86500000000001</v>
      </c>
      <c r="N469" s="17">
        <f>'Fiscal Forecasts'!N$387</f>
        <v>148.369</v>
      </c>
      <c r="O469" s="16">
        <f t="shared" ref="O469:AX469" ca="1" si="1501">SUM(O$140,O$377,O$438-N$438)-SUM(O$352-N$352,O$274)</f>
        <v>154.26115539239572</v>
      </c>
      <c r="P469" s="16">
        <f t="shared" ca="1" si="1501"/>
        <v>160.83983877590748</v>
      </c>
      <c r="Q469" s="16">
        <f t="shared" ca="1" si="1501"/>
        <v>167.66596230866691</v>
      </c>
      <c r="R469" s="16">
        <f t="shared" ca="1" si="1501"/>
        <v>174.53498436692374</v>
      </c>
      <c r="S469" s="16">
        <f t="shared" ca="1" si="1501"/>
        <v>181.6067569376155</v>
      </c>
      <c r="T469" s="16">
        <f t="shared" ca="1" si="1501"/>
        <v>188.89497328899586</v>
      </c>
      <c r="U469" s="16">
        <f t="shared" ca="1" si="1501"/>
        <v>196.42675991614828</v>
      </c>
      <c r="V469" s="16">
        <f t="shared" ca="1" si="1501"/>
        <v>204.20589121785898</v>
      </c>
      <c r="W469" s="16">
        <f t="shared" ca="1" si="1501"/>
        <v>212.19523562853362</v>
      </c>
      <c r="X469" s="16">
        <f t="shared" ca="1" si="1501"/>
        <v>220.40724658332638</v>
      </c>
      <c r="Y469" s="16">
        <f t="shared" ca="1" si="1501"/>
        <v>228.88432532418057</v>
      </c>
      <c r="Z469" s="16">
        <f t="shared" ca="1" si="1501"/>
        <v>237.63298684042576</v>
      </c>
      <c r="AA469" s="16">
        <f t="shared" ca="1" si="1501"/>
        <v>246.68652248117286</v>
      </c>
      <c r="AB469" s="16">
        <f t="shared" ca="1" si="1501"/>
        <v>256.04103619488825</v>
      </c>
      <c r="AC469" s="16">
        <f t="shared" ca="1" si="1501"/>
        <v>265.69673007389923</v>
      </c>
      <c r="AD469" s="16">
        <f t="shared" ca="1" si="1501"/>
        <v>275.64498724961618</v>
      </c>
      <c r="AE469" s="16">
        <f t="shared" ca="1" si="1501"/>
        <v>285.89700909139009</v>
      </c>
      <c r="AF469" s="16">
        <f t="shared" ca="1" si="1501"/>
        <v>296.45470636067887</v>
      </c>
      <c r="AG469" s="16">
        <f t="shared" ca="1" si="1501"/>
        <v>307.31915282680609</v>
      </c>
      <c r="AH469" s="16">
        <f t="shared" ca="1" si="1501"/>
        <v>318.48549461486294</v>
      </c>
      <c r="AI469" s="16">
        <f t="shared" ca="1" si="1501"/>
        <v>329.9626051148025</v>
      </c>
      <c r="AJ469" s="16">
        <f t="shared" ca="1" si="1501"/>
        <v>341.76268823594984</v>
      </c>
      <c r="AK469" s="16">
        <f t="shared" ca="1" si="1501"/>
        <v>353.8722440041692</v>
      </c>
      <c r="AL469" s="16">
        <f t="shared" ca="1" si="1501"/>
        <v>366.30211127584101</v>
      </c>
      <c r="AM469" s="16">
        <f t="shared" ca="1" si="1501"/>
        <v>379.0675751583118</v>
      </c>
      <c r="AN469" s="16">
        <f t="shared" ca="1" si="1501"/>
        <v>392.1809679257268</v>
      </c>
      <c r="AO469" s="16">
        <f t="shared" ca="1" si="1501"/>
        <v>405.64579814421006</v>
      </c>
      <c r="AP469" s="16">
        <f t="shared" ca="1" si="1501"/>
        <v>419.49794771537904</v>
      </c>
      <c r="AQ469" s="16">
        <f t="shared" ca="1" si="1501"/>
        <v>433.75275492912249</v>
      </c>
      <c r="AR469" s="16">
        <f t="shared" ca="1" si="1501"/>
        <v>448.44550550958968</v>
      </c>
      <c r="AS469" s="16">
        <f t="shared" ca="1" si="1501"/>
        <v>463.58979985688927</v>
      </c>
      <c r="AT469" s="16">
        <f t="shared" ca="1" si="1501"/>
        <v>479.22867756200748</v>
      </c>
      <c r="AU469" s="16">
        <f t="shared" ca="1" si="1501"/>
        <v>495.36214923694178</v>
      </c>
      <c r="AV469" s="16">
        <f t="shared" ca="1" si="1501"/>
        <v>512.03048057449894</v>
      </c>
      <c r="AW469" s="16">
        <f t="shared" ca="1" si="1501"/>
        <v>529.25213831013809</v>
      </c>
      <c r="AX469" s="16">
        <f t="shared" ca="1" si="1501"/>
        <v>547.02194816184578</v>
      </c>
    </row>
    <row r="470" spans="1:50" x14ac:dyDescent="0.25">
      <c r="A470" s="11" t="s">
        <v>498</v>
      </c>
      <c r="B470" s="10" t="str">
        <f t="shared" si="1500"/>
        <v>From Fiscal Forecasts</v>
      </c>
      <c r="D470" s="35">
        <f>'Fiscal Forecasts'!D$388</f>
        <v>1.359</v>
      </c>
      <c r="E470" s="35">
        <f>'Fiscal Forecasts'!E$388</f>
        <v>1.226</v>
      </c>
      <c r="F470" s="35">
        <f>'Fiscal Forecasts'!F$388</f>
        <v>2.2869999999999999</v>
      </c>
      <c r="G470" s="35">
        <f>'Fiscal Forecasts'!G$388</f>
        <v>3.3639999999999999</v>
      </c>
      <c r="H470" s="35">
        <f>'Fiscal Forecasts'!H$388</f>
        <v>2.492</v>
      </c>
      <c r="I470" s="35">
        <f>'Fiscal Forecasts'!I$388</f>
        <v>1.79</v>
      </c>
      <c r="J470" s="17">
        <f>'Fiscal Forecasts'!J$388</f>
        <v>1.9770000000000001</v>
      </c>
      <c r="K470" s="17">
        <f>'Fiscal Forecasts'!K$388</f>
        <v>2.2309999999999999</v>
      </c>
      <c r="L470" s="17">
        <f>'Fiscal Forecasts'!L$388</f>
        <v>2.371</v>
      </c>
      <c r="M470" s="17">
        <f>'Fiscal Forecasts'!M$388</f>
        <v>2.367</v>
      </c>
      <c r="N470" s="17">
        <f>'Fiscal Forecasts'!N$388</f>
        <v>2.35</v>
      </c>
      <c r="O470" s="16">
        <f t="shared" ref="O470:AX470" ca="1" si="1502">SUM(O$144,O$149)</f>
        <v>2.6455292089791596</v>
      </c>
      <c r="P470" s="16">
        <f t="shared" ca="1" si="1502"/>
        <v>2.7272928448361711</v>
      </c>
      <c r="Q470" s="16">
        <f t="shared" ca="1" si="1502"/>
        <v>2.8107621007203916</v>
      </c>
      <c r="R470" s="16">
        <f t="shared" ca="1" si="1502"/>
        <v>2.8954273350445097</v>
      </c>
      <c r="S470" s="16">
        <f t="shared" ca="1" si="1502"/>
        <v>2.9822350928143755</v>
      </c>
      <c r="T470" s="16">
        <f t="shared" ca="1" si="1502"/>
        <v>3.0702967778378651</v>
      </c>
      <c r="U470" s="16">
        <f t="shared" ca="1" si="1502"/>
        <v>3.1608850147651597</v>
      </c>
      <c r="V470" s="16">
        <f t="shared" ca="1" si="1502"/>
        <v>3.2532346651850417</v>
      </c>
      <c r="W470" s="16">
        <f t="shared" ca="1" si="1502"/>
        <v>3.3450403911151785</v>
      </c>
      <c r="X470" s="16">
        <f t="shared" ca="1" si="1502"/>
        <v>3.4387777505933426</v>
      </c>
      <c r="Y470" s="16">
        <f t="shared" ca="1" si="1502"/>
        <v>3.5353485932616944</v>
      </c>
      <c r="Z470" s="16">
        <f t="shared" ca="1" si="1502"/>
        <v>3.6340330891387747</v>
      </c>
      <c r="AA470" s="16">
        <f t="shared" ca="1" si="1502"/>
        <v>3.7349765314125616</v>
      </c>
      <c r="AB470" s="16">
        <f t="shared" ca="1" si="1502"/>
        <v>3.8380848646601207</v>
      </c>
      <c r="AC470" s="16">
        <f t="shared" ca="1" si="1502"/>
        <v>3.9434649056500826</v>
      </c>
      <c r="AD470" s="16">
        <f t="shared" ca="1" si="1502"/>
        <v>4.0511576906593438</v>
      </c>
      <c r="AE470" s="16">
        <f t="shared" ca="1" si="1502"/>
        <v>4.1612634116011451</v>
      </c>
      <c r="AF470" s="16">
        <f t="shared" ca="1" si="1502"/>
        <v>4.2737978617410723</v>
      </c>
      <c r="AG470" s="16">
        <f t="shared" ca="1" si="1502"/>
        <v>4.3889504156589272</v>
      </c>
      <c r="AH470" s="16">
        <f t="shared" ca="1" si="1502"/>
        <v>4.5066817206936767</v>
      </c>
      <c r="AI470" s="16">
        <f t="shared" ca="1" si="1502"/>
        <v>4.6273344325849655</v>
      </c>
      <c r="AJ470" s="16">
        <f t="shared" ca="1" si="1502"/>
        <v>4.7508873006042602</v>
      </c>
      <c r="AK470" s="16">
        <f t="shared" ca="1" si="1502"/>
        <v>4.8776103979568157</v>
      </c>
      <c r="AL470" s="16">
        <f t="shared" ca="1" si="1502"/>
        <v>5.0075981043429332</v>
      </c>
      <c r="AM470" s="16">
        <f t="shared" ca="1" si="1502"/>
        <v>5.1409565645471016</v>
      </c>
      <c r="AN470" s="16">
        <f t="shared" ca="1" si="1502"/>
        <v>5.2779009422244894</v>
      </c>
      <c r="AO470" s="16">
        <f t="shared" ca="1" si="1502"/>
        <v>5.4184000106074626</v>
      </c>
      <c r="AP470" s="16">
        <f t="shared" ca="1" si="1502"/>
        <v>5.5627609947563821</v>
      </c>
      <c r="AQ470" s="16">
        <f t="shared" ca="1" si="1502"/>
        <v>5.7107998582670181</v>
      </c>
      <c r="AR470" s="16">
        <f t="shared" ca="1" si="1502"/>
        <v>5.8629091655915904</v>
      </c>
      <c r="AS470" s="16">
        <f t="shared" ca="1" si="1502"/>
        <v>6.018802346581352</v>
      </c>
      <c r="AT470" s="16">
        <f t="shared" ca="1" si="1502"/>
        <v>6.1785681728862896</v>
      </c>
      <c r="AU470" s="16">
        <f t="shared" ca="1" si="1502"/>
        <v>6.3424884586640591</v>
      </c>
      <c r="AV470" s="16">
        <f t="shared" ca="1" si="1502"/>
        <v>6.5103085328376551</v>
      </c>
      <c r="AW470" s="16">
        <f t="shared" ca="1" si="1502"/>
        <v>6.6822706051221488</v>
      </c>
      <c r="AX470" s="16">
        <f t="shared" ca="1" si="1502"/>
        <v>6.8582043810677709</v>
      </c>
    </row>
    <row r="471" spans="1:50" x14ac:dyDescent="0.25">
      <c r="A471" s="11" t="s">
        <v>725</v>
      </c>
      <c r="B471" s="10" t="str">
        <f t="shared" si="1500"/>
        <v>From Fiscal Forecasts</v>
      </c>
      <c r="D471" s="35">
        <f>'Fiscal Forecasts'!D$389</f>
        <v>0.71199999999999997</v>
      </c>
      <c r="E471" s="35">
        <f>'Fiscal Forecasts'!E$389</f>
        <v>0.42799999999999999</v>
      </c>
      <c r="F471" s="35">
        <f>'Fiscal Forecasts'!F$389</f>
        <v>0.249</v>
      </c>
      <c r="G471" s="35">
        <f>'Fiscal Forecasts'!G$389</f>
        <v>0.39300000000000002</v>
      </c>
      <c r="H471" s="35">
        <f>'Fiscal Forecasts'!H$389</f>
        <v>0.98199999999999998</v>
      </c>
      <c r="I471" s="35">
        <f>'Fiscal Forecasts'!I$389</f>
        <v>1.8779999999999999</v>
      </c>
      <c r="J471" s="17">
        <f>'Fiscal Forecasts'!J$389</f>
        <v>2.7080000000000002</v>
      </c>
      <c r="K471" s="17">
        <f>'Fiscal Forecasts'!K$389</f>
        <v>2.2959999999999998</v>
      </c>
      <c r="L471" s="17">
        <f>'Fiscal Forecasts'!L$389</f>
        <v>1.3180000000000001</v>
      </c>
      <c r="M471" s="17">
        <f>'Fiscal Forecasts'!M$389</f>
        <v>1.2809999999999999</v>
      </c>
      <c r="N471" s="17">
        <f>'Fiscal Forecasts'!N$389</f>
        <v>1.3220000000000001</v>
      </c>
      <c r="O471" s="16">
        <f t="shared" ref="O471:AX471" ca="1" si="1503">SUM(O$152,O$167,O$175)</f>
        <v>4.4202385421956656</v>
      </c>
      <c r="P471" s="16">
        <f t="shared" ca="1" si="1503"/>
        <v>4.5666474942350357</v>
      </c>
      <c r="Q471" s="16">
        <f t="shared" ca="1" si="1503"/>
        <v>4.7161105917773991</v>
      </c>
      <c r="R471" s="16">
        <f t="shared" ca="1" si="1503"/>
        <v>4.8677152519864864</v>
      </c>
      <c r="S471" s="16">
        <f t="shared" ca="1" si="1503"/>
        <v>5.0231563929137302</v>
      </c>
      <c r="T471" s="16">
        <f t="shared" ca="1" si="1503"/>
        <v>5.1808428617696105</v>
      </c>
      <c r="U471" s="16">
        <f t="shared" ca="1" si="1503"/>
        <v>5.3430534667237941</v>
      </c>
      <c r="V471" s="16">
        <f t="shared" ca="1" si="1503"/>
        <v>5.5084181229974245</v>
      </c>
      <c r="W471" s="16">
        <f t="shared" ca="1" si="1503"/>
        <v>5.6728088082178205</v>
      </c>
      <c r="X471" s="16">
        <f t="shared" ca="1" si="1503"/>
        <v>5.8406583470046751</v>
      </c>
      <c r="Y471" s="16">
        <f t="shared" ca="1" si="1503"/>
        <v>6.0135816242591043</v>
      </c>
      <c r="Z471" s="16">
        <f t="shared" ca="1" si="1503"/>
        <v>6.1902896861310612</v>
      </c>
      <c r="AA471" s="16">
        <f t="shared" ca="1" si="1503"/>
        <v>6.3710426999084495</v>
      </c>
      <c r="AB471" s="16">
        <f t="shared" ca="1" si="1503"/>
        <v>6.5556722465164441</v>
      </c>
      <c r="AC471" s="16">
        <f t="shared" ca="1" si="1503"/>
        <v>6.7443695959614667</v>
      </c>
      <c r="AD471" s="16">
        <f t="shared" ca="1" si="1503"/>
        <v>6.9372082292994062</v>
      </c>
      <c r="AE471" s="16">
        <f t="shared" ca="1" si="1503"/>
        <v>7.1343675538287128</v>
      </c>
      <c r="AF471" s="16">
        <f t="shared" ca="1" si="1503"/>
        <v>7.3358758495474454</v>
      </c>
      <c r="AG471" s="16">
        <f t="shared" ca="1" si="1503"/>
        <v>7.5420722174933843</v>
      </c>
      <c r="AH471" s="16">
        <f t="shared" ca="1" si="1503"/>
        <v>7.752886191354686</v>
      </c>
      <c r="AI471" s="16">
        <f t="shared" ca="1" si="1503"/>
        <v>7.9689313430111461</v>
      </c>
      <c r="AJ471" s="16">
        <f t="shared" ca="1" si="1503"/>
        <v>8.1901696201322629</v>
      </c>
      <c r="AK471" s="16">
        <f t="shared" ca="1" si="1503"/>
        <v>8.4170846256613352</v>
      </c>
      <c r="AL471" s="16">
        <f t="shared" ca="1" si="1503"/>
        <v>8.64984535933608</v>
      </c>
      <c r="AM471" s="16">
        <f t="shared" ca="1" si="1503"/>
        <v>8.8886418878835798</v>
      </c>
      <c r="AN471" s="16">
        <f t="shared" ca="1" si="1503"/>
        <v>9.1338594912016777</v>
      </c>
      <c r="AO471" s="16">
        <f t="shared" ca="1" si="1503"/>
        <v>9.3854422534999724</v>
      </c>
      <c r="AP471" s="16">
        <f t="shared" ca="1" si="1503"/>
        <v>9.6439403031901509</v>
      </c>
      <c r="AQ471" s="16">
        <f t="shared" ca="1" si="1503"/>
        <v>9.9090240979665403</v>
      </c>
      <c r="AR471" s="16">
        <f t="shared" ca="1" si="1503"/>
        <v>10.181396578072137</v>
      </c>
      <c r="AS471" s="16">
        <f t="shared" ca="1" si="1503"/>
        <v>10.460544600534222</v>
      </c>
      <c r="AT471" s="16">
        <f t="shared" ca="1" si="1503"/>
        <v>10.746627123110839</v>
      </c>
      <c r="AU471" s="16">
        <f t="shared" ca="1" si="1503"/>
        <v>11.040148772523391</v>
      </c>
      <c r="AV471" s="16">
        <f t="shared" ca="1" si="1503"/>
        <v>11.340653525441841</v>
      </c>
      <c r="AW471" s="16">
        <f t="shared" ca="1" si="1503"/>
        <v>11.648575091426506</v>
      </c>
      <c r="AX471" s="16">
        <f t="shared" ca="1" si="1503"/>
        <v>11.963608535017176</v>
      </c>
    </row>
    <row r="472" spans="1:50" x14ac:dyDescent="0.25">
      <c r="A472" s="11" t="s">
        <v>499</v>
      </c>
      <c r="B472" s="10" t="str">
        <f t="shared" si="1500"/>
        <v>From Fiscal Forecasts</v>
      </c>
      <c r="D472" s="35">
        <f>'Fiscal Forecasts'!D$390</f>
        <v>3.2</v>
      </c>
      <c r="E472" s="35">
        <f>'Fiscal Forecasts'!E$390</f>
        <v>3.2429999999999999</v>
      </c>
      <c r="F472" s="35">
        <f>'Fiscal Forecasts'!F$390</f>
        <v>2.98</v>
      </c>
      <c r="G472" s="35">
        <f>'Fiscal Forecasts'!G$390</f>
        <v>2.883</v>
      </c>
      <c r="H472" s="35">
        <f>'Fiscal Forecasts'!H$390</f>
        <v>3.9540000000000002</v>
      </c>
      <c r="I472" s="35">
        <f>'Fiscal Forecasts'!I$390</f>
        <v>3.7789999999999999</v>
      </c>
      <c r="J472" s="17">
        <f>'Fiscal Forecasts'!J$390</f>
        <v>3.89</v>
      </c>
      <c r="K472" s="17">
        <f>'Fiscal Forecasts'!K$390</f>
        <v>4.1050000000000004</v>
      </c>
      <c r="L472" s="17">
        <f>'Fiscal Forecasts'!L$390</f>
        <v>4.0579999999999998</v>
      </c>
      <c r="M472" s="17">
        <f>'Fiscal Forecasts'!M$390</f>
        <v>4.1710000000000003</v>
      </c>
      <c r="N472" s="17">
        <f>'Fiscal Forecasts'!N$390</f>
        <v>4.2569999999999997</v>
      </c>
      <c r="O472" s="16">
        <f t="shared" ref="O472:AX472" ca="1" si="1504">SUM(O$158,O$333)</f>
        <v>3.2292213521126754</v>
      </c>
      <c r="P472" s="16">
        <f t="shared" ca="1" si="1504"/>
        <v>3.2938057791549289</v>
      </c>
      <c r="Q472" s="16">
        <f t="shared" ca="1" si="1504"/>
        <v>3.3596818947380278</v>
      </c>
      <c r="R472" s="16">
        <f t="shared" ca="1" si="1504"/>
        <v>3.4268755326327889</v>
      </c>
      <c r="S472" s="16">
        <f t="shared" ca="1" si="1504"/>
        <v>3.4954130432854451</v>
      </c>
      <c r="T472" s="16">
        <f t="shared" ca="1" si="1504"/>
        <v>3.5653213041511544</v>
      </c>
      <c r="U472" s="16">
        <f t="shared" ca="1" si="1504"/>
        <v>3.6366277302341778</v>
      </c>
      <c r="V472" s="16">
        <f t="shared" ca="1" si="1504"/>
        <v>3.7093602848388616</v>
      </c>
      <c r="W472" s="16">
        <f t="shared" ca="1" si="1504"/>
        <v>3.7835474905356388</v>
      </c>
      <c r="X472" s="16">
        <f t="shared" ca="1" si="1504"/>
        <v>3.8592184403463512</v>
      </c>
      <c r="Y472" s="16">
        <f t="shared" ca="1" si="1504"/>
        <v>3.9364028091532783</v>
      </c>
      <c r="Z472" s="16">
        <f t="shared" ca="1" si="1504"/>
        <v>4.015130865336344</v>
      </c>
      <c r="AA472" s="16">
        <f t="shared" ca="1" si="1504"/>
        <v>4.0954334826430712</v>
      </c>
      <c r="AB472" s="16">
        <f t="shared" ca="1" si="1504"/>
        <v>4.1773421522959318</v>
      </c>
      <c r="AC472" s="16">
        <f t="shared" ca="1" si="1504"/>
        <v>4.2608889953418512</v>
      </c>
      <c r="AD472" s="16">
        <f t="shared" ca="1" si="1504"/>
        <v>4.3461067752486882</v>
      </c>
      <c r="AE472" s="16">
        <f t="shared" ca="1" si="1504"/>
        <v>4.4330289107536611</v>
      </c>
      <c r="AF472" s="16">
        <f t="shared" ca="1" si="1504"/>
        <v>4.5216894889687342</v>
      </c>
      <c r="AG472" s="16">
        <f t="shared" ca="1" si="1504"/>
        <v>4.6121232787481086</v>
      </c>
      <c r="AH472" s="16">
        <f t="shared" ca="1" si="1504"/>
        <v>4.7043657443230709</v>
      </c>
      <c r="AI472" s="16">
        <f t="shared" ca="1" si="1504"/>
        <v>4.7984530592095327</v>
      </c>
      <c r="AJ472" s="16">
        <f t="shared" ca="1" si="1504"/>
        <v>4.894422120393723</v>
      </c>
      <c r="AK472" s="16">
        <f t="shared" ca="1" si="1504"/>
        <v>4.9923105628015971</v>
      </c>
      <c r="AL472" s="16">
        <f t="shared" ca="1" si="1504"/>
        <v>5.0921567740576297</v>
      </c>
      <c r="AM472" s="16">
        <f t="shared" ca="1" si="1504"/>
        <v>5.1939999095387819</v>
      </c>
      <c r="AN472" s="16">
        <f t="shared" ca="1" si="1504"/>
        <v>5.2978799077295573</v>
      </c>
      <c r="AO472" s="16">
        <f t="shared" ca="1" si="1504"/>
        <v>5.4038375058841481</v>
      </c>
      <c r="AP472" s="16">
        <f t="shared" ca="1" si="1504"/>
        <v>5.5119142560018322</v>
      </c>
      <c r="AQ472" s="16">
        <f t="shared" ca="1" si="1504"/>
        <v>5.6221525411218689</v>
      </c>
      <c r="AR472" s="16">
        <f t="shared" ca="1" si="1504"/>
        <v>5.7345955919443057</v>
      </c>
      <c r="AS472" s="16">
        <f t="shared" ca="1" si="1504"/>
        <v>5.8492875037831924</v>
      </c>
      <c r="AT472" s="16">
        <f t="shared" ca="1" si="1504"/>
        <v>5.9662732538588559</v>
      </c>
      <c r="AU472" s="16">
        <f t="shared" ca="1" si="1504"/>
        <v>6.0855987189360334</v>
      </c>
      <c r="AV472" s="16">
        <f t="shared" ca="1" si="1504"/>
        <v>6.2073106933147546</v>
      </c>
      <c r="AW472" s="16">
        <f t="shared" ca="1" si="1504"/>
        <v>6.3314569071810496</v>
      </c>
      <c r="AX472" s="16">
        <f t="shared" ca="1" si="1504"/>
        <v>6.45808604532467</v>
      </c>
    </row>
    <row r="473" spans="1:50" x14ac:dyDescent="0.25">
      <c r="A473" s="11" t="s">
        <v>457</v>
      </c>
      <c r="B473" s="10" t="str">
        <f t="shared" si="1500"/>
        <v>From Fiscal Forecasts</v>
      </c>
      <c r="D473" s="35">
        <f>'Fiscal Forecasts'!D$391</f>
        <v>28.91</v>
      </c>
      <c r="E473" s="35">
        <f>'Fiscal Forecasts'!E$391</f>
        <v>43.915999999999997</v>
      </c>
      <c r="F473" s="35">
        <f>'Fiscal Forecasts'!F$391</f>
        <v>36.573999999999998</v>
      </c>
      <c r="G473" s="35">
        <f>'Fiscal Forecasts'!G$391</f>
        <v>45.44</v>
      </c>
      <c r="H473" s="35">
        <f>'Fiscal Forecasts'!H$391</f>
        <v>40.417000000000002</v>
      </c>
      <c r="I473" s="35">
        <f>'Fiscal Forecasts'!I$391</f>
        <v>43.494999999999997</v>
      </c>
      <c r="J473" s="17">
        <f>'Fiscal Forecasts'!J$391</f>
        <v>47.723999999999997</v>
      </c>
      <c r="K473" s="17">
        <f>'Fiscal Forecasts'!K$391</f>
        <v>49.08</v>
      </c>
      <c r="L473" s="17">
        <f>'Fiscal Forecasts'!L$391</f>
        <v>50.116</v>
      </c>
      <c r="M473" s="17">
        <f>'Fiscal Forecasts'!M$391</f>
        <v>51.552</v>
      </c>
      <c r="N473" s="17">
        <f>'Fiscal Forecasts'!N$391</f>
        <v>53.042000000000002</v>
      </c>
      <c r="O473" s="16">
        <f t="shared" ref="O473:AX473" ca="1" si="1505">O$193</f>
        <v>52.77246139360777</v>
      </c>
      <c r="P473" s="16">
        <f t="shared" ca="1" si="1505"/>
        <v>55.090449776530448</v>
      </c>
      <c r="Q473" s="16">
        <f t="shared" ca="1" si="1505"/>
        <v>57.519436394808622</v>
      </c>
      <c r="R473" s="16">
        <f t="shared" ca="1" si="1505"/>
        <v>60.034697516655434</v>
      </c>
      <c r="S473" s="16">
        <f t="shared" ca="1" si="1505"/>
        <v>62.657185493921595</v>
      </c>
      <c r="T473" s="16">
        <f t="shared" ca="1" si="1505"/>
        <v>65.342188620996737</v>
      </c>
      <c r="U473" s="16">
        <f t="shared" ca="1" si="1505"/>
        <v>68.176445849089646</v>
      </c>
      <c r="V473" s="16">
        <f t="shared" ca="1" si="1505"/>
        <v>71.071631410895932</v>
      </c>
      <c r="W473" s="16">
        <f t="shared" ca="1" si="1505"/>
        <v>73.971904945279235</v>
      </c>
      <c r="X473" s="16">
        <f t="shared" ca="1" si="1505"/>
        <v>76.889089262182225</v>
      </c>
      <c r="Y473" s="16">
        <f t="shared" ca="1" si="1505"/>
        <v>80.062025328541694</v>
      </c>
      <c r="Z473" s="16">
        <f t="shared" ca="1" si="1505"/>
        <v>83.276597737926551</v>
      </c>
      <c r="AA473" s="16">
        <f t="shared" ca="1" si="1505"/>
        <v>86.612266108582389</v>
      </c>
      <c r="AB473" s="16">
        <f t="shared" ca="1" si="1505"/>
        <v>90.020079172083669</v>
      </c>
      <c r="AC473" s="16">
        <f t="shared" ca="1" si="1505"/>
        <v>93.61432448300944</v>
      </c>
      <c r="AD473" s="16">
        <f t="shared" ca="1" si="1505"/>
        <v>97.376802208329053</v>
      </c>
      <c r="AE473" s="16">
        <f t="shared" ca="1" si="1505"/>
        <v>101.31710664908437</v>
      </c>
      <c r="AF473" s="16">
        <f t="shared" ca="1" si="1505"/>
        <v>105.45523553347195</v>
      </c>
      <c r="AG473" s="16">
        <f t="shared" ca="1" si="1505"/>
        <v>109.82331781827521</v>
      </c>
      <c r="AH473" s="16">
        <f t="shared" ca="1" si="1505"/>
        <v>114.38966940641642</v>
      </c>
      <c r="AI473" s="16">
        <f t="shared" ca="1" si="1505"/>
        <v>119.18540750163083</v>
      </c>
      <c r="AJ473" s="16">
        <f t="shared" ca="1" si="1505"/>
        <v>124.21168566536227</v>
      </c>
      <c r="AK473" s="16">
        <f t="shared" ca="1" si="1505"/>
        <v>129.57780696362292</v>
      </c>
      <c r="AL473" s="16">
        <f t="shared" ca="1" si="1505"/>
        <v>135.29162469431031</v>
      </c>
      <c r="AM473" s="16">
        <f t="shared" ca="1" si="1505"/>
        <v>141.28556003778891</v>
      </c>
      <c r="AN473" s="16">
        <f t="shared" ca="1" si="1505"/>
        <v>147.67596487157678</v>
      </c>
      <c r="AO473" s="16">
        <f t="shared" ca="1" si="1505"/>
        <v>154.36910003599431</v>
      </c>
      <c r="AP473" s="16">
        <f t="shared" ca="1" si="1505"/>
        <v>161.2891478793594</v>
      </c>
      <c r="AQ473" s="16">
        <f t="shared" ca="1" si="1505"/>
        <v>168.38627027105582</v>
      </c>
      <c r="AR473" s="16">
        <f t="shared" ca="1" si="1505"/>
        <v>175.60174724075921</v>
      </c>
      <c r="AS473" s="16">
        <f t="shared" ca="1" si="1505"/>
        <v>183.03846654172591</v>
      </c>
      <c r="AT473" s="16">
        <f t="shared" ca="1" si="1505"/>
        <v>190.63591956804021</v>
      </c>
      <c r="AU473" s="16">
        <f t="shared" ca="1" si="1505"/>
        <v>198.40737030792502</v>
      </c>
      <c r="AV473" s="16">
        <f t="shared" ca="1" si="1505"/>
        <v>206.41736657282269</v>
      </c>
      <c r="AW473" s="16">
        <f t="shared" ca="1" si="1505"/>
        <v>214.59435867133811</v>
      </c>
      <c r="AX473" s="16">
        <f t="shared" ca="1" si="1505"/>
        <v>223.22013504912238</v>
      </c>
    </row>
    <row r="474" spans="1:50" x14ac:dyDescent="0.25">
      <c r="A474" s="11" t="s">
        <v>1021</v>
      </c>
      <c r="B474" s="10" t="str">
        <f t="shared" si="1500"/>
        <v>From Fiscal Forecasts</v>
      </c>
      <c r="D474" s="35">
        <f>'Fiscal Forecasts'!D$392</f>
        <v>50.591000000000001</v>
      </c>
      <c r="E474" s="35">
        <f>'Fiscal Forecasts'!E$392</f>
        <v>56.582999999999998</v>
      </c>
      <c r="F474" s="35">
        <f>'Fiscal Forecasts'!F$392</f>
        <v>63.893999999999998</v>
      </c>
      <c r="G474" s="35">
        <f>'Fiscal Forecasts'!G$392</f>
        <v>71.98</v>
      </c>
      <c r="H474" s="35">
        <f>'Fiscal Forecasts'!H$392</f>
        <v>76.433999999999997</v>
      </c>
      <c r="I474" s="35">
        <f>'Fiscal Forecasts'!I$392</f>
        <v>79.747</v>
      </c>
      <c r="J474" s="17">
        <f>'Fiscal Forecasts'!J$392+SUM(Allocation!C$12:C$22)</f>
        <v>81.527999999999992</v>
      </c>
      <c r="K474" s="17">
        <f>'Fiscal Forecasts'!K$392+SUM(Allocation!D$12:D$22)</f>
        <v>84.724999999999994</v>
      </c>
      <c r="L474" s="17">
        <f>'Fiscal Forecasts'!L$392+SUM(Allocation!E$12:E$22)</f>
        <v>86.301000000000002</v>
      </c>
      <c r="M474" s="17">
        <f>'Fiscal Forecasts'!M$392+SUM(Allocation!F$12:F$22)</f>
        <v>87.373000000000005</v>
      </c>
      <c r="N474" s="17">
        <f>'Fiscal Forecasts'!N$392+SUM(Allocation!G$12:G$22)</f>
        <v>89.774999999999991</v>
      </c>
      <c r="O474" s="16">
        <f t="shared" ref="O474:AX474" ca="1" si="1506">SUM(O$206,O$221,O$236)-SUM(O$217,O$264,O$272,O$274,O$314,O$452-N$452,O$458-N$458)</f>
        <v>98.255341893973963</v>
      </c>
      <c r="P474" s="16">
        <f t="shared" ca="1" si="1506"/>
        <v>104.35898676435241</v>
      </c>
      <c r="Q474" s="16">
        <f t="shared" ca="1" si="1506"/>
        <v>110.7898893931453</v>
      </c>
      <c r="R474" s="16">
        <f t="shared" ca="1" si="1506"/>
        <v>117.45208841735537</v>
      </c>
      <c r="S474" s="16">
        <f t="shared" ca="1" si="1506"/>
        <v>124.14713367565821</v>
      </c>
      <c r="T474" s="16">
        <f t="shared" ca="1" si="1506"/>
        <v>130.73362544820557</v>
      </c>
      <c r="U474" s="16">
        <f t="shared" ca="1" si="1506"/>
        <v>136.46592916296825</v>
      </c>
      <c r="V474" s="16">
        <f t="shared" ca="1" si="1506"/>
        <v>142.2869745054704</v>
      </c>
      <c r="W474" s="16">
        <f t="shared" ca="1" si="1506"/>
        <v>148.30776041690311</v>
      </c>
      <c r="X474" s="16">
        <f t="shared" ca="1" si="1506"/>
        <v>154.56852856639946</v>
      </c>
      <c r="Y474" s="16">
        <f t="shared" ca="1" si="1506"/>
        <v>161.07594006375459</v>
      </c>
      <c r="Z474" s="16">
        <f t="shared" ca="1" si="1506"/>
        <v>167.86919218154807</v>
      </c>
      <c r="AA474" s="16">
        <f t="shared" ca="1" si="1506"/>
        <v>174.93153725800354</v>
      </c>
      <c r="AB474" s="16">
        <f t="shared" ca="1" si="1506"/>
        <v>182.25216499967814</v>
      </c>
      <c r="AC474" s="16">
        <f t="shared" ca="1" si="1506"/>
        <v>189.82836681251689</v>
      </c>
      <c r="AD474" s="16">
        <f t="shared" ca="1" si="1506"/>
        <v>197.66882202468994</v>
      </c>
      <c r="AE474" s="16">
        <f t="shared" ca="1" si="1506"/>
        <v>205.78504201289155</v>
      </c>
      <c r="AF474" s="16">
        <f t="shared" ca="1" si="1506"/>
        <v>214.18379295866652</v>
      </c>
      <c r="AG474" s="16">
        <f t="shared" ca="1" si="1506"/>
        <v>222.8918404167145</v>
      </c>
      <c r="AH474" s="16">
        <f t="shared" ca="1" si="1506"/>
        <v>231.88706030217992</v>
      </c>
      <c r="AI474" s="16">
        <f t="shared" ca="1" si="1506"/>
        <v>241.17823339242972</v>
      </c>
      <c r="AJ474" s="16">
        <f t="shared" ca="1" si="1506"/>
        <v>250.78800275696986</v>
      </c>
      <c r="AK474" s="16">
        <f t="shared" ca="1" si="1506"/>
        <v>260.73012055179197</v>
      </c>
      <c r="AL474" s="16">
        <f t="shared" ca="1" si="1506"/>
        <v>271.01181674035763</v>
      </c>
      <c r="AM474" s="16">
        <f t="shared" ca="1" si="1506"/>
        <v>281.65467169699411</v>
      </c>
      <c r="AN474" s="16">
        <f t="shared" ca="1" si="1506"/>
        <v>292.68181799029685</v>
      </c>
      <c r="AO474" s="16">
        <f t="shared" ca="1" si="1506"/>
        <v>304.10189065879382</v>
      </c>
      <c r="AP474" s="16">
        <f t="shared" ca="1" si="1506"/>
        <v>315.94803028126665</v>
      </c>
      <c r="AQ474" s="16">
        <f t="shared" ca="1" si="1506"/>
        <v>328.23889059352393</v>
      </c>
      <c r="AR474" s="16">
        <f t="shared" ca="1" si="1506"/>
        <v>340.97617880101672</v>
      </c>
      <c r="AS474" s="16">
        <f t="shared" ca="1" si="1506"/>
        <v>354.20533659629848</v>
      </c>
      <c r="AT474" s="16">
        <f t="shared" ca="1" si="1506"/>
        <v>367.91908987528893</v>
      </c>
      <c r="AU474" s="16">
        <f t="shared" ca="1" si="1506"/>
        <v>382.17424803817306</v>
      </c>
      <c r="AV474" s="16">
        <f t="shared" ca="1" si="1506"/>
        <v>397.01221059373421</v>
      </c>
      <c r="AW474" s="16">
        <f t="shared" ca="1" si="1506"/>
        <v>412.41865647679458</v>
      </c>
      <c r="AX474" s="16">
        <f t="shared" ca="1" si="1506"/>
        <v>428.42481657047131</v>
      </c>
    </row>
    <row r="475" spans="1:50" x14ac:dyDescent="0.25">
      <c r="A475" s="11" t="s">
        <v>503</v>
      </c>
      <c r="B475" s="10" t="str">
        <f t="shared" si="1500"/>
        <v>From Fiscal Forecasts</v>
      </c>
      <c r="D475" s="35">
        <f>'Fiscal Forecasts'!D$393</f>
        <v>3.45</v>
      </c>
      <c r="E475" s="35">
        <f>'Fiscal Forecasts'!E$393</f>
        <v>3.016</v>
      </c>
      <c r="F475" s="35">
        <f>'Fiscal Forecasts'!F$393</f>
        <v>2.6419999999999999</v>
      </c>
      <c r="G475" s="35">
        <f>'Fiscal Forecasts'!G$393</f>
        <v>2.8410000000000002</v>
      </c>
      <c r="H475" s="35">
        <f>'Fiscal Forecasts'!H$393</f>
        <v>5.3049999999999997</v>
      </c>
      <c r="I475" s="35">
        <f>'Fiscal Forecasts'!I$393</f>
        <v>7.0439999999999996</v>
      </c>
      <c r="J475" s="17">
        <f>'Fiscal Forecasts'!J$393</f>
        <v>6.9340000000000002</v>
      </c>
      <c r="K475" s="17">
        <f>'Fiscal Forecasts'!K$393</f>
        <v>7.6150000000000002</v>
      </c>
      <c r="L475" s="17">
        <f>'Fiscal Forecasts'!L$393</f>
        <v>8.6690000000000005</v>
      </c>
      <c r="M475" s="17">
        <f>'Fiscal Forecasts'!M$393</f>
        <v>9.2949999999999999</v>
      </c>
      <c r="N475" s="17">
        <f>'Fiscal Forecasts'!N$393</f>
        <v>10.396000000000001</v>
      </c>
      <c r="O475" s="16">
        <f t="shared" ref="O475:AX475" ca="1" si="1507">(2*N$71-SUM(O$469:O$472,O$481,O$487)+SUM(O$473,O$474,O$486,O$346-N$346))/(2/O$233-1)</f>
        <v>13.241697574146489</v>
      </c>
      <c r="P475" s="16">
        <f t="shared" ca="1" si="1507"/>
        <v>13.96061062265394</v>
      </c>
      <c r="Q475" s="16">
        <f t="shared" ca="1" si="1507"/>
        <v>14.859686615145421</v>
      </c>
      <c r="R475" s="16">
        <f t="shared" ca="1" si="1507"/>
        <v>15.893265387226705</v>
      </c>
      <c r="S475" s="16">
        <f t="shared" ca="1" si="1507"/>
        <v>17.079109714794061</v>
      </c>
      <c r="T475" s="16">
        <f t="shared" ca="1" si="1507"/>
        <v>18.361330611290327</v>
      </c>
      <c r="U475" s="16">
        <f t="shared" ca="1" si="1507"/>
        <v>19.744012175836701</v>
      </c>
      <c r="V475" s="16">
        <f t="shared" ca="1" si="1507"/>
        <v>21.205946534767147</v>
      </c>
      <c r="W475" s="16">
        <f t="shared" ca="1" si="1507"/>
        <v>22.792869284523878</v>
      </c>
      <c r="X475" s="16">
        <f t="shared" ca="1" si="1507"/>
        <v>24.531404815866377</v>
      </c>
      <c r="Y475" s="16">
        <f t="shared" ca="1" si="1507"/>
        <v>26.425928860034478</v>
      </c>
      <c r="Z475" s="16">
        <f t="shared" ca="1" si="1507"/>
        <v>28.47937566877896</v>
      </c>
      <c r="AA475" s="16">
        <f t="shared" ca="1" si="1507"/>
        <v>30.705476640901889</v>
      </c>
      <c r="AB475" s="16">
        <f t="shared" ca="1" si="1507"/>
        <v>33.117021038575253</v>
      </c>
      <c r="AC475" s="16">
        <f t="shared" ca="1" si="1507"/>
        <v>35.725791941746877</v>
      </c>
      <c r="AD475" s="16">
        <f t="shared" ca="1" si="1507"/>
        <v>38.54528480400927</v>
      </c>
      <c r="AE475" s="16">
        <f t="shared" ca="1" si="1507"/>
        <v>41.589948647868056</v>
      </c>
      <c r="AF475" s="16">
        <f t="shared" ca="1" si="1507"/>
        <v>44.874881327462695</v>
      </c>
      <c r="AG475" s="16">
        <f t="shared" ca="1" si="1507"/>
        <v>48.416797172577944</v>
      </c>
      <c r="AH475" s="16">
        <f t="shared" ca="1" si="1507"/>
        <v>52.232980708902311</v>
      </c>
      <c r="AI475" s="16">
        <f t="shared" ca="1" si="1507"/>
        <v>56.341657163000008</v>
      </c>
      <c r="AJ475" s="16">
        <f t="shared" ca="1" si="1507"/>
        <v>60.763127889928143</v>
      </c>
      <c r="AK475" s="16">
        <f t="shared" ca="1" si="1507"/>
        <v>65.518682632874444</v>
      </c>
      <c r="AL475" s="16">
        <f t="shared" ca="1" si="1507"/>
        <v>70.631327185867704</v>
      </c>
      <c r="AM475" s="16">
        <f t="shared" ca="1" si="1507"/>
        <v>76.126628229557824</v>
      </c>
      <c r="AN475" s="16">
        <f t="shared" ca="1" si="1507"/>
        <v>82.032215150114709</v>
      </c>
      <c r="AO475" s="16">
        <f t="shared" ca="1" si="1507"/>
        <v>88.378793297143815</v>
      </c>
      <c r="AP475" s="16">
        <f t="shared" ca="1" si="1507"/>
        <v>95.199552725420034</v>
      </c>
      <c r="AQ475" s="16">
        <f t="shared" ca="1" si="1507"/>
        <v>102.52632154409996</v>
      </c>
      <c r="AR475" s="16">
        <f t="shared" ca="1" si="1507"/>
        <v>110.39180779766048</v>
      </c>
      <c r="AS475" s="16">
        <f t="shared" ca="1" si="1507"/>
        <v>118.83224396200545</v>
      </c>
      <c r="AT475" s="16">
        <f t="shared" ca="1" si="1507"/>
        <v>127.88578924871962</v>
      </c>
      <c r="AU475" s="16">
        <f t="shared" ca="1" si="1507"/>
        <v>137.59214774078356</v>
      </c>
      <c r="AV475" s="16">
        <f t="shared" ca="1" si="1507"/>
        <v>147.99468483145617</v>
      </c>
      <c r="AW475" s="16">
        <f t="shared" ca="1" si="1507"/>
        <v>159.13923554437361</v>
      </c>
      <c r="AX475" s="16">
        <f t="shared" ca="1" si="1507"/>
        <v>171.07224439423916</v>
      </c>
    </row>
    <row r="476" spans="1:50" x14ac:dyDescent="0.25">
      <c r="A476" s="9" t="s">
        <v>1015</v>
      </c>
      <c r="D476" s="64">
        <f>SUM(D$469:D$472)-SUM(D$473:D$475)</f>
        <v>6.0359999999999872</v>
      </c>
      <c r="E476" s="64">
        <f t="shared" ref="E476:AX476" si="1508">SUM(E$469:E$472)-SUM(E$473:E$475)</f>
        <v>-14.308000000000007</v>
      </c>
      <c r="F476" s="64">
        <f t="shared" si="1508"/>
        <v>-1.0429999999999779</v>
      </c>
      <c r="G476" s="64">
        <f t="shared" si="1508"/>
        <v>-8.1340000000000003</v>
      </c>
      <c r="H476" s="64">
        <f t="shared" si="1508"/>
        <v>-3.436000000000007</v>
      </c>
      <c r="I476" s="64">
        <f t="shared" si="1508"/>
        <v>-6.1020000000000039</v>
      </c>
      <c r="J476" s="65">
        <f t="shared" si="1508"/>
        <v>-4.0579999999999927</v>
      </c>
      <c r="K476" s="65">
        <f t="shared" si="1508"/>
        <v>-6.8320000000000221</v>
      </c>
      <c r="L476" s="65">
        <f t="shared" si="1508"/>
        <v>-3.8050000000000068</v>
      </c>
      <c r="M476" s="65">
        <f t="shared" si="1508"/>
        <v>0.46399999999999864</v>
      </c>
      <c r="N476" s="65">
        <f t="shared" si="1508"/>
        <v>3.0849999999999795</v>
      </c>
      <c r="O476" s="66">
        <f t="shared" ca="1" si="1508"/>
        <v>0.28664363395503756</v>
      </c>
      <c r="P476" s="66">
        <f t="shared" ca="1" si="1508"/>
        <v>-1.9824622694031859</v>
      </c>
      <c r="Q476" s="66">
        <f t="shared" ca="1" si="1508"/>
        <v>-4.6164955071966176</v>
      </c>
      <c r="R476" s="66">
        <f t="shared" ca="1" si="1508"/>
        <v>-7.6550488346500174</v>
      </c>
      <c r="S476" s="66">
        <f t="shared" ca="1" si="1508"/>
        <v>-10.77586741774482</v>
      </c>
      <c r="T476" s="66">
        <f t="shared" ca="1" si="1508"/>
        <v>-13.725710447738152</v>
      </c>
      <c r="U476" s="66">
        <f t="shared" ca="1" si="1508"/>
        <v>-15.819061060023159</v>
      </c>
      <c r="V476" s="66">
        <f t="shared" ca="1" si="1508"/>
        <v>-17.887648160253207</v>
      </c>
      <c r="W476" s="66">
        <f t="shared" ca="1" si="1508"/>
        <v>-20.075902328303982</v>
      </c>
      <c r="X476" s="66">
        <f t="shared" ca="1" si="1508"/>
        <v>-22.443121523177325</v>
      </c>
      <c r="Y476" s="66">
        <f t="shared" ca="1" si="1508"/>
        <v>-25.194235901476162</v>
      </c>
      <c r="Z476" s="66">
        <f t="shared" ca="1" si="1508"/>
        <v>-28.15272510722167</v>
      </c>
      <c r="AA476" s="66">
        <f t="shared" ca="1" si="1508"/>
        <v>-31.361304812350966</v>
      </c>
      <c r="AB476" s="66">
        <f t="shared" ca="1" si="1508"/>
        <v>-34.777129751976361</v>
      </c>
      <c r="AC476" s="66">
        <f t="shared" ca="1" si="1508"/>
        <v>-38.523029666420541</v>
      </c>
      <c r="AD476" s="66">
        <f t="shared" ca="1" si="1508"/>
        <v>-42.611449092204623</v>
      </c>
      <c r="AE476" s="66">
        <f t="shared" ca="1" si="1508"/>
        <v>-47.066428342270285</v>
      </c>
      <c r="AF476" s="66">
        <f t="shared" ca="1" si="1508"/>
        <v>-51.927840258665015</v>
      </c>
      <c r="AG476" s="66">
        <f t="shared" ca="1" si="1508"/>
        <v>-57.269656668861103</v>
      </c>
      <c r="AH476" s="66">
        <f t="shared" ca="1" si="1508"/>
        <v>-63.060282146264285</v>
      </c>
      <c r="AI476" s="66">
        <f t="shared" ca="1" si="1508"/>
        <v>-69.347974107452387</v>
      </c>
      <c r="AJ476" s="66">
        <f t="shared" ca="1" si="1508"/>
        <v>-76.164649035180219</v>
      </c>
      <c r="AK476" s="66">
        <f t="shared" ca="1" si="1508"/>
        <v>-83.66736055770042</v>
      </c>
      <c r="AL476" s="66">
        <f t="shared" ca="1" si="1508"/>
        <v>-91.883057106957949</v>
      </c>
      <c r="AM476" s="66">
        <f t="shared" ca="1" si="1508"/>
        <v>-100.7756864440596</v>
      </c>
      <c r="AN476" s="66">
        <f t="shared" ca="1" si="1508"/>
        <v>-110.4993897451057</v>
      </c>
      <c r="AO476" s="66">
        <f t="shared" ca="1" si="1508"/>
        <v>-120.99630607773037</v>
      </c>
      <c r="AP476" s="66">
        <f t="shared" ca="1" si="1508"/>
        <v>-132.2201676167187</v>
      </c>
      <c r="AQ476" s="66">
        <f t="shared" ca="1" si="1508"/>
        <v>-144.1567509822018</v>
      </c>
      <c r="AR476" s="66">
        <f t="shared" ca="1" si="1508"/>
        <v>-156.74532699423878</v>
      </c>
      <c r="AS476" s="66">
        <f t="shared" ca="1" si="1508"/>
        <v>-170.15761279224182</v>
      </c>
      <c r="AT476" s="66">
        <f t="shared" ca="1" si="1508"/>
        <v>-184.32065258018525</v>
      </c>
      <c r="AU476" s="66">
        <f t="shared" ca="1" si="1508"/>
        <v>-199.34338089981645</v>
      </c>
      <c r="AV476" s="66">
        <f t="shared" ca="1" si="1508"/>
        <v>-215.3355086719198</v>
      </c>
      <c r="AW476" s="66">
        <f t="shared" ca="1" si="1508"/>
        <v>-232.23780977863839</v>
      </c>
      <c r="AX476" s="66">
        <f t="shared" ca="1" si="1508"/>
        <v>-250.41534889057743</v>
      </c>
    </row>
    <row r="477" spans="1:50" x14ac:dyDescent="0.25">
      <c r="A477" s="11" t="s">
        <v>1022</v>
      </c>
      <c r="B477" s="10" t="str">
        <f t="shared" ref="B477:B479" si="1509">$B$38</f>
        <v>From Fiscal Forecasts</v>
      </c>
      <c r="D477" s="35">
        <f>-'Fiscal Forecasts'!D$395</f>
        <v>3.0019999999999998</v>
      </c>
      <c r="E477" s="35">
        <f>-'Fiscal Forecasts'!E$395</f>
        <v>2.9550000000000001</v>
      </c>
      <c r="F477" s="35">
        <f>-'Fiscal Forecasts'!F$395</f>
        <v>3.137</v>
      </c>
      <c r="G477" s="35">
        <f>-'Fiscal Forecasts'!G$395</f>
        <v>3.4740000000000002</v>
      </c>
      <c r="H477" s="35">
        <f>-'Fiscal Forecasts'!H$395</f>
        <v>4.4349999999999996</v>
      </c>
      <c r="I477" s="35">
        <f>-'Fiscal Forecasts'!I$395</f>
        <v>4.7009999999999996</v>
      </c>
      <c r="J477" s="17">
        <f>-'Fiscal Forecasts'!J$395+Allocation!C$48</f>
        <v>3.7469999999999999</v>
      </c>
      <c r="K477" s="17">
        <f>-'Fiscal Forecasts'!K$395+Allocation!D$48</f>
        <v>4.8708000000000009</v>
      </c>
      <c r="L477" s="17">
        <f>-'Fiscal Forecasts'!L$395+Allocation!E$48</f>
        <v>4.5988600000000002</v>
      </c>
      <c r="M477" s="17">
        <f>-'Fiscal Forecasts'!M$395+Allocation!F$48</f>
        <v>3.83141</v>
      </c>
      <c r="N477" s="17">
        <f>-'Fiscal Forecasts'!N$395+Allocation!G$48</f>
        <v>3.7722300000000004</v>
      </c>
      <c r="O477" s="16">
        <f t="shared" ref="O477:AX477" ca="1" si="1510">SUM(O$419-N$419,O$213,O$429-N$429,O$217)</f>
        <v>8.1857160798586186</v>
      </c>
      <c r="P477" s="16">
        <f t="shared" ca="1" si="1510"/>
        <v>8.2871718160895362</v>
      </c>
      <c r="Q477" s="16">
        <f t="shared" ca="1" si="1510"/>
        <v>8.6029393594254788</v>
      </c>
      <c r="R477" s="16">
        <f t="shared" ca="1" si="1510"/>
        <v>8.9112525575650441</v>
      </c>
      <c r="S477" s="16">
        <f t="shared" ca="1" si="1510"/>
        <v>9.34312613510936</v>
      </c>
      <c r="T477" s="16">
        <f t="shared" ca="1" si="1510"/>
        <v>9.7822707947436847</v>
      </c>
      <c r="U477" s="16">
        <f t="shared" ca="1" si="1510"/>
        <v>8.8652661520812188</v>
      </c>
      <c r="V477" s="16">
        <f t="shared" ca="1" si="1510"/>
        <v>9.1888604354964638</v>
      </c>
      <c r="W477" s="16">
        <f t="shared" ca="1" si="1510"/>
        <v>9.496226649421132</v>
      </c>
      <c r="X477" s="16">
        <f t="shared" ca="1" si="1510"/>
        <v>9.8158660768720924</v>
      </c>
      <c r="Y477" s="16">
        <f t="shared" ca="1" si="1510"/>
        <v>10.164674164187359</v>
      </c>
      <c r="Z477" s="16">
        <f t="shared" ca="1" si="1510"/>
        <v>10.520812953240233</v>
      </c>
      <c r="AA477" s="16">
        <f t="shared" ca="1" si="1510"/>
        <v>10.903217467789608</v>
      </c>
      <c r="AB477" s="16">
        <f t="shared" ca="1" si="1510"/>
        <v>11.287783727486445</v>
      </c>
      <c r="AC477" s="16">
        <f t="shared" ca="1" si="1510"/>
        <v>11.679428989299144</v>
      </c>
      <c r="AD477" s="16">
        <f t="shared" ca="1" si="1510"/>
        <v>12.082079998261976</v>
      </c>
      <c r="AE477" s="16">
        <f t="shared" ca="1" si="1510"/>
        <v>12.490616294338629</v>
      </c>
      <c r="AF477" s="16">
        <f t="shared" ca="1" si="1510"/>
        <v>12.907782053557531</v>
      </c>
      <c r="AG477" s="16">
        <f t="shared" ca="1" si="1510"/>
        <v>13.332940771038132</v>
      </c>
      <c r="AH477" s="16">
        <f t="shared" ca="1" si="1510"/>
        <v>13.762687832957683</v>
      </c>
      <c r="AI477" s="16">
        <f t="shared" ca="1" si="1510"/>
        <v>14.205505684121002</v>
      </c>
      <c r="AJ477" s="16">
        <f t="shared" ca="1" si="1510"/>
        <v>14.663270741486411</v>
      </c>
      <c r="AK477" s="16">
        <f t="shared" ca="1" si="1510"/>
        <v>15.120326784999744</v>
      </c>
      <c r="AL477" s="16">
        <f t="shared" ca="1" si="1510"/>
        <v>15.593951145462302</v>
      </c>
      <c r="AM477" s="16">
        <f t="shared" ca="1" si="1510"/>
        <v>16.085302989460139</v>
      </c>
      <c r="AN477" s="16">
        <f t="shared" ca="1" si="1510"/>
        <v>16.592930450827843</v>
      </c>
      <c r="AO477" s="16">
        <f t="shared" ca="1" si="1510"/>
        <v>17.112232449813828</v>
      </c>
      <c r="AP477" s="16">
        <f t="shared" ca="1" si="1510"/>
        <v>17.663046050261404</v>
      </c>
      <c r="AQ477" s="16">
        <f t="shared" ca="1" si="1510"/>
        <v>18.231125186574801</v>
      </c>
      <c r="AR477" s="16">
        <f t="shared" ca="1" si="1510"/>
        <v>18.82979018521317</v>
      </c>
      <c r="AS477" s="16">
        <f t="shared" ca="1" si="1510"/>
        <v>19.44558723385088</v>
      </c>
      <c r="AT477" s="16">
        <f t="shared" ca="1" si="1510"/>
        <v>20.098638898792156</v>
      </c>
      <c r="AU477" s="16">
        <f t="shared" ca="1" si="1510"/>
        <v>20.760513035254942</v>
      </c>
      <c r="AV477" s="16">
        <f t="shared" ca="1" si="1510"/>
        <v>21.459906475403372</v>
      </c>
      <c r="AW477" s="16">
        <f t="shared" ca="1" si="1510"/>
        <v>22.180886418352223</v>
      </c>
      <c r="AX477" s="16">
        <f t="shared" ca="1" si="1510"/>
        <v>22.911796902295936</v>
      </c>
    </row>
    <row r="478" spans="1:50" x14ac:dyDescent="0.25">
      <c r="A478" s="11" t="s">
        <v>1023</v>
      </c>
      <c r="B478" s="10" t="str">
        <f t="shared" si="1509"/>
        <v>From Fiscal Forecasts</v>
      </c>
      <c r="D478" s="35">
        <f>-'Fiscal Forecasts'!D$396</f>
        <v>8.5999999999999993E-2</v>
      </c>
      <c r="E478" s="35">
        <f>-'Fiscal Forecasts'!E$396</f>
        <v>1.798</v>
      </c>
      <c r="F478" s="35">
        <f>-'Fiscal Forecasts'!F$396</f>
        <v>3.8679999999999999</v>
      </c>
      <c r="G478" s="35">
        <f>-'Fiscal Forecasts'!G$396</f>
        <v>9.1920000000000002</v>
      </c>
      <c r="H478" s="35">
        <f>-'Fiscal Forecasts'!H$396</f>
        <v>9.1590000000000007</v>
      </c>
      <c r="I478" s="35">
        <f>-'Fiscal Forecasts'!I$396</f>
        <v>2.5329999999999999</v>
      </c>
      <c r="J478" s="17">
        <f>-'Fiscal Forecasts'!J$396+Allocation!C$50</f>
        <v>-5.7130000000000001</v>
      </c>
      <c r="K478" s="17">
        <f>-'Fiscal Forecasts'!K$396+Allocation!D$50</f>
        <v>-4.3739999999999997</v>
      </c>
      <c r="L478" s="17">
        <f>-'Fiscal Forecasts'!L$396+Allocation!E$50</f>
        <v>3.7524999999999999</v>
      </c>
      <c r="M478" s="17">
        <f>-'Fiscal Forecasts'!M$396+Allocation!F$50</f>
        <v>2.6622500000000002</v>
      </c>
      <c r="N478" s="17">
        <f>-'Fiscal Forecasts'!N$396+Allocation!G$50</f>
        <v>2.9267500000000002</v>
      </c>
      <c r="O478" s="16">
        <f ca="1">SUM(O$393-N$393-O$405+O$403,O$394-N$394)</f>
        <v>1.757452450218365</v>
      </c>
      <c r="P478" s="16">
        <f t="shared" ref="P478" ca="1" si="1511">SUM(P$393-O$393-P$405+P$403,P$394-O$394)</f>
        <v>1.4558176467150252</v>
      </c>
      <c r="Q478" s="16">
        <f t="shared" ref="Q478" ca="1" si="1512">SUM(Q$393-P$393-Q$405+Q$403,Q$394-P$394)</f>
        <v>1.4829796736942342</v>
      </c>
      <c r="R478" s="16">
        <f t="shared" ref="R478" ca="1" si="1513">SUM(R$393-Q$393-R$405+R$403,R$394-Q$394)</f>
        <v>1.4991374539302704</v>
      </c>
      <c r="S478" s="16">
        <f t="shared" ref="S478" ca="1" si="1514">SUM(S$393-R$393-S$405+S$403,S$394-R$394)</f>
        <v>1.551707845215581</v>
      </c>
      <c r="T478" s="16">
        <f t="shared" ref="T478" ca="1" si="1515">SUM(T$393-S$393-T$405+T$403,T$394-S$394)</f>
        <v>1.6024107353133681</v>
      </c>
      <c r="U478" s="16">
        <f t="shared" ref="U478" ca="1" si="1516">SUM(U$393-T$393-U$405+U$403,U$394-T$394)</f>
        <v>1.654125021066887</v>
      </c>
      <c r="V478" s="16">
        <f t="shared" ref="V478" ca="1" si="1517">SUM(V$393-U$393-V$405+V$403,V$394-U$394)</f>
        <v>1.7069477038928293</v>
      </c>
      <c r="W478" s="16">
        <f t="shared" ref="W478" ca="1" si="1518">SUM(W$393-V$393-W$405+W$403,W$394-V$394)</f>
        <v>1.7519531844996983</v>
      </c>
      <c r="X478" s="16">
        <f t="shared" ref="X478" ca="1" si="1519">SUM(X$393-W$393-X$405+X$403,X$394-W$394)</f>
        <v>1.7997492493456915</v>
      </c>
      <c r="Y478" s="16">
        <f t="shared" ref="Y478" ca="1" si="1520">SUM(Y$393-X$393-Y$405+Y$403,Y$394-X$394)</f>
        <v>1.8579554468294912</v>
      </c>
      <c r="Z478" s="16">
        <f t="shared" ref="Z478" ca="1" si="1521">SUM(Z$393-Y$393-Z$405+Z$403,Z$394-Y$394)</f>
        <v>1.9140063178650437</v>
      </c>
      <c r="AA478" s="16">
        <f t="shared" ref="AA478" ca="1" si="1522">SUM(AA$393-Z$393-AA$405+AA$403,AA$394-Z$394)</f>
        <v>1.9815131216125412</v>
      </c>
      <c r="AB478" s="16">
        <f t="shared" ref="AB478" ca="1" si="1523">SUM(AB$393-AA$393-AB$405+AB$403,AB$394-AA$394)</f>
        <v>2.0498854397326216</v>
      </c>
      <c r="AC478" s="16">
        <f t="shared" ref="AC478" ca="1" si="1524">SUM(AC$393-AB$393-AC$405+AC$403,AC$394-AB$394)</f>
        <v>2.1173777730205368</v>
      </c>
      <c r="AD478" s="16">
        <f t="shared" ref="AD478" ca="1" si="1525">SUM(AD$393-AC$393-AD$405+AD$403,AD$394-AC$394)</f>
        <v>2.1897356848578164</v>
      </c>
      <c r="AE478" s="16">
        <f t="shared" ref="AE478" ca="1" si="1526">SUM(AE$393-AD$393-AE$405+AE$403,AE$394-AD$394)</f>
        <v>2.2618368449211195</v>
      </c>
      <c r="AF478" s="16">
        <f t="shared" ref="AF478" ca="1" si="1527">SUM(AF$393-AE$393-AF$405+AF$403,AF$394-AE$394)</f>
        <v>2.3327796379783501</v>
      </c>
      <c r="AG478" s="16">
        <f t="shared" ref="AG478" ca="1" si="1528">SUM(AG$393-AF$393-AG$405+AG$403,AG$394-AF$394)</f>
        <v>2.4032574742157853</v>
      </c>
      <c r="AH478" s="16">
        <f t="shared" ref="AH478" ca="1" si="1529">SUM(AH$393-AG$393-AH$405+AH$403,AH$394-AG$394)</f>
        <v>2.4728426369566199</v>
      </c>
      <c r="AI478" s="16">
        <f t="shared" ref="AI478" ca="1" si="1530">SUM(AI$393-AH$393-AI$405+AI$403,AI$394-AH$394)</f>
        <v>2.5416648821763319</v>
      </c>
      <c r="AJ478" s="16">
        <f t="shared" ref="AJ478" ca="1" si="1531">SUM(AJ$393-AI$393-AJ$405+AJ$403,AJ$394-AI$394)</f>
        <v>2.6146026899833892</v>
      </c>
      <c r="AK478" s="16">
        <f t="shared" ref="AK478" ca="1" si="1532">SUM(AK$393-AJ$393-AK$405+AK$403,AK$394-AJ$394)</f>
        <v>2.683737007491708</v>
      </c>
      <c r="AL478" s="16">
        <f t="shared" ref="AL478" ca="1" si="1533">SUM(AL$393-AK$393-AL$405+AL$403,AL$394-AK$394)</f>
        <v>2.7559720174506728</v>
      </c>
      <c r="AM478" s="16">
        <f t="shared" ref="AM478" ca="1" si="1534">SUM(AM$393-AL$393-AM$405+AM$403,AM$394-AL$394)</f>
        <v>2.8313103822910608</v>
      </c>
      <c r="AN478" s="16">
        <f t="shared" ref="AN478" ca="1" si="1535">SUM(AN$393-AM$393-AN$405+AN$403,AN$394-AM$394)</f>
        <v>2.9116827241182328</v>
      </c>
      <c r="AO478" s="16">
        <f t="shared" ref="AO478" ca="1" si="1536">SUM(AO$393-AN$393-AO$405+AO$403,AO$394-AN$394)</f>
        <v>3.079367210382761</v>
      </c>
      <c r="AP478" s="16">
        <f t="shared" ref="AP478" ca="1" si="1537">SUM(AP$393-AO$393-AP$405+AP$403,AP$394-AO$394)</f>
        <v>3.2533949025289139</v>
      </c>
      <c r="AQ478" s="16">
        <f t="shared" ref="AQ478" ca="1" si="1538">SUM(AQ$393-AP$393-AQ$405+AQ$403,AQ$394-AP$394)</f>
        <v>3.3517430490047091</v>
      </c>
      <c r="AR478" s="16">
        <f t="shared" ref="AR478" ca="1" si="1539">SUM(AR$393-AQ$393-AR$405+AR$403,AR$394-AQ$394)</f>
        <v>3.4577985074810647</v>
      </c>
      <c r="AS478" s="16">
        <f t="shared" ref="AS478" ca="1" si="1540">SUM(AS$393-AR$393-AS$405+AS$403,AS$394-AR$394)</f>
        <v>3.5651605922451379</v>
      </c>
      <c r="AT478" s="16">
        <f t="shared" ref="AT478" ca="1" si="1541">SUM(AT$393-AS$393-AT$405+AT$403,AT$394-AS$394)</f>
        <v>3.6829025619670577</v>
      </c>
      <c r="AU478" s="16">
        <f t="shared" ref="AU478" ca="1" si="1542">SUM(AU$393-AT$393-AU$405+AU$403,AU$394-AT$394)</f>
        <v>3.7978063085741138</v>
      </c>
      <c r="AV478" s="16">
        <f t="shared" ref="AV478" ca="1" si="1543">SUM(AV$393-AU$393-AV$405+AV$403,AV$394-AU$394)</f>
        <v>3.9218397002250951</v>
      </c>
      <c r="AW478" s="16">
        <f t="shared" ref="AW478" ca="1" si="1544">SUM(AW$393-AV$393-AW$405+AW$403,AW$394-AV$394)</f>
        <v>4.0471679244030074</v>
      </c>
      <c r="AX478" s="16">
        <f t="shared" ref="AX478" ca="1" si="1545">SUM(AX$393-AW$393-AX$405+AX$403,AX$394-AW$394)</f>
        <v>4.1697446023853164</v>
      </c>
    </row>
    <row r="479" spans="1:50" x14ac:dyDescent="0.25">
      <c r="A479" s="11" t="s">
        <v>1024</v>
      </c>
      <c r="B479" s="10" t="str">
        <f t="shared" si="1509"/>
        <v>From Fiscal Forecasts</v>
      </c>
      <c r="D479" s="35">
        <f>-'Fiscal Forecasts'!D$397</f>
        <v>2.6579999999999999</v>
      </c>
      <c r="E479" s="35">
        <f>-'Fiscal Forecasts'!E$397</f>
        <v>3.1709999999999998</v>
      </c>
      <c r="F479" s="35">
        <f>-'Fiscal Forecasts'!F$397</f>
        <v>3.5990000000000002</v>
      </c>
      <c r="G479" s="35">
        <f>-'Fiscal Forecasts'!G$397</f>
        <v>3.823</v>
      </c>
      <c r="H479" s="35">
        <f>-'Fiscal Forecasts'!H$397</f>
        <v>6.06</v>
      </c>
      <c r="I479" s="35">
        <f>-'Fiscal Forecasts'!I$397</f>
        <v>4.3520000000000003</v>
      </c>
      <c r="J479" s="17">
        <f>-'Fiscal Forecasts'!J$397+SUM(Allocation!C$49,Allocation!C$51)</f>
        <v>7.0190000000000001</v>
      </c>
      <c r="K479" s="17">
        <f>-'Fiscal Forecasts'!K$397+SUM(Allocation!D$49,Allocation!D$51)</f>
        <v>7.2041999999999993</v>
      </c>
      <c r="L479" s="17">
        <f>-'Fiscal Forecasts'!L$397+SUM(Allocation!E$49,Allocation!E$51)</f>
        <v>6.0516399999999999</v>
      </c>
      <c r="M479" s="17">
        <f>-'Fiscal Forecasts'!M$397+SUM(Allocation!F$49,Allocation!F$51)</f>
        <v>5.4173400000000003</v>
      </c>
      <c r="N479" s="17">
        <f>-'Fiscal Forecasts'!N$397+SUM(Allocation!G$49,Allocation!G$51)</f>
        <v>4.4680200000000001</v>
      </c>
      <c r="O479" s="16">
        <f t="shared" ref="O479:AX479" ca="1" si="1546">SUM(O$425-N$425,-O$341)</f>
        <v>3.3230810399239257</v>
      </c>
      <c r="P479" s="16">
        <f t="shared" ca="1" si="1546"/>
        <v>3.3555932014113776</v>
      </c>
      <c r="Q479" s="16">
        <f t="shared" ca="1" si="1546"/>
        <v>3.2728442978209538</v>
      </c>
      <c r="R479" s="16">
        <f t="shared" ca="1" si="1546"/>
        <v>3.1747784841403108</v>
      </c>
      <c r="S479" s="16">
        <f t="shared" ca="1" si="1546"/>
        <v>3.2155995544306029</v>
      </c>
      <c r="T479" s="16">
        <f t="shared" ca="1" si="1546"/>
        <v>3.2495857968284132</v>
      </c>
      <c r="U479" s="16">
        <f t="shared" ca="1" si="1546"/>
        <v>3.2971100802705062</v>
      </c>
      <c r="V479" s="16">
        <f t="shared" ca="1" si="1546"/>
        <v>3.3406870277550955</v>
      </c>
      <c r="W479" s="16">
        <f t="shared" ca="1" si="1546"/>
        <v>4.1077036966087599</v>
      </c>
      <c r="X479" s="16">
        <f t="shared" ca="1" si="1546"/>
        <v>4.9664894078878774</v>
      </c>
      <c r="Y479" s="16">
        <f t="shared" ca="1" si="1546"/>
        <v>5.1252283188440115</v>
      </c>
      <c r="Z479" s="16">
        <f t="shared" ca="1" si="1546"/>
        <v>5.2848294299759981</v>
      </c>
      <c r="AA479" s="16">
        <f t="shared" ca="1" si="1546"/>
        <v>5.4661094500186804</v>
      </c>
      <c r="AB479" s="16">
        <f t="shared" ca="1" si="1546"/>
        <v>5.6415366420549011</v>
      </c>
      <c r="AC479" s="16">
        <f t="shared" ca="1" si="1546"/>
        <v>5.8167906897215174</v>
      </c>
      <c r="AD479" s="16">
        <f t="shared" ca="1" si="1546"/>
        <v>5.9962034667632684</v>
      </c>
      <c r="AE479" s="16">
        <f t="shared" ca="1" si="1546"/>
        <v>6.1739455386865023</v>
      </c>
      <c r="AF479" s="16">
        <f t="shared" ca="1" si="1546"/>
        <v>6.3531138704877455</v>
      </c>
      <c r="AG479" s="16">
        <f t="shared" ca="1" si="1546"/>
        <v>6.5329416089097876</v>
      </c>
      <c r="AH479" s="16">
        <f t="shared" ca="1" si="1546"/>
        <v>6.7096475082388523</v>
      </c>
      <c r="AI479" s="16">
        <f t="shared" ca="1" si="1546"/>
        <v>6.892714812330289</v>
      </c>
      <c r="AJ479" s="16">
        <f t="shared" ca="1" si="1546"/>
        <v>7.083921499738393</v>
      </c>
      <c r="AK479" s="16">
        <f t="shared" ca="1" si="1546"/>
        <v>7.2656530165029425</v>
      </c>
      <c r="AL479" s="16">
        <f t="shared" ca="1" si="1546"/>
        <v>7.4573673076113103</v>
      </c>
      <c r="AM479" s="16">
        <f t="shared" ca="1" si="1546"/>
        <v>7.659888527727305</v>
      </c>
      <c r="AN479" s="16">
        <f t="shared" ca="1" si="1546"/>
        <v>7.8711274595932199</v>
      </c>
      <c r="AO479" s="16">
        <f t="shared" ca="1" si="1546"/>
        <v>8.0856204338250368</v>
      </c>
      <c r="AP479" s="16">
        <f t="shared" ca="1" si="1546"/>
        <v>8.32506923072566</v>
      </c>
      <c r="AQ479" s="16">
        <f t="shared" ca="1" si="1546"/>
        <v>8.5726519923284226</v>
      </c>
      <c r="AR479" s="16">
        <f t="shared" ca="1" si="1546"/>
        <v>8.8426715056109799</v>
      </c>
      <c r="AS479" s="16">
        <f t="shared" ca="1" si="1546"/>
        <v>9.1192922415970674</v>
      </c>
      <c r="AT479" s="16">
        <f t="shared" ca="1" si="1546"/>
        <v>9.4243787015688625</v>
      </c>
      <c r="AU479" s="16">
        <f t="shared" ca="1" si="1546"/>
        <v>9.7253240059017401</v>
      </c>
      <c r="AV479" s="16">
        <f t="shared" ca="1" si="1546"/>
        <v>10.053922629918922</v>
      </c>
      <c r="AW479" s="16">
        <f t="shared" ca="1" si="1546"/>
        <v>10.391372208388226</v>
      </c>
      <c r="AX479" s="16">
        <f t="shared" ca="1" si="1546"/>
        <v>10.724431246130127</v>
      </c>
    </row>
    <row r="480" spans="1:50" x14ac:dyDescent="0.25">
      <c r="A480" s="11" t="s">
        <v>1025</v>
      </c>
      <c r="D480" s="35">
        <f t="shared" ref="D480:J480" si="1547">D$381</f>
        <v>1</v>
      </c>
      <c r="E480" s="35">
        <f t="shared" si="1547"/>
        <v>1.46</v>
      </c>
      <c r="F480" s="35">
        <f t="shared" si="1547"/>
        <v>2.12</v>
      </c>
      <c r="G480" s="35">
        <f t="shared" si="1547"/>
        <v>2.42</v>
      </c>
      <c r="H480" s="35">
        <f t="shared" si="1547"/>
        <v>2.5579999999999998</v>
      </c>
      <c r="I480" s="35">
        <f t="shared" si="1547"/>
        <v>1.6140000000000001</v>
      </c>
      <c r="J480" s="17">
        <f t="shared" si="1547"/>
        <v>0.879</v>
      </c>
      <c r="K480" s="17">
        <f t="shared" ref="K480:N480" si="1548">K$381</f>
        <v>0</v>
      </c>
      <c r="L480" s="17">
        <f t="shared" si="1548"/>
        <v>4.0000000000000001E-3</v>
      </c>
      <c r="M480" s="17">
        <f t="shared" si="1548"/>
        <v>-3.2000000000000001E-2</v>
      </c>
      <c r="N480" s="17">
        <f t="shared" si="1548"/>
        <v>6.3E-2</v>
      </c>
      <c r="O480" s="16">
        <f t="shared" ref="O480:AX480" si="1549">O$381</f>
        <v>0.57706930755217201</v>
      </c>
      <c r="P480" s="16">
        <f t="shared" si="1549"/>
        <v>0.53863117962832163</v>
      </c>
      <c r="Q480" s="16">
        <f t="shared" si="1549"/>
        <v>0.46530016941342822</v>
      </c>
      <c r="R480" s="16">
        <f t="shared" si="1549"/>
        <v>0.34700095922042351</v>
      </c>
      <c r="S480" s="16">
        <f t="shared" si="1549"/>
        <v>0.20906371226192988</v>
      </c>
      <c r="T480" s="16">
        <f t="shared" si="1549"/>
        <v>9.0577600526046353E-2</v>
      </c>
      <c r="U480" s="16">
        <f t="shared" si="1549"/>
        <v>-7.7012530974350568E-2</v>
      </c>
      <c r="V480" s="16">
        <f t="shared" si="1549"/>
        <v>-0.20662445619740311</v>
      </c>
      <c r="W480" s="16">
        <f t="shared" si="1549"/>
        <v>-0.26874709325309709</v>
      </c>
      <c r="X480" s="16">
        <f t="shared" si="1549"/>
        <v>-0.26200959269547752</v>
      </c>
      <c r="Y480" s="16">
        <f t="shared" si="1549"/>
        <v>-0.16114626303163249</v>
      </c>
      <c r="Z480" s="16">
        <f t="shared" si="1549"/>
        <v>1.5634832872052584E-2</v>
      </c>
      <c r="AA480" s="16">
        <f t="shared" si="1549"/>
        <v>0.20658764755357595</v>
      </c>
      <c r="AB480" s="16">
        <f t="shared" si="1549"/>
        <v>0.44819469377786447</v>
      </c>
      <c r="AC480" s="16">
        <f t="shared" si="1549"/>
        <v>0.64125728695573514</v>
      </c>
      <c r="AD480" s="16">
        <f t="shared" si="1549"/>
        <v>0.8085819375104677</v>
      </c>
      <c r="AE480" s="16">
        <f t="shared" si="1549"/>
        <v>0.94045446438789781</v>
      </c>
      <c r="AF480" s="16">
        <f t="shared" si="1549"/>
        <v>1.0229803395255246</v>
      </c>
      <c r="AG480" s="16">
        <f t="shared" si="1549"/>
        <v>1.0268894697404249</v>
      </c>
      <c r="AH480" s="16">
        <f t="shared" si="1549"/>
        <v>0.97970226137621808</v>
      </c>
      <c r="AI480" s="16">
        <f t="shared" si="1549"/>
        <v>0.86437019953181249</v>
      </c>
      <c r="AJ480" s="16">
        <f t="shared" si="1549"/>
        <v>0.68191550315545157</v>
      </c>
      <c r="AK480" s="16">
        <f t="shared" si="1549"/>
        <v>0.33150433630515863</v>
      </c>
      <c r="AL480" s="16">
        <f t="shared" si="1549"/>
        <v>-0.18430350998096401</v>
      </c>
      <c r="AM480" s="16">
        <f t="shared" si="1549"/>
        <v>-0.79841628371046625</v>
      </c>
      <c r="AN480" s="16">
        <f t="shared" si="1549"/>
        <v>-1.6051559459170477</v>
      </c>
      <c r="AO480" s="16">
        <f t="shared" si="1549"/>
        <v>-2.5198145728177366</v>
      </c>
      <c r="AP480" s="16">
        <f t="shared" si="1549"/>
        <v>-3.4579122888796121</v>
      </c>
      <c r="AQ480" s="16">
        <f t="shared" si="1549"/>
        <v>-4.3648674392876927</v>
      </c>
      <c r="AR480" s="16">
        <f t="shared" si="1549"/>
        <v>-5.1806451486930598</v>
      </c>
      <c r="AS480" s="16">
        <f t="shared" si="1549"/>
        <v>-5.9924477999459071</v>
      </c>
      <c r="AT480" s="16">
        <f t="shared" si="1549"/>
        <v>-6.7339510213220564</v>
      </c>
      <c r="AU480" s="16">
        <f t="shared" si="1549"/>
        <v>-7.4115814251896239</v>
      </c>
      <c r="AV480" s="16">
        <f t="shared" si="1549"/>
        <v>-8.0647609383281491</v>
      </c>
      <c r="AW480" s="16">
        <f t="shared" si="1549"/>
        <v>-8.6248999776821762</v>
      </c>
      <c r="AX480" s="16">
        <f t="shared" si="1549"/>
        <v>-9.3520141865447641</v>
      </c>
    </row>
    <row r="481" spans="1:50" x14ac:dyDescent="0.25">
      <c r="A481" s="9" t="s">
        <v>1016</v>
      </c>
      <c r="D481" s="64">
        <f>-SUM(D$477:D$480)</f>
        <v>-6.7459999999999996</v>
      </c>
      <c r="E481" s="64">
        <f t="shared" ref="E481:I481" si="1550">-SUM(E$477:E$480)</f>
        <v>-9.3840000000000003</v>
      </c>
      <c r="F481" s="64">
        <f t="shared" si="1550"/>
        <v>-12.724</v>
      </c>
      <c r="G481" s="64">
        <f t="shared" si="1550"/>
        <v>-18.908999999999999</v>
      </c>
      <c r="H481" s="64">
        <f t="shared" si="1550"/>
        <v>-22.212</v>
      </c>
      <c r="I481" s="64">
        <f t="shared" si="1550"/>
        <v>-13.200000000000001</v>
      </c>
      <c r="J481" s="65">
        <f>-SUM(J$477:J$480)</f>
        <v>-5.9320000000000004</v>
      </c>
      <c r="K481" s="65">
        <f t="shared" ref="K481:N481" si="1551">-SUM(K$477:K$480)</f>
        <v>-7.7010000000000005</v>
      </c>
      <c r="L481" s="65">
        <f t="shared" si="1551"/>
        <v>-14.406999999999998</v>
      </c>
      <c r="M481" s="65">
        <f t="shared" si="1551"/>
        <v>-11.879000000000001</v>
      </c>
      <c r="N481" s="65">
        <f t="shared" si="1551"/>
        <v>-11.230000000000002</v>
      </c>
      <c r="O481" s="66">
        <f ca="1">-SUM(O$477:O$480)</f>
        <v>-13.843318877553081</v>
      </c>
      <c r="P481" s="66">
        <f t="shared" ref="P481:AX481" ca="1" si="1552">-SUM(P$477:P$480)</f>
        <v>-13.637213843844261</v>
      </c>
      <c r="Q481" s="66">
        <f t="shared" ca="1" si="1552"/>
        <v>-13.824063500354097</v>
      </c>
      <c r="R481" s="66">
        <f t="shared" ca="1" si="1552"/>
        <v>-13.932169454856048</v>
      </c>
      <c r="S481" s="66">
        <f t="shared" ca="1" si="1552"/>
        <v>-14.319497247017473</v>
      </c>
      <c r="T481" s="66">
        <f t="shared" ca="1" si="1552"/>
        <v>-14.724844927411512</v>
      </c>
      <c r="U481" s="66">
        <f t="shared" ca="1" si="1552"/>
        <v>-13.739488722444262</v>
      </c>
      <c r="V481" s="66">
        <f t="shared" ca="1" si="1552"/>
        <v>-14.029870710946986</v>
      </c>
      <c r="W481" s="66">
        <f t="shared" ca="1" si="1552"/>
        <v>-15.087136437276492</v>
      </c>
      <c r="X481" s="66">
        <f t="shared" ca="1" si="1552"/>
        <v>-16.320095141410185</v>
      </c>
      <c r="Y481" s="66">
        <f t="shared" ca="1" si="1552"/>
        <v>-16.98671166682923</v>
      </c>
      <c r="Z481" s="66">
        <f t="shared" ca="1" si="1552"/>
        <v>-17.735283533953329</v>
      </c>
      <c r="AA481" s="66">
        <f t="shared" ca="1" si="1552"/>
        <v>-18.557427686974407</v>
      </c>
      <c r="AB481" s="66">
        <f t="shared" ca="1" si="1552"/>
        <v>-19.427400503051832</v>
      </c>
      <c r="AC481" s="66">
        <f t="shared" ca="1" si="1552"/>
        <v>-20.254854738996933</v>
      </c>
      <c r="AD481" s="66">
        <f t="shared" ca="1" si="1552"/>
        <v>-21.076601087393531</v>
      </c>
      <c r="AE481" s="66">
        <f t="shared" ca="1" si="1552"/>
        <v>-21.866853142334151</v>
      </c>
      <c r="AF481" s="66">
        <f t="shared" ca="1" si="1552"/>
        <v>-22.616655901549152</v>
      </c>
      <c r="AG481" s="66">
        <f t="shared" ca="1" si="1552"/>
        <v>-23.296029323904129</v>
      </c>
      <c r="AH481" s="66">
        <f t="shared" ca="1" si="1552"/>
        <v>-23.924880239529372</v>
      </c>
      <c r="AI481" s="66">
        <f t="shared" ca="1" si="1552"/>
        <v>-24.504255578159437</v>
      </c>
      <c r="AJ481" s="66">
        <f t="shared" ca="1" si="1552"/>
        <v>-25.043710434363646</v>
      </c>
      <c r="AK481" s="66">
        <f t="shared" ca="1" si="1552"/>
        <v>-25.401221145299552</v>
      </c>
      <c r="AL481" s="66">
        <f t="shared" ca="1" si="1552"/>
        <v>-25.622986960543322</v>
      </c>
      <c r="AM481" s="66">
        <f t="shared" ca="1" si="1552"/>
        <v>-25.778085615768038</v>
      </c>
      <c r="AN481" s="66">
        <f t="shared" ca="1" si="1552"/>
        <v>-25.77058468862225</v>
      </c>
      <c r="AO481" s="66">
        <f t="shared" ca="1" si="1552"/>
        <v>-25.757405521203886</v>
      </c>
      <c r="AP481" s="66">
        <f t="shared" ca="1" si="1552"/>
        <v>-25.783597894636365</v>
      </c>
      <c r="AQ481" s="66">
        <f t="shared" ca="1" si="1552"/>
        <v>-25.790652788620243</v>
      </c>
      <c r="AR481" s="66">
        <f t="shared" ca="1" si="1552"/>
        <v>-25.949615049612156</v>
      </c>
      <c r="AS481" s="66">
        <f t="shared" ca="1" si="1552"/>
        <v>-26.137592267747181</v>
      </c>
      <c r="AT481" s="66">
        <f t="shared" ca="1" si="1552"/>
        <v>-26.471969141006021</v>
      </c>
      <c r="AU481" s="66">
        <f t="shared" ca="1" si="1552"/>
        <v>-26.872061924541171</v>
      </c>
      <c r="AV481" s="66">
        <f t="shared" ca="1" si="1552"/>
        <v>-27.370907867219245</v>
      </c>
      <c r="AW481" s="66">
        <f t="shared" ca="1" si="1552"/>
        <v>-27.994526573461279</v>
      </c>
      <c r="AX481" s="66">
        <f t="shared" ca="1" si="1552"/>
        <v>-28.453958564266614</v>
      </c>
    </row>
    <row r="482" spans="1:50" x14ac:dyDescent="0.25">
      <c r="A482" s="9" t="s">
        <v>1017</v>
      </c>
      <c r="D482" s="64">
        <f t="shared" ref="D482:AX482" si="1553">SUM(D$476,D$481)</f>
        <v>-0.7100000000000124</v>
      </c>
      <c r="E482" s="64">
        <f t="shared" si="1553"/>
        <v>-23.692000000000007</v>
      </c>
      <c r="F482" s="64">
        <f t="shared" si="1553"/>
        <v>-13.766999999999978</v>
      </c>
      <c r="G482" s="64">
        <f t="shared" si="1553"/>
        <v>-27.042999999999999</v>
      </c>
      <c r="H482" s="64">
        <f t="shared" si="1553"/>
        <v>-25.648000000000007</v>
      </c>
      <c r="I482" s="64">
        <f t="shared" si="1553"/>
        <v>-19.302000000000007</v>
      </c>
      <c r="J482" s="65">
        <f t="shared" si="1553"/>
        <v>-9.9899999999999931</v>
      </c>
      <c r="K482" s="65">
        <f t="shared" si="1553"/>
        <v>-14.533000000000023</v>
      </c>
      <c r="L482" s="65">
        <f t="shared" si="1553"/>
        <v>-18.212000000000003</v>
      </c>
      <c r="M482" s="65">
        <f t="shared" si="1553"/>
        <v>-11.415000000000003</v>
      </c>
      <c r="N482" s="65">
        <f t="shared" si="1553"/>
        <v>-8.1450000000000227</v>
      </c>
      <c r="O482" s="66">
        <f t="shared" ca="1" si="1553"/>
        <v>-13.556675243598043</v>
      </c>
      <c r="P482" s="66">
        <f t="shared" ca="1" si="1553"/>
        <v>-15.619676113247447</v>
      </c>
      <c r="Q482" s="66">
        <f t="shared" ca="1" si="1553"/>
        <v>-18.440559007550714</v>
      </c>
      <c r="R482" s="66">
        <f t="shared" ca="1" si="1553"/>
        <v>-21.587218289506065</v>
      </c>
      <c r="S482" s="66">
        <f t="shared" ca="1" si="1553"/>
        <v>-25.095364664762293</v>
      </c>
      <c r="T482" s="66">
        <f t="shared" ca="1" si="1553"/>
        <v>-28.450555375149662</v>
      </c>
      <c r="U482" s="66">
        <f t="shared" ca="1" si="1553"/>
        <v>-29.558549782467423</v>
      </c>
      <c r="V482" s="66">
        <f t="shared" ca="1" si="1553"/>
        <v>-31.917518871200194</v>
      </c>
      <c r="W482" s="66">
        <f t="shared" ca="1" si="1553"/>
        <v>-35.163038765580474</v>
      </c>
      <c r="X482" s="66">
        <f t="shared" ca="1" si="1553"/>
        <v>-38.76321666458751</v>
      </c>
      <c r="Y482" s="66">
        <f t="shared" ca="1" si="1553"/>
        <v>-42.180947568305392</v>
      </c>
      <c r="Z482" s="66">
        <f t="shared" ca="1" si="1553"/>
        <v>-45.888008641174999</v>
      </c>
      <c r="AA482" s="66">
        <f t="shared" ca="1" si="1553"/>
        <v>-49.918732499325372</v>
      </c>
      <c r="AB482" s="66">
        <f t="shared" ca="1" si="1553"/>
        <v>-54.204530255028189</v>
      </c>
      <c r="AC482" s="66">
        <f t="shared" ca="1" si="1553"/>
        <v>-58.777884405417474</v>
      </c>
      <c r="AD482" s="66">
        <f t="shared" ca="1" si="1553"/>
        <v>-63.68805017959815</v>
      </c>
      <c r="AE482" s="66">
        <f t="shared" ca="1" si="1553"/>
        <v>-68.933281484604436</v>
      </c>
      <c r="AF482" s="66">
        <f t="shared" ca="1" si="1553"/>
        <v>-74.544496160214166</v>
      </c>
      <c r="AG482" s="66">
        <f t="shared" ca="1" si="1553"/>
        <v>-80.565685992765225</v>
      </c>
      <c r="AH482" s="66">
        <f t="shared" ca="1" si="1553"/>
        <v>-86.985162385793657</v>
      </c>
      <c r="AI482" s="66">
        <f t="shared" ca="1" si="1553"/>
        <v>-93.852229685611832</v>
      </c>
      <c r="AJ482" s="66">
        <f t="shared" ca="1" si="1553"/>
        <v>-101.20835946954386</v>
      </c>
      <c r="AK482" s="66">
        <f t="shared" ca="1" si="1553"/>
        <v>-109.06858170299998</v>
      </c>
      <c r="AL482" s="66">
        <f t="shared" ca="1" si="1553"/>
        <v>-117.50604406750128</v>
      </c>
      <c r="AM482" s="66">
        <f t="shared" ca="1" si="1553"/>
        <v>-126.55377205982764</v>
      </c>
      <c r="AN482" s="66">
        <f t="shared" ca="1" si="1553"/>
        <v>-136.26997443372795</v>
      </c>
      <c r="AO482" s="66">
        <f t="shared" ca="1" si="1553"/>
        <v>-146.75371159893425</v>
      </c>
      <c r="AP482" s="66">
        <f t="shared" ca="1" si="1553"/>
        <v>-158.00376551135506</v>
      </c>
      <c r="AQ482" s="66">
        <f t="shared" ca="1" si="1553"/>
        <v>-169.94740377082204</v>
      </c>
      <c r="AR482" s="66">
        <f t="shared" ca="1" si="1553"/>
        <v>-182.69494204385094</v>
      </c>
      <c r="AS482" s="66">
        <f t="shared" ca="1" si="1553"/>
        <v>-196.295205059989</v>
      </c>
      <c r="AT482" s="66">
        <f t="shared" ca="1" si="1553"/>
        <v>-210.79262172119127</v>
      </c>
      <c r="AU482" s="66">
        <f t="shared" ca="1" si="1553"/>
        <v>-226.21544282435764</v>
      </c>
      <c r="AV482" s="66">
        <f t="shared" ca="1" si="1553"/>
        <v>-242.70641653913904</v>
      </c>
      <c r="AW482" s="66">
        <f t="shared" ca="1" si="1553"/>
        <v>-260.23233635209965</v>
      </c>
      <c r="AX482" s="66">
        <f t="shared" ca="1" si="1553"/>
        <v>-278.86930745484403</v>
      </c>
    </row>
    <row r="483" spans="1:50" x14ac:dyDescent="0.25">
      <c r="A483" s="9" t="s">
        <v>1018</v>
      </c>
      <c r="B483" s="10" t="str">
        <f>$B$62</f>
        <v>Projected Years only</v>
      </c>
      <c r="O483" s="87" t="str">
        <f t="shared" ref="O483:AX483" ca="1" si="1554">IF(ROUND(SUM(O$482,O$78-N$78,O$487),3)=0,"OK","ERROR")</f>
        <v>OK</v>
      </c>
      <c r="P483" s="87" t="str">
        <f t="shared" ca="1" si="1554"/>
        <v>OK</v>
      </c>
      <c r="Q483" s="87" t="str">
        <f t="shared" ca="1" si="1554"/>
        <v>OK</v>
      </c>
      <c r="R483" s="87" t="str">
        <f t="shared" ca="1" si="1554"/>
        <v>OK</v>
      </c>
      <c r="S483" s="87" t="str">
        <f t="shared" ca="1" si="1554"/>
        <v>OK</v>
      </c>
      <c r="T483" s="87" t="str">
        <f t="shared" ca="1" si="1554"/>
        <v>OK</v>
      </c>
      <c r="U483" s="87" t="str">
        <f t="shared" ca="1" si="1554"/>
        <v>OK</v>
      </c>
      <c r="V483" s="87" t="str">
        <f t="shared" ca="1" si="1554"/>
        <v>OK</v>
      </c>
      <c r="W483" s="87" t="str">
        <f t="shared" ca="1" si="1554"/>
        <v>OK</v>
      </c>
      <c r="X483" s="87" t="str">
        <f t="shared" ca="1" si="1554"/>
        <v>OK</v>
      </c>
      <c r="Y483" s="87" t="str">
        <f t="shared" ca="1" si="1554"/>
        <v>OK</v>
      </c>
      <c r="Z483" s="87" t="str">
        <f t="shared" ca="1" si="1554"/>
        <v>OK</v>
      </c>
      <c r="AA483" s="87" t="str">
        <f t="shared" ca="1" si="1554"/>
        <v>OK</v>
      </c>
      <c r="AB483" s="87" t="str">
        <f t="shared" ca="1" si="1554"/>
        <v>OK</v>
      </c>
      <c r="AC483" s="87" t="str">
        <f t="shared" ca="1" si="1554"/>
        <v>OK</v>
      </c>
      <c r="AD483" s="87" t="str">
        <f t="shared" ca="1" si="1554"/>
        <v>OK</v>
      </c>
      <c r="AE483" s="87" t="str">
        <f t="shared" ca="1" si="1554"/>
        <v>OK</v>
      </c>
      <c r="AF483" s="87" t="str">
        <f t="shared" ca="1" si="1554"/>
        <v>OK</v>
      </c>
      <c r="AG483" s="87" t="str">
        <f t="shared" ca="1" si="1554"/>
        <v>OK</v>
      </c>
      <c r="AH483" s="87" t="str">
        <f t="shared" ca="1" si="1554"/>
        <v>OK</v>
      </c>
      <c r="AI483" s="87" t="str">
        <f t="shared" ca="1" si="1554"/>
        <v>OK</v>
      </c>
      <c r="AJ483" s="87" t="str">
        <f t="shared" ca="1" si="1554"/>
        <v>OK</v>
      </c>
      <c r="AK483" s="87" t="str">
        <f t="shared" ca="1" si="1554"/>
        <v>OK</v>
      </c>
      <c r="AL483" s="87" t="str">
        <f t="shared" ca="1" si="1554"/>
        <v>OK</v>
      </c>
      <c r="AM483" s="87" t="str">
        <f t="shared" ca="1" si="1554"/>
        <v>OK</v>
      </c>
      <c r="AN483" s="87" t="str">
        <f t="shared" ca="1" si="1554"/>
        <v>OK</v>
      </c>
      <c r="AO483" s="87" t="str">
        <f t="shared" ca="1" si="1554"/>
        <v>OK</v>
      </c>
      <c r="AP483" s="87" t="str">
        <f t="shared" ca="1" si="1554"/>
        <v>OK</v>
      </c>
      <c r="AQ483" s="87" t="str">
        <f t="shared" ca="1" si="1554"/>
        <v>OK</v>
      </c>
      <c r="AR483" s="87" t="str">
        <f t="shared" ca="1" si="1554"/>
        <v>OK</v>
      </c>
      <c r="AS483" s="87" t="str">
        <f t="shared" ca="1" si="1554"/>
        <v>OK</v>
      </c>
      <c r="AT483" s="87" t="str">
        <f t="shared" ca="1" si="1554"/>
        <v>OK</v>
      </c>
      <c r="AU483" s="87" t="str">
        <f t="shared" ca="1" si="1554"/>
        <v>OK</v>
      </c>
      <c r="AV483" s="87" t="str">
        <f t="shared" ca="1" si="1554"/>
        <v>OK</v>
      </c>
      <c r="AW483" s="87" t="str">
        <f t="shared" ca="1" si="1554"/>
        <v>OK</v>
      </c>
      <c r="AX483" s="87" t="str">
        <f t="shared" ca="1" si="1554"/>
        <v>OK</v>
      </c>
    </row>
    <row r="484" spans="1:50" x14ac:dyDescent="0.25">
      <c r="A484" s="9"/>
    </row>
    <row r="485" spans="1:50" x14ac:dyDescent="0.25">
      <c r="A485" s="9" t="s">
        <v>736</v>
      </c>
      <c r="B485" s="10" t="str">
        <f t="shared" ref="B485:B488" si="1555">$B$38</f>
        <v>From Fiscal Forecasts</v>
      </c>
      <c r="D485" s="42">
        <f>'Fiscal Forecasts'!D$401</f>
        <v>-4.9580000000000002</v>
      </c>
      <c r="E485" s="42">
        <f>'Fiscal Forecasts'!E$401</f>
        <v>33.061999999999998</v>
      </c>
      <c r="F485" s="42">
        <f>'Fiscal Forecasts'!F$401</f>
        <v>3.8090000000000002</v>
      </c>
      <c r="G485" s="42">
        <f>'Fiscal Forecasts'!G$401</f>
        <v>28.693999999999999</v>
      </c>
      <c r="H485" s="42">
        <f>'Fiscal Forecasts'!H$401</f>
        <v>22.715</v>
      </c>
      <c r="I485" s="42">
        <f>'Fiscal Forecasts'!I$401</f>
        <v>25.202999999999999</v>
      </c>
      <c r="J485" s="43">
        <f>'Fiscal Forecasts'!J$401</f>
        <v>22.451000000000001</v>
      </c>
      <c r="K485" s="43">
        <f>'Fiscal Forecasts'!K$401</f>
        <v>20.768000000000001</v>
      </c>
      <c r="L485" s="43">
        <f>'Fiscal Forecasts'!L$401</f>
        <v>15.787000000000001</v>
      </c>
      <c r="M485" s="43">
        <f>'Fiscal Forecasts'!M$401</f>
        <v>10.113</v>
      </c>
      <c r="N485" s="43">
        <f>'Fiscal Forecasts'!N$401</f>
        <v>6.9329999999999998</v>
      </c>
      <c r="O485" s="47">
        <f t="shared" ref="O485:AX485" ca="1" si="1556">-SUM(O$476,O$481,O$489)</f>
        <v>16.03364871752439</v>
      </c>
      <c r="P485" s="47">
        <f t="shared" ca="1" si="1556"/>
        <v>18.17103018878257</v>
      </c>
      <c r="Q485" s="47">
        <f t="shared" ca="1" si="1556"/>
        <v>20.997201157411816</v>
      </c>
      <c r="R485" s="47">
        <f t="shared" ca="1" si="1556"/>
        <v>24.139756620650136</v>
      </c>
      <c r="S485" s="47">
        <f t="shared" ca="1" si="1556"/>
        <v>27.731921752169427</v>
      </c>
      <c r="T485" s="47">
        <f t="shared" ca="1" si="1556"/>
        <v>31.169666719369555</v>
      </c>
      <c r="U485" s="47">
        <f t="shared" ca="1" si="1556"/>
        <v>32.371921005291334</v>
      </c>
      <c r="V485" s="47">
        <f t="shared" ca="1" si="1556"/>
        <v>34.825911214464064</v>
      </c>
      <c r="W485" s="47">
        <f t="shared" ca="1" si="1556"/>
        <v>38.150078236519491</v>
      </c>
      <c r="X485" s="47">
        <f t="shared" ca="1" si="1556"/>
        <v>41.834013777939099</v>
      </c>
      <c r="Y485" s="47">
        <f t="shared" ca="1" si="1556"/>
        <v>45.352678763156291</v>
      </c>
      <c r="Z485" s="47">
        <f t="shared" ca="1" si="1556"/>
        <v>49.161170080791777</v>
      </c>
      <c r="AA485" s="47">
        <f t="shared" ca="1" si="1556"/>
        <v>53.307579012016575</v>
      </c>
      <c r="AB485" s="47">
        <f t="shared" ca="1" si="1556"/>
        <v>57.705117880370487</v>
      </c>
      <c r="AC485" s="47">
        <f t="shared" ca="1" si="1556"/>
        <v>62.390021122885628</v>
      </c>
      <c r="AD485" s="47">
        <f t="shared" ca="1" si="1556"/>
        <v>67.414405518827081</v>
      </c>
      <c r="AE485" s="47">
        <f t="shared" ca="1" si="1556"/>
        <v>72.772670048087647</v>
      </c>
      <c r="AF485" s="47">
        <f t="shared" ca="1" si="1556"/>
        <v>78.497777562838536</v>
      </c>
      <c r="AG485" s="47">
        <f t="shared" ca="1" si="1556"/>
        <v>84.633211057971707</v>
      </c>
      <c r="AH485" s="47">
        <f t="shared" ca="1" si="1556"/>
        <v>91.164780435400075</v>
      </c>
      <c r="AI485" s="47">
        <f t="shared" ca="1" si="1556"/>
        <v>98.148056276422565</v>
      </c>
      <c r="AJ485" s="47">
        <f t="shared" ca="1" si="1556"/>
        <v>105.6256839496608</v>
      </c>
      <c r="AK485" s="47">
        <f t="shared" ca="1" si="1556"/>
        <v>113.60104839118031</v>
      </c>
      <c r="AL485" s="47">
        <f t="shared" ca="1" si="1556"/>
        <v>122.16015626712181</v>
      </c>
      <c r="AM485" s="47">
        <f t="shared" ca="1" si="1556"/>
        <v>131.3365766045053</v>
      </c>
      <c r="AN485" s="47">
        <f t="shared" ca="1" si="1556"/>
        <v>141.1871359131168</v>
      </c>
      <c r="AO485" s="47">
        <f t="shared" ca="1" si="1556"/>
        <v>151.80728149785006</v>
      </c>
      <c r="AP485" s="47">
        <f t="shared" ca="1" si="1556"/>
        <v>163.21013865781208</v>
      </c>
      <c r="AQ485" s="47">
        <f t="shared" ca="1" si="1556"/>
        <v>175.31185541025687</v>
      </c>
      <c r="AR485" s="47">
        <f t="shared" ca="1" si="1556"/>
        <v>188.23220024558577</v>
      </c>
      <c r="AS485" s="47">
        <f t="shared" ca="1" si="1556"/>
        <v>202.00952994062814</v>
      </c>
      <c r="AT485" s="47">
        <f t="shared" ca="1" si="1556"/>
        <v>216.70272444869346</v>
      </c>
      <c r="AU485" s="47">
        <f t="shared" ca="1" si="1556"/>
        <v>232.31848083872299</v>
      </c>
      <c r="AV485" s="47">
        <f t="shared" ca="1" si="1556"/>
        <v>249.02056108730673</v>
      </c>
      <c r="AW485" s="47">
        <f t="shared" ca="1" si="1556"/>
        <v>266.76332989908587</v>
      </c>
      <c r="AX485" s="47">
        <f t="shared" ca="1" si="1556"/>
        <v>285.61413757014719</v>
      </c>
    </row>
    <row r="486" spans="1:50" x14ac:dyDescent="0.25">
      <c r="A486" s="11" t="s">
        <v>1026</v>
      </c>
      <c r="B486" s="10" t="str">
        <f t="shared" si="1555"/>
        <v>From Fiscal Forecasts</v>
      </c>
      <c r="D486" s="35">
        <f>-'Fiscal Forecasts'!D$402</f>
        <v>-5.1630000000000003</v>
      </c>
      <c r="E486" s="35">
        <f>-'Fiscal Forecasts'!E$402</f>
        <v>14.911</v>
      </c>
      <c r="F486" s="35">
        <f>-'Fiscal Forecasts'!F$402</f>
        <v>-6.0419999999999998</v>
      </c>
      <c r="G486" s="35">
        <f>-'Fiscal Forecasts'!G$402</f>
        <v>2.8000000000000001E-2</v>
      </c>
      <c r="H486" s="35">
        <f>-'Fiscal Forecasts'!H$402</f>
        <v>-2.7749999999999999</v>
      </c>
      <c r="I486" s="35">
        <f>-'Fiscal Forecasts'!I$402</f>
        <v>8.4169999999999998</v>
      </c>
      <c r="J486" s="17">
        <f>-'Fiscal Forecasts'!J$402</f>
        <v>5.7210000000000001</v>
      </c>
      <c r="K486" s="17">
        <f>-'Fiscal Forecasts'!K$402</f>
        <v>6.3159999999999998</v>
      </c>
      <c r="L486" s="17">
        <f>-'Fiscal Forecasts'!L$402</f>
        <v>-2.339</v>
      </c>
      <c r="M486" s="17">
        <f>-'Fiscal Forecasts'!M$402</f>
        <v>-1.2090000000000001</v>
      </c>
      <c r="N486" s="17">
        <f>-'Fiscal Forecasts'!N$402</f>
        <v>-1.113</v>
      </c>
      <c r="O486" s="16">
        <f ca="1">SUM(O$359-N$359,O$368-N$368)</f>
        <v>2.1597275363962689</v>
      </c>
      <c r="P486" s="16">
        <f t="shared" ref="P486" ca="1" si="1557">SUM(P$359-O$359,P$368-O$368)</f>
        <v>2.2230485130162774</v>
      </c>
      <c r="Q486" s="16">
        <f t="shared" ref="Q486" ca="1" si="1558">SUM(Q$359-P$359,Q$368-P$368)</f>
        <v>2.2304514807003102</v>
      </c>
      <c r="R486" s="16">
        <f t="shared" ref="R486" ca="1" si="1559">SUM(R$359-Q$359,R$368-Q$368)</f>
        <v>2.2303074542664256</v>
      </c>
      <c r="S486" s="16">
        <f t="shared" ref="S486" ca="1" si="1560">SUM(S$359-R$359,S$368-R$368)</f>
        <v>2.3016244552092715</v>
      </c>
      <c r="T486" s="16">
        <f t="shared" ref="T486" ca="1" si="1561">SUM(T$359-S$359,T$368-S$368)</f>
        <v>2.3718198009848814</v>
      </c>
      <c r="U486" s="16">
        <f t="shared" ref="U486" ca="1" si="1562">SUM(U$359-T$359,U$368-T$368)</f>
        <v>2.4515652961984924</v>
      </c>
      <c r="V486" s="16">
        <f t="shared" ref="V486" ca="1" si="1563">SUM(V$359-U$359,V$368-U$368)</f>
        <v>2.5319950660155821</v>
      </c>
      <c r="W486" s="16">
        <f t="shared" ref="W486" ca="1" si="1564">SUM(W$359-V$359,W$368-V$368)</f>
        <v>2.5992273965932182</v>
      </c>
      <c r="X486" s="16">
        <f t="shared" ref="X486" ca="1" si="1565">SUM(X$359-W$359,X$368-W$368)</f>
        <v>2.6706705347940858</v>
      </c>
      <c r="Y486" s="16">
        <f t="shared" ref="Y486" ca="1" si="1566">SUM(Y$359-X$359,Y$368-X$368)</f>
        <v>2.7561017656312297</v>
      </c>
      <c r="Z486" s="16">
        <f t="shared" ref="Z486" ca="1" si="1567">SUM(Z$359-Y$359,Z$368-Y$368)</f>
        <v>2.8420080680872006</v>
      </c>
      <c r="AA486" s="16">
        <f t="shared" ref="AA486" ca="1" si="1568">SUM(AA$359-Z$359,AA$368-Z$368)</f>
        <v>2.9395382520214888</v>
      </c>
      <c r="AB486" s="16">
        <f t="shared" ref="AB486" ca="1" si="1569">SUM(AB$359-AA$359,AB$368-AA$368)</f>
        <v>3.0339490465470984</v>
      </c>
      <c r="AC486" s="16">
        <f t="shared" ref="AC486" ca="1" si="1570">SUM(AC$359-AB$359,AC$368-AB$368)</f>
        <v>3.1282818152045029</v>
      </c>
      <c r="AD486" s="16">
        <f t="shared" ref="AD486" ca="1" si="1571">SUM(AD$359-AC$359,AD$368-AC$368)</f>
        <v>3.2248565531393383</v>
      </c>
      <c r="AE486" s="16">
        <f t="shared" ref="AE486" ca="1" si="1572">SUM(AE$359-AD$359,AE$368-AD$368)</f>
        <v>3.3205515585816938</v>
      </c>
      <c r="AF486" s="16">
        <f t="shared" ref="AF486" ca="1" si="1573">SUM(AF$359-AE$359,AF$368-AE$368)</f>
        <v>3.4170253258162702</v>
      </c>
      <c r="AG486" s="16">
        <f t="shared" ref="AG486" ca="1" si="1574">SUM(AG$359-AF$359,AG$368-AF$368)</f>
        <v>3.513867275071902</v>
      </c>
      <c r="AH486" s="16">
        <f t="shared" ref="AH486" ca="1" si="1575">SUM(AH$359-AG$359,AH$368-AG$368)</f>
        <v>3.6090523544287127</v>
      </c>
      <c r="AI486" s="16">
        <f t="shared" ref="AI486" ca="1" si="1576">SUM(AI$359-AH$359,AI$368-AH$368)</f>
        <v>3.7076592153844392</v>
      </c>
      <c r="AJ486" s="16">
        <f t="shared" ref="AJ486" ca="1" si="1577">SUM(AJ$359-AI$359,AJ$368-AI$368)</f>
        <v>3.8106406169773552</v>
      </c>
      <c r="AK486" s="16">
        <f t="shared" ref="AK486" ca="1" si="1578">SUM(AK$359-AJ$359,AK$368-AJ$368)</f>
        <v>3.9085634721202762</v>
      </c>
      <c r="AL486" s="16">
        <f t="shared" ref="AL486" ca="1" si="1579">SUM(AL$359-AK$359,AL$368-AK$368)</f>
        <v>4.0118480202037166</v>
      </c>
      <c r="AM486" s="16">
        <f t="shared" ref="AM486" ca="1" si="1580">SUM(AM$359-AL$359,AM$368-AL$368)</f>
        <v>4.1209364861000033</v>
      </c>
      <c r="AN486" s="16">
        <f t="shared" ref="AN486" ca="1" si="1581">SUM(AN$359-AM$359,AN$368-AM$368)</f>
        <v>4.2347108585911446</v>
      </c>
      <c r="AO486" s="16">
        <f t="shared" ref="AO486" ca="1" si="1582">SUM(AO$359-AN$359,AO$368-AN$368)</f>
        <v>4.3502457081609478</v>
      </c>
      <c r="AP486" s="16">
        <f t="shared" ref="AP486" ca="1" si="1583">SUM(AP$359-AO$359,AP$368-AO$368)</f>
        <v>4.4791640597242468</v>
      </c>
      <c r="AQ486" s="16">
        <f t="shared" ref="AQ486" ca="1" si="1584">SUM(AQ$359-AP$359,AQ$368-AP$368)</f>
        <v>4.6124587709124505</v>
      </c>
      <c r="AR486" s="16">
        <f t="shared" ref="AR486" ca="1" si="1585">SUM(AR$359-AQ$359,AR$368-AQ$368)</f>
        <v>4.7577906196737647</v>
      </c>
      <c r="AS486" s="16">
        <f t="shared" ref="AS486" ca="1" si="1586">SUM(AS$359-AR$359,AS$368-AR$368)</f>
        <v>4.9066804988994139</v>
      </c>
      <c r="AT486" s="16">
        <f t="shared" ref="AT486" ca="1" si="1587">SUM(AT$359-AS$359,AT$368-AS$368)</f>
        <v>5.0708388614101088</v>
      </c>
      <c r="AU486" s="16">
        <f t="shared" ref="AU486" ca="1" si="1588">SUM(AU$359-AT$359,AU$368-AT$368)</f>
        <v>5.2328049265668586</v>
      </c>
      <c r="AV486" s="16">
        <f t="shared" ref="AV486" ca="1" si="1589">SUM(AV$359-AU$359,AV$368-AU$368)</f>
        <v>5.4096064149402023</v>
      </c>
      <c r="AW486" s="16">
        <f t="shared" ref="AW486" ca="1" si="1590">SUM(AW$359-AV$359,AW$368-AV$368)</f>
        <v>5.5911757165709091</v>
      </c>
      <c r="AX486" s="16">
        <f t="shared" ref="AX486" ca="1" si="1591">SUM(AX$359-AW$359,AX$368-AW$368)</f>
        <v>5.7704218702556647</v>
      </c>
    </row>
    <row r="487" spans="1:50" x14ac:dyDescent="0.25">
      <c r="A487" s="11" t="s">
        <v>513</v>
      </c>
      <c r="D487" s="35">
        <f>D$105</f>
        <v>0.437</v>
      </c>
      <c r="E487" s="35">
        <f t="shared" ref="E487:AX487" si="1592">E$105</f>
        <v>1.2090000000000001</v>
      </c>
      <c r="F487" s="35">
        <f t="shared" si="1592"/>
        <v>0.23400000000000001</v>
      </c>
      <c r="G487" s="35">
        <f t="shared" si="1592"/>
        <v>0.80500000000000005</v>
      </c>
      <c r="H487" s="35">
        <f t="shared" si="1592"/>
        <v>-5.8999999999999997E-2</v>
      </c>
      <c r="I487" s="35">
        <f t="shared" si="1592"/>
        <v>-2.4E-2</v>
      </c>
      <c r="J487" s="17">
        <f t="shared" si="1592"/>
        <v>8.8999999999999996E-2</v>
      </c>
      <c r="K487" s="17">
        <f t="shared" si="1592"/>
        <v>9.0999999999999998E-2</v>
      </c>
      <c r="L487" s="17">
        <f t="shared" si="1592"/>
        <v>9.1999999999999998E-2</v>
      </c>
      <c r="M487" s="17">
        <f t="shared" si="1592"/>
        <v>9.1999999999999998E-2</v>
      </c>
      <c r="N487" s="17">
        <f t="shared" si="1592"/>
        <v>9.2999999999999999E-2</v>
      </c>
      <c r="O487" s="16">
        <f t="shared" ca="1" si="1592"/>
        <v>0.18867999999999974</v>
      </c>
      <c r="P487" s="16">
        <f t="shared" ca="1" si="1592"/>
        <v>0.19245360000000034</v>
      </c>
      <c r="Q487" s="16">
        <f t="shared" ca="1" si="1592"/>
        <v>0.19630267199999984</v>
      </c>
      <c r="R487" s="16">
        <f t="shared" ca="1" si="1592"/>
        <v>0.20022872544000059</v>
      </c>
      <c r="S487" s="16">
        <f t="shared" ca="1" si="1592"/>
        <v>0.20423329994880035</v>
      </c>
      <c r="T487" s="16">
        <f t="shared" ca="1" si="1592"/>
        <v>0.20831796594777607</v>
      </c>
      <c r="U487" s="16">
        <f t="shared" ca="1" si="1592"/>
        <v>0.21248432526673255</v>
      </c>
      <c r="V487" s="16">
        <f t="shared" ca="1" si="1592"/>
        <v>0.21673401177206664</v>
      </c>
      <c r="W487" s="16">
        <f t="shared" ca="1" si="1592"/>
        <v>0.22106869200750801</v>
      </c>
      <c r="X487" s="16">
        <f t="shared" ca="1" si="1592"/>
        <v>0.22549006584765863</v>
      </c>
      <c r="Y487" s="16">
        <f t="shared" ca="1" si="1592"/>
        <v>0.22999986716461152</v>
      </c>
      <c r="Z487" s="16">
        <f t="shared" ca="1" si="1592"/>
        <v>0.23459986450790282</v>
      </c>
      <c r="AA487" s="16">
        <f t="shared" ca="1" si="1592"/>
        <v>0.23929186179806194</v>
      </c>
      <c r="AB487" s="16">
        <f t="shared" ca="1" si="1592"/>
        <v>0.24407769903402254</v>
      </c>
      <c r="AC487" s="16">
        <f t="shared" ca="1" si="1592"/>
        <v>0.24895925301470356</v>
      </c>
      <c r="AD487" s="16">
        <f t="shared" ca="1" si="1592"/>
        <v>0.2539384380749965</v>
      </c>
      <c r="AE487" s="16">
        <f t="shared" ca="1" si="1592"/>
        <v>0.25901720683649643</v>
      </c>
      <c r="AF487" s="16">
        <f t="shared" ca="1" si="1592"/>
        <v>0.26419755097322728</v>
      </c>
      <c r="AG487" s="16">
        <f t="shared" ca="1" si="1592"/>
        <v>0.26948150199269172</v>
      </c>
      <c r="AH487" s="16">
        <f t="shared" ca="1" si="1592"/>
        <v>0.27487113203254587</v>
      </c>
      <c r="AI487" s="16">
        <f t="shared" ca="1" si="1592"/>
        <v>0.28036855467319555</v>
      </c>
      <c r="AJ487" s="16">
        <f t="shared" ca="1" si="1592"/>
        <v>0.28597592576666031</v>
      </c>
      <c r="AK487" s="16">
        <f t="shared" ca="1" si="1592"/>
        <v>0.29169544428199323</v>
      </c>
      <c r="AL487" s="16">
        <f t="shared" ca="1" si="1592"/>
        <v>0.29752935316763285</v>
      </c>
      <c r="AM487" s="16">
        <f t="shared" ca="1" si="1592"/>
        <v>0.30347994023098579</v>
      </c>
      <c r="AN487" s="16">
        <f t="shared" ca="1" si="1592"/>
        <v>0.309549539035606</v>
      </c>
      <c r="AO487" s="16">
        <f t="shared" ca="1" si="1592"/>
        <v>0.31574052981631695</v>
      </c>
      <c r="AP487" s="16">
        <f t="shared" ca="1" si="1592"/>
        <v>0.32205534041264272</v>
      </c>
      <c r="AQ487" s="16">
        <f t="shared" ca="1" si="1592"/>
        <v>0.32849644722089621</v>
      </c>
      <c r="AR487" s="16">
        <f t="shared" ca="1" si="1592"/>
        <v>0.33506637616531521</v>
      </c>
      <c r="AS487" s="16">
        <f t="shared" ca="1" si="1592"/>
        <v>0.34176770368862108</v>
      </c>
      <c r="AT487" s="16">
        <f t="shared" ca="1" si="1592"/>
        <v>0.34860305776239287</v>
      </c>
      <c r="AU487" s="16">
        <f t="shared" ca="1" si="1592"/>
        <v>0.35557511891764193</v>
      </c>
      <c r="AV487" s="16">
        <f t="shared" ca="1" si="1592"/>
        <v>0.36268662129599605</v>
      </c>
      <c r="AW487" s="16">
        <f t="shared" ca="1" si="1592"/>
        <v>0.36994035372191547</v>
      </c>
      <c r="AX487" s="16">
        <f t="shared" ca="1" si="1592"/>
        <v>0.37733916079635321</v>
      </c>
    </row>
    <row r="488" spans="1:50" x14ac:dyDescent="0.25">
      <c r="A488" s="11" t="s">
        <v>520</v>
      </c>
      <c r="B488" s="10" t="str">
        <f t="shared" si="1555"/>
        <v>From Fiscal Forecasts</v>
      </c>
      <c r="D488" s="35">
        <f>-'Fiscal Forecasts'!D$403</f>
        <v>-6.8000000000000005E-2</v>
      </c>
      <c r="E488" s="35">
        <f>-'Fiscal Forecasts'!E$403</f>
        <v>-4.3319999999999999</v>
      </c>
      <c r="F488" s="35">
        <f>-'Fiscal Forecasts'!F$403</f>
        <v>-3.6819999999999999</v>
      </c>
      <c r="G488" s="35">
        <f>-'Fiscal Forecasts'!G$403</f>
        <v>2.4279999999999999</v>
      </c>
      <c r="H488" s="35">
        <f>-'Fiscal Forecasts'!H$403</f>
        <v>-0.217</v>
      </c>
      <c r="I488" s="35">
        <f>-'Fiscal Forecasts'!I$403</f>
        <v>-2.54</v>
      </c>
      <c r="J488" s="17">
        <f>-'Fiscal Forecasts'!J$403</f>
        <v>6.8289999999999997</v>
      </c>
      <c r="K488" s="17">
        <f>-'Fiscal Forecasts'!K$403</f>
        <v>0.01</v>
      </c>
      <c r="L488" s="17">
        <f>-'Fiscal Forecasts'!L$403</f>
        <v>6.0000000000000001E-3</v>
      </c>
      <c r="M488" s="17">
        <f>-'Fiscal Forecasts'!M$403</f>
        <v>-1E-3</v>
      </c>
      <c r="N488" s="17">
        <f>-'Fiscal Forecasts'!N$403</f>
        <v>-6.0000000000000001E-3</v>
      </c>
      <c r="O488" s="16">
        <f ca="1">O$346-N$346</f>
        <v>0.50592593753007797</v>
      </c>
      <c r="P488" s="16">
        <f t="shared" ref="P488" ca="1" si="1593">P$346-O$346</f>
        <v>0.52075916251884458</v>
      </c>
      <c r="Q488" s="16">
        <f t="shared" ref="Q488" ca="1" si="1594">Q$346-P$346</f>
        <v>0.52249334116079282</v>
      </c>
      <c r="R488" s="16">
        <f t="shared" ref="R488" ca="1" si="1595">R$346-Q$346</f>
        <v>0.52245960231764599</v>
      </c>
      <c r="S488" s="16">
        <f t="shared" ref="S488" ca="1" si="1596">S$346-R$346</f>
        <v>0.53916593214666086</v>
      </c>
      <c r="T488" s="16">
        <f t="shared" ref="T488" ca="1" si="1597">T$346-S$346</f>
        <v>0.55560950918278706</v>
      </c>
      <c r="U488" s="16">
        <f t="shared" ref="U488" ca="1" si="1598">U$346-T$346</f>
        <v>0.5742902518921511</v>
      </c>
      <c r="V488" s="16">
        <f t="shared" ref="V488" ca="1" si="1599">V$346-U$346</f>
        <v>0.59313128902035217</v>
      </c>
      <c r="W488" s="16">
        <f t="shared" ref="W488" ca="1" si="1600">W$346-V$346</f>
        <v>0.60888076635330357</v>
      </c>
      <c r="X488" s="16">
        <f t="shared" ref="X488" ca="1" si="1601">X$346-W$346</f>
        <v>0.62561664440515941</v>
      </c>
      <c r="Y488" s="16">
        <f t="shared" ref="Y488" ca="1" si="1602">Y$346-X$346</f>
        <v>0.64562929638428201</v>
      </c>
      <c r="Z488" s="16">
        <f t="shared" ref="Z488" ca="1" si="1603">Z$346-Y$346</f>
        <v>0.66575323603747805</v>
      </c>
      <c r="AA488" s="16">
        <f t="shared" ref="AA488" ca="1" si="1604">AA$346-Z$346</f>
        <v>0.68860012246777913</v>
      </c>
      <c r="AB488" s="16">
        <f t="shared" ref="AB488" ca="1" si="1605">AB$346-AA$346</f>
        <v>0.71071627782922064</v>
      </c>
      <c r="AC488" s="16">
        <f t="shared" ref="AC488" ca="1" si="1606">AC$346-AB$346</f>
        <v>0.73281415527835492</v>
      </c>
      <c r="AD488" s="16">
        <f t="shared" ref="AD488" ca="1" si="1607">AD$346-AC$346</f>
        <v>0.75543722416459502</v>
      </c>
      <c r="AE488" s="16">
        <f t="shared" ref="AE488" ca="1" si="1608">AE$346-AD$346</f>
        <v>0.77785421173801694</v>
      </c>
      <c r="AF488" s="16">
        <f t="shared" ref="AF488" ca="1" si="1609">AF$346-AE$346</f>
        <v>0.80045362778132656</v>
      </c>
      <c r="AG488" s="16">
        <f t="shared" ref="AG488" ca="1" si="1610">AG$346-AF$346</f>
        <v>0.82313929212727643</v>
      </c>
      <c r="AH488" s="16">
        <f t="shared" ref="AH488" ca="1" si="1611">AH$346-AG$346</f>
        <v>0.84543682721025704</v>
      </c>
      <c r="AI488" s="16">
        <f t="shared" ref="AI488" ca="1" si="1612">AI$346-AH$346</f>
        <v>0.86853593009948682</v>
      </c>
      <c r="AJ488" s="16">
        <f t="shared" ref="AJ488" ca="1" si="1613">AJ$346-AI$346</f>
        <v>0.89265978890623288</v>
      </c>
      <c r="AK488" s="16">
        <f t="shared" ref="AK488" ca="1" si="1614">AK$346-AJ$346</f>
        <v>0.91559866034205584</v>
      </c>
      <c r="AL488" s="16">
        <f t="shared" ref="AL488" ca="1" si="1615">AL$346-AK$346</f>
        <v>0.93979353258444576</v>
      </c>
      <c r="AM488" s="16">
        <f t="shared" ref="AM488" ca="1" si="1616">AM$346-AL$346</f>
        <v>0.96534799880863886</v>
      </c>
      <c r="AN488" s="16">
        <f t="shared" ref="AN488" ca="1" si="1617">AN$346-AM$346</f>
        <v>0.99200015983332435</v>
      </c>
      <c r="AO488" s="16">
        <f t="shared" ref="AO488" ca="1" si="1618">AO$346-AN$346</f>
        <v>1.0190647205711727</v>
      </c>
      <c r="AP488" s="16">
        <f t="shared" ref="AP488" ca="1" si="1619">AP$346-AO$346</f>
        <v>1.0492644271454203</v>
      </c>
      <c r="AQ488" s="16">
        <f t="shared" ref="AQ488" ca="1" si="1620">AQ$346-AP$346</f>
        <v>1.0804893157432751</v>
      </c>
      <c r="AR488" s="16">
        <f t="shared" ref="AR488" ca="1" si="1621">AR$346-AQ$346</f>
        <v>1.1145339582263887</v>
      </c>
      <c r="AS488" s="16">
        <f t="shared" ref="AS488" ca="1" si="1622">AS$346-AR$346</f>
        <v>1.1494120854283381</v>
      </c>
      <c r="AT488" s="16">
        <f t="shared" ref="AT488" ca="1" si="1623">AT$346-AS$346</f>
        <v>1.1878669238544859</v>
      </c>
      <c r="AU488" s="16">
        <f t="shared" ref="AU488" ca="1" si="1624">AU$346-AT$346</f>
        <v>1.2258082067161311</v>
      </c>
      <c r="AV488" s="16">
        <f t="shared" ref="AV488" ca="1" si="1625">AV$346-AU$346</f>
        <v>1.2672247545234754</v>
      </c>
      <c r="AW488" s="16">
        <f t="shared" ref="AW488" ca="1" si="1626">AW$346-AV$346</f>
        <v>1.3097581841372303</v>
      </c>
      <c r="AX488" s="16">
        <f t="shared" ref="AX488" ca="1" si="1627">AX$346-AW$346</f>
        <v>1.3517474058438381</v>
      </c>
    </row>
    <row r="489" spans="1:50" x14ac:dyDescent="0.25">
      <c r="A489" s="9" t="s">
        <v>1019</v>
      </c>
      <c r="D489" s="64">
        <f t="shared" ref="D489:AX489" si="1628">SUM(-D$486,D$487,-D$488)</f>
        <v>5.6680000000000001</v>
      </c>
      <c r="E489" s="64">
        <f t="shared" si="1628"/>
        <v>-9.370000000000001</v>
      </c>
      <c r="F489" s="64">
        <f t="shared" si="1628"/>
        <v>9.9580000000000002</v>
      </c>
      <c r="G489" s="64">
        <f t="shared" si="1628"/>
        <v>-1.6509999999999998</v>
      </c>
      <c r="H489" s="64">
        <f t="shared" si="1628"/>
        <v>2.9329999999999998</v>
      </c>
      <c r="I489" s="64">
        <f t="shared" si="1628"/>
        <v>-5.9009999999999989</v>
      </c>
      <c r="J489" s="65">
        <f t="shared" si="1628"/>
        <v>-12.460999999999999</v>
      </c>
      <c r="K489" s="65">
        <f t="shared" si="1628"/>
        <v>-6.2349999999999994</v>
      </c>
      <c r="L489" s="65">
        <f t="shared" si="1628"/>
        <v>2.4250000000000003</v>
      </c>
      <c r="M489" s="65">
        <f t="shared" si="1628"/>
        <v>1.302</v>
      </c>
      <c r="N489" s="65">
        <f t="shared" si="1628"/>
        <v>1.212</v>
      </c>
      <c r="O489" s="66">
        <f t="shared" ca="1" si="1628"/>
        <v>-2.4769734739263471</v>
      </c>
      <c r="P489" s="66">
        <f t="shared" ca="1" si="1628"/>
        <v>-2.5513540755351216</v>
      </c>
      <c r="Q489" s="66">
        <f t="shared" ca="1" si="1628"/>
        <v>-2.5566421498611032</v>
      </c>
      <c r="R489" s="66">
        <f t="shared" ca="1" si="1628"/>
        <v>-2.552538331144071</v>
      </c>
      <c r="S489" s="66">
        <f t="shared" ca="1" si="1628"/>
        <v>-2.636557087407132</v>
      </c>
      <c r="T489" s="66">
        <f t="shared" ca="1" si="1628"/>
        <v>-2.7191113442198924</v>
      </c>
      <c r="U489" s="66">
        <f t="shared" ca="1" si="1628"/>
        <v>-2.8133712228239109</v>
      </c>
      <c r="V489" s="66">
        <f t="shared" ca="1" si="1628"/>
        <v>-2.9083923432638676</v>
      </c>
      <c r="W489" s="66">
        <f t="shared" ca="1" si="1628"/>
        <v>-2.9870394709390138</v>
      </c>
      <c r="X489" s="66">
        <f t="shared" ca="1" si="1628"/>
        <v>-3.0707971133515866</v>
      </c>
      <c r="Y489" s="66">
        <f t="shared" ca="1" si="1628"/>
        <v>-3.1717311948509002</v>
      </c>
      <c r="Z489" s="66">
        <f t="shared" ca="1" si="1628"/>
        <v>-3.2731614396167759</v>
      </c>
      <c r="AA489" s="66">
        <f t="shared" ca="1" si="1628"/>
        <v>-3.388846512691206</v>
      </c>
      <c r="AB489" s="66">
        <f t="shared" ca="1" si="1628"/>
        <v>-3.5005876253422965</v>
      </c>
      <c r="AC489" s="66">
        <f t="shared" ca="1" si="1628"/>
        <v>-3.6121367174681542</v>
      </c>
      <c r="AD489" s="66">
        <f t="shared" ca="1" si="1628"/>
        <v>-3.7263553392289368</v>
      </c>
      <c r="AE489" s="66">
        <f t="shared" ca="1" si="1628"/>
        <v>-3.8393885634832143</v>
      </c>
      <c r="AF489" s="66">
        <f t="shared" ca="1" si="1628"/>
        <v>-3.9532814026243694</v>
      </c>
      <c r="AG489" s="66">
        <f t="shared" ca="1" si="1628"/>
        <v>-4.0675250652064872</v>
      </c>
      <c r="AH489" s="66">
        <f t="shared" ca="1" si="1628"/>
        <v>-4.1796180496064235</v>
      </c>
      <c r="AI489" s="66">
        <f t="shared" ca="1" si="1628"/>
        <v>-4.29582659081073</v>
      </c>
      <c r="AJ489" s="66">
        <f t="shared" ca="1" si="1628"/>
        <v>-4.4173244801169282</v>
      </c>
      <c r="AK489" s="66">
        <f t="shared" ca="1" si="1628"/>
        <v>-4.5324666881803388</v>
      </c>
      <c r="AL489" s="66">
        <f t="shared" ca="1" si="1628"/>
        <v>-4.6541121996205295</v>
      </c>
      <c r="AM489" s="66">
        <f t="shared" ca="1" si="1628"/>
        <v>-4.7828045446776564</v>
      </c>
      <c r="AN489" s="66">
        <f t="shared" ca="1" si="1628"/>
        <v>-4.9171614793888629</v>
      </c>
      <c r="AO489" s="66">
        <f t="shared" ca="1" si="1628"/>
        <v>-5.0535698989158035</v>
      </c>
      <c r="AP489" s="66">
        <f t="shared" ca="1" si="1628"/>
        <v>-5.2063731464570244</v>
      </c>
      <c r="AQ489" s="66">
        <f t="shared" ca="1" si="1628"/>
        <v>-5.3644516394348294</v>
      </c>
      <c r="AR489" s="66">
        <f t="shared" ca="1" si="1628"/>
        <v>-5.5372582017348382</v>
      </c>
      <c r="AS489" s="66">
        <f t="shared" ca="1" si="1628"/>
        <v>-5.7143248806391309</v>
      </c>
      <c r="AT489" s="66">
        <f t="shared" ca="1" si="1628"/>
        <v>-5.9101027275022018</v>
      </c>
      <c r="AU489" s="66">
        <f t="shared" ca="1" si="1628"/>
        <v>-6.1030380143653478</v>
      </c>
      <c r="AV489" s="66">
        <f t="shared" ca="1" si="1628"/>
        <v>-6.3141445481676817</v>
      </c>
      <c r="AW489" s="66">
        <f t="shared" ca="1" si="1628"/>
        <v>-6.5309935469862239</v>
      </c>
      <c r="AX489" s="66">
        <f t="shared" ca="1" si="1628"/>
        <v>-6.7448301153031496</v>
      </c>
    </row>
    <row r="490" spans="1:50" x14ac:dyDescent="0.25">
      <c r="A490" s="9" t="s">
        <v>1020</v>
      </c>
      <c r="D490" s="87" t="str">
        <f t="shared" ref="D490:AX490" si="1629">IF(ROUND(SUM(D$482,D$485,D$489),3)=0,"OK","ERROR")</f>
        <v>OK</v>
      </c>
      <c r="E490" s="87" t="str">
        <f t="shared" si="1629"/>
        <v>OK</v>
      </c>
      <c r="F490" s="87" t="str">
        <f t="shared" si="1629"/>
        <v>OK</v>
      </c>
      <c r="G490" s="87" t="str">
        <f t="shared" si="1629"/>
        <v>OK</v>
      </c>
      <c r="H490" s="87" t="str">
        <f t="shared" si="1629"/>
        <v>OK</v>
      </c>
      <c r="I490" s="87" t="str">
        <f t="shared" si="1629"/>
        <v>OK</v>
      </c>
      <c r="J490" s="87" t="str">
        <f t="shared" si="1629"/>
        <v>OK</v>
      </c>
      <c r="K490" s="87" t="str">
        <f t="shared" si="1629"/>
        <v>OK</v>
      </c>
      <c r="L490" s="87" t="str">
        <f t="shared" si="1629"/>
        <v>OK</v>
      </c>
      <c r="M490" s="87" t="str">
        <f t="shared" si="1629"/>
        <v>OK</v>
      </c>
      <c r="N490" s="87" t="str">
        <f t="shared" si="1629"/>
        <v>OK</v>
      </c>
      <c r="O490" s="87" t="str">
        <f t="shared" ca="1" si="1629"/>
        <v>OK</v>
      </c>
      <c r="P490" s="87" t="str">
        <f t="shared" ca="1" si="1629"/>
        <v>OK</v>
      </c>
      <c r="Q490" s="87" t="str">
        <f t="shared" ca="1" si="1629"/>
        <v>OK</v>
      </c>
      <c r="R490" s="87" t="str">
        <f t="shared" ca="1" si="1629"/>
        <v>OK</v>
      </c>
      <c r="S490" s="87" t="str">
        <f t="shared" ca="1" si="1629"/>
        <v>OK</v>
      </c>
      <c r="T490" s="87" t="str">
        <f t="shared" ca="1" si="1629"/>
        <v>OK</v>
      </c>
      <c r="U490" s="87" t="str">
        <f t="shared" ca="1" si="1629"/>
        <v>OK</v>
      </c>
      <c r="V490" s="87" t="str">
        <f t="shared" ca="1" si="1629"/>
        <v>OK</v>
      </c>
      <c r="W490" s="87" t="str">
        <f t="shared" ca="1" si="1629"/>
        <v>OK</v>
      </c>
      <c r="X490" s="87" t="str">
        <f t="shared" ca="1" si="1629"/>
        <v>OK</v>
      </c>
      <c r="Y490" s="87" t="str">
        <f t="shared" ca="1" si="1629"/>
        <v>OK</v>
      </c>
      <c r="Z490" s="87" t="str">
        <f t="shared" ca="1" si="1629"/>
        <v>OK</v>
      </c>
      <c r="AA490" s="87" t="str">
        <f t="shared" ca="1" si="1629"/>
        <v>OK</v>
      </c>
      <c r="AB490" s="87" t="str">
        <f t="shared" ca="1" si="1629"/>
        <v>OK</v>
      </c>
      <c r="AC490" s="87" t="str">
        <f t="shared" ca="1" si="1629"/>
        <v>OK</v>
      </c>
      <c r="AD490" s="87" t="str">
        <f t="shared" ca="1" si="1629"/>
        <v>OK</v>
      </c>
      <c r="AE490" s="87" t="str">
        <f t="shared" ca="1" si="1629"/>
        <v>OK</v>
      </c>
      <c r="AF490" s="87" t="str">
        <f t="shared" ca="1" si="1629"/>
        <v>OK</v>
      </c>
      <c r="AG490" s="87" t="str">
        <f t="shared" ca="1" si="1629"/>
        <v>OK</v>
      </c>
      <c r="AH490" s="87" t="str">
        <f t="shared" ca="1" si="1629"/>
        <v>OK</v>
      </c>
      <c r="AI490" s="87" t="str">
        <f t="shared" ca="1" si="1629"/>
        <v>OK</v>
      </c>
      <c r="AJ490" s="87" t="str">
        <f t="shared" ca="1" si="1629"/>
        <v>OK</v>
      </c>
      <c r="AK490" s="87" t="str">
        <f t="shared" ca="1" si="1629"/>
        <v>OK</v>
      </c>
      <c r="AL490" s="87" t="str">
        <f t="shared" ca="1" si="1629"/>
        <v>OK</v>
      </c>
      <c r="AM490" s="87" t="str">
        <f t="shared" ca="1" si="1629"/>
        <v>OK</v>
      </c>
      <c r="AN490" s="87" t="str">
        <f t="shared" ca="1" si="1629"/>
        <v>OK</v>
      </c>
      <c r="AO490" s="87" t="str">
        <f t="shared" ca="1" si="1629"/>
        <v>OK</v>
      </c>
      <c r="AP490" s="87" t="str">
        <f t="shared" ca="1" si="1629"/>
        <v>OK</v>
      </c>
      <c r="AQ490" s="87" t="str">
        <f t="shared" ca="1" si="1629"/>
        <v>OK</v>
      </c>
      <c r="AR490" s="87" t="str">
        <f t="shared" ca="1" si="1629"/>
        <v>OK</v>
      </c>
      <c r="AS490" s="87" t="str">
        <f t="shared" ca="1" si="1629"/>
        <v>OK</v>
      </c>
      <c r="AT490" s="87" t="str">
        <f t="shared" ca="1" si="1629"/>
        <v>OK</v>
      </c>
      <c r="AU490" s="87" t="str">
        <f t="shared" ca="1" si="1629"/>
        <v>OK</v>
      </c>
      <c r="AV490" s="87" t="str">
        <f t="shared" ca="1" si="1629"/>
        <v>OK</v>
      </c>
      <c r="AW490" s="87" t="str">
        <f t="shared" ca="1" si="1629"/>
        <v>OK</v>
      </c>
      <c r="AX490" s="87" t="str">
        <f t="shared" ca="1" si="1629"/>
        <v>OK</v>
      </c>
    </row>
    <row r="492" spans="1:50" x14ac:dyDescent="0.25">
      <c r="A492" s="12" t="s">
        <v>1040</v>
      </c>
      <c r="B492" s="10" t="str">
        <f>$B$62</f>
        <v>Projected Years only</v>
      </c>
    </row>
    <row r="493" spans="1:50" x14ac:dyDescent="0.25">
      <c r="A493" s="11" t="s">
        <v>1032</v>
      </c>
      <c r="O493" s="16">
        <f t="shared" ref="O493:AX493" ca="1" si="1630">O$476-O$377+O$376-O$378</f>
        <v>0.18111793153419908</v>
      </c>
      <c r="P493" s="16">
        <f t="shared" ca="1" si="1630"/>
        <v>-2.0948110053638591</v>
      </c>
      <c r="Q493" s="16">
        <f t="shared" ca="1" si="1630"/>
        <v>-4.7360167220075393</v>
      </c>
      <c r="R493" s="16">
        <f t="shared" ca="1" si="1630"/>
        <v>-7.7820726735394574</v>
      </c>
      <c r="S493" s="16">
        <f t="shared" ca="1" si="1630"/>
        <v>-10.91070964898722</v>
      </c>
      <c r="T493" s="16">
        <f t="shared" ca="1" si="1630"/>
        <v>-13.868703623186239</v>
      </c>
      <c r="U493" s="16">
        <f t="shared" ca="1" si="1630"/>
        <v>-15.970545638921577</v>
      </c>
      <c r="V493" s="16">
        <f t="shared" ca="1" si="1630"/>
        <v>-18.047975043456546</v>
      </c>
      <c r="W493" s="16">
        <f t="shared" ca="1" si="1630"/>
        <v>-20.24549530064122</v>
      </c>
      <c r="X493" s="16">
        <f t="shared" ca="1" si="1630"/>
        <v>-22.622498556058293</v>
      </c>
      <c r="Y493" s="16">
        <f t="shared" ca="1" si="1630"/>
        <v>-25.384027115975535</v>
      </c>
      <c r="Z493" s="16">
        <f t="shared" ca="1" si="1630"/>
        <v>-28.353685047370732</v>
      </c>
      <c r="AA493" s="16">
        <f t="shared" ca="1" si="1630"/>
        <v>-31.574281334062579</v>
      </c>
      <c r="AB493" s="16">
        <f t="shared" ca="1" si="1630"/>
        <v>-35.003052121140129</v>
      </c>
      <c r="AC493" s="16">
        <f t="shared" ca="1" si="1630"/>
        <v>-38.7628879759624</v>
      </c>
      <c r="AD493" s="16">
        <f t="shared" ca="1" si="1630"/>
        <v>-42.865436724482471</v>
      </c>
      <c r="AE493" s="16">
        <f t="shared" ca="1" si="1630"/>
        <v>-47.33543408967067</v>
      </c>
      <c r="AF493" s="16">
        <f t="shared" ca="1" si="1630"/>
        <v>-52.212753632291729</v>
      </c>
      <c r="AG493" s="16">
        <f t="shared" ca="1" si="1630"/>
        <v>-57.571346916947348</v>
      </c>
      <c r="AH493" s="16">
        <f t="shared" ca="1" si="1630"/>
        <v>-63.379593708977495</v>
      </c>
      <c r="AI493" s="16">
        <f t="shared" ca="1" si="1630"/>
        <v>-69.685732636565476</v>
      </c>
      <c r="AJ493" s="16">
        <f t="shared" ca="1" si="1630"/>
        <v>-76.521651654437846</v>
      </c>
      <c r="AK493" s="16">
        <f t="shared" ca="1" si="1630"/>
        <v>-84.044329821249249</v>
      </c>
      <c r="AL493" s="16">
        <f t="shared" ca="1" si="1630"/>
        <v>-92.280584460346773</v>
      </c>
      <c r="AM493" s="16">
        <f t="shared" ca="1" si="1630"/>
        <v>-101.19425757064251</v>
      </c>
      <c r="AN493" s="16">
        <f t="shared" ca="1" si="1630"/>
        <v>-110.93937381343081</v>
      </c>
      <c r="AO493" s="16">
        <f t="shared" ca="1" si="1630"/>
        <v>-121.45793779932974</v>
      </c>
      <c r="AP493" s="16">
        <f t="shared" ca="1" si="1630"/>
        <v>-132.7036235508954</v>
      </c>
      <c r="AQ493" s="16">
        <f t="shared" ca="1" si="1630"/>
        <v>-144.66221565364106</v>
      </c>
      <c r="AR493" s="16">
        <f t="shared" ca="1" si="1630"/>
        <v>-157.27304826775509</v>
      </c>
      <c r="AS493" s="16">
        <f t="shared" ca="1" si="1630"/>
        <v>-170.70789801470011</v>
      </c>
      <c r="AT493" s="16">
        <f t="shared" ca="1" si="1630"/>
        <v>-184.89385424447192</v>
      </c>
      <c r="AU493" s="16">
        <f t="shared" ca="1" si="1630"/>
        <v>-199.93993031913863</v>
      </c>
      <c r="AV493" s="16">
        <f t="shared" ca="1" si="1630"/>
        <v>-215.95589884383645</v>
      </c>
      <c r="AW493" s="16">
        <f t="shared" ca="1" si="1630"/>
        <v>-232.8826069905875</v>
      </c>
      <c r="AX493" s="16">
        <f t="shared" ca="1" si="1630"/>
        <v>-251.08511949117252</v>
      </c>
    </row>
    <row r="494" spans="1:50" x14ac:dyDescent="0.25">
      <c r="A494" s="11" t="s">
        <v>1033</v>
      </c>
      <c r="O494" s="16">
        <f ca="1">O$481+O$480-O$486-SUM(O$358-N$358,O$367-N$367,O$389-N$389,O$392-N$392,-O$332)</f>
        <v>-14.385594635361883</v>
      </c>
      <c r="P494" s="16">
        <f t="shared" ref="P494:AX494" ca="1" si="1631">P$481+P$480-P$486-SUM(P$358-O$358,P$367-O$367,P$389-O$389,P$392-O$392,-P$332)</f>
        <v>-15.735498870016439</v>
      </c>
      <c r="Q494" s="16">
        <f t="shared" ca="1" si="1631"/>
        <v>-15.92197461560465</v>
      </c>
      <c r="R494" s="16">
        <f t="shared" ca="1" si="1631"/>
        <v>-16.021874358357788</v>
      </c>
      <c r="S494" s="16">
        <f t="shared" ca="1" si="1631"/>
        <v>-16.472143255268758</v>
      </c>
      <c r="T494" s="16">
        <f t="shared" ca="1" si="1631"/>
        <v>-16.938909891656529</v>
      </c>
      <c r="U494" s="16">
        <f t="shared" ca="1" si="1631"/>
        <v>-16.024233342943557</v>
      </c>
      <c r="V494" s="16">
        <f t="shared" ca="1" si="1631"/>
        <v>-16.385526180751938</v>
      </c>
      <c r="W494" s="16">
        <f t="shared" ca="1" si="1631"/>
        <v>-17.499920355153009</v>
      </c>
      <c r="X494" s="16">
        <f t="shared" ca="1" si="1631"/>
        <v>-18.793527152690778</v>
      </c>
      <c r="Y494" s="16">
        <f t="shared" ca="1" si="1631"/>
        <v>-19.533920961943245</v>
      </c>
      <c r="Z494" s="16">
        <f t="shared" ca="1" si="1631"/>
        <v>-20.355780960201884</v>
      </c>
      <c r="AA494" s="16">
        <f t="shared" ca="1" si="1631"/>
        <v>-21.261877924489482</v>
      </c>
      <c r="AB494" s="16">
        <f t="shared" ca="1" si="1631"/>
        <v>-22.211571505471085</v>
      </c>
      <c r="AC494" s="16">
        <f t="shared" ca="1" si="1631"/>
        <v>-23.117662075095303</v>
      </c>
      <c r="AD494" s="16">
        <f t="shared" ca="1" si="1631"/>
        <v>-24.020118556322238</v>
      </c>
      <c r="AE494" s="16">
        <f t="shared" ca="1" si="1631"/>
        <v>-24.889283381220903</v>
      </c>
      <c r="AF494" s="16">
        <f t="shared" ca="1" si="1631"/>
        <v>-25.717883522112945</v>
      </c>
      <c r="AG494" s="16">
        <f t="shared" ca="1" si="1631"/>
        <v>-26.47560182242394</v>
      </c>
      <c r="AH494" s="16">
        <f t="shared" ca="1" si="1631"/>
        <v>-27.180299326455472</v>
      </c>
      <c r="AI494" s="16">
        <f t="shared" ca="1" si="1631"/>
        <v>-27.838152104772526</v>
      </c>
      <c r="AJ494" s="16">
        <f t="shared" ca="1" si="1631"/>
        <v>-28.459697666766367</v>
      </c>
      <c r="AK494" s="16">
        <f t="shared" ca="1" si="1631"/>
        <v>-28.893737594813622</v>
      </c>
      <c r="AL494" s="16">
        <f t="shared" ca="1" si="1631"/>
        <v>-29.197031404463743</v>
      </c>
      <c r="AM494" s="16">
        <f t="shared" ca="1" si="1631"/>
        <v>-29.439098416675048</v>
      </c>
      <c r="AN494" s="16">
        <f t="shared" ca="1" si="1631"/>
        <v>-29.523181383492098</v>
      </c>
      <c r="AO494" s="16">
        <f t="shared" ca="1" si="1631"/>
        <v>-29.603276429457637</v>
      </c>
      <c r="AP494" s="16">
        <f t="shared" ca="1" si="1631"/>
        <v>-29.735972873401188</v>
      </c>
      <c r="AQ494" s="16">
        <f t="shared" ca="1" si="1631"/>
        <v>-29.853650424815076</v>
      </c>
      <c r="AR494" s="16">
        <f t="shared" ca="1" si="1631"/>
        <v>-30.134840024014235</v>
      </c>
      <c r="AS494" s="16">
        <f t="shared" ca="1" si="1631"/>
        <v>-30.44825693156384</v>
      </c>
      <c r="AT494" s="16">
        <f t="shared" ca="1" si="1631"/>
        <v>-30.922830679235069</v>
      </c>
      <c r="AU494" s="16">
        <f t="shared" ca="1" si="1631"/>
        <v>-31.460341098238203</v>
      </c>
      <c r="AV494" s="16">
        <f t="shared" ca="1" si="1631"/>
        <v>-32.110854040405684</v>
      </c>
      <c r="AW494" s="16">
        <f t="shared" ca="1" si="1631"/>
        <v>-32.890120905960316</v>
      </c>
      <c r="AX494" s="16">
        <f t="shared" ca="1" si="1631"/>
        <v>-33.502545409963012</v>
      </c>
    </row>
    <row r="495" spans="1:50" x14ac:dyDescent="0.25">
      <c r="A495" s="11" t="s">
        <v>513</v>
      </c>
      <c r="O495" s="16">
        <f t="shared" ref="O495:AX495" ca="1" si="1632">O$487</f>
        <v>0.18867999999999974</v>
      </c>
      <c r="P495" s="16">
        <f t="shared" ca="1" si="1632"/>
        <v>0.19245360000000034</v>
      </c>
      <c r="Q495" s="16">
        <f t="shared" ca="1" si="1632"/>
        <v>0.19630267199999984</v>
      </c>
      <c r="R495" s="16">
        <f t="shared" ca="1" si="1632"/>
        <v>0.20022872544000059</v>
      </c>
      <c r="S495" s="16">
        <f t="shared" ca="1" si="1632"/>
        <v>0.20423329994880035</v>
      </c>
      <c r="T495" s="16">
        <f t="shared" ca="1" si="1632"/>
        <v>0.20831796594777607</v>
      </c>
      <c r="U495" s="16">
        <f t="shared" ca="1" si="1632"/>
        <v>0.21248432526673255</v>
      </c>
      <c r="V495" s="16">
        <f t="shared" ca="1" si="1632"/>
        <v>0.21673401177206664</v>
      </c>
      <c r="W495" s="16">
        <f t="shared" ca="1" si="1632"/>
        <v>0.22106869200750801</v>
      </c>
      <c r="X495" s="16">
        <f t="shared" ca="1" si="1632"/>
        <v>0.22549006584765863</v>
      </c>
      <c r="Y495" s="16">
        <f t="shared" ca="1" si="1632"/>
        <v>0.22999986716461152</v>
      </c>
      <c r="Z495" s="16">
        <f t="shared" ca="1" si="1632"/>
        <v>0.23459986450790282</v>
      </c>
      <c r="AA495" s="16">
        <f t="shared" ca="1" si="1632"/>
        <v>0.23929186179806194</v>
      </c>
      <c r="AB495" s="16">
        <f t="shared" ca="1" si="1632"/>
        <v>0.24407769903402254</v>
      </c>
      <c r="AC495" s="16">
        <f t="shared" ca="1" si="1632"/>
        <v>0.24895925301470356</v>
      </c>
      <c r="AD495" s="16">
        <f t="shared" ca="1" si="1632"/>
        <v>0.2539384380749965</v>
      </c>
      <c r="AE495" s="16">
        <f t="shared" ca="1" si="1632"/>
        <v>0.25901720683649643</v>
      </c>
      <c r="AF495" s="16">
        <f t="shared" ca="1" si="1632"/>
        <v>0.26419755097322728</v>
      </c>
      <c r="AG495" s="16">
        <f t="shared" ca="1" si="1632"/>
        <v>0.26948150199269172</v>
      </c>
      <c r="AH495" s="16">
        <f t="shared" ca="1" si="1632"/>
        <v>0.27487113203254587</v>
      </c>
      <c r="AI495" s="16">
        <f t="shared" ca="1" si="1632"/>
        <v>0.28036855467319555</v>
      </c>
      <c r="AJ495" s="16">
        <f t="shared" ca="1" si="1632"/>
        <v>0.28597592576666031</v>
      </c>
      <c r="AK495" s="16">
        <f t="shared" ca="1" si="1632"/>
        <v>0.29169544428199323</v>
      </c>
      <c r="AL495" s="16">
        <f t="shared" ca="1" si="1632"/>
        <v>0.29752935316763285</v>
      </c>
      <c r="AM495" s="16">
        <f t="shared" ca="1" si="1632"/>
        <v>0.30347994023098579</v>
      </c>
      <c r="AN495" s="16">
        <f t="shared" ca="1" si="1632"/>
        <v>0.309549539035606</v>
      </c>
      <c r="AO495" s="16">
        <f t="shared" ca="1" si="1632"/>
        <v>0.31574052981631695</v>
      </c>
      <c r="AP495" s="16">
        <f t="shared" ca="1" si="1632"/>
        <v>0.32205534041264272</v>
      </c>
      <c r="AQ495" s="16">
        <f t="shared" ca="1" si="1632"/>
        <v>0.32849644722089621</v>
      </c>
      <c r="AR495" s="16">
        <f t="shared" ca="1" si="1632"/>
        <v>0.33506637616531521</v>
      </c>
      <c r="AS495" s="16">
        <f t="shared" ca="1" si="1632"/>
        <v>0.34176770368862108</v>
      </c>
      <c r="AT495" s="16">
        <f t="shared" ca="1" si="1632"/>
        <v>0.34860305776239287</v>
      </c>
      <c r="AU495" s="16">
        <f t="shared" ca="1" si="1632"/>
        <v>0.35557511891764193</v>
      </c>
      <c r="AV495" s="16">
        <f t="shared" ca="1" si="1632"/>
        <v>0.36268662129599605</v>
      </c>
      <c r="AW495" s="16">
        <f t="shared" ca="1" si="1632"/>
        <v>0.36994035372191547</v>
      </c>
      <c r="AX495" s="16">
        <f t="shared" ca="1" si="1632"/>
        <v>0.37733916079635321</v>
      </c>
    </row>
    <row r="496" spans="1:50" x14ac:dyDescent="0.25">
      <c r="A496" s="11" t="s">
        <v>1034</v>
      </c>
      <c r="O496" s="16">
        <f t="shared" ref="O496:AX496" ca="1" si="1633">SUM(O$488,O$345-N$345)-SUM(O$493:O$495)</f>
        <v>14.730238235425194</v>
      </c>
      <c r="P496" s="16">
        <f t="shared" ca="1" si="1633"/>
        <v>18.494476569780218</v>
      </c>
      <c r="Q496" s="16">
        <f t="shared" ca="1" si="1633"/>
        <v>21.336394202631503</v>
      </c>
      <c r="R496" s="16">
        <f t="shared" ca="1" si="1633"/>
        <v>24.49352813454508</v>
      </c>
      <c r="S496" s="16">
        <f t="shared" ca="1" si="1633"/>
        <v>28.100218132592037</v>
      </c>
      <c r="T496" s="16">
        <f t="shared" ca="1" si="1633"/>
        <v>31.554258079047894</v>
      </c>
      <c r="U496" s="16">
        <f t="shared" ca="1" si="1633"/>
        <v>32.771478358912333</v>
      </c>
      <c r="V496" s="16">
        <f t="shared" ca="1" si="1633"/>
        <v>35.243096715873051</v>
      </c>
      <c r="W496" s="16">
        <f t="shared" ca="1" si="1633"/>
        <v>38.589091097720456</v>
      </c>
      <c r="X496" s="16">
        <f t="shared" ca="1" si="1633"/>
        <v>42.29936620897508</v>
      </c>
      <c r="Y496" s="16">
        <f t="shared" ca="1" si="1633"/>
        <v>45.850331288728384</v>
      </c>
      <c r="Z496" s="16">
        <f t="shared" ca="1" si="1633"/>
        <v>49.696585583758107</v>
      </c>
      <c r="AA496" s="16">
        <f t="shared" ca="1" si="1633"/>
        <v>53.883658418692001</v>
      </c>
      <c r="AB496" s="16">
        <f t="shared" ca="1" si="1633"/>
        <v>58.326639150175509</v>
      </c>
      <c r="AC496" s="16">
        <f t="shared" ca="1" si="1633"/>
        <v>63.05740924999207</v>
      </c>
      <c r="AD496" s="16">
        <f t="shared" ca="1" si="1633"/>
        <v>68.127003639062181</v>
      </c>
      <c r="AE496" s="16">
        <f t="shared" ca="1" si="1633"/>
        <v>73.531229489011594</v>
      </c>
      <c r="AF496" s="16">
        <f t="shared" ca="1" si="1633"/>
        <v>79.302419185346167</v>
      </c>
      <c r="AG496" s="16">
        <f t="shared" ca="1" si="1633"/>
        <v>85.482669644410393</v>
      </c>
      <c r="AH496" s="16">
        <f t="shared" ca="1" si="1633"/>
        <v>92.058977291063343</v>
      </c>
      <c r="AI496" s="16">
        <f t="shared" ca="1" si="1633"/>
        <v>99.086086789616246</v>
      </c>
      <c r="AJ496" s="16">
        <f t="shared" ca="1" si="1633"/>
        <v>106.60661412682872</v>
      </c>
      <c r="AK496" s="16">
        <f t="shared" ca="1" si="1633"/>
        <v>114.61915659675655</v>
      </c>
      <c r="AL496" s="16">
        <f t="shared" ca="1" si="1633"/>
        <v>123.20948852177582</v>
      </c>
      <c r="AM496" s="16">
        <f t="shared" ca="1" si="1633"/>
        <v>132.41395105631972</v>
      </c>
      <c r="AN496" s="16">
        <f t="shared" ca="1" si="1633"/>
        <v>142.28476783621699</v>
      </c>
      <c r="AO496" s="16">
        <f t="shared" ca="1" si="1633"/>
        <v>152.92088370551249</v>
      </c>
      <c r="AP496" s="16">
        <f t="shared" ca="1" si="1633"/>
        <v>164.33911415121793</v>
      </c>
      <c r="AQ496" s="16">
        <f t="shared" ca="1" si="1633"/>
        <v>176.45811254885894</v>
      </c>
      <c r="AR496" s="16">
        <f t="shared" ca="1" si="1633"/>
        <v>189.40054827678037</v>
      </c>
      <c r="AS496" s="16">
        <f t="shared" ca="1" si="1633"/>
        <v>203.20096755327407</v>
      </c>
      <c r="AT496" s="16">
        <f t="shared" ca="1" si="1633"/>
        <v>217.92138906228581</v>
      </c>
      <c r="AU496" s="16">
        <f t="shared" ca="1" si="1633"/>
        <v>233.56842710065271</v>
      </c>
      <c r="AV496" s="16">
        <f t="shared" ca="1" si="1633"/>
        <v>250.30421356893476</v>
      </c>
      <c r="AW496" s="16">
        <f t="shared" ca="1" si="1633"/>
        <v>268.08642988227319</v>
      </c>
      <c r="AX496" s="16">
        <f t="shared" ca="1" si="1633"/>
        <v>286.97059245740644</v>
      </c>
    </row>
    <row r="497" spans="1:50" x14ac:dyDescent="0.25">
      <c r="A497" s="9" t="s">
        <v>1035</v>
      </c>
      <c r="O497" s="66">
        <f t="shared" ref="O497:AX497" ca="1" si="1634">SUM(O$493:O$496)</f>
        <v>0.71444153159750989</v>
      </c>
      <c r="P497" s="66">
        <f t="shared" ca="1" si="1634"/>
        <v>0.85662029439992082</v>
      </c>
      <c r="Q497" s="66">
        <f t="shared" ca="1" si="1634"/>
        <v>0.87470553701931664</v>
      </c>
      <c r="R497" s="66">
        <f t="shared" ca="1" si="1634"/>
        <v>0.88980982808783438</v>
      </c>
      <c r="S497" s="66">
        <f t="shared" ca="1" si="1634"/>
        <v>0.92159852828486066</v>
      </c>
      <c r="T497" s="66">
        <f t="shared" ca="1" si="1634"/>
        <v>0.95496253015290122</v>
      </c>
      <c r="U497" s="66">
        <f t="shared" ca="1" si="1634"/>
        <v>0.98918370231393382</v>
      </c>
      <c r="V497" s="66">
        <f t="shared" ca="1" si="1634"/>
        <v>1.0263295034366351</v>
      </c>
      <c r="W497" s="66">
        <f t="shared" ca="1" si="1634"/>
        <v>1.0647441339337291</v>
      </c>
      <c r="X497" s="66">
        <f t="shared" ca="1" si="1634"/>
        <v>1.1088305660736637</v>
      </c>
      <c r="Y497" s="66">
        <f t="shared" ca="1" si="1634"/>
        <v>1.1623830779742121</v>
      </c>
      <c r="Z497" s="66">
        <f t="shared" ca="1" si="1634"/>
        <v>1.2217194406933913</v>
      </c>
      <c r="AA497" s="66">
        <f t="shared" ca="1" si="1634"/>
        <v>1.2867910219380079</v>
      </c>
      <c r="AB497" s="66">
        <f t="shared" ca="1" si="1634"/>
        <v>1.356093222598318</v>
      </c>
      <c r="AC497" s="66">
        <f t="shared" ca="1" si="1634"/>
        <v>1.4258184519490698</v>
      </c>
      <c r="AD497" s="66">
        <f t="shared" ca="1" si="1634"/>
        <v>1.4953867963324683</v>
      </c>
      <c r="AE497" s="66">
        <f t="shared" ca="1" si="1634"/>
        <v>1.5655292249565207</v>
      </c>
      <c r="AF497" s="66">
        <f t="shared" ca="1" si="1634"/>
        <v>1.6359795819147109</v>
      </c>
      <c r="AG497" s="66">
        <f t="shared" ca="1" si="1634"/>
        <v>1.7052024070317913</v>
      </c>
      <c r="AH497" s="66">
        <f t="shared" ca="1" si="1634"/>
        <v>1.773955387662923</v>
      </c>
      <c r="AI497" s="66">
        <f t="shared" ca="1" si="1634"/>
        <v>1.8425706029514402</v>
      </c>
      <c r="AJ497" s="66">
        <f t="shared" ca="1" si="1634"/>
        <v>1.9112407313911604</v>
      </c>
      <c r="AK497" s="66">
        <f t="shared" ca="1" si="1634"/>
        <v>1.972784624975688</v>
      </c>
      <c r="AL497" s="66">
        <f t="shared" ca="1" si="1634"/>
        <v>2.0294020101329409</v>
      </c>
      <c r="AM497" s="66">
        <f t="shared" ca="1" si="1634"/>
        <v>2.0840750092331746</v>
      </c>
      <c r="AN497" s="66">
        <f t="shared" ca="1" si="1634"/>
        <v>2.1317621783296943</v>
      </c>
      <c r="AO497" s="66">
        <f t="shared" ca="1" si="1634"/>
        <v>2.1754100065414264</v>
      </c>
      <c r="AP497" s="66">
        <f t="shared" ca="1" si="1634"/>
        <v>2.221573067333992</v>
      </c>
      <c r="AQ497" s="66">
        <f t="shared" ca="1" si="1634"/>
        <v>2.2707429176236928</v>
      </c>
      <c r="AR497" s="66">
        <f t="shared" ca="1" si="1634"/>
        <v>2.3277263611763601</v>
      </c>
      <c r="AS497" s="66">
        <f t="shared" ca="1" si="1634"/>
        <v>2.3865803106987471</v>
      </c>
      <c r="AT497" s="66">
        <f t="shared" ca="1" si="1634"/>
        <v>2.4533071963412283</v>
      </c>
      <c r="AU497" s="66">
        <f t="shared" ca="1" si="1634"/>
        <v>2.5237308021935405</v>
      </c>
      <c r="AV497" s="66">
        <f t="shared" ca="1" si="1634"/>
        <v>2.600147305988628</v>
      </c>
      <c r="AW497" s="66">
        <f t="shared" ca="1" si="1634"/>
        <v>2.6836423394472604</v>
      </c>
      <c r="AX497" s="66">
        <f t="shared" ca="1" si="1634"/>
        <v>2.7602667170672248</v>
      </c>
    </row>
    <row r="498" spans="1:50" x14ac:dyDescent="0.25">
      <c r="A498" s="12" t="s">
        <v>1036</v>
      </c>
    </row>
    <row r="499" spans="1:50" x14ac:dyDescent="0.25">
      <c r="A499" s="9" t="s">
        <v>1037</v>
      </c>
      <c r="O499" s="47">
        <f t="shared" ref="O499:AX499" ca="1" si="1635">O$493</f>
        <v>0.18111793153419908</v>
      </c>
      <c r="P499" s="47">
        <f t="shared" ca="1" si="1635"/>
        <v>-2.0948110053638591</v>
      </c>
      <c r="Q499" s="47">
        <f t="shared" ca="1" si="1635"/>
        <v>-4.7360167220075393</v>
      </c>
      <c r="R499" s="47">
        <f t="shared" ca="1" si="1635"/>
        <v>-7.7820726735394574</v>
      </c>
      <c r="S499" s="47">
        <f t="shared" ca="1" si="1635"/>
        <v>-10.91070964898722</v>
      </c>
      <c r="T499" s="47">
        <f t="shared" ca="1" si="1635"/>
        <v>-13.868703623186239</v>
      </c>
      <c r="U499" s="47">
        <f t="shared" ca="1" si="1635"/>
        <v>-15.970545638921577</v>
      </c>
      <c r="V499" s="47">
        <f t="shared" ca="1" si="1635"/>
        <v>-18.047975043456546</v>
      </c>
      <c r="W499" s="47">
        <f t="shared" ca="1" si="1635"/>
        <v>-20.24549530064122</v>
      </c>
      <c r="X499" s="47">
        <f t="shared" ca="1" si="1635"/>
        <v>-22.622498556058293</v>
      </c>
      <c r="Y499" s="47">
        <f t="shared" ca="1" si="1635"/>
        <v>-25.384027115975535</v>
      </c>
      <c r="Z499" s="47">
        <f t="shared" ca="1" si="1635"/>
        <v>-28.353685047370732</v>
      </c>
      <c r="AA499" s="47">
        <f t="shared" ca="1" si="1635"/>
        <v>-31.574281334062579</v>
      </c>
      <c r="AB499" s="47">
        <f t="shared" ca="1" si="1635"/>
        <v>-35.003052121140129</v>
      </c>
      <c r="AC499" s="47">
        <f t="shared" ca="1" si="1635"/>
        <v>-38.7628879759624</v>
      </c>
      <c r="AD499" s="47">
        <f t="shared" ca="1" si="1635"/>
        <v>-42.865436724482471</v>
      </c>
      <c r="AE499" s="47">
        <f t="shared" ca="1" si="1635"/>
        <v>-47.33543408967067</v>
      </c>
      <c r="AF499" s="47">
        <f t="shared" ca="1" si="1635"/>
        <v>-52.212753632291729</v>
      </c>
      <c r="AG499" s="47">
        <f t="shared" ca="1" si="1635"/>
        <v>-57.571346916947348</v>
      </c>
      <c r="AH499" s="47">
        <f t="shared" ca="1" si="1635"/>
        <v>-63.379593708977495</v>
      </c>
      <c r="AI499" s="47">
        <f t="shared" ca="1" si="1635"/>
        <v>-69.685732636565476</v>
      </c>
      <c r="AJ499" s="47">
        <f t="shared" ca="1" si="1635"/>
        <v>-76.521651654437846</v>
      </c>
      <c r="AK499" s="47">
        <f t="shared" ca="1" si="1635"/>
        <v>-84.044329821249249</v>
      </c>
      <c r="AL499" s="47">
        <f t="shared" ca="1" si="1635"/>
        <v>-92.280584460346773</v>
      </c>
      <c r="AM499" s="47">
        <f t="shared" ca="1" si="1635"/>
        <v>-101.19425757064251</v>
      </c>
      <c r="AN499" s="47">
        <f t="shared" ca="1" si="1635"/>
        <v>-110.93937381343081</v>
      </c>
      <c r="AO499" s="47">
        <f t="shared" ca="1" si="1635"/>
        <v>-121.45793779932974</v>
      </c>
      <c r="AP499" s="47">
        <f t="shared" ca="1" si="1635"/>
        <v>-132.7036235508954</v>
      </c>
      <c r="AQ499" s="47">
        <f t="shared" ca="1" si="1635"/>
        <v>-144.66221565364106</v>
      </c>
      <c r="AR499" s="47">
        <f t="shared" ca="1" si="1635"/>
        <v>-157.27304826775509</v>
      </c>
      <c r="AS499" s="47">
        <f t="shared" ca="1" si="1635"/>
        <v>-170.70789801470011</v>
      </c>
      <c r="AT499" s="47">
        <f t="shared" ca="1" si="1635"/>
        <v>-184.89385424447192</v>
      </c>
      <c r="AU499" s="47">
        <f t="shared" ca="1" si="1635"/>
        <v>-199.93993031913863</v>
      </c>
      <c r="AV499" s="47">
        <f t="shared" ca="1" si="1635"/>
        <v>-215.95589884383645</v>
      </c>
      <c r="AW499" s="47">
        <f t="shared" ca="1" si="1635"/>
        <v>-232.8826069905875</v>
      </c>
      <c r="AX499" s="47">
        <f t="shared" ca="1" si="1635"/>
        <v>-251.08511949117252</v>
      </c>
    </row>
    <row r="500" spans="1:50" x14ac:dyDescent="0.25">
      <c r="A500" s="9" t="s">
        <v>468</v>
      </c>
      <c r="O500" s="47">
        <f t="shared" ref="O500:AX500" ca="1" si="1636">O$334</f>
        <v>6.4399606131775577</v>
      </c>
      <c r="P500" s="47">
        <f t="shared" ca="1" si="1636"/>
        <v>6.8489734844308519</v>
      </c>
      <c r="Q500" s="47">
        <f t="shared" ca="1" si="1636"/>
        <v>7.278831007449404</v>
      </c>
      <c r="R500" s="47">
        <f t="shared" ca="1" si="1636"/>
        <v>7.7283868915766822</v>
      </c>
      <c r="S500" s="47">
        <f t="shared" ca="1" si="1636"/>
        <v>8.1967876093780561</v>
      </c>
      <c r="T500" s="47">
        <f t="shared" ca="1" si="1636"/>
        <v>8.6850325135647104</v>
      </c>
      <c r="U500" s="47">
        <f t="shared" ca="1" si="1636"/>
        <v>9.1935931926574437</v>
      </c>
      <c r="V500" s="47">
        <f t="shared" ca="1" si="1636"/>
        <v>9.7230919517364889</v>
      </c>
      <c r="W500" s="47">
        <f t="shared" ca="1" si="1636"/>
        <v>10.27786404355404</v>
      </c>
      <c r="X500" s="47">
        <f t="shared" ca="1" si="1636"/>
        <v>10.863511435807309</v>
      </c>
      <c r="Y500" s="47">
        <f t="shared" ca="1" si="1636"/>
        <v>11.48670423857641</v>
      </c>
      <c r="Z500" s="47">
        <f t="shared" ca="1" si="1636"/>
        <v>12.154842381121304</v>
      </c>
      <c r="AA500" s="47">
        <f t="shared" ca="1" si="1636"/>
        <v>12.873475911293491</v>
      </c>
      <c r="AB500" s="47">
        <f t="shared" ca="1" si="1636"/>
        <v>13.647447202969719</v>
      </c>
      <c r="AC500" s="47">
        <f t="shared" ca="1" si="1636"/>
        <v>14.480374768951657</v>
      </c>
      <c r="AD500" s="47">
        <f t="shared" ca="1" si="1636"/>
        <v>15.324886649669283</v>
      </c>
      <c r="AE500" s="47">
        <f t="shared" ca="1" si="1636"/>
        <v>16.222334705332365</v>
      </c>
      <c r="AF500" s="47">
        <f t="shared" ca="1" si="1636"/>
        <v>17.172763416218967</v>
      </c>
      <c r="AG500" s="47">
        <f t="shared" ca="1" si="1636"/>
        <v>18.174969700000791</v>
      </c>
      <c r="AH500" s="47">
        <f t="shared" ca="1" si="1636"/>
        <v>19.227480245633817</v>
      </c>
      <c r="AI500" s="47">
        <f t="shared" ca="1" si="1636"/>
        <v>20.329179717282415</v>
      </c>
      <c r="AJ500" s="47">
        <f t="shared" ca="1" si="1636"/>
        <v>21.478373682523209</v>
      </c>
      <c r="AK500" s="47">
        <f t="shared" ca="1" si="1636"/>
        <v>22.670630044125755</v>
      </c>
      <c r="AL500" s="47">
        <f t="shared" ca="1" si="1636"/>
        <v>23.898154847457917</v>
      </c>
      <c r="AM500" s="47">
        <f t="shared" ca="1" si="1636"/>
        <v>25.154661313301776</v>
      </c>
      <c r="AN500" s="47">
        <f t="shared" ca="1" si="1636"/>
        <v>26.433223335702568</v>
      </c>
      <c r="AO500" s="47">
        <f t="shared" ca="1" si="1636"/>
        <v>27.72584797816376</v>
      </c>
      <c r="AP500" s="47">
        <f t="shared" ca="1" si="1636"/>
        <v>29.02907954590647</v>
      </c>
      <c r="AQ500" s="47">
        <f t="shared" ca="1" si="1636"/>
        <v>30.343393841562168</v>
      </c>
      <c r="AR500" s="47">
        <f t="shared" ca="1" si="1636"/>
        <v>31.672559378784747</v>
      </c>
      <c r="AS500" s="47">
        <f t="shared" ca="1" si="1636"/>
        <v>33.020115308178887</v>
      </c>
      <c r="AT500" s="47">
        <f t="shared" ca="1" si="1636"/>
        <v>34.388748383121595</v>
      </c>
      <c r="AU500" s="47">
        <f t="shared" ca="1" si="1636"/>
        <v>35.783147728673413</v>
      </c>
      <c r="AV500" s="47">
        <f t="shared" ca="1" si="1636"/>
        <v>37.20698358577021</v>
      </c>
      <c r="AW500" s="47">
        <f t="shared" ca="1" si="1636"/>
        <v>38.664616325735743</v>
      </c>
      <c r="AX500" s="47">
        <f t="shared" ca="1" si="1636"/>
        <v>40.156052077372777</v>
      </c>
    </row>
    <row r="501" spans="1:50" x14ac:dyDescent="0.25">
      <c r="A501" s="11" t="s">
        <v>1043</v>
      </c>
      <c r="O501" s="16">
        <f t="shared" ref="O501:AX501" ca="1" si="1637">SUM(O$213,O$217)</f>
        <v>3.3473222596129939</v>
      </c>
      <c r="P501" s="16">
        <f t="shared" ca="1" si="1637"/>
        <v>3.6169816557532486</v>
      </c>
      <c r="Q501" s="16">
        <f t="shared" ca="1" si="1637"/>
        <v>3.8238714364463964</v>
      </c>
      <c r="R501" s="16">
        <f t="shared" ca="1" si="1637"/>
        <v>4.0352883871696008</v>
      </c>
      <c r="S501" s="16">
        <f t="shared" ca="1" si="1637"/>
        <v>4.2506894360356755</v>
      </c>
      <c r="T501" s="16">
        <f t="shared" ca="1" si="1637"/>
        <v>4.4754687549246315</v>
      </c>
      <c r="U501" s="16">
        <f t="shared" ca="1" si="1637"/>
        <v>4.7095322045666306</v>
      </c>
      <c r="V501" s="16">
        <f t="shared" ca="1" si="1637"/>
        <v>4.8967871763844784</v>
      </c>
      <c r="W501" s="16">
        <f t="shared" ca="1" si="1637"/>
        <v>5.0901855188495508</v>
      </c>
      <c r="X501" s="16">
        <f t="shared" ca="1" si="1637"/>
        <v>5.2887191877883195</v>
      </c>
      <c r="Y501" s="16">
        <f t="shared" ca="1" si="1637"/>
        <v>5.4927098122693803</v>
      </c>
      <c r="Z501" s="16">
        <f t="shared" ca="1" si="1637"/>
        <v>5.7032258279964241</v>
      </c>
      <c r="AA501" s="16">
        <f t="shared" ca="1" si="1637"/>
        <v>5.9203035217951543</v>
      </c>
      <c r="AB501" s="16">
        <f t="shared" ca="1" si="1637"/>
        <v>6.1448307466638195</v>
      </c>
      <c r="AC501" s="16">
        <f t="shared" ca="1" si="1637"/>
        <v>6.3765692380223502</v>
      </c>
      <c r="AD501" s="16">
        <f t="shared" ca="1" si="1637"/>
        <v>6.6155130361144323</v>
      </c>
      <c r="AE501" s="16">
        <f t="shared" ca="1" si="1637"/>
        <v>6.8618333865905559</v>
      </c>
      <c r="AF501" s="16">
        <f t="shared" ca="1" si="1637"/>
        <v>7.1154630938988221</v>
      </c>
      <c r="AG501" s="16">
        <f t="shared" ca="1" si="1637"/>
        <v>7.3764616412672286</v>
      </c>
      <c r="AH501" s="16">
        <f t="shared" ca="1" si="1637"/>
        <v>7.6448571511015206</v>
      </c>
      <c r="AI501" s="16">
        <f t="shared" ca="1" si="1637"/>
        <v>7.9205230686953279</v>
      </c>
      <c r="AJ501" s="16">
        <f t="shared" ca="1" si="1637"/>
        <v>8.2037207558887211</v>
      </c>
      <c r="AK501" s="16">
        <f t="shared" ca="1" si="1637"/>
        <v>8.4947843479727361</v>
      </c>
      <c r="AL501" s="16">
        <f t="shared" ca="1" si="1637"/>
        <v>8.7933274640606776</v>
      </c>
      <c r="AM501" s="16">
        <f t="shared" ca="1" si="1637"/>
        <v>9.0997596399140583</v>
      </c>
      <c r="AN501" s="16">
        <f t="shared" ca="1" si="1637"/>
        <v>9.4145241892264444</v>
      </c>
      <c r="AO501" s="16">
        <f t="shared" ca="1" si="1637"/>
        <v>9.7379790299813855</v>
      </c>
      <c r="AP501" s="16">
        <f t="shared" ca="1" si="1637"/>
        <v>10.070258630588217</v>
      </c>
      <c r="AQ501" s="16">
        <f t="shared" ca="1" si="1637"/>
        <v>10.41238524702865</v>
      </c>
      <c r="AR501" s="16">
        <f t="shared" ca="1" si="1637"/>
        <v>10.764693153531287</v>
      </c>
      <c r="AS501" s="16">
        <f t="shared" ca="1" si="1637"/>
        <v>11.128101768339034</v>
      </c>
      <c r="AT501" s="16">
        <f t="shared" ca="1" si="1637"/>
        <v>11.502882860225645</v>
      </c>
      <c r="AU501" s="16">
        <f t="shared" ca="1" si="1637"/>
        <v>11.890202663438149</v>
      </c>
      <c r="AV501" s="16">
        <f t="shared" ca="1" si="1637"/>
        <v>12.289893726357016</v>
      </c>
      <c r="AW501" s="16">
        <f t="shared" ca="1" si="1637"/>
        <v>12.703089205321435</v>
      </c>
      <c r="AX501" s="16">
        <f t="shared" ca="1" si="1637"/>
        <v>13.130153274493329</v>
      </c>
    </row>
    <row r="502" spans="1:50" x14ac:dyDescent="0.25">
      <c r="A502" s="11" t="s">
        <v>1044</v>
      </c>
      <c r="O502" s="16">
        <f t="shared" ref="O502:AX502" si="1638">O$403</f>
        <v>0.59908734355342375</v>
      </c>
      <c r="P502" s="16">
        <f t="shared" si="1638"/>
        <v>0.61319598051257074</v>
      </c>
      <c r="Q502" s="16">
        <f t="shared" si="1638"/>
        <v>0.62974995353311924</v>
      </c>
      <c r="R502" s="16">
        <f t="shared" si="1638"/>
        <v>0.64518792892745702</v>
      </c>
      <c r="S502" s="16">
        <f t="shared" si="1638"/>
        <v>0.65933015253806015</v>
      </c>
      <c r="T502" s="16">
        <f t="shared" si="1638"/>
        <v>0.67239862514432691</v>
      </c>
      <c r="U502" s="16">
        <f t="shared" si="1638"/>
        <v>0.68465828502678294</v>
      </c>
      <c r="V502" s="16">
        <f t="shared" si="1638"/>
        <v>0.69703452915375852</v>
      </c>
      <c r="W502" s="16">
        <f t="shared" si="1638"/>
        <v>0.70932870854437469</v>
      </c>
      <c r="X502" s="16">
        <f t="shared" si="1638"/>
        <v>0.72222633104253953</v>
      </c>
      <c r="Y502" s="16">
        <f t="shared" si="1638"/>
        <v>0.73537089628857999</v>
      </c>
      <c r="Z502" s="16">
        <f t="shared" si="1638"/>
        <v>0.74873042354600106</v>
      </c>
      <c r="AA502" s="16">
        <f t="shared" si="1638"/>
        <v>0.76251391930167212</v>
      </c>
      <c r="AB502" s="16">
        <f t="shared" si="1638"/>
        <v>0.77710090552342614</v>
      </c>
      <c r="AC502" s="16">
        <f t="shared" si="1638"/>
        <v>0.79202526932763051</v>
      </c>
      <c r="AD502" s="16">
        <f t="shared" si="1638"/>
        <v>0.80729501624665856</v>
      </c>
      <c r="AE502" s="16">
        <f t="shared" si="1638"/>
        <v>0.82271662995191253</v>
      </c>
      <c r="AF502" s="16">
        <f t="shared" si="1638"/>
        <v>0.83776008887002451</v>
      </c>
      <c r="AG502" s="16">
        <f t="shared" si="1638"/>
        <v>0.85207669186267154</v>
      </c>
      <c r="AH502" s="16">
        <f t="shared" si="1638"/>
        <v>0.86568408036178868</v>
      </c>
      <c r="AI502" s="16">
        <f t="shared" si="1638"/>
        <v>0.87822136009323659</v>
      </c>
      <c r="AJ502" s="16">
        <f t="shared" si="1638"/>
        <v>0.88936364545335045</v>
      </c>
      <c r="AK502" s="16">
        <f t="shared" si="1638"/>
        <v>0.89900506542196523</v>
      </c>
      <c r="AL502" s="16">
        <f t="shared" si="1638"/>
        <v>0.90701022295504352</v>
      </c>
      <c r="AM502" s="16">
        <f t="shared" si="1638"/>
        <v>0.91317314059713262</v>
      </c>
      <c r="AN502" s="16">
        <f t="shared" si="1638"/>
        <v>1.0292723399477397</v>
      </c>
      <c r="AO502" s="16">
        <f t="shared" si="1638"/>
        <v>1.0815596066337083</v>
      </c>
      <c r="AP502" s="16">
        <f t="shared" si="1638"/>
        <v>1.0909969742093337</v>
      </c>
      <c r="AQ502" s="16">
        <f t="shared" si="1638"/>
        <v>1.1017058892821119</v>
      </c>
      <c r="AR502" s="16">
        <f t="shared" si="1638"/>
        <v>1.113789524240977</v>
      </c>
      <c r="AS502" s="16">
        <f t="shared" si="1638"/>
        <v>1.127449946599218</v>
      </c>
      <c r="AT502" s="16">
        <f t="shared" si="1638"/>
        <v>1.143336070787913</v>
      </c>
      <c r="AU502" s="16">
        <f t="shared" si="1638"/>
        <v>1.1615898641842208</v>
      </c>
      <c r="AV502" s="16">
        <f t="shared" si="1638"/>
        <v>1.1825585395371088</v>
      </c>
      <c r="AW502" s="16">
        <f t="shared" si="1638"/>
        <v>1.2064738793150762</v>
      </c>
      <c r="AX502" s="16">
        <f t="shared" si="1638"/>
        <v>1.2325463697940795</v>
      </c>
    </row>
    <row r="503" spans="1:50" x14ac:dyDescent="0.25">
      <c r="A503" s="11" t="s">
        <v>1045</v>
      </c>
      <c r="O503" s="16">
        <f ca="1">O$452-N$452</f>
        <v>-2E-3</v>
      </c>
      <c r="P503" s="16">
        <f t="shared" ref="P503" ca="1" si="1639">P$452-O$452</f>
        <v>0</v>
      </c>
      <c r="Q503" s="16">
        <f t="shared" ref="Q503" ca="1" si="1640">Q$452-P$452</f>
        <v>0</v>
      </c>
      <c r="R503" s="16">
        <f t="shared" ref="R503" ca="1" si="1641">R$452-Q$452</f>
        <v>0</v>
      </c>
      <c r="S503" s="16">
        <f t="shared" ref="S503" ca="1" si="1642">S$452-R$452</f>
        <v>0</v>
      </c>
      <c r="T503" s="16">
        <f t="shared" ref="T503" ca="1" si="1643">T$452-S$452</f>
        <v>0</v>
      </c>
      <c r="U503" s="16">
        <f t="shared" ref="U503" ca="1" si="1644">U$452-T$452</f>
        <v>0</v>
      </c>
      <c r="V503" s="16">
        <f t="shared" ref="V503" ca="1" si="1645">V$452-U$452</f>
        <v>0</v>
      </c>
      <c r="W503" s="16">
        <f t="shared" ref="W503" ca="1" si="1646">W$452-V$452</f>
        <v>0</v>
      </c>
      <c r="X503" s="16">
        <f t="shared" ref="X503" ca="1" si="1647">X$452-W$452</f>
        <v>0</v>
      </c>
      <c r="Y503" s="16">
        <f t="shared" ref="Y503" ca="1" si="1648">Y$452-X$452</f>
        <v>0</v>
      </c>
      <c r="Z503" s="16">
        <f t="shared" ref="Z503" ca="1" si="1649">Z$452-Y$452</f>
        <v>0</v>
      </c>
      <c r="AA503" s="16">
        <f t="shared" ref="AA503" ca="1" si="1650">AA$452-Z$452</f>
        <v>0</v>
      </c>
      <c r="AB503" s="16">
        <f t="shared" ref="AB503" ca="1" si="1651">AB$452-AA$452</f>
        <v>0</v>
      </c>
      <c r="AC503" s="16">
        <f t="shared" ref="AC503" ca="1" si="1652">AC$452-AB$452</f>
        <v>0</v>
      </c>
      <c r="AD503" s="16">
        <f t="shared" ref="AD503" ca="1" si="1653">AD$452-AC$452</f>
        <v>0</v>
      </c>
      <c r="AE503" s="16">
        <f t="shared" ref="AE503" ca="1" si="1654">AE$452-AD$452</f>
        <v>0</v>
      </c>
      <c r="AF503" s="16">
        <f t="shared" ref="AF503" ca="1" si="1655">AF$452-AE$452</f>
        <v>0</v>
      </c>
      <c r="AG503" s="16">
        <f t="shared" ref="AG503" ca="1" si="1656">AG$452-AF$452</f>
        <v>0</v>
      </c>
      <c r="AH503" s="16">
        <f t="shared" ref="AH503" ca="1" si="1657">AH$452-AG$452</f>
        <v>0</v>
      </c>
      <c r="AI503" s="16">
        <f t="shared" ref="AI503" ca="1" si="1658">AI$452-AH$452</f>
        <v>0</v>
      </c>
      <c r="AJ503" s="16">
        <f t="shared" ref="AJ503" ca="1" si="1659">AJ$452-AI$452</f>
        <v>0</v>
      </c>
      <c r="AK503" s="16">
        <f t="shared" ref="AK503" ca="1" si="1660">AK$452-AJ$452</f>
        <v>0</v>
      </c>
      <c r="AL503" s="16">
        <f t="shared" ref="AL503" ca="1" si="1661">AL$452-AK$452</f>
        <v>0</v>
      </c>
      <c r="AM503" s="16">
        <f t="shared" ref="AM503" ca="1" si="1662">AM$452-AL$452</f>
        <v>0</v>
      </c>
      <c r="AN503" s="16">
        <f t="shared" ref="AN503" ca="1" si="1663">AN$452-AM$452</f>
        <v>0</v>
      </c>
      <c r="AO503" s="16">
        <f t="shared" ref="AO503" ca="1" si="1664">AO$452-AN$452</f>
        <v>0</v>
      </c>
      <c r="AP503" s="16">
        <f t="shared" ref="AP503" ca="1" si="1665">AP$452-AO$452</f>
        <v>0</v>
      </c>
      <c r="AQ503" s="16">
        <f t="shared" ref="AQ503" ca="1" si="1666">AQ$452-AP$452</f>
        <v>0</v>
      </c>
      <c r="AR503" s="16">
        <f t="shared" ref="AR503" ca="1" si="1667">AR$452-AQ$452</f>
        <v>0</v>
      </c>
      <c r="AS503" s="16">
        <f t="shared" ref="AS503" ca="1" si="1668">AS$452-AR$452</f>
        <v>0</v>
      </c>
      <c r="AT503" s="16">
        <f t="shared" ref="AT503" ca="1" si="1669">AT$452-AS$452</f>
        <v>0</v>
      </c>
      <c r="AU503" s="16">
        <f t="shared" ref="AU503" ca="1" si="1670">AU$452-AT$452</f>
        <v>0</v>
      </c>
      <c r="AV503" s="16">
        <f t="shared" ref="AV503" ca="1" si="1671">AV$452-AU$452</f>
        <v>0</v>
      </c>
      <c r="AW503" s="16">
        <f t="shared" ref="AW503" ca="1" si="1672">AW$452-AV$452</f>
        <v>0</v>
      </c>
      <c r="AX503" s="16">
        <f t="shared" ref="AX503" ca="1" si="1673">AX$452-AW$452</f>
        <v>0</v>
      </c>
    </row>
    <row r="504" spans="1:50" x14ac:dyDescent="0.25">
      <c r="A504" s="11" t="s">
        <v>491</v>
      </c>
      <c r="O504" s="16">
        <f t="shared" ref="O504:AX504" ca="1" si="1674">-O$341</f>
        <v>-1.4628078168820616E-2</v>
      </c>
      <c r="P504" s="16">
        <f t="shared" ca="1" si="1674"/>
        <v>-1.5274570939655925E-2</v>
      </c>
      <c r="Q504" s="16">
        <f t="shared" ca="1" si="1674"/>
        <v>-1.5923216594273315E-2</v>
      </c>
      <c r="R504" s="16">
        <f t="shared" ca="1" si="1674"/>
        <v>-1.657182036404304E-2</v>
      </c>
      <c r="S504" s="16">
        <f t="shared" ca="1" si="1674"/>
        <v>-1.7241164088553858E-2</v>
      </c>
      <c r="T504" s="16">
        <f t="shared" ca="1" si="1674"/>
        <v>-1.7930921575213594E-2</v>
      </c>
      <c r="U504" s="16">
        <f t="shared" ca="1" si="1674"/>
        <v>-1.8643870137488826E-2</v>
      </c>
      <c r="V504" s="16">
        <f t="shared" ca="1" si="1674"/>
        <v>-1.9380208771749553E-2</v>
      </c>
      <c r="W504" s="16">
        <f t="shared" ca="1" si="1674"/>
        <v>-2.0136099483002913E-2</v>
      </c>
      <c r="X504" s="16">
        <f t="shared" ca="1" si="1674"/>
        <v>-2.0912766831429151E-2</v>
      </c>
      <c r="Y504" s="16">
        <f t="shared" ca="1" si="1674"/>
        <v>-2.1714278744792405E-2</v>
      </c>
      <c r="Z504" s="16">
        <f t="shared" ca="1" si="1674"/>
        <v>-2.2540773380386774E-2</v>
      </c>
      <c r="AA504" s="16">
        <f t="shared" ca="1" si="1674"/>
        <v>-2.339563112118671E-2</v>
      </c>
      <c r="AB504" s="16">
        <f t="shared" ca="1" si="1674"/>
        <v>-2.4277944806286669E-2</v>
      </c>
      <c r="AC504" s="16">
        <f t="shared" ca="1" si="1674"/>
        <v>-2.5187691744701979E-2</v>
      </c>
      <c r="AD504" s="16">
        <f t="shared" ca="1" si="1674"/>
        <v>-2.6125523931619345E-2</v>
      </c>
      <c r="AE504" s="16">
        <f t="shared" ca="1" si="1674"/>
        <v>-2.7091185528853801E-2</v>
      </c>
      <c r="AF504" s="16">
        <f t="shared" ca="1" si="1674"/>
        <v>-2.8084903010936125E-2</v>
      </c>
      <c r="AG504" s="16">
        <f t="shared" ca="1" si="1674"/>
        <v>-2.9106783450210241E-2</v>
      </c>
      <c r="AH504" s="16">
        <f t="shared" ca="1" si="1674"/>
        <v>-3.0156345006353946E-2</v>
      </c>
      <c r="AI504" s="16">
        <f t="shared" ca="1" si="1674"/>
        <v>-3.1234582780038284E-2</v>
      </c>
      <c r="AJ504" s="16">
        <f t="shared" ca="1" si="1674"/>
        <v>-3.2342768947232932E-2</v>
      </c>
      <c r="AK504" s="16">
        <f t="shared" ca="1" si="1674"/>
        <v>-3.3479432413766198E-2</v>
      </c>
      <c r="AL504" s="16">
        <f t="shared" ca="1" si="1674"/>
        <v>-3.4646132432936072E-2</v>
      </c>
      <c r="AM504" s="16">
        <f t="shared" ca="1" si="1674"/>
        <v>-3.584455686305358E-2</v>
      </c>
      <c r="AN504" s="16">
        <f t="shared" ca="1" si="1674"/>
        <v>-3.7076068429547637E-2</v>
      </c>
      <c r="AO504" s="16">
        <f t="shared" ca="1" si="1674"/>
        <v>-3.8341179103118794E-2</v>
      </c>
      <c r="AP504" s="16">
        <f t="shared" ca="1" si="1674"/>
        <v>-3.9643780988341731E-2</v>
      </c>
      <c r="AQ504" s="16">
        <f t="shared" ca="1" si="1674"/>
        <v>-4.0985146790172518E-2</v>
      </c>
      <c r="AR504" s="16">
        <f t="shared" ca="1" si="1674"/>
        <v>-4.236877707208378E-2</v>
      </c>
      <c r="AS504" s="16">
        <f t="shared" ca="1" si="1674"/>
        <v>-4.3795706557771451E-2</v>
      </c>
      <c r="AT504" s="16">
        <f t="shared" ca="1" si="1674"/>
        <v>-4.5270375530030792E-2</v>
      </c>
      <c r="AU504" s="16">
        <f t="shared" ca="1" si="1674"/>
        <v>-4.6792146438946663E-2</v>
      </c>
      <c r="AV504" s="16">
        <f t="shared" ca="1" si="1674"/>
        <v>-4.8365333627551008E-2</v>
      </c>
      <c r="AW504" s="16">
        <f t="shared" ca="1" si="1674"/>
        <v>-4.9991323640845221E-2</v>
      </c>
      <c r="AX504" s="16">
        <f t="shared" ca="1" si="1674"/>
        <v>-5.1669440875780674E-2</v>
      </c>
    </row>
    <row r="505" spans="1:50" x14ac:dyDescent="0.25">
      <c r="A505" s="9" t="s">
        <v>1038</v>
      </c>
      <c r="O505" s="66">
        <f t="shared" ref="O505:AX505" ca="1" si="1675">-SUM(O$501:O$504)</f>
        <v>-3.9297815249975971</v>
      </c>
      <c r="P505" s="66">
        <f t="shared" ca="1" si="1675"/>
        <v>-4.2149030653261628</v>
      </c>
      <c r="Q505" s="66">
        <f t="shared" ca="1" si="1675"/>
        <v>-4.4376981733852423</v>
      </c>
      <c r="R505" s="66">
        <f t="shared" ca="1" si="1675"/>
        <v>-4.6639044957330142</v>
      </c>
      <c r="S505" s="66">
        <f t="shared" ca="1" si="1675"/>
        <v>-4.892778424485182</v>
      </c>
      <c r="T505" s="66">
        <f t="shared" ca="1" si="1675"/>
        <v>-5.129936458493745</v>
      </c>
      <c r="U505" s="66">
        <f t="shared" ca="1" si="1675"/>
        <v>-5.3755466194559247</v>
      </c>
      <c r="V505" s="66">
        <f t="shared" ca="1" si="1675"/>
        <v>-5.5744414967664877</v>
      </c>
      <c r="W505" s="66">
        <f t="shared" ca="1" si="1675"/>
        <v>-5.7793781279109222</v>
      </c>
      <c r="X505" s="66">
        <f t="shared" ca="1" si="1675"/>
        <v>-5.9900327519994292</v>
      </c>
      <c r="Y505" s="66">
        <f t="shared" ca="1" si="1675"/>
        <v>-6.2063664298131673</v>
      </c>
      <c r="Z505" s="66">
        <f t="shared" ca="1" si="1675"/>
        <v>-6.4294154781620385</v>
      </c>
      <c r="AA505" s="66">
        <f t="shared" ca="1" si="1675"/>
        <v>-6.6594218099756395</v>
      </c>
      <c r="AB505" s="66">
        <f t="shared" ca="1" si="1675"/>
        <v>-6.8976537073809583</v>
      </c>
      <c r="AC505" s="66">
        <f t="shared" ca="1" si="1675"/>
        <v>-7.1434068156052781</v>
      </c>
      <c r="AD505" s="66">
        <f t="shared" ca="1" si="1675"/>
        <v>-7.3966825284294719</v>
      </c>
      <c r="AE505" s="66">
        <f t="shared" ca="1" si="1675"/>
        <v>-7.6574588310136145</v>
      </c>
      <c r="AF505" s="66">
        <f t="shared" ca="1" si="1675"/>
        <v>-7.9251382797579106</v>
      </c>
      <c r="AG505" s="66">
        <f t="shared" ca="1" si="1675"/>
        <v>-8.1994315496796908</v>
      </c>
      <c r="AH505" s="66">
        <f t="shared" ca="1" si="1675"/>
        <v>-8.4803848864569549</v>
      </c>
      <c r="AI505" s="66">
        <f t="shared" ca="1" si="1675"/>
        <v>-8.7675098460085259</v>
      </c>
      <c r="AJ505" s="66">
        <f t="shared" ca="1" si="1675"/>
        <v>-9.0607416323948389</v>
      </c>
      <c r="AK505" s="66">
        <f t="shared" ca="1" si="1675"/>
        <v>-9.3603099809809347</v>
      </c>
      <c r="AL505" s="66">
        <f t="shared" ca="1" si="1675"/>
        <v>-9.6656915545827857</v>
      </c>
      <c r="AM505" s="66">
        <f t="shared" ca="1" si="1675"/>
        <v>-9.9770882236481366</v>
      </c>
      <c r="AN505" s="66">
        <f t="shared" ca="1" si="1675"/>
        <v>-10.406720460744637</v>
      </c>
      <c r="AO505" s="66">
        <f t="shared" ca="1" si="1675"/>
        <v>-10.781197457511976</v>
      </c>
      <c r="AP505" s="66">
        <f t="shared" ca="1" si="1675"/>
        <v>-11.121611823809209</v>
      </c>
      <c r="AQ505" s="66">
        <f t="shared" ca="1" si="1675"/>
        <v>-11.47310598952059</v>
      </c>
      <c r="AR505" s="66">
        <f t="shared" ca="1" si="1675"/>
        <v>-11.836113900700179</v>
      </c>
      <c r="AS505" s="66">
        <f t="shared" ca="1" si="1675"/>
        <v>-12.211756008380481</v>
      </c>
      <c r="AT505" s="66">
        <f t="shared" ca="1" si="1675"/>
        <v>-12.600948555483527</v>
      </c>
      <c r="AU505" s="66">
        <f t="shared" ca="1" si="1675"/>
        <v>-13.005000381183423</v>
      </c>
      <c r="AV505" s="66">
        <f t="shared" ca="1" si="1675"/>
        <v>-13.424086932266574</v>
      </c>
      <c r="AW505" s="66">
        <f t="shared" ca="1" si="1675"/>
        <v>-13.859571760995665</v>
      </c>
      <c r="AX505" s="66">
        <f t="shared" ca="1" si="1675"/>
        <v>-14.311030203411628</v>
      </c>
    </row>
    <row r="506" spans="1:50" x14ac:dyDescent="0.25">
      <c r="A506" s="11" t="s">
        <v>532</v>
      </c>
      <c r="O506" s="16">
        <f ca="1">O$354-N$354</f>
        <v>3.9290281198090256</v>
      </c>
      <c r="P506" s="16">
        <f t="shared" ref="P506" ca="1" si="1676">P$354-O$354</f>
        <v>1.5402158848487062</v>
      </c>
      <c r="Q506" s="16">
        <f t="shared" ref="Q506" ca="1" si="1677">Q$354-P$354</f>
        <v>1.5873728605113016</v>
      </c>
      <c r="R506" s="16">
        <f t="shared" ref="R506" ca="1" si="1678">R$354-Q$354</f>
        <v>1.6083361229572475</v>
      </c>
      <c r="S506" s="16">
        <f t="shared" ref="S506" ca="1" si="1679">S$354-R$354</f>
        <v>1.6566669620913572</v>
      </c>
      <c r="T506" s="16">
        <f t="shared" ref="T506" ca="1" si="1680">T$354-S$354</f>
        <v>1.7057059350964821</v>
      </c>
      <c r="U506" s="16">
        <f t="shared" ref="U506" ca="1" si="1681">U$354-T$354</f>
        <v>1.7582583813774875</v>
      </c>
      <c r="V506" s="16">
        <f t="shared" ref="V506" ca="1" si="1682">V$354-U$354</f>
        <v>1.8128961745082393</v>
      </c>
      <c r="W506" s="16">
        <f t="shared" ref="W506" ca="1" si="1683">W$354-V$354</f>
        <v>1.8645681695738219</v>
      </c>
      <c r="X506" s="16">
        <f t="shared" ref="X506" ca="1" si="1684">X$354-W$354</f>
        <v>1.9216771621816946</v>
      </c>
      <c r="Y506" s="16">
        <f t="shared" ref="Y506" ca="1" si="1685">Y$354-X$354</f>
        <v>1.9889456134090508</v>
      </c>
      <c r="Z506" s="16">
        <f t="shared" ref="Z506" ca="1" si="1686">Z$354-Y$354</f>
        <v>2.0601032577392289</v>
      </c>
      <c r="AA506" s="16">
        <f t="shared" ref="AA506" ca="1" si="1687">AA$354-Z$354</f>
        <v>2.1382545856101842</v>
      </c>
      <c r="AB506" s="16">
        <f t="shared" ref="AB506" ca="1" si="1688">AB$354-AA$354</f>
        <v>2.2184758664731845</v>
      </c>
      <c r="AC506" s="16">
        <f t="shared" ref="AC506" ca="1" si="1689">AC$354-AB$354</f>
        <v>2.2991739234903577</v>
      </c>
      <c r="AD506" s="16">
        <f t="shared" ref="AD506" ca="1" si="1690">AD$354-AC$354</f>
        <v>2.3805833672084873</v>
      </c>
      <c r="AE506" s="16">
        <f t="shared" ref="AE506" ca="1" si="1691">AE$354-AD$354</f>
        <v>2.4623606800100362</v>
      </c>
      <c r="AF506" s="16">
        <f t="shared" ref="AF506" ca="1" si="1692">AF$354-AE$354</f>
        <v>2.5447627585137553</v>
      </c>
      <c r="AG506" s="16">
        <f t="shared" ref="AG506" ca="1" si="1693">AG$354-AF$354</f>
        <v>2.6267336620459503</v>
      </c>
      <c r="AH506" s="16">
        <f t="shared" ref="AH506" ca="1" si="1694">AH$354-AG$354</f>
        <v>2.7081811727077678</v>
      </c>
      <c r="AI506" s="16">
        <f t="shared" ref="AI506" ca="1" si="1695">AI$354-AH$354</f>
        <v>2.790747273499548</v>
      </c>
      <c r="AJ506" s="16">
        <f t="shared" ref="AJ506" ca="1" si="1696">AJ$354-AI$354</f>
        <v>2.8747408494972149</v>
      </c>
      <c r="AK506" s="16">
        <f t="shared" ref="AK506" ca="1" si="1697">AK$354-AJ$354</f>
        <v>2.9531097501673855</v>
      </c>
      <c r="AL506" s="16">
        <f t="shared" ref="AL506" ca="1" si="1698">AL$354-AK$354</f>
        <v>3.0300024975851159</v>
      </c>
      <c r="AM506" s="16">
        <f t="shared" ref="AM506" ca="1" si="1699">AM$354-AL$354</f>
        <v>3.1074583201653638</v>
      </c>
      <c r="AN506" s="16">
        <f t="shared" ref="AN506" ca="1" si="1700">AN$354-AM$354</f>
        <v>3.1819703473015011</v>
      </c>
      <c r="AO506" s="16">
        <f t="shared" ref="AO506" ca="1" si="1701">AO$354-AN$354</f>
        <v>3.2546097362590416</v>
      </c>
      <c r="AP506" s="16">
        <f t="shared" ref="AP506" ca="1" si="1702">AP$354-AO$354</f>
        <v>3.3327428860809789</v>
      </c>
      <c r="AQ506" s="16">
        <f t="shared" ref="AQ506" ca="1" si="1703">AQ$354-AP$354</f>
        <v>3.4142017502041426</v>
      </c>
      <c r="AR506" s="16">
        <f t="shared" ref="AR506" ca="1" si="1704">AR$354-AQ$354</f>
        <v>3.5042262810252396</v>
      </c>
      <c r="AS506" s="16">
        <f t="shared" ref="AS506" ca="1" si="1705">AS$354-AR$354</f>
        <v>3.5966202717220597</v>
      </c>
      <c r="AT506" s="16">
        <f t="shared" ref="AT506" ca="1" si="1706">AT$354-AS$354</f>
        <v>3.6984266067465086</v>
      </c>
      <c r="AU506" s="16">
        <f t="shared" ref="AU506" ca="1" si="1707">AU$354-AT$354</f>
        <v>3.8023726484536127</v>
      </c>
      <c r="AV506" s="16">
        <f t="shared" ref="AV506" ca="1" si="1708">AV$354-AU$354</f>
        <v>3.9143523125370336</v>
      </c>
      <c r="AW506" s="16">
        <f t="shared" ref="AW506" ca="1" si="1709">AW$354-AV$354</f>
        <v>4.0324946050075283</v>
      </c>
      <c r="AX506" s="16">
        <f t="shared" ref="AX506" ca="1" si="1710">AX$354-AW$354</f>
        <v>4.1458853372135849</v>
      </c>
    </row>
    <row r="507" spans="1:50" x14ac:dyDescent="0.25">
      <c r="A507" s="11" t="s">
        <v>533</v>
      </c>
      <c r="O507" s="16">
        <f t="shared" ref="O507:AX507" ca="1" si="1711">O$405-O$333</f>
        <v>0.36370410207035364</v>
      </c>
      <c r="P507" s="16">
        <f t="shared" ca="1" si="1711"/>
        <v>0.38826196032728721</v>
      </c>
      <c r="Q507" s="16">
        <f t="shared" ca="1" si="1711"/>
        <v>0.41122095503493639</v>
      </c>
      <c r="R507" s="16">
        <f t="shared" ca="1" si="1711"/>
        <v>0.4321928485983344</v>
      </c>
      <c r="S507" s="16">
        <f t="shared" ca="1" si="1711"/>
        <v>0.4509271729246408</v>
      </c>
      <c r="T507" s="16">
        <f t="shared" ca="1" si="1711"/>
        <v>0.4666150267194526</v>
      </c>
      <c r="U507" s="16">
        <f t="shared" ca="1" si="1711"/>
        <v>0.47675105834115733</v>
      </c>
      <c r="V507" s="16">
        <f t="shared" ca="1" si="1711"/>
        <v>0.48348322489412265</v>
      </c>
      <c r="W507" s="16">
        <f t="shared" ca="1" si="1711"/>
        <v>0.49018085413164386</v>
      </c>
      <c r="X507" s="16">
        <f t="shared" ca="1" si="1711"/>
        <v>0.49698358729107389</v>
      </c>
      <c r="Y507" s="16">
        <f t="shared" ca="1" si="1711"/>
        <v>0.50397178199931036</v>
      </c>
      <c r="Z507" s="16">
        <f t="shared" ca="1" si="1711"/>
        <v>0.5111191052120676</v>
      </c>
      <c r="AA507" s="16">
        <f t="shared" ca="1" si="1711"/>
        <v>0.51847397879553281</v>
      </c>
      <c r="AB507" s="16">
        <f t="shared" ca="1" si="1711"/>
        <v>0.52624240992351923</v>
      </c>
      <c r="AC507" s="16">
        <f t="shared" ca="1" si="1711"/>
        <v>0.53450070916523373</v>
      </c>
      <c r="AD507" s="16">
        <f t="shared" ca="1" si="1711"/>
        <v>0.54332570800945568</v>
      </c>
      <c r="AE507" s="16">
        <f t="shared" ca="1" si="1711"/>
        <v>0.55287450364394686</v>
      </c>
      <c r="AF507" s="16">
        <f t="shared" ca="1" si="1711"/>
        <v>0.56316781306052477</v>
      </c>
      <c r="AG507" s="16">
        <f t="shared" ca="1" si="1711"/>
        <v>0.57421417659457619</v>
      </c>
      <c r="AH507" s="16">
        <f t="shared" ca="1" si="1711"/>
        <v>0.58608396613079006</v>
      </c>
      <c r="AI507" s="16">
        <f t="shared" ca="1" si="1711"/>
        <v>0.59881283895168824</v>
      </c>
      <c r="AJ507" s="16">
        <f t="shared" ca="1" si="1711"/>
        <v>0.61248628962950058</v>
      </c>
      <c r="AK507" s="16">
        <f t="shared" ca="1" si="1711"/>
        <v>0.62728669079857102</v>
      </c>
      <c r="AL507" s="16">
        <f t="shared" ca="1" si="1711"/>
        <v>0.64336012777806606</v>
      </c>
      <c r="AM507" s="16">
        <f t="shared" ca="1" si="1711"/>
        <v>0.66053872077765463</v>
      </c>
      <c r="AN507" s="16">
        <f t="shared" ca="1" si="1711"/>
        <v>0.66307221633989599</v>
      </c>
      <c r="AO507" s="16">
        <f t="shared" ca="1" si="1711"/>
        <v>0.65323301688235924</v>
      </c>
      <c r="AP507" s="16">
        <f t="shared" ca="1" si="1711"/>
        <v>0.64955188813635911</v>
      </c>
      <c r="AQ507" s="16">
        <f t="shared" ca="1" si="1711"/>
        <v>0.64629151473603752</v>
      </c>
      <c r="AR507" s="16">
        <f t="shared" ca="1" si="1711"/>
        <v>0.64241909870963387</v>
      </c>
      <c r="AS507" s="16">
        <f t="shared" ca="1" si="1711"/>
        <v>0.63777866152243656</v>
      </c>
      <c r="AT507" s="16">
        <f t="shared" ca="1" si="1711"/>
        <v>0.63179417976188557</v>
      </c>
      <c r="AU507" s="16">
        <f t="shared" ca="1" si="1711"/>
        <v>0.62452751427191533</v>
      </c>
      <c r="AV507" s="16">
        <f t="shared" ca="1" si="1711"/>
        <v>0.61587410878216198</v>
      </c>
      <c r="AW507" s="16">
        <f t="shared" ca="1" si="1711"/>
        <v>0.60562776889989134</v>
      </c>
      <c r="AX507" s="16">
        <f t="shared" ca="1" si="1711"/>
        <v>0.609983882018862</v>
      </c>
    </row>
    <row r="508" spans="1:50" x14ac:dyDescent="0.25">
      <c r="A508" s="11" t="s">
        <v>534</v>
      </c>
      <c r="O508" s="16">
        <f ca="1">O$411-N$411</f>
        <v>3.2980000000000009E-2</v>
      </c>
      <c r="P508" s="16">
        <f t="shared" ref="P508" ca="1" si="1712">P$411-O$411</f>
        <v>3.3639600000000103E-2</v>
      </c>
      <c r="Q508" s="16">
        <f t="shared" ref="Q508" ca="1" si="1713">Q$411-P$411</f>
        <v>3.4312392000000136E-2</v>
      </c>
      <c r="R508" s="16">
        <f t="shared" ref="R508" ca="1" si="1714">R$411-Q$411</f>
        <v>3.4998639839999957E-2</v>
      </c>
      <c r="S508" s="16">
        <f t="shared" ref="S508" ca="1" si="1715">S$411-R$411</f>
        <v>3.5698612636799965E-2</v>
      </c>
      <c r="T508" s="16">
        <f t="shared" ref="T508" ca="1" si="1716">T$411-S$411</f>
        <v>3.6412584889536026E-2</v>
      </c>
      <c r="U508" s="16">
        <f t="shared" ref="U508" ca="1" si="1717">U$411-T$411</f>
        <v>3.7140836587326698E-2</v>
      </c>
      <c r="V508" s="16">
        <f t="shared" ref="V508" ca="1" si="1718">V$411-U$411</f>
        <v>3.7883653319073396E-2</v>
      </c>
      <c r="W508" s="16">
        <f t="shared" ref="W508" ca="1" si="1719">W$411-V$411</f>
        <v>3.8641326385454811E-2</v>
      </c>
      <c r="X508" s="16">
        <f t="shared" ref="X508" ca="1" si="1720">X$411-W$411</f>
        <v>3.9414152913163969E-2</v>
      </c>
      <c r="Y508" s="16">
        <f t="shared" ref="Y508" ca="1" si="1721">Y$411-X$411</f>
        <v>4.0202435971427253E-2</v>
      </c>
      <c r="Z508" s="16">
        <f t="shared" ref="Z508" ca="1" si="1722">Z$411-Y$411</f>
        <v>4.1006484690855771E-2</v>
      </c>
      <c r="AA508" s="16">
        <f t="shared" ref="AA508" ca="1" si="1723">AA$411-Z$411</f>
        <v>4.1826614384672833E-2</v>
      </c>
      <c r="AB508" s="16">
        <f t="shared" ref="AB508" ca="1" si="1724">AB$411-AA$411</f>
        <v>4.266314667236637E-2</v>
      </c>
      <c r="AC508" s="16">
        <f t="shared" ref="AC508" ca="1" si="1725">AC$411-AB$411</f>
        <v>4.35164096058136E-2</v>
      </c>
      <c r="AD508" s="16">
        <f t="shared" ref="AD508" ca="1" si="1726">AD$411-AC$411</f>
        <v>4.4386737797929676E-2</v>
      </c>
      <c r="AE508" s="16">
        <f t="shared" ref="AE508" ca="1" si="1727">AE$411-AD$411</f>
        <v>4.5274472553888501E-2</v>
      </c>
      <c r="AF508" s="16">
        <f t="shared" ref="AF508" ca="1" si="1728">AF$411-AE$411</f>
        <v>4.6179962004966324E-2</v>
      </c>
      <c r="AG508" s="16">
        <f t="shared" ref="AG508" ca="1" si="1729">AG$411-AF$411</f>
        <v>4.7103561245065428E-2</v>
      </c>
      <c r="AH508" s="16">
        <f t="shared" ref="AH508" ca="1" si="1730">AH$411-AG$411</f>
        <v>4.8045632469966737E-2</v>
      </c>
      <c r="AI508" s="16">
        <f t="shared" ref="AI508" ca="1" si="1731">AI$411-AH$411</f>
        <v>4.9006545119365974E-2</v>
      </c>
      <c r="AJ508" s="16">
        <f t="shared" ref="AJ508" ca="1" si="1732">AJ$411-AI$411</f>
        <v>4.9986676021753329E-2</v>
      </c>
      <c r="AK508" s="16">
        <f t="shared" ref="AK508" ca="1" si="1733">AK$411-AJ$411</f>
        <v>5.0986409542188582E-2</v>
      </c>
      <c r="AL508" s="16">
        <f t="shared" ref="AL508" ca="1" si="1734">AL$411-AK$411</f>
        <v>5.2006137733032531E-2</v>
      </c>
      <c r="AM508" s="16">
        <f t="shared" ref="AM508" ca="1" si="1735">AM$411-AL$411</f>
        <v>5.3046260487692898E-2</v>
      </c>
      <c r="AN508" s="16">
        <f t="shared" ref="AN508" ca="1" si="1736">AN$411-AM$411</f>
        <v>5.410718569744688E-2</v>
      </c>
      <c r="AO508" s="16">
        <f t="shared" ref="AO508" ca="1" si="1737">AO$411-AN$411</f>
        <v>5.5189329411395871E-2</v>
      </c>
      <c r="AP508" s="16">
        <f t="shared" ref="AP508" ca="1" si="1738">AP$411-AO$411</f>
        <v>5.6293115999623833E-2</v>
      </c>
      <c r="AQ508" s="16">
        <f t="shared" ref="AQ508" ca="1" si="1739">AQ$411-AP$411</f>
        <v>5.7418978319616176E-2</v>
      </c>
      <c r="AR508" s="16">
        <f t="shared" ref="AR508" ca="1" si="1740">AR$411-AQ$411</f>
        <v>5.856735788600842E-2</v>
      </c>
      <c r="AS508" s="16">
        <f t="shared" ref="AS508" ca="1" si="1741">AS$411-AR$411</f>
        <v>5.9738705043728579E-2</v>
      </c>
      <c r="AT508" s="16">
        <f t="shared" ref="AT508" ca="1" si="1742">AT$411-AS$411</f>
        <v>6.0933479144603453E-2</v>
      </c>
      <c r="AU508" s="16">
        <f t="shared" ref="AU508" ca="1" si="1743">AU$411-AT$411</f>
        <v>6.2152148727495415E-2</v>
      </c>
      <c r="AV508" s="16">
        <f t="shared" ref="AV508" ca="1" si="1744">AV$411-AU$411</f>
        <v>6.3395191702045217E-2</v>
      </c>
      <c r="AW508" s="16">
        <f t="shared" ref="AW508" ca="1" si="1745">AW$411-AV$411</f>
        <v>6.4663095536086068E-2</v>
      </c>
      <c r="AX508" s="16">
        <f t="shared" ref="AX508" ca="1" si="1746">AX$411-AW$411</f>
        <v>6.5956357446808056E-2</v>
      </c>
    </row>
    <row r="509" spans="1:50" x14ac:dyDescent="0.25">
      <c r="A509" s="11" t="s">
        <v>535</v>
      </c>
      <c r="O509" s="16">
        <f ca="1">O$415-N$415</f>
        <v>5.1839999999999886E-2</v>
      </c>
      <c r="P509" s="16">
        <f t="shared" ref="P509" ca="1" si="1747">P$415-O$415</f>
        <v>5.2876799999999946E-2</v>
      </c>
      <c r="Q509" s="16">
        <f t="shared" ref="Q509" ca="1" si="1748">Q$415-P$415</f>
        <v>5.3934336000000194E-2</v>
      </c>
      <c r="R509" s="16">
        <f t="shared" ref="R509" ca="1" si="1749">R$415-Q$415</f>
        <v>5.501302271999986E-2</v>
      </c>
      <c r="S509" s="16">
        <f t="shared" ref="S509" ca="1" si="1750">S$415-R$415</f>
        <v>5.611328317440023E-2</v>
      </c>
      <c r="T509" s="16">
        <f t="shared" ref="T509" ca="1" si="1751">T$415-S$415</f>
        <v>5.7235548837887951E-2</v>
      </c>
      <c r="U509" s="16">
        <f t="shared" ref="U509" ca="1" si="1752">U$415-T$415</f>
        <v>5.8380259814645896E-2</v>
      </c>
      <c r="V509" s="16">
        <f t="shared" ref="V509" ca="1" si="1753">V$415-U$415</f>
        <v>5.9547865010938672E-2</v>
      </c>
      <c r="W509" s="16">
        <f t="shared" ref="W509" ca="1" si="1754">W$415-V$415</f>
        <v>6.073882231115757E-2</v>
      </c>
      <c r="X509" s="16">
        <f t="shared" ref="X509" ca="1" si="1755">X$415-W$415</f>
        <v>6.195359875738049E-2</v>
      </c>
      <c r="Y509" s="16">
        <f t="shared" ref="Y509" ca="1" si="1756">Y$415-X$415</f>
        <v>6.31926707325281E-2</v>
      </c>
      <c r="Z509" s="16">
        <f t="shared" ref="Z509" ca="1" si="1757">Z$415-Y$415</f>
        <v>6.445652414717884E-2</v>
      </c>
      <c r="AA509" s="16">
        <f t="shared" ref="AA509" ca="1" si="1758">AA$415-Z$415</f>
        <v>6.5745654630122274E-2</v>
      </c>
      <c r="AB509" s="16">
        <f t="shared" ref="AB509" ca="1" si="1759">AB$415-AA$415</f>
        <v>6.7060567722724951E-2</v>
      </c>
      <c r="AC509" s="16">
        <f t="shared" ref="AC509" ca="1" si="1760">AC$415-AB$415</f>
        <v>6.840177907717937E-2</v>
      </c>
      <c r="AD509" s="16">
        <f t="shared" ref="AD509" ca="1" si="1761">AD$415-AC$415</f>
        <v>6.9769814658723117E-2</v>
      </c>
      <c r="AE509" s="16">
        <f t="shared" ref="AE509" ca="1" si="1762">AE$415-AD$415</f>
        <v>7.1165210951897429E-2</v>
      </c>
      <c r="AF509" s="16">
        <f t="shared" ref="AF509" ca="1" si="1763">AF$415-AE$415</f>
        <v>7.2588515170935342E-2</v>
      </c>
      <c r="AG509" s="16">
        <f t="shared" ref="AG509" ca="1" si="1764">AG$415-AF$415</f>
        <v>7.404028547435404E-2</v>
      </c>
      <c r="AH509" s="16">
        <f t="shared" ref="AH509" ca="1" si="1765">AH$415-AG$415</f>
        <v>7.5521091183841094E-2</v>
      </c>
      <c r="AI509" s="16">
        <f t="shared" ref="AI509" ca="1" si="1766">AI$415-AH$415</f>
        <v>7.7031513007518093E-2</v>
      </c>
      <c r="AJ509" s="16">
        <f t="shared" ref="AJ509" ca="1" si="1767">AJ$415-AI$415</f>
        <v>7.857214326766826E-2</v>
      </c>
      <c r="AK509" s="16">
        <f t="shared" ref="AK509" ca="1" si="1768">AK$415-AJ$415</f>
        <v>8.0143586133021749E-2</v>
      </c>
      <c r="AL509" s="16">
        <f t="shared" ref="AL509" ca="1" si="1769">AL$415-AK$415</f>
        <v>8.1746457855682131E-2</v>
      </c>
      <c r="AM509" s="16">
        <f t="shared" ref="AM509" ca="1" si="1770">AM$415-AL$415</f>
        <v>8.3381387012796182E-2</v>
      </c>
      <c r="AN509" s="16">
        <f t="shared" ref="AN509" ca="1" si="1771">AN$415-AM$415</f>
        <v>8.5049014753051821E-2</v>
      </c>
      <c r="AO509" s="16">
        <f t="shared" ref="AO509" ca="1" si="1772">AO$415-AN$415</f>
        <v>8.6749995048112538E-2</v>
      </c>
      <c r="AP509" s="16">
        <f t="shared" ref="AP509" ca="1" si="1773">AP$415-AO$415</f>
        <v>8.8484994949075357E-2</v>
      </c>
      <c r="AQ509" s="16">
        <f t="shared" ref="AQ509" ca="1" si="1774">AQ$415-AP$415</f>
        <v>9.0254694848056261E-2</v>
      </c>
      <c r="AR509" s="16">
        <f t="shared" ref="AR509" ca="1" si="1775">AR$415-AQ$415</f>
        <v>9.2059788745017634E-2</v>
      </c>
      <c r="AS509" s="16">
        <f t="shared" ref="AS509" ca="1" si="1776">AS$415-AR$415</f>
        <v>9.3900984519917685E-2</v>
      </c>
      <c r="AT509" s="16">
        <f t="shared" ref="AT509" ca="1" si="1777">AT$415-AS$415</f>
        <v>9.5779004210315932E-2</v>
      </c>
      <c r="AU509" s="16">
        <f t="shared" ref="AU509" ca="1" si="1778">AU$415-AT$415</f>
        <v>9.7694584294522713E-2</v>
      </c>
      <c r="AV509" s="16">
        <f t="shared" ref="AV509" ca="1" si="1779">AV$415-AU$415</f>
        <v>9.9648475980413487E-2</v>
      </c>
      <c r="AW509" s="16">
        <f t="shared" ref="AW509" ca="1" si="1780">AW$415-AV$415</f>
        <v>0.10164144550002163</v>
      </c>
      <c r="AX509" s="16">
        <f t="shared" ref="AX509" ca="1" si="1781">AX$415-AW$415</f>
        <v>0.10367427441002164</v>
      </c>
    </row>
    <row r="510" spans="1:50" x14ac:dyDescent="0.25">
      <c r="A510" s="11" t="s">
        <v>1046</v>
      </c>
      <c r="O510" s="16">
        <f ca="1">O$444-N$444</f>
        <v>8.4819999999999895E-2</v>
      </c>
      <c r="P510" s="16">
        <f t="shared" ref="P510" ca="1" si="1782">P$444-O$444</f>
        <v>8.6516400000000049E-2</v>
      </c>
      <c r="Q510" s="16">
        <f t="shared" ref="Q510" ca="1" si="1783">Q$444-P$444</f>
        <v>8.824672800000033E-2</v>
      </c>
      <c r="R510" s="16">
        <f t="shared" ref="R510" ca="1" si="1784">R$444-Q$444</f>
        <v>9.0011662559999817E-2</v>
      </c>
      <c r="S510" s="16">
        <f t="shared" ref="S510" ca="1" si="1785">S$444-R$444</f>
        <v>9.1811895811200195E-2</v>
      </c>
      <c r="T510" s="16">
        <f t="shared" ref="T510" ca="1" si="1786">T$444-S$444</f>
        <v>9.3648133727423977E-2</v>
      </c>
      <c r="U510" s="16">
        <f t="shared" ref="U510" ca="1" si="1787">U$444-T$444</f>
        <v>9.5521096401972594E-2</v>
      </c>
      <c r="V510" s="16">
        <f t="shared" ref="V510" ca="1" si="1788">V$444-U$444</f>
        <v>9.7431518330012068E-2</v>
      </c>
      <c r="W510" s="16">
        <f t="shared" ref="W510" ca="1" si="1789">W$444-V$444</f>
        <v>9.938014869661238E-2</v>
      </c>
      <c r="X510" s="16">
        <f t="shared" ref="X510" ca="1" si="1790">X$444-W$444</f>
        <v>0.10136775167054446</v>
      </c>
      <c r="Y510" s="16">
        <f t="shared" ref="Y510" ca="1" si="1791">Y$444-X$444</f>
        <v>0.10339510670395535</v>
      </c>
      <c r="Z510" s="16">
        <f t="shared" ref="Z510" ca="1" si="1792">Z$444-Y$444</f>
        <v>0.10546300883803461</v>
      </c>
      <c r="AA510" s="16">
        <f t="shared" ref="AA510" ca="1" si="1793">AA$444-Z$444</f>
        <v>0.10757226901479511</v>
      </c>
      <c r="AB510" s="16">
        <f t="shared" ref="AB510" ca="1" si="1794">AB$444-AA$444</f>
        <v>0.10972371439509132</v>
      </c>
      <c r="AC510" s="16">
        <f t="shared" ref="AC510" ca="1" si="1795">AC$444-AB$444</f>
        <v>0.11191818868299297</v>
      </c>
      <c r="AD510" s="16">
        <f t="shared" ref="AD510" ca="1" si="1796">AD$444-AC$444</f>
        <v>0.11415655245665257</v>
      </c>
      <c r="AE510" s="16">
        <f t="shared" ref="AE510" ca="1" si="1797">AE$444-AD$444</f>
        <v>0.11643968350578593</v>
      </c>
      <c r="AF510" s="16">
        <f t="shared" ref="AF510" ca="1" si="1798">AF$444-AE$444</f>
        <v>0.11876847717590167</v>
      </c>
      <c r="AG510" s="16">
        <f t="shared" ref="AG510" ca="1" si="1799">AG$444-AF$444</f>
        <v>0.12114384671941947</v>
      </c>
      <c r="AH510" s="16">
        <f t="shared" ref="AH510" ca="1" si="1800">AH$444-AG$444</f>
        <v>0.12356672365380783</v>
      </c>
      <c r="AI510" s="16">
        <f t="shared" ref="AI510" ca="1" si="1801">AI$444-AH$444</f>
        <v>0.12603805812688407</v>
      </c>
      <c r="AJ510" s="16">
        <f t="shared" ref="AJ510" ca="1" si="1802">AJ$444-AI$444</f>
        <v>0.12855881928942159</v>
      </c>
      <c r="AK510" s="16">
        <f t="shared" ref="AK510" ca="1" si="1803">AK$444-AJ$444</f>
        <v>0.13112999567521033</v>
      </c>
      <c r="AL510" s="16">
        <f t="shared" ref="AL510" ca="1" si="1804">AL$444-AK$444</f>
        <v>0.13375259558871466</v>
      </c>
      <c r="AM510" s="16">
        <f t="shared" ref="AM510" ca="1" si="1805">AM$444-AL$444</f>
        <v>0.13642764750048908</v>
      </c>
      <c r="AN510" s="16">
        <f t="shared" ref="AN510" ca="1" si="1806">AN$444-AM$444</f>
        <v>0.1391562004504987</v>
      </c>
      <c r="AO510" s="16">
        <f t="shared" ref="AO510" ca="1" si="1807">AO$444-AN$444</f>
        <v>0.14193932445950841</v>
      </c>
      <c r="AP510" s="16">
        <f t="shared" ref="AP510" ca="1" si="1808">AP$444-AO$444</f>
        <v>0.14477811094869919</v>
      </c>
      <c r="AQ510" s="16">
        <f t="shared" ref="AQ510" ca="1" si="1809">AQ$444-AP$444</f>
        <v>0.14767367316767244</v>
      </c>
      <c r="AR510" s="16">
        <f t="shared" ref="AR510" ca="1" si="1810">AR$444-AQ$444</f>
        <v>0.15062714663102605</v>
      </c>
      <c r="AS510" s="16">
        <f t="shared" ref="AS510" ca="1" si="1811">AS$444-AR$444</f>
        <v>0.15363968956364671</v>
      </c>
      <c r="AT510" s="16">
        <f t="shared" ref="AT510" ca="1" si="1812">AT$444-AS$444</f>
        <v>0.15671248335491939</v>
      </c>
      <c r="AU510" s="16">
        <f t="shared" ref="AU510" ca="1" si="1813">AU$444-AT$444</f>
        <v>0.15984673302201813</v>
      </c>
      <c r="AV510" s="16">
        <f t="shared" ref="AV510" ca="1" si="1814">AV$444-AU$444</f>
        <v>0.1630436676824587</v>
      </c>
      <c r="AW510" s="16">
        <f t="shared" ref="AW510" ca="1" si="1815">AW$444-AV$444</f>
        <v>0.1663045410361077</v>
      </c>
      <c r="AX510" s="16">
        <f t="shared" ref="AX510" ca="1" si="1816">AX$444-AW$444</f>
        <v>0.16963063185682969</v>
      </c>
    </row>
    <row r="511" spans="1:50" x14ac:dyDescent="0.25">
      <c r="A511" s="11" t="s">
        <v>1047</v>
      </c>
      <c r="O511" s="16">
        <f ca="1">SUM(O$440-N$440,O$448-N$448,O$465-N$465)</f>
        <v>2.988111663911023</v>
      </c>
      <c r="P511" s="16">
        <f t="shared" ref="P511" ca="1" si="1817">SUM(P$440-O$440,P$448-O$448,P$465-O$465)</f>
        <v>0.57219633402127368</v>
      </c>
      <c r="Q511" s="16">
        <f t="shared" ref="Q511" ca="1" si="1818">SUM(Q$440-P$440,Q$448-P$448,Q$465-P$465)</f>
        <v>0.63115965281391562</v>
      </c>
      <c r="R511" s="16">
        <f t="shared" ref="R511" ca="1" si="1819">SUM(R$440-Q$440,R$448-Q$448,R$465-Q$465)</f>
        <v>0.68101863807983198</v>
      </c>
      <c r="S511" s="16">
        <f t="shared" ref="S511" ca="1" si="1820">SUM(S$440-R$440,S$448-R$448,S$465-R$465)</f>
        <v>0.74130578519478973</v>
      </c>
      <c r="T511" s="16">
        <f t="shared" ref="T511" ca="1" si="1821">SUM(T$440-S$440,T$448-S$448,T$465-S$465)</f>
        <v>0.80334256418800187</v>
      </c>
      <c r="U511" s="16">
        <f t="shared" ref="U511" ca="1" si="1822">SUM(U$440-T$440,U$448-T$448,U$465-T$465)</f>
        <v>0.86680929097807091</v>
      </c>
      <c r="V511" s="16">
        <f t="shared" ref="V511" ca="1" si="1823">SUM(V$440-U$440,V$448-U$448,V$465-U$465)</f>
        <v>0.9329282928066549</v>
      </c>
      <c r="W511" s="16">
        <f t="shared" ref="W511" ca="1" si="1824">SUM(W$440-V$440,W$448-V$448,W$465-V$465)</f>
        <v>1.0005798388283034</v>
      </c>
      <c r="X511" s="16">
        <f t="shared" ref="X511" ca="1" si="1825">SUM(X$440-W$440,X$448-W$448,X$465-W$465)</f>
        <v>1.0729010052389418</v>
      </c>
      <c r="Y511" s="16">
        <f t="shared" ref="Y511" ca="1" si="1826">SUM(Y$440-X$440,Y$448-X$448,Y$465-X$465)</f>
        <v>1.1522087661355258</v>
      </c>
      <c r="Z511" s="16">
        <f t="shared" ref="Z511" ca="1" si="1827">SUM(Z$440-Y$440,Z$448-Y$448,Z$465-Y$465)</f>
        <v>1.236076685376676</v>
      </c>
      <c r="AA511" s="16">
        <f t="shared" ref="AA511" ca="1" si="1828">SUM(AA$440-Z$440,AA$448-Z$448,AA$465-Z$465)</f>
        <v>1.3245240811134591</v>
      </c>
      <c r="AB511" s="16">
        <f t="shared" ref="AB511" ca="1" si="1829">SUM(AB$440-AA$440,AB$448-AA$448,AB$465-AA$465)</f>
        <v>1.4166241940727584</v>
      </c>
      <c r="AC511" s="16">
        <f t="shared" ref="AC511" ca="1" si="1830">SUM(AC$440-AB$440,AC$448-AB$448,AC$465-AB$465)</f>
        <v>1.5099575633604192</v>
      </c>
      <c r="AD511" s="16">
        <f t="shared" ref="AD511" ca="1" si="1831">SUM(AD$440-AC$440,AD$448-AC$448,AD$465-AC$465)</f>
        <v>1.6041603484803715</v>
      </c>
      <c r="AE511" s="16">
        <f t="shared" ref="AE511" ca="1" si="1832">SUM(AE$440-AD$440,AE$448-AD$448,AE$465-AD$465)</f>
        <v>1.6997334970261933</v>
      </c>
      <c r="AF511" s="16">
        <f t="shared" ref="AF511" ca="1" si="1833">SUM(AF$440-AE$440,AF$448-AE$448,AF$465-AE$465)</f>
        <v>1.7965157596869308</v>
      </c>
      <c r="AG511" s="16">
        <f t="shared" ref="AG511" ca="1" si="1834">SUM(AG$440-AF$440,AG$448-AF$448,AG$465-AF$465)</f>
        <v>1.8935549037845432</v>
      </c>
      <c r="AH511" s="16">
        <f t="shared" ref="AH511" ca="1" si="1835">SUM(AH$440-AG$440,AH$448-AG$448,AH$465-AG$465)</f>
        <v>1.9913470582870363</v>
      </c>
      <c r="AI511" s="16">
        <f t="shared" ref="AI511" ca="1" si="1836">SUM(AI$440-AH$440,AI$448-AH$448,AI$465-AH$465)</f>
        <v>2.0901404693719905</v>
      </c>
      <c r="AJ511" s="16">
        <f t="shared" ref="AJ511" ca="1" si="1837">SUM(AJ$440-AI$440,AJ$448-AI$448,AJ$465-AI$465)</f>
        <v>2.1900521578413561</v>
      </c>
      <c r="AK511" s="16">
        <f t="shared" ref="AK511" ca="1" si="1838">SUM(AK$440-AJ$440,AK$448-AJ$448,AK$465-AJ$465)</f>
        <v>2.2865383560145758</v>
      </c>
      <c r="AL511" s="16">
        <f t="shared" ref="AL511" ca="1" si="1839">SUM(AL$440-AK$440,AL$448-AK$448,AL$465-AK$465)</f>
        <v>2.3809945495293987</v>
      </c>
      <c r="AM511" s="16">
        <f t="shared" ref="AM511" ca="1" si="1840">SUM(AM$440-AL$440,AM$448-AL$448,AM$465-AL$465)</f>
        <v>2.4753578303833876</v>
      </c>
      <c r="AN511" s="16">
        <f t="shared" ref="AN511" ca="1" si="1841">SUM(AN$440-AM$440,AN$448-AM$448,AN$465-AM$465)</f>
        <v>2.566425300656654</v>
      </c>
      <c r="AO511" s="16">
        <f t="shared" ref="AO511" ca="1" si="1842">SUM(AO$440-AN$440,AO$448-AN$448,AO$465-AN$465)</f>
        <v>2.6561024837173939</v>
      </c>
      <c r="AP511" s="16">
        <f t="shared" ref="AP511" ca="1" si="1843">SUM(AP$440-AO$440,AP$448-AO$448,AP$465-AO$465)</f>
        <v>2.7486158851722138</v>
      </c>
      <c r="AQ511" s="16">
        <f t="shared" ref="AQ511" ca="1" si="1844">SUM(AQ$440-AP$440,AQ$448-AP$448,AQ$465-AP$465)</f>
        <v>2.8442941487231819</v>
      </c>
      <c r="AR511" s="16">
        <f t="shared" ref="AR511" ca="1" si="1845">SUM(AR$440-AQ$440,AR$448-AQ$448,AR$465-AQ$465)</f>
        <v>2.9462696443707701</v>
      </c>
      <c r="AS511" s="16">
        <f t="shared" ref="AS511" ca="1" si="1846">SUM(AS$440-AR$440,AS$448-AR$448,AS$465-AR$465)</f>
        <v>3.0507261813460111</v>
      </c>
      <c r="AT511" s="16">
        <f t="shared" ref="AT511" ca="1" si="1847">SUM(AT$440-AS$440,AT$448-AS$448,AT$465-AS$465)</f>
        <v>3.1615401540615018</v>
      </c>
      <c r="AU511" s="16">
        <f t="shared" ref="AU511" ca="1" si="1848">SUM(AU$440-AT$440,AU$448-AT$448,AU$465-AT$465)</f>
        <v>3.2761154736682983</v>
      </c>
      <c r="AV511" s="16">
        <f t="shared" ref="AV511" ca="1" si="1849">SUM(AV$440-AU$440,AV$448-AU$448,AV$465-AU$465)</f>
        <v>3.3958719940255087</v>
      </c>
      <c r="AW511" s="16">
        <f t="shared" ref="AW511" ca="1" si="1850">SUM(AW$440-AV$440,AW$448-AV$448,AW$465-AV$465)</f>
        <v>3.5215954557086757</v>
      </c>
      <c r="AX511" s="16">
        <f t="shared" ref="AX511" ca="1" si="1851">SUM(AX$440-AW$440,AX$448-AW$448,AX$465-AW$465)</f>
        <v>3.6443475211918326</v>
      </c>
    </row>
    <row r="512" spans="1:50" x14ac:dyDescent="0.25">
      <c r="A512" s="11" t="s">
        <v>1048</v>
      </c>
      <c r="O512" s="16">
        <f>O$458-N$458</f>
        <v>-0.18722764830508432</v>
      </c>
      <c r="P512" s="16">
        <f t="shared" ref="P512" si="1852">P$458-O$458</f>
        <v>-0.19206557203389885</v>
      </c>
      <c r="Q512" s="16">
        <f t="shared" ref="Q512" si="1853">Q$458-P$458</f>
        <v>-0.19448453389830522</v>
      </c>
      <c r="R512" s="16">
        <f t="shared" ref="R512" si="1854">R$458-Q$458</f>
        <v>-0.19883866525423732</v>
      </c>
      <c r="S512" s="16">
        <f t="shared" ref="S512" si="1855">S$458-R$458</f>
        <v>-0.20029004237288106</v>
      </c>
      <c r="T512" s="16">
        <f t="shared" ref="T512" si="1856">T$458-S$458</f>
        <v>-0.2007738347457626</v>
      </c>
      <c r="U512" s="16">
        <f t="shared" ref="U512" si="1857">U$458-T$458</f>
        <v>-0.19400074152542324</v>
      </c>
      <c r="V512" s="16">
        <f t="shared" ref="V512" si="1858">V$458-U$458</f>
        <v>-0.1915817796610173</v>
      </c>
      <c r="W512" s="16">
        <f t="shared" ref="W512" si="1859">W$458-V$458</f>
        <v>-0.18867902542372894</v>
      </c>
      <c r="X512" s="16">
        <f t="shared" ref="X512" si="1860">X$458-W$458</f>
        <v>-0.18529247881355948</v>
      </c>
      <c r="Y512" s="16">
        <f t="shared" ref="Y512" si="1861">Y$458-X$458</f>
        <v>-0.18045455508474584</v>
      </c>
      <c r="Z512" s="16">
        <f t="shared" ref="Z512" si="1862">Z$458-Y$458</f>
        <v>-0.17610042372881374</v>
      </c>
      <c r="AA512" s="16">
        <f t="shared" ref="AA512" si="1863">AA$458-Z$458</f>
        <v>-0.17029491525423701</v>
      </c>
      <c r="AB512" s="16">
        <f t="shared" ref="AB512" si="1864">AB$458-AA$458</f>
        <v>-0.16400561440677985</v>
      </c>
      <c r="AC512" s="16">
        <f t="shared" ref="AC512" si="1865">AC$458-AB$458</f>
        <v>-0.15723252118644071</v>
      </c>
      <c r="AD512" s="16">
        <f t="shared" ref="AD512" si="1866">AD$458-AC$458</f>
        <v>-0.15094322033898289</v>
      </c>
      <c r="AE512" s="16">
        <f t="shared" ref="AE512" si="1867">AE$458-AD$458</f>
        <v>-0.1432025423728811</v>
      </c>
      <c r="AF512" s="16">
        <f t="shared" ref="AF512" si="1868">AF$458-AE$458</f>
        <v>-0.1364294491525424</v>
      </c>
      <c r="AG512" s="16">
        <f t="shared" ref="AG512" si="1869">AG$458-AF$458</f>
        <v>-0.12820497881355952</v>
      </c>
      <c r="AH512" s="16">
        <f t="shared" ref="AH512" si="1870">AH$458-AG$458</f>
        <v>-0.12046430084745774</v>
      </c>
      <c r="AI512" s="16">
        <f t="shared" ref="AI512" si="1871">AI$458-AH$458</f>
        <v>-0.11272362288135596</v>
      </c>
      <c r="AJ512" s="16">
        <f t="shared" ref="AJ512" si="1872">AJ$458-AI$458</f>
        <v>-0.10449915254237274</v>
      </c>
      <c r="AK512" s="16">
        <f t="shared" ref="AK512" si="1873">AK$458-AJ$458</f>
        <v>-9.7242266949152611E-2</v>
      </c>
      <c r="AL512" s="16">
        <f t="shared" ref="AL512" si="1874">AL$458-AK$458</f>
        <v>-8.9501588983050939E-2</v>
      </c>
      <c r="AM512" s="16">
        <f t="shared" ref="AM512" si="1875">AM$458-AL$458</f>
        <v>-8.2244703389830476E-2</v>
      </c>
      <c r="AN512" s="16">
        <f t="shared" ref="AN512" si="1876">AN$458-AM$458</f>
        <v>-7.5471610169491554E-2</v>
      </c>
      <c r="AO512" s="16">
        <f t="shared" ref="AO512" si="1877">AO$458-AN$458</f>
        <v>-6.8698516949152466E-2</v>
      </c>
      <c r="AP512" s="16">
        <f t="shared" ref="AP512" si="1878">AP$458-AO$458</f>
        <v>-6.1925423728813545E-2</v>
      </c>
      <c r="AQ512" s="16">
        <f t="shared" ref="AQ512" si="1879">AQ$458-AP$458</f>
        <v>-5.5636122881355943E-2</v>
      </c>
      <c r="AR512" s="16">
        <f t="shared" ref="AR512" si="1880">AR$458-AQ$458</f>
        <v>-4.9346822033898285E-2</v>
      </c>
      <c r="AS512" s="16">
        <f t="shared" ref="AS512" si="1881">AS$458-AR$458</f>
        <v>-4.4025105932203379E-2</v>
      </c>
      <c r="AT512" s="16">
        <f t="shared" ref="AT512" si="1882">AT$458-AS$458</f>
        <v>-3.87033898305085E-2</v>
      </c>
      <c r="AU512" s="16">
        <f t="shared" ref="AU512" si="1883">AU$458-AT$458</f>
        <v>-3.6284427966101707E-2</v>
      </c>
      <c r="AV512" s="16">
        <f t="shared" ref="AV512" si="1884">AV$458-AU$458</f>
        <v>-3.3865466101694941E-2</v>
      </c>
      <c r="AW512" s="16">
        <f t="shared" ref="AW512" si="1885">AW$458-AV$458</f>
        <v>-3.1446504237288134E-2</v>
      </c>
      <c r="AX512" s="16">
        <f t="shared" ref="AX512" si="1886">AX$458-AW$458</f>
        <v>-2.9027542372881354E-2</v>
      </c>
    </row>
    <row r="513" spans="1:50" x14ac:dyDescent="0.25">
      <c r="A513" s="9" t="s">
        <v>538</v>
      </c>
      <c r="O513" s="66">
        <f t="shared" ref="O513:AX513" ca="1" si="1887">SUM(O$506:O$509)-SUM(O$510:O$512)</f>
        <v>1.4918482062734402</v>
      </c>
      <c r="P513" s="66">
        <f t="shared" ca="1" si="1887"/>
        <v>1.5483470831886186</v>
      </c>
      <c r="Q513" s="66">
        <f t="shared" ca="1" si="1887"/>
        <v>1.5619186966306275</v>
      </c>
      <c r="R513" s="66">
        <f t="shared" ca="1" si="1887"/>
        <v>1.5583489987299872</v>
      </c>
      <c r="S513" s="66">
        <f t="shared" ca="1" si="1887"/>
        <v>1.5665783921940895</v>
      </c>
      <c r="T513" s="66">
        <f t="shared" ca="1" si="1887"/>
        <v>1.5697522323736954</v>
      </c>
      <c r="U513" s="66">
        <f t="shared" ca="1" si="1887"/>
        <v>1.5622008902659974</v>
      </c>
      <c r="V513" s="66">
        <f t="shared" ca="1" si="1887"/>
        <v>1.5550328862567242</v>
      </c>
      <c r="W513" s="66">
        <f t="shared" ca="1" si="1887"/>
        <v>1.5428482103008911</v>
      </c>
      <c r="X513" s="66">
        <f t="shared" ca="1" si="1887"/>
        <v>1.5310522230473858</v>
      </c>
      <c r="Y513" s="66">
        <f t="shared" ca="1" si="1887"/>
        <v>1.5211631843575815</v>
      </c>
      <c r="Z513" s="66">
        <f t="shared" ca="1" si="1887"/>
        <v>1.511246101303434</v>
      </c>
      <c r="AA513" s="66">
        <f t="shared" ca="1" si="1887"/>
        <v>1.5024993985464949</v>
      </c>
      <c r="AB513" s="66">
        <f t="shared" ca="1" si="1887"/>
        <v>1.492099696730725</v>
      </c>
      <c r="AC513" s="66">
        <f t="shared" ca="1" si="1887"/>
        <v>1.4809495904816128</v>
      </c>
      <c r="AD513" s="66">
        <f t="shared" ca="1" si="1887"/>
        <v>1.4706919470765547</v>
      </c>
      <c r="AE513" s="66">
        <f t="shared" ca="1" si="1887"/>
        <v>1.4587042290006711</v>
      </c>
      <c r="AF513" s="66">
        <f t="shared" ca="1" si="1887"/>
        <v>1.4478442610398916</v>
      </c>
      <c r="AG513" s="66">
        <f t="shared" ca="1" si="1887"/>
        <v>1.4355979136695429</v>
      </c>
      <c r="AH513" s="66">
        <f t="shared" ca="1" si="1887"/>
        <v>1.4233823813989792</v>
      </c>
      <c r="AI513" s="66">
        <f t="shared" ca="1" si="1887"/>
        <v>1.4121432659606015</v>
      </c>
      <c r="AJ513" s="66">
        <f t="shared" ca="1" si="1887"/>
        <v>1.4016741338277319</v>
      </c>
      <c r="AK513" s="66">
        <f t="shared" ca="1" si="1887"/>
        <v>1.3911003519005334</v>
      </c>
      <c r="AL513" s="66">
        <f t="shared" ca="1" si="1887"/>
        <v>1.381869664816834</v>
      </c>
      <c r="AM513" s="66">
        <f t="shared" ca="1" si="1887"/>
        <v>1.3748839139494615</v>
      </c>
      <c r="AN513" s="66">
        <f t="shared" ca="1" si="1887"/>
        <v>1.3540888731542347</v>
      </c>
      <c r="AO513" s="66">
        <f t="shared" ca="1" si="1887"/>
        <v>1.3204387863731593</v>
      </c>
      <c r="AP513" s="66">
        <f t="shared" ca="1" si="1887"/>
        <v>1.295604312773937</v>
      </c>
      <c r="AQ513" s="66">
        <f t="shared" ca="1" si="1887"/>
        <v>1.2718352390983547</v>
      </c>
      <c r="AR513" s="66">
        <f t="shared" ca="1" si="1887"/>
        <v>1.2497225573980009</v>
      </c>
      <c r="AS513" s="66">
        <f t="shared" ca="1" si="1887"/>
        <v>1.2276978578306883</v>
      </c>
      <c r="AT513" s="66">
        <f t="shared" ca="1" si="1887"/>
        <v>1.207384022277401</v>
      </c>
      <c r="AU513" s="66">
        <f t="shared" ca="1" si="1887"/>
        <v>1.1870691170233316</v>
      </c>
      <c r="AV513" s="66">
        <f t="shared" ca="1" si="1887"/>
        <v>1.1682198933953818</v>
      </c>
      <c r="AW513" s="66">
        <f t="shared" ca="1" si="1887"/>
        <v>1.1479734224360323</v>
      </c>
      <c r="AX513" s="66">
        <f t="shared" ca="1" si="1887"/>
        <v>1.1405492404134958</v>
      </c>
    </row>
    <row r="514" spans="1:50" x14ac:dyDescent="0.25">
      <c r="A514" s="9" t="s">
        <v>1039</v>
      </c>
      <c r="O514" s="66">
        <f t="shared" ref="O514:AX514" ca="1" si="1888">SUM(O$499,O$500,O$505,O$513)</f>
        <v>4.1831452259875999</v>
      </c>
      <c r="P514" s="66">
        <f t="shared" ca="1" si="1888"/>
        <v>2.0876064969294488</v>
      </c>
      <c r="Q514" s="66">
        <f t="shared" ca="1" si="1888"/>
        <v>-0.33296519131275004</v>
      </c>
      <c r="R514" s="66">
        <f t="shared" ca="1" si="1888"/>
        <v>-3.1592412789658022</v>
      </c>
      <c r="S514" s="66">
        <f t="shared" ca="1" si="1888"/>
        <v>-6.0401220719002566</v>
      </c>
      <c r="T514" s="66">
        <f t="shared" ca="1" si="1888"/>
        <v>-8.7438553357415785</v>
      </c>
      <c r="U514" s="66">
        <f t="shared" ca="1" si="1888"/>
        <v>-10.590298175454061</v>
      </c>
      <c r="V514" s="66">
        <f t="shared" ca="1" si="1888"/>
        <v>-12.344291702229821</v>
      </c>
      <c r="W514" s="66">
        <f t="shared" ca="1" si="1888"/>
        <v>-14.204161174697212</v>
      </c>
      <c r="X514" s="66">
        <f t="shared" ca="1" si="1888"/>
        <v>-16.217967649203029</v>
      </c>
      <c r="Y514" s="66">
        <f t="shared" ca="1" si="1888"/>
        <v>-18.582526122854709</v>
      </c>
      <c r="Z514" s="66">
        <f t="shared" ca="1" si="1888"/>
        <v>-21.11701204310803</v>
      </c>
      <c r="AA514" s="66">
        <f t="shared" ca="1" si="1888"/>
        <v>-23.857727834198233</v>
      </c>
      <c r="AB514" s="66">
        <f t="shared" ca="1" si="1888"/>
        <v>-26.761158928820642</v>
      </c>
      <c r="AC514" s="66">
        <f t="shared" ca="1" si="1888"/>
        <v>-29.944970432134411</v>
      </c>
      <c r="AD514" s="66">
        <f t="shared" ca="1" si="1888"/>
        <v>-33.46654065616611</v>
      </c>
      <c r="AE514" s="66">
        <f t="shared" ca="1" si="1888"/>
        <v>-37.311853986351245</v>
      </c>
      <c r="AF514" s="66">
        <f t="shared" ca="1" si="1888"/>
        <v>-41.517284234790786</v>
      </c>
      <c r="AG514" s="66">
        <f t="shared" ca="1" si="1888"/>
        <v>-46.160210852956709</v>
      </c>
      <c r="AH514" s="66">
        <f t="shared" ca="1" si="1888"/>
        <v>-51.209115968401655</v>
      </c>
      <c r="AI514" s="66">
        <f t="shared" ca="1" si="1888"/>
        <v>-56.711919499330982</v>
      </c>
      <c r="AJ514" s="66">
        <f t="shared" ca="1" si="1888"/>
        <v>-62.702345470481738</v>
      </c>
      <c r="AK514" s="66">
        <f t="shared" ca="1" si="1888"/>
        <v>-69.342909406203887</v>
      </c>
      <c r="AL514" s="66">
        <f t="shared" ca="1" si="1888"/>
        <v>-76.666251502654802</v>
      </c>
      <c r="AM514" s="66">
        <f t="shared" ca="1" si="1888"/>
        <v>-84.641800567039411</v>
      </c>
      <c r="AN514" s="66">
        <f t="shared" ca="1" si="1888"/>
        <v>-93.558782065318638</v>
      </c>
      <c r="AO514" s="66">
        <f t="shared" ca="1" si="1888"/>
        <v>-103.1928484923048</v>
      </c>
      <c r="AP514" s="66">
        <f t="shared" ca="1" si="1888"/>
        <v>-113.5005515160242</v>
      </c>
      <c r="AQ514" s="66">
        <f t="shared" ca="1" si="1888"/>
        <v>-124.52009256250112</v>
      </c>
      <c r="AR514" s="66">
        <f t="shared" ca="1" si="1888"/>
        <v>-136.18688023227253</v>
      </c>
      <c r="AS514" s="66">
        <f t="shared" ca="1" si="1888"/>
        <v>-148.671840857071</v>
      </c>
      <c r="AT514" s="66">
        <f t="shared" ca="1" si="1888"/>
        <v>-161.89867039455643</v>
      </c>
      <c r="AU514" s="66">
        <f t="shared" ca="1" si="1888"/>
        <v>-175.97471385462532</v>
      </c>
      <c r="AV514" s="66">
        <f t="shared" ca="1" si="1888"/>
        <v>-191.00478229693741</v>
      </c>
      <c r="AW514" s="66">
        <f t="shared" ca="1" si="1888"/>
        <v>-206.92958900341139</v>
      </c>
      <c r="AX514" s="66">
        <f t="shared" ca="1" si="1888"/>
        <v>-224.09954837679788</v>
      </c>
    </row>
    <row r="515" spans="1:50" x14ac:dyDescent="0.25">
      <c r="A515" s="55" t="s">
        <v>1049</v>
      </c>
      <c r="O515" s="87" t="str">
        <f t="shared" ref="O515:AX515" ca="1" si="1889">IF(ROUND(O$49-O$514,3)=0,"OK","ERROR")</f>
        <v>OK</v>
      </c>
      <c r="P515" s="87" t="str">
        <f t="shared" ca="1" si="1889"/>
        <v>OK</v>
      </c>
      <c r="Q515" s="87" t="str">
        <f t="shared" ca="1" si="1889"/>
        <v>OK</v>
      </c>
      <c r="R515" s="87" t="str">
        <f t="shared" ca="1" si="1889"/>
        <v>OK</v>
      </c>
      <c r="S515" s="87" t="str">
        <f t="shared" ca="1" si="1889"/>
        <v>OK</v>
      </c>
      <c r="T515" s="87" t="str">
        <f t="shared" ca="1" si="1889"/>
        <v>OK</v>
      </c>
      <c r="U515" s="87" t="str">
        <f t="shared" ca="1" si="1889"/>
        <v>OK</v>
      </c>
      <c r="V515" s="87" t="str">
        <f t="shared" ca="1" si="1889"/>
        <v>OK</v>
      </c>
      <c r="W515" s="87" t="str">
        <f t="shared" ca="1" si="1889"/>
        <v>OK</v>
      </c>
      <c r="X515" s="87" t="str">
        <f t="shared" ca="1" si="1889"/>
        <v>OK</v>
      </c>
      <c r="Y515" s="87" t="str">
        <f t="shared" ca="1" si="1889"/>
        <v>OK</v>
      </c>
      <c r="Z515" s="87" t="str">
        <f t="shared" ca="1" si="1889"/>
        <v>OK</v>
      </c>
      <c r="AA515" s="87" t="str">
        <f t="shared" ca="1" si="1889"/>
        <v>OK</v>
      </c>
      <c r="AB515" s="87" t="str">
        <f t="shared" ca="1" si="1889"/>
        <v>OK</v>
      </c>
      <c r="AC515" s="87" t="str">
        <f t="shared" ca="1" si="1889"/>
        <v>OK</v>
      </c>
      <c r="AD515" s="87" t="str">
        <f t="shared" ca="1" si="1889"/>
        <v>OK</v>
      </c>
      <c r="AE515" s="87" t="str">
        <f t="shared" ca="1" si="1889"/>
        <v>OK</v>
      </c>
      <c r="AF515" s="87" t="str">
        <f t="shared" ca="1" si="1889"/>
        <v>OK</v>
      </c>
      <c r="AG515" s="87" t="str">
        <f t="shared" ca="1" si="1889"/>
        <v>OK</v>
      </c>
      <c r="AH515" s="87" t="str">
        <f t="shared" ca="1" si="1889"/>
        <v>OK</v>
      </c>
      <c r="AI515" s="87" t="str">
        <f t="shared" ca="1" si="1889"/>
        <v>OK</v>
      </c>
      <c r="AJ515" s="87" t="str">
        <f t="shared" ca="1" si="1889"/>
        <v>OK</v>
      </c>
      <c r="AK515" s="87" t="str">
        <f t="shared" ca="1" si="1889"/>
        <v>OK</v>
      </c>
      <c r="AL515" s="87" t="str">
        <f t="shared" ca="1" si="1889"/>
        <v>OK</v>
      </c>
      <c r="AM515" s="87" t="str">
        <f t="shared" ca="1" si="1889"/>
        <v>OK</v>
      </c>
      <c r="AN515" s="87" t="str">
        <f t="shared" ca="1" si="1889"/>
        <v>OK</v>
      </c>
      <c r="AO515" s="87" t="str">
        <f t="shared" ca="1" si="1889"/>
        <v>OK</v>
      </c>
      <c r="AP515" s="87" t="str">
        <f t="shared" ca="1" si="1889"/>
        <v>OK</v>
      </c>
      <c r="AQ515" s="87" t="str">
        <f t="shared" ca="1" si="1889"/>
        <v>OK</v>
      </c>
      <c r="AR515" s="87" t="str">
        <f t="shared" ca="1" si="1889"/>
        <v>OK</v>
      </c>
      <c r="AS515" s="87" t="str">
        <f t="shared" ca="1" si="1889"/>
        <v>OK</v>
      </c>
      <c r="AT515" s="87" t="str">
        <f t="shared" ca="1" si="1889"/>
        <v>OK</v>
      </c>
      <c r="AU515" s="87" t="str">
        <f t="shared" ca="1" si="1889"/>
        <v>OK</v>
      </c>
      <c r="AV515" s="87" t="str">
        <f t="shared" ca="1" si="1889"/>
        <v>OK</v>
      </c>
      <c r="AW515" s="87" t="str">
        <f t="shared" ca="1" si="1889"/>
        <v>OK</v>
      </c>
      <c r="AX515" s="87" t="str">
        <f t="shared" ca="1" si="1889"/>
        <v>OK</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4865" r:id="rId4" name="Drop Down 1">
              <controlPr defaultSize="0" autoLine="0" autoPict="0">
                <anchor moveWithCells="1">
                  <from>
                    <xdr:col>0</xdr:col>
                    <xdr:colOff>47625</xdr:colOff>
                    <xdr:row>6</xdr:row>
                    <xdr:rowOff>0</xdr:rowOff>
                  </from>
                  <to>
                    <xdr:col>0</xdr:col>
                    <xdr:colOff>5629275</xdr:colOff>
                    <xdr:row>7</xdr:row>
                    <xdr:rowOff>9525</xdr:rowOff>
                  </to>
                </anchor>
              </controlPr>
            </control>
          </mc:Choice>
        </mc:AlternateContent>
        <mc:AlternateContent xmlns:mc="http://schemas.openxmlformats.org/markup-compatibility/2006">
          <mc:Choice Requires="x14">
            <control shapeId="164866" r:id="rId5" name="Drop Down 2">
              <controlPr defaultSize="0" autoLine="0" autoPict="0">
                <anchor moveWithCells="1">
                  <from>
                    <xdr:col>0</xdr:col>
                    <xdr:colOff>47625</xdr:colOff>
                    <xdr:row>6</xdr:row>
                    <xdr:rowOff>0</xdr:rowOff>
                  </from>
                  <to>
                    <xdr:col>1</xdr:col>
                    <xdr:colOff>19050</xdr:colOff>
                    <xdr:row>7</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Display</vt:lpstr>
      <vt:lpstr>Guide</vt:lpstr>
      <vt:lpstr>Sources</vt:lpstr>
      <vt:lpstr>Statistics NZ</vt:lpstr>
      <vt:lpstr>Population Treasury</vt:lpstr>
      <vt:lpstr>Labour Force Treasury</vt:lpstr>
      <vt:lpstr>Exogenous</vt:lpstr>
      <vt:lpstr>Allocation</vt:lpstr>
      <vt:lpstr>Fiscal Outturns</vt:lpstr>
      <vt:lpstr>Economic Forecasts</vt:lpstr>
      <vt:lpstr>Fiscal Forecasts</vt:lpstr>
      <vt:lpstr>Assumptions</vt:lpstr>
      <vt:lpstr>Long-Term Fiscal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Long-term Fiscal Model for He Tirohanga Mokopuna 2025 - September 2025</dc:title>
  <dc:creator>New Zealand Treasury</dc:creator>
  <cp:lastModifiedBy>Michael vanEs [CASS]</cp:lastModifiedBy>
  <cp:lastPrinted>2024-12-22T23:59:56Z</cp:lastPrinted>
  <dcterms:created xsi:type="dcterms:W3CDTF">2024-04-28T21:42:44Z</dcterms:created>
  <dcterms:modified xsi:type="dcterms:W3CDTF">2025-09-22T21:35:24Z</dcterms:modified>
</cp:coreProperties>
</file>